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lyaan\Desktop\上印尼物料\"/>
    </mc:Choice>
  </mc:AlternateContent>
  <bookViews>
    <workbookView windowWidth="27945" windowHeight="12255" tabRatio="740" firstSheet="3" activeTab="5"/>
  </bookViews>
  <sheets>
    <sheet name="已到ARRIVED" sheetId="7" state="hidden" r:id="rId1"/>
    <sheet name="类别金额" sheetId="13" r:id="rId2"/>
    <sheet name="实业合同" sheetId="15" r:id="rId3"/>
    <sheet name="实业发票" sheetId="14" r:id="rId4"/>
    <sheet name="装箱单" sheetId="16" r:id="rId5"/>
    <sheet name="5.21出货明细" sheetId="3" r:id="rId6"/>
    <sheet name="商品汇总表" sheetId="17" r:id="rId7"/>
    <sheet name="发票" sheetId="18" r:id="rId8"/>
    <sheet name="销售合同" sheetId="19" r:id="rId9"/>
    <sheet name="装箱单 (2)" sheetId="20" r:id="rId10"/>
    <sheet name="草稿大单-1" sheetId="21" r:id="rId11"/>
    <sheet name="司机资料" sheetId="22" r:id="rId12"/>
    <sheet name="单位对照" sheetId="24" r:id="rId13"/>
    <sheet name="WpsReserved_CellImgList" sheetId="5" state="veryHidden" r:id="rId14"/>
  </sheets>
  <definedNames>
    <definedName name="_xlnm._FilterDatabase" localSheetId="5" hidden="1">'5.21出货明细'!$A$3:$CJ$64</definedName>
    <definedName name="_xlnm._FilterDatabase" localSheetId="6" hidden="1">商品汇总表!$A$1:$B$937</definedName>
    <definedName name="AA">#REF!</definedName>
    <definedName name="JD">#REF!</definedName>
    <definedName name="一般贸易">#REF!</definedName>
    <definedName name="AccessDatabase" hidden="1">"C:\My Documents\Dekalb Seed.mdb"</definedName>
    <definedName name="addresses">#REF!</definedName>
    <definedName name="_xlnm.Print_Area" localSheetId="2">实业合同!#REF!</definedName>
    <definedName name="_xlnm.Print_Area" localSheetId="4">装箱单!#REF!</definedName>
    <definedName name="_xlnm.Print_Area" localSheetId="3">实业发票!$B$140:$H$185</definedName>
    <definedName name="_xlnm.Print_Area" localSheetId="5">'5.21出货明细'!$Z$3:$AA$3</definedName>
    <definedName name="AA" localSheetId="6">#REF!</definedName>
    <definedName name="一般贸易" localSheetId="6">#REF!</definedName>
    <definedName name="AA" localSheetId="7">#REF!</definedName>
    <definedName name="一般贸易" localSheetId="7">#REF!</definedName>
    <definedName name="_xlnm.Print_Area" localSheetId="7">发票!$A$1:$M$61</definedName>
    <definedName name="AA" localSheetId="8">#REF!</definedName>
    <definedName name="一般贸易" localSheetId="8">#REF!</definedName>
    <definedName name="AA" localSheetId="9">#REF!</definedName>
    <definedName name="一般贸易" localSheetId="9">#REF!</definedName>
    <definedName name="AA" localSheetId="10">#REF!</definedName>
    <definedName name="一般贸易" localSheetId="10">#REF!</definedName>
    <definedName name="AA" localSheetId="11">#REF!</definedName>
    <definedName name="一般贸易" localSheetId="11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5D0EC1691DF4FA0BE100C60099A33E1" descr="upload_post_object_v2_839985719"/>
        <xdr:cNvPicPr/>
      </xdr:nvPicPr>
      <xdr:blipFill>
        <a:blip r:embed="rId1"/>
        <a:stretch>
          <a:fillRect/>
        </a:stretch>
      </xdr:blipFill>
      <xdr:spPr>
        <a:xfrm>
          <a:off x="0" y="0"/>
          <a:ext cx="969645" cy="501015"/>
        </a:xfrm>
        <a:prstGeom prst="rect">
          <a:avLst/>
        </a:prstGeom>
      </xdr:spPr>
    </xdr:pic>
  </etc:cellImage>
  <etc:cellImage>
    <xdr:pic>
      <xdr:nvPicPr>
        <xdr:cNvPr id="3" name="ID_6221FBB40A8A411C92763FEB996B3232" descr="upload_post_object_v2_3125243160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97230"/>
        </a:xfrm>
        <a:prstGeom prst="rect">
          <a:avLst/>
        </a:prstGeom>
      </xdr:spPr>
    </xdr:pic>
  </etc:cellImage>
  <etc:cellImage>
    <xdr:pic>
      <xdr:nvPicPr>
        <xdr:cNvPr id="4" name="ID_96095377A56F4FCEBD1F0EF90C7B4686" descr="upload_post_object_v2_68554178"/>
        <xdr:cNvPicPr/>
      </xdr:nvPicPr>
      <xdr:blipFill>
        <a:blip r:embed="rId3"/>
        <a:stretch>
          <a:fillRect/>
        </a:stretch>
      </xdr:blipFill>
      <xdr:spPr>
        <a:xfrm>
          <a:off x="0" y="0"/>
          <a:ext cx="1405890" cy="603885"/>
        </a:xfrm>
        <a:prstGeom prst="rect">
          <a:avLst/>
        </a:prstGeom>
      </xdr:spPr>
    </xdr:pic>
  </etc:cellImage>
  <etc:cellImage>
    <xdr:pic>
      <xdr:nvPicPr>
        <xdr:cNvPr id="5" name="ID_09B3A027E2A44B6786572F8080722F72" descr="upload_post_object_v2_4161907161"/>
        <xdr:cNvPicPr/>
      </xdr:nvPicPr>
      <xdr:blipFill>
        <a:blip r:embed="rId4"/>
        <a:stretch>
          <a:fillRect/>
        </a:stretch>
      </xdr:blipFill>
      <xdr:spPr>
        <a:xfrm>
          <a:off x="0" y="0"/>
          <a:ext cx="1169670" cy="613410"/>
        </a:xfrm>
        <a:prstGeom prst="rect">
          <a:avLst/>
        </a:prstGeom>
      </xdr:spPr>
    </xdr:pic>
  </etc:cellImage>
  <etc:cellImage>
    <xdr:pic>
      <xdr:nvPicPr>
        <xdr:cNvPr id="6" name="ID_55CB2B5C5889474FB19813786216F6D3" descr="upload_post_object_v2_1366154576"/>
        <xdr:cNvPicPr/>
      </xdr:nvPicPr>
      <xdr:blipFill>
        <a:blip r:embed="rId5"/>
        <a:stretch>
          <a:fillRect/>
        </a:stretch>
      </xdr:blipFill>
      <xdr:spPr>
        <a:xfrm>
          <a:off x="0" y="0"/>
          <a:ext cx="1415415" cy="632460"/>
        </a:xfrm>
        <a:prstGeom prst="rect">
          <a:avLst/>
        </a:prstGeom>
      </xdr:spPr>
    </xdr:pic>
  </etc:cellImage>
  <etc:cellImage>
    <xdr:pic>
      <xdr:nvPicPr>
        <xdr:cNvPr id="7" name="ID_593E4C1D07914CDF9D0E86D2C88B1374" descr="upload_post_object_v2_954995866"/>
        <xdr:cNvPicPr/>
      </xdr:nvPicPr>
      <xdr:blipFill>
        <a:blip r:embed="rId6"/>
        <a:stretch>
          <a:fillRect/>
        </a:stretch>
      </xdr:blipFill>
      <xdr:spPr>
        <a:xfrm>
          <a:off x="0" y="0"/>
          <a:ext cx="702945" cy="885825"/>
        </a:xfrm>
        <a:prstGeom prst="rect">
          <a:avLst/>
        </a:prstGeom>
      </xdr:spPr>
    </xdr:pic>
  </etc:cellImage>
  <etc:cellImage>
    <xdr:pic>
      <xdr:nvPicPr>
        <xdr:cNvPr id="8" name="ID_3982F93171A443AD9F1093B9FD190D97" descr="upload_post_object_v2_970991502"/>
        <xdr:cNvPicPr/>
      </xdr:nvPicPr>
      <xdr:blipFill>
        <a:blip r:embed="rId7"/>
        <a:stretch>
          <a:fillRect/>
        </a:stretch>
      </xdr:blipFill>
      <xdr:spPr>
        <a:xfrm>
          <a:off x="0" y="0"/>
          <a:ext cx="609600" cy="754380"/>
        </a:xfrm>
        <a:prstGeom prst="rect">
          <a:avLst/>
        </a:prstGeom>
      </xdr:spPr>
    </xdr:pic>
  </etc:cellImage>
  <etc:cellImage>
    <xdr:pic>
      <xdr:nvPicPr>
        <xdr:cNvPr id="9" name="ID_5F63F569D620457EAA3A95A29CC6D5A4" descr="upload_post_object_v2_627171398"/>
        <xdr:cNvPicPr/>
      </xdr:nvPicPr>
      <xdr:blipFill>
        <a:blip r:embed="rId8"/>
        <a:stretch>
          <a:fillRect/>
        </a:stretch>
      </xdr:blipFill>
      <xdr:spPr>
        <a:xfrm>
          <a:off x="0" y="0"/>
          <a:ext cx="542925" cy="687705"/>
        </a:xfrm>
        <a:prstGeom prst="rect">
          <a:avLst/>
        </a:prstGeom>
      </xdr:spPr>
    </xdr:pic>
  </etc:cellImage>
  <etc:cellImage>
    <xdr:pic>
      <xdr:nvPicPr>
        <xdr:cNvPr id="10" name="ID_B34853663D6B449AAA22C05D4496A3D0" descr="upload_post_object_v2_3861081560"/>
        <xdr:cNvPicPr/>
      </xdr:nvPicPr>
      <xdr:blipFill>
        <a:blip r:embed="rId9"/>
        <a:stretch>
          <a:fillRect/>
        </a:stretch>
      </xdr:blipFill>
      <xdr:spPr>
        <a:xfrm>
          <a:off x="0" y="0"/>
          <a:ext cx="514350" cy="697230"/>
        </a:xfrm>
        <a:prstGeom prst="rect">
          <a:avLst/>
        </a:prstGeom>
      </xdr:spPr>
    </xdr:pic>
  </etc:cellImage>
  <etc:cellImage>
    <xdr:pic>
      <xdr:nvPicPr>
        <xdr:cNvPr id="11" name="ID_C6BAE46059524DFF8AD3607C7667A2D2" descr="upload_post_object_v2_65201997"/>
        <xdr:cNvPicPr/>
      </xdr:nvPicPr>
      <xdr:blipFill>
        <a:blip r:embed="rId10"/>
        <a:stretch>
          <a:fillRect/>
        </a:stretch>
      </xdr:blipFill>
      <xdr:spPr>
        <a:xfrm>
          <a:off x="0" y="0"/>
          <a:ext cx="428625" cy="556260"/>
        </a:xfrm>
        <a:prstGeom prst="rect">
          <a:avLst/>
        </a:prstGeom>
      </xdr:spPr>
    </xdr:pic>
  </etc:cellImage>
  <etc:cellImage>
    <xdr:pic>
      <xdr:nvPicPr>
        <xdr:cNvPr id="12" name="ID_C5723062E65146AD80D13B10C3E10D18" descr="upload_post_object_v2_2719359820"/>
        <xdr:cNvPicPr/>
      </xdr:nvPicPr>
      <xdr:blipFill>
        <a:blip r:embed="rId11"/>
        <a:stretch>
          <a:fillRect/>
        </a:stretch>
      </xdr:blipFill>
      <xdr:spPr>
        <a:xfrm>
          <a:off x="0" y="0"/>
          <a:ext cx="760095" cy="670560"/>
        </a:xfrm>
        <a:prstGeom prst="rect">
          <a:avLst/>
        </a:prstGeom>
      </xdr:spPr>
    </xdr:pic>
  </etc:cellImage>
  <etc:cellImage>
    <xdr:pic>
      <xdr:nvPicPr>
        <xdr:cNvPr id="13" name="ID_EEEC72A780B14C8C999784263588F420" descr="upload_post_object_v2_727194914"/>
        <xdr:cNvPicPr/>
      </xdr:nvPicPr>
      <xdr:blipFill>
        <a:blip r:embed="rId12"/>
        <a:stretch>
          <a:fillRect/>
        </a:stretch>
      </xdr:blipFill>
      <xdr:spPr>
        <a:xfrm>
          <a:off x="0" y="0"/>
          <a:ext cx="702945" cy="603885"/>
        </a:xfrm>
        <a:prstGeom prst="rect">
          <a:avLst/>
        </a:prstGeom>
      </xdr:spPr>
    </xdr:pic>
  </etc:cellImage>
  <etc:cellImage>
    <xdr:pic>
      <xdr:nvPicPr>
        <xdr:cNvPr id="14" name="ID_00F3664A923C4471BE2BF9930393E123" descr="upload_post_object_v2_4096786041"/>
        <xdr:cNvPicPr/>
      </xdr:nvPicPr>
      <xdr:blipFill>
        <a:blip r:embed="rId13"/>
        <a:stretch>
          <a:fillRect/>
        </a:stretch>
      </xdr:blipFill>
      <xdr:spPr>
        <a:xfrm>
          <a:off x="0" y="0"/>
          <a:ext cx="514350" cy="670560"/>
        </a:xfrm>
        <a:prstGeom prst="rect">
          <a:avLst/>
        </a:prstGeom>
      </xdr:spPr>
    </xdr:pic>
  </etc:cellImage>
  <etc:cellImage>
    <xdr:pic>
      <xdr:nvPicPr>
        <xdr:cNvPr id="15" name="ID_339C8DED368940F593EF2947CE378DB7" descr="upload_post_object_v2_683960413"/>
        <xdr:cNvPicPr/>
      </xdr:nvPicPr>
      <xdr:blipFill>
        <a:blip r:embed="rId14"/>
        <a:stretch>
          <a:fillRect/>
        </a:stretch>
      </xdr:blipFill>
      <xdr:spPr>
        <a:xfrm>
          <a:off x="0" y="0"/>
          <a:ext cx="514350" cy="510540"/>
        </a:xfrm>
        <a:prstGeom prst="rect">
          <a:avLst/>
        </a:prstGeom>
      </xdr:spPr>
    </xdr:pic>
  </etc:cellImage>
  <etc:cellImage>
    <xdr:pic>
      <xdr:nvPicPr>
        <xdr:cNvPr id="16" name="ID_6AFDB99BEE61497AB18F18858D77D990" descr="upload_post_object_v2_2643080422"/>
        <xdr:cNvPicPr/>
      </xdr:nvPicPr>
      <xdr:blipFill>
        <a:blip r:embed="rId15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</etc:cellImage>
  <etc:cellImage>
    <xdr:pic>
      <xdr:nvPicPr>
        <xdr:cNvPr id="17" name="ID_C803BFC4BA3B48469984F9D6B8C37B6C" descr="upload_post_object_v2_3864654620"/>
        <xdr:cNvPicPr/>
      </xdr:nvPicPr>
      <xdr:blipFill>
        <a:blip r:embed="rId16"/>
        <a:stretch>
          <a:fillRect/>
        </a:stretch>
      </xdr:blipFill>
      <xdr:spPr>
        <a:xfrm>
          <a:off x="0" y="0"/>
          <a:ext cx="609600" cy="603885"/>
        </a:xfrm>
        <a:prstGeom prst="rect">
          <a:avLst/>
        </a:prstGeom>
      </xdr:spPr>
    </xdr:pic>
  </etc:cellImage>
  <etc:cellImage>
    <xdr:pic>
      <xdr:nvPicPr>
        <xdr:cNvPr id="18" name="ID_EDF74E57CA434C08ADE70C62837ACF64" descr="upload_post_object_v2_488524034"/>
        <xdr:cNvPicPr/>
      </xdr:nvPicPr>
      <xdr:blipFill>
        <a:blip r:embed="rId17"/>
        <a:stretch>
          <a:fillRect/>
        </a:stretch>
      </xdr:blipFill>
      <xdr:spPr>
        <a:xfrm>
          <a:off x="0" y="0"/>
          <a:ext cx="788670" cy="594360"/>
        </a:xfrm>
        <a:prstGeom prst="rect">
          <a:avLst/>
        </a:prstGeom>
      </xdr:spPr>
    </xdr:pic>
  </etc:cellImage>
  <etc:cellImage>
    <xdr:pic>
      <xdr:nvPicPr>
        <xdr:cNvPr id="19" name="ID_A326523BB5FC4D028D040F6B3AAC32C5" descr="upload_post_object_v2_2854992253"/>
        <xdr:cNvPicPr/>
      </xdr:nvPicPr>
      <xdr:blipFill>
        <a:blip r:embed="rId18"/>
        <a:stretch>
          <a:fillRect/>
        </a:stretch>
      </xdr:blipFill>
      <xdr:spPr>
        <a:xfrm>
          <a:off x="0" y="0"/>
          <a:ext cx="702945" cy="584835"/>
        </a:xfrm>
        <a:prstGeom prst="rect">
          <a:avLst/>
        </a:prstGeom>
      </xdr:spPr>
    </xdr:pic>
  </etc:cellImage>
  <etc:cellImage>
    <xdr:pic>
      <xdr:nvPicPr>
        <xdr:cNvPr id="20" name="ID_B9138EC3B2594ECBB2229B716F153796" descr="upload_post_object_v2_2337084835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1" name="ID_FD172ADB04564173855CB82352FA6728" descr="upload_post_object_v2_2230543895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2" name="ID_EF78C0C89756496FA31FEB48018A8DC9" descr="upload_post_object_v2_4145323957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3" name="ID_7F4D20E100CB470F8F80E44FEEA2F093" descr="upload_post_object_v2_1407877247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4" name="ID_858E582760AF44B19A6976C0BF092C04" descr="upload_post_object_v2_2468025227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5" name="ID_755C4592F1F54F97BBD462A036275C65" descr="upload_post_object_v2_1514665651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6" name="ID_CECB130E286147FB830DD31C73F3E877" descr="upload_post_object_v2_714526540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7" name="ID_30C274C15F2E408DB8C16AC02A008074" descr="upload_post_object_v2_3149972643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</etc:cellImage>
  <etc:cellImage>
    <xdr:pic>
      <xdr:nvPicPr>
        <xdr:cNvPr id="28" name="ID_4B058EC948C9401DA5938EEDABBF8860" descr="upload_post_object_v2_1684732468"/>
        <xdr:cNvPicPr/>
      </xdr:nvPicPr>
      <xdr:blipFill>
        <a:blip r:embed="rId20"/>
        <a:stretch>
          <a:fillRect/>
        </a:stretch>
      </xdr:blipFill>
      <xdr:spPr>
        <a:xfrm>
          <a:off x="0" y="0"/>
          <a:ext cx="1236345" cy="491490"/>
        </a:xfrm>
        <a:prstGeom prst="rect">
          <a:avLst/>
        </a:prstGeom>
      </xdr:spPr>
    </xdr:pic>
  </etc:cellImage>
  <etc:cellImage>
    <xdr:pic>
      <xdr:nvPicPr>
        <xdr:cNvPr id="29" name="ID_EE4405AD48334095951090315A361461" descr="upload_post_object_v2_130657178"/>
        <xdr:cNvPicPr/>
      </xdr:nvPicPr>
      <xdr:blipFill>
        <a:blip r:embed="rId21"/>
        <a:stretch>
          <a:fillRect/>
        </a:stretch>
      </xdr:blipFill>
      <xdr:spPr>
        <a:xfrm>
          <a:off x="0" y="0"/>
          <a:ext cx="702945" cy="622935"/>
        </a:xfrm>
        <a:prstGeom prst="rect">
          <a:avLst/>
        </a:prstGeom>
      </xdr:spPr>
    </xdr:pic>
  </etc:cellImage>
  <etc:cellImage>
    <xdr:pic>
      <xdr:nvPicPr>
        <xdr:cNvPr id="30" name="ID_4DA2646B0AC34E3E897B537025FEB2AB" descr="upload_post_object_v2_3764261437"/>
        <xdr:cNvPicPr/>
      </xdr:nvPicPr>
      <xdr:blipFill>
        <a:blip r:embed="rId22"/>
        <a:stretch>
          <a:fillRect/>
        </a:stretch>
      </xdr:blipFill>
      <xdr:spPr>
        <a:xfrm>
          <a:off x="0" y="0"/>
          <a:ext cx="760095" cy="622935"/>
        </a:xfrm>
        <a:prstGeom prst="rect">
          <a:avLst/>
        </a:prstGeom>
      </xdr:spPr>
    </xdr:pic>
  </etc:cellImage>
  <etc:cellImage>
    <xdr:pic>
      <xdr:nvPicPr>
        <xdr:cNvPr id="31" name="ID_22FD1CCC2F384FECB3045641AD60FEA0" descr="upload_post_object_v2_4115643455"/>
        <xdr:cNvPicPr/>
      </xdr:nvPicPr>
      <xdr:blipFill>
        <a:blip r:embed="rId22"/>
        <a:stretch>
          <a:fillRect/>
        </a:stretch>
      </xdr:blipFill>
      <xdr:spPr>
        <a:xfrm>
          <a:off x="0" y="0"/>
          <a:ext cx="760095" cy="622935"/>
        </a:xfrm>
        <a:prstGeom prst="rect">
          <a:avLst/>
        </a:prstGeom>
      </xdr:spPr>
    </xdr:pic>
  </etc:cellImage>
  <etc:cellImage>
    <xdr:pic>
      <xdr:nvPicPr>
        <xdr:cNvPr id="32" name="ID_F4C186DA0FA2496BA30CFDC8ECA4978F" descr="upload_post_object_v2_2627958943"/>
        <xdr:cNvPicPr/>
      </xdr:nvPicPr>
      <xdr:blipFill>
        <a:blip r:embed="rId22"/>
        <a:stretch>
          <a:fillRect/>
        </a:stretch>
      </xdr:blipFill>
      <xdr:spPr>
        <a:xfrm>
          <a:off x="0" y="0"/>
          <a:ext cx="760095" cy="622935"/>
        </a:xfrm>
        <a:prstGeom prst="rect">
          <a:avLst/>
        </a:prstGeom>
      </xdr:spPr>
    </xdr:pic>
  </etc:cellImage>
  <etc:cellImage>
    <xdr:pic>
      <xdr:nvPicPr>
        <xdr:cNvPr id="33" name="ID_E616AED064BE4772BC5817E7E120AC57" descr="upload_post_object_v2_2187852795"/>
        <xdr:cNvPicPr/>
      </xdr:nvPicPr>
      <xdr:blipFill>
        <a:blip r:embed="rId23"/>
        <a:stretch>
          <a:fillRect/>
        </a:stretch>
      </xdr:blipFill>
      <xdr:spPr>
        <a:xfrm>
          <a:off x="0" y="0"/>
          <a:ext cx="760095" cy="651510"/>
        </a:xfrm>
        <a:prstGeom prst="rect">
          <a:avLst/>
        </a:prstGeom>
      </xdr:spPr>
    </xdr:pic>
  </etc:cellImage>
  <etc:cellImage>
    <xdr:pic>
      <xdr:nvPicPr>
        <xdr:cNvPr id="34" name="ID_22786F9CB77A41CD8B9CEE5512AF711C" descr="upload_post_object_v2_655442155"/>
        <xdr:cNvPicPr/>
      </xdr:nvPicPr>
      <xdr:blipFill>
        <a:blip r:embed="rId24"/>
        <a:stretch>
          <a:fillRect/>
        </a:stretch>
      </xdr:blipFill>
      <xdr:spPr>
        <a:xfrm>
          <a:off x="0" y="0"/>
          <a:ext cx="381000" cy="651510"/>
        </a:xfrm>
        <a:prstGeom prst="rect">
          <a:avLst/>
        </a:prstGeom>
      </xdr:spPr>
    </xdr:pic>
  </etc:cellImage>
  <etc:cellImage>
    <xdr:pic>
      <xdr:nvPicPr>
        <xdr:cNvPr id="35" name="ID_0AAA99AD76FD4E76BA31DC576F072101" descr="upload_post_object_v2_3896041237"/>
        <xdr:cNvPicPr/>
      </xdr:nvPicPr>
      <xdr:blipFill>
        <a:blip r:embed="rId25"/>
        <a:stretch>
          <a:fillRect/>
        </a:stretch>
      </xdr:blipFill>
      <xdr:spPr>
        <a:xfrm>
          <a:off x="0" y="0"/>
          <a:ext cx="1036320" cy="415290"/>
        </a:xfrm>
        <a:prstGeom prst="rect">
          <a:avLst/>
        </a:prstGeom>
      </xdr:spPr>
    </xdr:pic>
  </etc:cellImage>
  <etc:cellImage>
    <xdr:pic>
      <xdr:nvPicPr>
        <xdr:cNvPr id="36" name="ID_59A496CB9F6E446AB14B94AD6756DC8B" descr="upload_post_object_v2_3131118226"/>
        <xdr:cNvPicPr/>
      </xdr:nvPicPr>
      <xdr:blipFill>
        <a:blip r:embed="rId26"/>
        <a:stretch>
          <a:fillRect/>
        </a:stretch>
      </xdr:blipFill>
      <xdr:spPr>
        <a:xfrm>
          <a:off x="0" y="0"/>
          <a:ext cx="571500" cy="876300"/>
        </a:xfrm>
        <a:prstGeom prst="rect">
          <a:avLst/>
        </a:prstGeom>
      </xdr:spPr>
    </xdr:pic>
  </etc:cellImage>
  <etc:cellImage>
    <xdr:pic>
      <xdr:nvPicPr>
        <xdr:cNvPr id="37" name="ID_DB216805AF6249B7973007540C3F7CB2" descr="upload_post_object_v2_3446474350"/>
        <xdr:cNvPicPr/>
      </xdr:nvPicPr>
      <xdr:blipFill>
        <a:blip r:embed="rId27"/>
        <a:stretch>
          <a:fillRect/>
        </a:stretch>
      </xdr:blipFill>
      <xdr:spPr>
        <a:xfrm>
          <a:off x="0" y="0"/>
          <a:ext cx="581025" cy="802005"/>
        </a:xfrm>
        <a:prstGeom prst="rect">
          <a:avLst/>
        </a:prstGeom>
      </xdr:spPr>
    </xdr:pic>
  </etc:cellImage>
  <etc:cellImage>
    <xdr:pic>
      <xdr:nvPicPr>
        <xdr:cNvPr id="38" name="ID_70AF7963477B475ABB38EE5A44E70BC4" descr="upload_post_object_v2_2660320969"/>
        <xdr:cNvPicPr/>
      </xdr:nvPicPr>
      <xdr:blipFill>
        <a:blip r:embed="rId28"/>
        <a:stretch>
          <a:fillRect/>
        </a:stretch>
      </xdr:blipFill>
      <xdr:spPr>
        <a:xfrm>
          <a:off x="0" y="0"/>
          <a:ext cx="514350" cy="859155"/>
        </a:xfrm>
        <a:prstGeom prst="rect">
          <a:avLst/>
        </a:prstGeom>
      </xdr:spPr>
    </xdr:pic>
  </etc:cellImage>
  <etc:cellImage>
    <xdr:pic>
      <xdr:nvPicPr>
        <xdr:cNvPr id="39" name="ID_051B6E1AEF0A46A9A380794E6E9FEB84" descr="upload_post_object_v2_2719184814"/>
        <xdr:cNvPicPr/>
      </xdr:nvPicPr>
      <xdr:blipFill>
        <a:blip r:embed="rId29"/>
        <a:stretch>
          <a:fillRect/>
        </a:stretch>
      </xdr:blipFill>
      <xdr:spPr>
        <a:xfrm>
          <a:off x="0" y="0"/>
          <a:ext cx="609600" cy="689610"/>
        </a:xfrm>
        <a:prstGeom prst="rect">
          <a:avLst/>
        </a:prstGeom>
      </xdr:spPr>
    </xdr:pic>
  </etc:cellImage>
  <etc:cellImage>
    <xdr:pic>
      <xdr:nvPicPr>
        <xdr:cNvPr id="40" name="ID_0360A12D53354975B7F1A858D1DE250E" descr="upload_post_object_v2_2621070631"/>
        <xdr:cNvPicPr/>
      </xdr:nvPicPr>
      <xdr:blipFill>
        <a:blip r:embed="rId30"/>
        <a:stretch>
          <a:fillRect/>
        </a:stretch>
      </xdr:blipFill>
      <xdr:spPr>
        <a:xfrm>
          <a:off x="0" y="0"/>
          <a:ext cx="457200" cy="782955"/>
        </a:xfrm>
        <a:prstGeom prst="rect">
          <a:avLst/>
        </a:prstGeom>
      </xdr:spPr>
    </xdr:pic>
  </etc:cellImage>
  <etc:cellImage>
    <xdr:pic>
      <xdr:nvPicPr>
        <xdr:cNvPr id="41" name="ID_01002F9EDBD94735BC0B18E74046BD4F" descr="upload_post_object_v2_3902194096"/>
        <xdr:cNvPicPr/>
      </xdr:nvPicPr>
      <xdr:blipFill>
        <a:blip r:embed="rId31"/>
        <a:stretch>
          <a:fillRect/>
        </a:stretch>
      </xdr:blipFill>
      <xdr:spPr>
        <a:xfrm>
          <a:off x="0" y="0"/>
          <a:ext cx="702945" cy="857250"/>
        </a:xfrm>
        <a:prstGeom prst="rect">
          <a:avLst/>
        </a:prstGeom>
      </xdr:spPr>
    </xdr:pic>
  </etc:cellImage>
  <etc:cellImage>
    <xdr:pic>
      <xdr:nvPicPr>
        <xdr:cNvPr id="42" name="ID_49E9557D68E64CD9938DD0D132E331F1" descr="upload_post_object_v2_734175397"/>
        <xdr:cNvPicPr/>
      </xdr:nvPicPr>
      <xdr:blipFill>
        <a:blip r:embed="rId32"/>
        <a:stretch>
          <a:fillRect/>
        </a:stretch>
      </xdr:blipFill>
      <xdr:spPr>
        <a:xfrm>
          <a:off x="0" y="0"/>
          <a:ext cx="400050" cy="849630"/>
        </a:xfrm>
        <a:prstGeom prst="rect">
          <a:avLst/>
        </a:prstGeom>
      </xdr:spPr>
    </xdr:pic>
  </etc:cellImage>
  <etc:cellImage>
    <xdr:pic>
      <xdr:nvPicPr>
        <xdr:cNvPr id="43" name="ID_15104C8251634BA2B975D156BB595F38" descr="upload_post_object_v2_1284603886"/>
        <xdr:cNvPicPr/>
      </xdr:nvPicPr>
      <xdr:blipFill>
        <a:blip r:embed="rId33"/>
        <a:stretch>
          <a:fillRect/>
        </a:stretch>
      </xdr:blipFill>
      <xdr:spPr>
        <a:xfrm>
          <a:off x="0" y="0"/>
          <a:ext cx="874395" cy="782955"/>
        </a:xfrm>
        <a:prstGeom prst="rect">
          <a:avLst/>
        </a:prstGeom>
      </xdr:spPr>
    </xdr:pic>
  </etc:cellImage>
  <etc:cellImage>
    <xdr:pic>
      <xdr:nvPicPr>
        <xdr:cNvPr id="44" name="ID_C62156A2F0B547489C522BEFDE49A901" descr="upload_post_object_v2_3866892719"/>
        <xdr:cNvPicPr/>
      </xdr:nvPicPr>
      <xdr:blipFill>
        <a:blip r:embed="rId34"/>
        <a:stretch>
          <a:fillRect/>
        </a:stretch>
      </xdr:blipFill>
      <xdr:spPr>
        <a:xfrm>
          <a:off x="0" y="0"/>
          <a:ext cx="731520" cy="802005"/>
        </a:xfrm>
        <a:prstGeom prst="rect">
          <a:avLst/>
        </a:prstGeom>
      </xdr:spPr>
    </xdr:pic>
  </etc:cellImage>
  <etc:cellImage>
    <xdr:pic>
      <xdr:nvPicPr>
        <xdr:cNvPr id="45" name="ID_45786DA52BE847A7A66E2EC76A87B381" descr="upload_post_object_v2_1933459642"/>
        <xdr:cNvPicPr/>
      </xdr:nvPicPr>
      <xdr:blipFill>
        <a:blip r:embed="rId35"/>
        <a:stretch>
          <a:fillRect/>
        </a:stretch>
      </xdr:blipFill>
      <xdr:spPr>
        <a:xfrm>
          <a:off x="0" y="0"/>
          <a:ext cx="702945" cy="866775"/>
        </a:xfrm>
        <a:prstGeom prst="rect">
          <a:avLst/>
        </a:prstGeom>
      </xdr:spPr>
    </xdr:pic>
  </etc:cellImage>
  <etc:cellImage>
    <xdr:pic>
      <xdr:nvPicPr>
        <xdr:cNvPr id="46" name="ID_4A9331B2D6CC4D1EB65B82DA956224B3" descr="upload_post_object_v2_2423555044"/>
        <xdr:cNvPicPr/>
      </xdr:nvPicPr>
      <xdr:blipFill>
        <a:blip r:embed="rId36"/>
        <a:stretch>
          <a:fillRect/>
        </a:stretch>
      </xdr:blipFill>
      <xdr:spPr>
        <a:xfrm>
          <a:off x="0" y="0"/>
          <a:ext cx="304800" cy="923925"/>
        </a:xfrm>
        <a:prstGeom prst="rect">
          <a:avLst/>
        </a:prstGeom>
      </xdr:spPr>
    </xdr:pic>
  </etc:cellImage>
  <etc:cellImage>
    <xdr:pic>
      <xdr:nvPicPr>
        <xdr:cNvPr id="47" name="ID_C06BBCE6CE39441A89AB0B677FF57B25" descr="upload_post_object_v2_1622959601"/>
        <xdr:cNvPicPr/>
      </xdr:nvPicPr>
      <xdr:blipFill>
        <a:blip r:embed="rId37"/>
        <a:stretch>
          <a:fillRect/>
        </a:stretch>
      </xdr:blipFill>
      <xdr:spPr>
        <a:xfrm>
          <a:off x="0" y="0"/>
          <a:ext cx="476250" cy="885825"/>
        </a:xfrm>
        <a:prstGeom prst="rect">
          <a:avLst/>
        </a:prstGeom>
      </xdr:spPr>
    </xdr:pic>
  </etc:cellImage>
  <etc:cellImage>
    <xdr:pic>
      <xdr:nvPicPr>
        <xdr:cNvPr id="48" name="ID_0AB6290EA5A543ADAB4F802B2AD0C288" descr="upload_post_object_v2_1423456340"/>
        <xdr:cNvPicPr/>
      </xdr:nvPicPr>
      <xdr:blipFill>
        <a:blip r:embed="rId34"/>
        <a:stretch>
          <a:fillRect/>
        </a:stretch>
      </xdr:blipFill>
      <xdr:spPr>
        <a:xfrm>
          <a:off x="0" y="0"/>
          <a:ext cx="731520" cy="802005"/>
        </a:xfrm>
        <a:prstGeom prst="rect">
          <a:avLst/>
        </a:prstGeom>
      </xdr:spPr>
    </xdr:pic>
  </etc:cellImage>
  <etc:cellImage>
    <xdr:pic>
      <xdr:nvPicPr>
        <xdr:cNvPr id="49" name="ID_B8D954928B9D43279068919097DB3F0C" descr="upload_post_object_v2_1065724730"/>
        <xdr:cNvPicPr/>
      </xdr:nvPicPr>
      <xdr:blipFill>
        <a:blip r:embed="rId38"/>
        <a:stretch>
          <a:fillRect/>
        </a:stretch>
      </xdr:blipFill>
      <xdr:spPr>
        <a:xfrm>
          <a:off x="0" y="0"/>
          <a:ext cx="702945" cy="866775"/>
        </a:xfrm>
        <a:prstGeom prst="rect">
          <a:avLst/>
        </a:prstGeom>
      </xdr:spPr>
    </xdr:pic>
  </etc:cellImage>
  <etc:cellImage>
    <xdr:pic>
      <xdr:nvPicPr>
        <xdr:cNvPr id="50" name="ID_4CBE41D8C33D4916B086953AE035FB8E" descr="upload_post_object_v2_3827284360"/>
        <xdr:cNvPicPr/>
      </xdr:nvPicPr>
      <xdr:blipFill>
        <a:blip r:embed="rId39"/>
        <a:stretch>
          <a:fillRect/>
        </a:stretch>
      </xdr:blipFill>
      <xdr:spPr>
        <a:xfrm>
          <a:off x="0" y="0"/>
          <a:ext cx="314325" cy="1019175"/>
        </a:xfrm>
        <a:prstGeom prst="rect">
          <a:avLst/>
        </a:prstGeom>
      </xdr:spPr>
    </xdr:pic>
  </etc:cellImage>
  <etc:cellImage>
    <xdr:pic>
      <xdr:nvPicPr>
        <xdr:cNvPr id="51" name="ID_F37E8DC825084683A71025D8D2350818" descr="upload_post_object_v2_16537882"/>
        <xdr:cNvPicPr/>
      </xdr:nvPicPr>
      <xdr:blipFill>
        <a:blip r:embed="rId40"/>
        <a:stretch>
          <a:fillRect/>
        </a:stretch>
      </xdr:blipFill>
      <xdr:spPr>
        <a:xfrm>
          <a:off x="0" y="0"/>
          <a:ext cx="495300" cy="754380"/>
        </a:xfrm>
        <a:prstGeom prst="rect">
          <a:avLst/>
        </a:prstGeom>
      </xdr:spPr>
    </xdr:pic>
  </etc:cellImage>
  <etc:cellImage>
    <xdr:pic>
      <xdr:nvPicPr>
        <xdr:cNvPr id="52" name="ID_41EC7CA33E0041EAB6B8FDCA6D9D85FA" descr="upload_post_object_v2_2489313957"/>
        <xdr:cNvPicPr/>
      </xdr:nvPicPr>
      <xdr:blipFill>
        <a:blip r:embed="rId41"/>
        <a:stretch>
          <a:fillRect/>
        </a:stretch>
      </xdr:blipFill>
      <xdr:spPr>
        <a:xfrm>
          <a:off x="0" y="0"/>
          <a:ext cx="702945" cy="859155"/>
        </a:xfrm>
        <a:prstGeom prst="rect">
          <a:avLst/>
        </a:prstGeom>
      </xdr:spPr>
    </xdr:pic>
  </etc:cellImage>
  <etc:cellImage>
    <xdr:pic>
      <xdr:nvPicPr>
        <xdr:cNvPr id="53" name="ID_AC69CBFB868543BEA3F59C89C7D4365D" descr="upload_post_object_v2_701745791"/>
        <xdr:cNvPicPr/>
      </xdr:nvPicPr>
      <xdr:blipFill>
        <a:blip r:embed="rId42"/>
        <a:stretch>
          <a:fillRect/>
        </a:stretch>
      </xdr:blipFill>
      <xdr:spPr>
        <a:xfrm>
          <a:off x="0" y="0"/>
          <a:ext cx="600075" cy="782955"/>
        </a:xfrm>
        <a:prstGeom prst="rect">
          <a:avLst/>
        </a:prstGeom>
      </xdr:spPr>
    </xdr:pic>
  </etc:cellImage>
  <etc:cellImage>
    <xdr:pic>
      <xdr:nvPicPr>
        <xdr:cNvPr id="54" name="ID_D79F8EDBDE9C4B9BAFB437569CFB4EFD" descr="upload_post_object_v2_844137475"/>
        <xdr:cNvPicPr/>
      </xdr:nvPicPr>
      <xdr:blipFill>
        <a:blip r:embed="rId43"/>
        <a:stretch>
          <a:fillRect/>
        </a:stretch>
      </xdr:blipFill>
      <xdr:spPr>
        <a:xfrm>
          <a:off x="0" y="0"/>
          <a:ext cx="712470" cy="255270"/>
        </a:xfrm>
        <a:prstGeom prst="rect">
          <a:avLst/>
        </a:prstGeom>
      </xdr:spPr>
    </xdr:pic>
  </etc:cellImage>
  <etc:cellImage>
    <xdr:pic>
      <xdr:nvPicPr>
        <xdr:cNvPr id="55" name="ID_C2634D8F8F61411E87BAF2B76DB96771" descr="upload_post_object_v2_2840894099"/>
        <xdr:cNvPicPr/>
      </xdr:nvPicPr>
      <xdr:blipFill>
        <a:blip r:embed="rId44"/>
        <a:stretch>
          <a:fillRect/>
        </a:stretch>
      </xdr:blipFill>
      <xdr:spPr>
        <a:xfrm>
          <a:off x="0" y="0"/>
          <a:ext cx="561975" cy="632460"/>
        </a:xfrm>
        <a:prstGeom prst="rect">
          <a:avLst/>
        </a:prstGeom>
      </xdr:spPr>
    </xdr:pic>
  </etc:cellImage>
  <etc:cellImage>
    <xdr:pic>
      <xdr:nvPicPr>
        <xdr:cNvPr id="56" name="ID_EA1EF33BF4EB4794B2AC346E151542EA" descr="upload_post_object_v2_562279575"/>
        <xdr:cNvPicPr/>
      </xdr:nvPicPr>
      <xdr:blipFill>
        <a:blip r:embed="rId45"/>
        <a:stretch>
          <a:fillRect/>
        </a:stretch>
      </xdr:blipFill>
      <xdr:spPr>
        <a:xfrm>
          <a:off x="0" y="0"/>
          <a:ext cx="590550" cy="735330"/>
        </a:xfrm>
        <a:prstGeom prst="rect">
          <a:avLst/>
        </a:prstGeom>
      </xdr:spPr>
    </xdr:pic>
  </etc:cellImage>
  <etc:cellImage>
    <xdr:pic>
      <xdr:nvPicPr>
        <xdr:cNvPr id="57" name="ID_EF889CBD9E3349AB9D1A1A7239AD5F0C" descr="upload_post_object_v2_3346385455"/>
        <xdr:cNvPicPr/>
      </xdr:nvPicPr>
      <xdr:blipFill>
        <a:blip r:embed="rId46"/>
        <a:stretch>
          <a:fillRect/>
        </a:stretch>
      </xdr:blipFill>
      <xdr:spPr>
        <a:xfrm>
          <a:off x="0" y="0"/>
          <a:ext cx="702945" cy="876300"/>
        </a:xfrm>
        <a:prstGeom prst="rect">
          <a:avLst/>
        </a:prstGeom>
      </xdr:spPr>
    </xdr:pic>
  </etc:cellImage>
  <etc:cellImage>
    <xdr:pic>
      <xdr:nvPicPr>
        <xdr:cNvPr id="58" name="ID_13763677F97E482497561660B224C9F1" descr="upload_post_object_v2_928566752"/>
        <xdr:cNvPicPr/>
      </xdr:nvPicPr>
      <xdr:blipFill>
        <a:blip r:embed="rId47"/>
        <a:stretch>
          <a:fillRect/>
        </a:stretch>
      </xdr:blipFill>
      <xdr:spPr>
        <a:xfrm>
          <a:off x="0" y="0"/>
          <a:ext cx="4473575" cy="9429750"/>
        </a:xfrm>
        <a:prstGeom prst="rect">
          <a:avLst/>
        </a:prstGeom>
      </xdr:spPr>
    </xdr:pic>
  </etc:cellImage>
  <etc:cellImage>
    <xdr:pic>
      <xdr:nvPicPr>
        <xdr:cNvPr id="59" name="ID_58A6C778F09F4CF28FFD77012AF4563C" descr="upload_post_object_v2_1166084252"/>
        <xdr:cNvPicPr/>
      </xdr:nvPicPr>
      <xdr:blipFill>
        <a:blip r:embed="rId48"/>
        <a:stretch>
          <a:fillRect/>
        </a:stretch>
      </xdr:blipFill>
      <xdr:spPr>
        <a:xfrm>
          <a:off x="0" y="0"/>
          <a:ext cx="702945" cy="716280"/>
        </a:xfrm>
        <a:prstGeom prst="rect">
          <a:avLst/>
        </a:prstGeom>
      </xdr:spPr>
    </xdr:pic>
  </etc:cellImage>
  <etc:cellImage>
    <xdr:pic>
      <xdr:nvPicPr>
        <xdr:cNvPr id="60" name="ID_090D38B749214D34934C3D55C99B9990" descr="upload_post_object_v2_1457292989"/>
        <xdr:cNvPicPr/>
      </xdr:nvPicPr>
      <xdr:blipFill>
        <a:blip r:embed="rId45"/>
        <a:stretch>
          <a:fillRect/>
        </a:stretch>
      </xdr:blipFill>
      <xdr:spPr>
        <a:xfrm>
          <a:off x="0" y="0"/>
          <a:ext cx="590550" cy="735330"/>
        </a:xfrm>
        <a:prstGeom prst="rect">
          <a:avLst/>
        </a:prstGeom>
      </xdr:spPr>
    </xdr:pic>
  </etc:cellImage>
  <etc:cellImage>
    <xdr:pic>
      <xdr:nvPicPr>
        <xdr:cNvPr id="61" name="ID_49DF9B0FE6D74277B82BB4BB85A7D3F1" descr="upload_post_object_v2_1061071710"/>
        <xdr:cNvPicPr/>
      </xdr:nvPicPr>
      <xdr:blipFill>
        <a:blip r:embed="rId49"/>
        <a:stretch>
          <a:fillRect/>
        </a:stretch>
      </xdr:blipFill>
      <xdr:spPr>
        <a:xfrm>
          <a:off x="0" y="0"/>
          <a:ext cx="571500" cy="981075"/>
        </a:xfrm>
        <a:prstGeom prst="rect">
          <a:avLst/>
        </a:prstGeom>
      </xdr:spPr>
    </xdr:pic>
  </etc:cellImage>
  <etc:cellImage>
    <xdr:pic>
      <xdr:nvPicPr>
        <xdr:cNvPr id="62" name="ID_C2B69209EBFD4965B3E3C711E2788A0E" descr="upload_post_object_v2_3684613929"/>
        <xdr:cNvPicPr/>
      </xdr:nvPicPr>
      <xdr:blipFill>
        <a:blip r:embed="rId50"/>
        <a:stretch>
          <a:fillRect/>
        </a:stretch>
      </xdr:blipFill>
      <xdr:spPr>
        <a:xfrm>
          <a:off x="0" y="0"/>
          <a:ext cx="495300" cy="849630"/>
        </a:xfrm>
        <a:prstGeom prst="rect">
          <a:avLst/>
        </a:prstGeom>
      </xdr:spPr>
    </xdr:pic>
  </etc:cellImage>
  <etc:cellImage>
    <xdr:pic>
      <xdr:nvPicPr>
        <xdr:cNvPr id="63" name="ID_374A5C6286D849FC8C2A51E2BEE27B06" descr="upload_post_object_v2_1727246248"/>
        <xdr:cNvPicPr/>
      </xdr:nvPicPr>
      <xdr:blipFill>
        <a:blip r:embed="rId51"/>
        <a:stretch>
          <a:fillRect/>
        </a:stretch>
      </xdr:blipFill>
      <xdr:spPr>
        <a:xfrm>
          <a:off x="0" y="0"/>
          <a:ext cx="552450" cy="904875"/>
        </a:xfrm>
        <a:prstGeom prst="rect">
          <a:avLst/>
        </a:prstGeom>
      </xdr:spPr>
    </xdr:pic>
  </etc:cellImage>
  <etc:cellImage>
    <xdr:pic>
      <xdr:nvPicPr>
        <xdr:cNvPr id="64" name="ID_2C940B6C712846EE9D9722399D75F3E3" descr="upload_post_object_v2_3654016814"/>
        <xdr:cNvPicPr/>
      </xdr:nvPicPr>
      <xdr:blipFill>
        <a:blip r:embed="rId52"/>
        <a:stretch>
          <a:fillRect/>
        </a:stretch>
      </xdr:blipFill>
      <xdr:spPr>
        <a:xfrm>
          <a:off x="0" y="0"/>
          <a:ext cx="476250" cy="811530"/>
        </a:xfrm>
        <a:prstGeom prst="rect">
          <a:avLst/>
        </a:prstGeom>
      </xdr:spPr>
    </xdr:pic>
  </etc:cellImage>
  <etc:cellImage>
    <xdr:pic>
      <xdr:nvPicPr>
        <xdr:cNvPr id="65" name="ID_E183934F328D42C4BBA4184D273E5187" descr="upload_post_object_v2_1207226889"/>
        <xdr:cNvPicPr/>
      </xdr:nvPicPr>
      <xdr:blipFill>
        <a:blip r:embed="rId53"/>
        <a:stretch>
          <a:fillRect/>
        </a:stretch>
      </xdr:blipFill>
      <xdr:spPr>
        <a:xfrm>
          <a:off x="0" y="0"/>
          <a:ext cx="826770" cy="670560"/>
        </a:xfrm>
        <a:prstGeom prst="rect">
          <a:avLst/>
        </a:prstGeom>
      </xdr:spPr>
    </xdr:pic>
  </etc:cellImage>
  <etc:cellImage>
    <xdr:pic>
      <xdr:nvPicPr>
        <xdr:cNvPr id="66" name="ID_4CB492BC88BF46A598DA52DDB61ECECE" descr="upload_post_object_v2_2744143023"/>
        <xdr:cNvPicPr/>
      </xdr:nvPicPr>
      <xdr:blipFill>
        <a:blip r:embed="rId54"/>
        <a:stretch>
          <a:fillRect/>
        </a:stretch>
      </xdr:blipFill>
      <xdr:spPr>
        <a:xfrm>
          <a:off x="0" y="0"/>
          <a:ext cx="571500" cy="773430"/>
        </a:xfrm>
        <a:prstGeom prst="rect">
          <a:avLst/>
        </a:prstGeom>
      </xdr:spPr>
    </xdr:pic>
  </etc:cellImage>
  <etc:cellImage>
    <xdr:pic>
      <xdr:nvPicPr>
        <xdr:cNvPr id="67" name="ID_77D7BE6530F44F25A464A6FB5A23B567" descr="upload_post_object_v2_253326678"/>
        <xdr:cNvPicPr/>
      </xdr:nvPicPr>
      <xdr:blipFill>
        <a:blip r:embed="rId55"/>
        <a:stretch>
          <a:fillRect/>
        </a:stretch>
      </xdr:blipFill>
      <xdr:spPr>
        <a:xfrm>
          <a:off x="0" y="0"/>
          <a:ext cx="552450" cy="697230"/>
        </a:xfrm>
        <a:prstGeom prst="rect">
          <a:avLst/>
        </a:prstGeom>
      </xdr:spPr>
    </xdr:pic>
  </etc:cellImage>
  <etc:cellImage>
    <xdr:pic>
      <xdr:nvPicPr>
        <xdr:cNvPr id="68" name="ID_33E0417AE60D40D49D41751A7CE08978" descr="upload_post_object_v2_3799963756"/>
        <xdr:cNvPicPr/>
      </xdr:nvPicPr>
      <xdr:blipFill>
        <a:blip r:embed="rId56"/>
        <a:stretch>
          <a:fillRect/>
        </a:stretch>
      </xdr:blipFill>
      <xdr:spPr>
        <a:xfrm>
          <a:off x="0" y="0"/>
          <a:ext cx="931545" cy="670560"/>
        </a:xfrm>
        <a:prstGeom prst="rect">
          <a:avLst/>
        </a:prstGeom>
      </xdr:spPr>
    </xdr:pic>
  </etc:cellImage>
  <etc:cellImage>
    <xdr:pic>
      <xdr:nvPicPr>
        <xdr:cNvPr id="69" name="ID_7E10E7B1285243818A9194E3153E566F" descr="upload_post_object_v2_2537518693"/>
        <xdr:cNvPicPr/>
      </xdr:nvPicPr>
      <xdr:blipFill>
        <a:blip r:embed="rId57"/>
        <a:stretch>
          <a:fillRect/>
        </a:stretch>
      </xdr:blipFill>
      <xdr:spPr>
        <a:xfrm>
          <a:off x="0" y="0"/>
          <a:ext cx="419100" cy="885825"/>
        </a:xfrm>
        <a:prstGeom prst="rect">
          <a:avLst/>
        </a:prstGeom>
      </xdr:spPr>
    </xdr:pic>
  </etc:cellImage>
  <etc:cellImage>
    <xdr:pic>
      <xdr:nvPicPr>
        <xdr:cNvPr id="70" name="ID_AE1F4B8007DB4945A8C3CF93ED207D90" descr="upload_post_object_v2_3897691461"/>
        <xdr:cNvPicPr/>
      </xdr:nvPicPr>
      <xdr:blipFill>
        <a:blip r:embed="rId58"/>
        <a:stretch>
          <a:fillRect/>
        </a:stretch>
      </xdr:blipFill>
      <xdr:spPr>
        <a:xfrm>
          <a:off x="0" y="0"/>
          <a:ext cx="779145" cy="895350"/>
        </a:xfrm>
        <a:prstGeom prst="rect">
          <a:avLst/>
        </a:prstGeom>
      </xdr:spPr>
    </xdr:pic>
  </etc:cellImage>
  <etc:cellImage>
    <xdr:pic>
      <xdr:nvPicPr>
        <xdr:cNvPr id="71" name="ID_86BD1D5A72A14D23BE9ED95573A8298B" descr="upload_post_object_v2_2697637483"/>
        <xdr:cNvPicPr/>
      </xdr:nvPicPr>
      <xdr:blipFill>
        <a:blip r:embed="rId59"/>
        <a:stretch>
          <a:fillRect/>
        </a:stretch>
      </xdr:blipFill>
      <xdr:spPr>
        <a:xfrm>
          <a:off x="0" y="0"/>
          <a:ext cx="209550" cy="904875"/>
        </a:xfrm>
        <a:prstGeom prst="rect">
          <a:avLst/>
        </a:prstGeom>
      </xdr:spPr>
    </xdr:pic>
  </etc:cellImage>
  <etc:cellImage>
    <xdr:pic>
      <xdr:nvPicPr>
        <xdr:cNvPr id="72" name="ID_CDD3DD15342E4B568C3FA9E7B3D43EB1" descr="upload_post_object_v2_2663084998"/>
        <xdr:cNvPicPr/>
      </xdr:nvPicPr>
      <xdr:blipFill>
        <a:blip r:embed="rId60"/>
        <a:stretch>
          <a:fillRect/>
        </a:stretch>
      </xdr:blipFill>
      <xdr:spPr>
        <a:xfrm>
          <a:off x="0" y="0"/>
          <a:ext cx="1026795" cy="472440"/>
        </a:xfrm>
        <a:prstGeom prst="rect">
          <a:avLst/>
        </a:prstGeom>
      </xdr:spPr>
    </xdr:pic>
  </etc:cellImage>
  <etc:cellImage>
    <xdr:pic>
      <xdr:nvPicPr>
        <xdr:cNvPr id="73" name="ID_D5D1E62E315B4A91A53BF94C60C07AB1" descr="upload_post_object_v2_4139368811"/>
        <xdr:cNvPicPr/>
      </xdr:nvPicPr>
      <xdr:blipFill>
        <a:blip r:embed="rId61"/>
        <a:stretch>
          <a:fillRect/>
        </a:stretch>
      </xdr:blipFill>
      <xdr:spPr>
        <a:xfrm>
          <a:off x="0" y="0"/>
          <a:ext cx="807720" cy="866775"/>
        </a:xfrm>
        <a:prstGeom prst="rect">
          <a:avLst/>
        </a:prstGeom>
      </xdr:spPr>
    </xdr:pic>
  </etc:cellImage>
  <etc:cellImage>
    <xdr:pic>
      <xdr:nvPicPr>
        <xdr:cNvPr id="74" name="ID_BEFF42A93940417FAECB812A19DC5A95" descr="upload_post_object_v2_556813412"/>
        <xdr:cNvPicPr/>
      </xdr:nvPicPr>
      <xdr:blipFill>
        <a:blip r:embed="rId62"/>
        <a:stretch>
          <a:fillRect/>
        </a:stretch>
      </xdr:blipFill>
      <xdr:spPr>
        <a:xfrm>
          <a:off x="0" y="0"/>
          <a:ext cx="874395" cy="415290"/>
        </a:xfrm>
        <a:prstGeom prst="rect">
          <a:avLst/>
        </a:prstGeom>
      </xdr:spPr>
    </xdr:pic>
  </etc:cellImage>
  <etc:cellImage>
    <xdr:pic>
      <xdr:nvPicPr>
        <xdr:cNvPr id="75" name="ID_2877118BCFE447F3B0AD39085F017B64" descr="upload_post_object_v2_2045517969"/>
        <xdr:cNvPicPr/>
      </xdr:nvPicPr>
      <xdr:blipFill>
        <a:blip r:embed="rId63"/>
        <a:stretch>
          <a:fillRect/>
        </a:stretch>
      </xdr:blipFill>
      <xdr:spPr>
        <a:xfrm>
          <a:off x="0" y="0"/>
          <a:ext cx="702945" cy="613410"/>
        </a:xfrm>
        <a:prstGeom prst="rect">
          <a:avLst/>
        </a:prstGeom>
      </xdr:spPr>
    </xdr:pic>
  </etc:cellImage>
  <etc:cellImage>
    <xdr:pic>
      <xdr:nvPicPr>
        <xdr:cNvPr id="76" name="ID_EAEDE2C3012141B38950447429992C7A" descr="upload_post_object_v2_2378108751"/>
        <xdr:cNvPicPr/>
      </xdr:nvPicPr>
      <xdr:blipFill>
        <a:blip r:embed="rId64"/>
        <a:stretch>
          <a:fillRect/>
        </a:stretch>
      </xdr:blipFill>
      <xdr:spPr>
        <a:xfrm>
          <a:off x="0" y="0"/>
          <a:ext cx="721995" cy="811530"/>
        </a:xfrm>
        <a:prstGeom prst="rect">
          <a:avLst/>
        </a:prstGeom>
      </xdr:spPr>
    </xdr:pic>
  </etc:cellImage>
  <etc:cellImage>
    <xdr:pic>
      <xdr:nvPicPr>
        <xdr:cNvPr id="77" name="ID_07390C740FDE463A95248D33D8BEC7BF" descr="upload_post_object_v2_1121420756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</etc:cellImage>
  <etc:cellImage>
    <xdr:pic>
      <xdr:nvPicPr>
        <xdr:cNvPr id="78" name="ID_545B55EB4739413CBCE95A50B43E9426" descr="upload_post_object_v2_3054733313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</etc:cellImage>
  <etc:cellImage>
    <xdr:pic>
      <xdr:nvPicPr>
        <xdr:cNvPr id="79" name="ID_87AB0650D7AD4121A0D4FC069848C702" descr="upload_post_object_v2_1911232447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</etc:cellImage>
  <etc:cellImage>
    <xdr:pic>
      <xdr:nvPicPr>
        <xdr:cNvPr id="80" name="ID_3D1A90DC11CE40028464CB1859AA8A33" descr="upload_post_object_v2_3087724107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</etc:cellImage>
  <etc:cellImage>
    <xdr:pic>
      <xdr:nvPicPr>
        <xdr:cNvPr id="81" name="ID_1FC57BC6FCA7402E943124C07F4F4B15" descr="upload_post_object_v2_1392367648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</etc:cellImage>
  <etc:cellImage>
    <xdr:pic>
      <xdr:nvPicPr>
        <xdr:cNvPr id="82" name="ID_E67054218D564F7296D9DA0B5A1A6493" descr="upload_post_object_v2_654473233"/>
        <xdr:cNvPicPr/>
      </xdr:nvPicPr>
      <xdr:blipFill>
        <a:blip r:embed="rId69"/>
        <a:stretch>
          <a:fillRect/>
        </a:stretch>
      </xdr:blipFill>
      <xdr:spPr>
        <a:xfrm>
          <a:off x="0" y="0"/>
          <a:ext cx="712470" cy="840105"/>
        </a:xfrm>
        <a:prstGeom prst="rect">
          <a:avLst/>
        </a:prstGeom>
      </xdr:spPr>
    </xdr:pic>
  </etc:cellImage>
  <etc:cellImage>
    <xdr:pic>
      <xdr:nvPicPr>
        <xdr:cNvPr id="83" name="ID_A6D8A7EB51164566BA60072BC7B5C42C" descr="upload_post_object_v2_1173934298"/>
        <xdr:cNvPicPr/>
      </xdr:nvPicPr>
      <xdr:blipFill>
        <a:blip r:embed="rId70"/>
        <a:stretch>
          <a:fillRect/>
        </a:stretch>
      </xdr:blipFill>
      <xdr:spPr>
        <a:xfrm>
          <a:off x="0" y="0"/>
          <a:ext cx="400050" cy="840105"/>
        </a:xfrm>
        <a:prstGeom prst="rect">
          <a:avLst/>
        </a:prstGeom>
      </xdr:spPr>
    </xdr:pic>
  </etc:cellImage>
  <etc:cellImage>
    <xdr:pic>
      <xdr:nvPicPr>
        <xdr:cNvPr id="84" name="ID_6A4D8576F43248969E149252DF5FC153" descr="upload_post_object_v2_2948895064"/>
        <xdr:cNvPicPr/>
      </xdr:nvPicPr>
      <xdr:blipFill>
        <a:blip r:embed="rId71"/>
        <a:stretch>
          <a:fillRect/>
        </a:stretch>
      </xdr:blipFill>
      <xdr:spPr>
        <a:xfrm>
          <a:off x="0" y="0"/>
          <a:ext cx="912495" cy="687705"/>
        </a:xfrm>
        <a:prstGeom prst="rect">
          <a:avLst/>
        </a:prstGeom>
      </xdr:spPr>
    </xdr:pic>
  </etc:cellImage>
  <etc:cellImage>
    <xdr:pic>
      <xdr:nvPicPr>
        <xdr:cNvPr id="85" name="ID_EAA724D38D034BEEBF06CAB31228FB5C" descr="upload_post_object_v2_2737141597"/>
        <xdr:cNvPicPr/>
      </xdr:nvPicPr>
      <xdr:blipFill>
        <a:blip r:embed="rId72"/>
        <a:stretch>
          <a:fillRect/>
        </a:stretch>
      </xdr:blipFill>
      <xdr:spPr>
        <a:xfrm>
          <a:off x="0" y="0"/>
          <a:ext cx="979170" cy="236220"/>
        </a:xfrm>
        <a:prstGeom prst="rect">
          <a:avLst/>
        </a:prstGeom>
      </xdr:spPr>
    </xdr:pic>
  </etc:cellImage>
  <etc:cellImage>
    <xdr:pic>
      <xdr:nvPicPr>
        <xdr:cNvPr id="86" name="ID_535F06E1F57E4DE6BB246C6A9560A7D9" descr="upload_post_object_v2_2071150180"/>
        <xdr:cNvPicPr/>
      </xdr:nvPicPr>
      <xdr:blipFill>
        <a:blip r:embed="rId73"/>
        <a:stretch>
          <a:fillRect/>
        </a:stretch>
      </xdr:blipFill>
      <xdr:spPr>
        <a:xfrm>
          <a:off x="0" y="0"/>
          <a:ext cx="457200" cy="849630"/>
        </a:xfrm>
        <a:prstGeom prst="rect">
          <a:avLst/>
        </a:prstGeom>
      </xdr:spPr>
    </xdr:pic>
  </etc:cellImage>
  <etc:cellImage>
    <xdr:pic>
      <xdr:nvPicPr>
        <xdr:cNvPr id="87" name="ID_5142FBBC16BF43D5B94B3C40184E4079" descr="upload_post_object_v2_1353031696"/>
        <xdr:cNvPicPr/>
      </xdr:nvPicPr>
      <xdr:blipFill>
        <a:blip r:embed="rId74"/>
        <a:stretch>
          <a:fillRect/>
        </a:stretch>
      </xdr:blipFill>
      <xdr:spPr>
        <a:xfrm>
          <a:off x="0" y="0"/>
          <a:ext cx="902970" cy="706755"/>
        </a:xfrm>
        <a:prstGeom prst="rect">
          <a:avLst/>
        </a:prstGeom>
      </xdr:spPr>
    </xdr:pic>
  </etc:cellImage>
  <etc:cellImage>
    <xdr:pic>
      <xdr:nvPicPr>
        <xdr:cNvPr id="88" name="ID_92F4B5D7266042F0BD22DEC4A58B5CD9" descr="upload_post_object_v2_1955272967"/>
        <xdr:cNvPicPr/>
      </xdr:nvPicPr>
      <xdr:blipFill>
        <a:blip r:embed="rId75"/>
        <a:stretch>
          <a:fillRect/>
        </a:stretch>
      </xdr:blipFill>
      <xdr:spPr>
        <a:xfrm>
          <a:off x="0" y="0"/>
          <a:ext cx="979170" cy="405765"/>
        </a:xfrm>
        <a:prstGeom prst="rect">
          <a:avLst/>
        </a:prstGeom>
      </xdr:spPr>
    </xdr:pic>
  </etc:cellImage>
  <etc:cellImage>
    <xdr:pic>
      <xdr:nvPicPr>
        <xdr:cNvPr id="89" name="ID_89E97041F7664C5C8213FCE26348715E" descr="upload_post_object_v2_1445839762"/>
        <xdr:cNvPicPr/>
      </xdr:nvPicPr>
      <xdr:blipFill>
        <a:blip r:embed="rId76"/>
        <a:stretch>
          <a:fillRect/>
        </a:stretch>
      </xdr:blipFill>
      <xdr:spPr>
        <a:xfrm>
          <a:off x="0" y="0"/>
          <a:ext cx="883920" cy="754380"/>
        </a:xfrm>
        <a:prstGeom prst="rect">
          <a:avLst/>
        </a:prstGeom>
      </xdr:spPr>
    </xdr:pic>
  </etc:cellImage>
  <etc:cellImage>
    <xdr:pic>
      <xdr:nvPicPr>
        <xdr:cNvPr id="90" name="ID_C601C44894044750A1734E5A04FC3691" descr="upload_post_object_v2_525412451"/>
        <xdr:cNvPicPr/>
      </xdr:nvPicPr>
      <xdr:blipFill>
        <a:blip r:embed="rId77"/>
        <a:stretch>
          <a:fillRect/>
        </a:stretch>
      </xdr:blipFill>
      <xdr:spPr>
        <a:xfrm>
          <a:off x="0" y="0"/>
          <a:ext cx="893445" cy="632460"/>
        </a:xfrm>
        <a:prstGeom prst="rect">
          <a:avLst/>
        </a:prstGeom>
      </xdr:spPr>
    </xdr:pic>
  </etc:cellImage>
  <etc:cellImage>
    <xdr:pic>
      <xdr:nvPicPr>
        <xdr:cNvPr id="91" name="ID_4D4C0C296FC3440CB2329F1949FC9F95" descr="upload_post_object_v2_2189402232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</etc:cellImage>
  <etc:cellImage>
    <xdr:pic>
      <xdr:nvPicPr>
        <xdr:cNvPr id="92" name="ID_05BF6466991245FB9D31EE07CF4AEB83" descr="upload_post_object_v2_381947718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</etc:cellImage>
  <etc:cellImage>
    <xdr:pic>
      <xdr:nvPicPr>
        <xdr:cNvPr id="93" name="ID_D198073EB648472BA0A08C6CDF4ABF46" descr="upload_post_object_v2_750793005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</etc:cellImage>
  <etc:cellImage>
    <xdr:pic>
      <xdr:nvPicPr>
        <xdr:cNvPr id="94" name="ID_38FB71E9FC364792B050BB58FC57444B" descr="upload_post_object_v2_1845051848"/>
        <xdr:cNvPicPr/>
      </xdr:nvPicPr>
      <xdr:blipFill>
        <a:blip r:embed="rId78"/>
        <a:stretch>
          <a:fillRect/>
        </a:stretch>
      </xdr:blipFill>
      <xdr:spPr>
        <a:xfrm>
          <a:off x="0" y="0"/>
          <a:ext cx="1007745" cy="680085"/>
        </a:xfrm>
        <a:prstGeom prst="rect">
          <a:avLst/>
        </a:prstGeom>
      </xdr:spPr>
    </xdr:pic>
  </etc:cellImage>
  <etc:cellImage>
    <xdr:pic>
      <xdr:nvPicPr>
        <xdr:cNvPr id="95" name="ID_AD10332B2640427B9D46DE362DA80570" descr="upload_post_object_v2_1349009755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</etc:cellImage>
  <etc:cellImage>
    <xdr:pic>
      <xdr:nvPicPr>
        <xdr:cNvPr id="96" name="ID_4094650511AF4C4EBB6189883FACBE09" descr="upload_post_object_v2_2290860431"/>
        <xdr:cNvPicPr/>
      </xdr:nvPicPr>
      <xdr:blipFill>
        <a:blip r:embed="rId79"/>
        <a:stretch>
          <a:fillRect/>
        </a:stretch>
      </xdr:blipFill>
      <xdr:spPr>
        <a:xfrm>
          <a:off x="0" y="0"/>
          <a:ext cx="702945" cy="821055"/>
        </a:xfrm>
        <a:prstGeom prst="rect">
          <a:avLst/>
        </a:prstGeom>
      </xdr:spPr>
    </xdr:pic>
  </etc:cellImage>
  <etc:cellImage>
    <xdr:pic>
      <xdr:nvPicPr>
        <xdr:cNvPr id="97" name="ID_9E0C9A2C62B849EE83B23EFC21D2F73E" descr="upload_post_object_v2_3085501090"/>
        <xdr:cNvPicPr/>
      </xdr:nvPicPr>
      <xdr:blipFill>
        <a:blip r:embed="rId80"/>
        <a:stretch>
          <a:fillRect/>
        </a:stretch>
      </xdr:blipFill>
      <xdr:spPr>
        <a:xfrm>
          <a:off x="0" y="0"/>
          <a:ext cx="466725" cy="942975"/>
        </a:xfrm>
        <a:prstGeom prst="rect">
          <a:avLst/>
        </a:prstGeom>
      </xdr:spPr>
    </xdr:pic>
  </etc:cellImage>
  <etc:cellImage>
    <xdr:pic>
      <xdr:nvPicPr>
        <xdr:cNvPr id="98" name="ID_D1ABBAD46FC64DC3BCB0094B7A7C877F" descr="upload_post_object_v2_1648274571"/>
        <xdr:cNvPicPr/>
      </xdr:nvPicPr>
      <xdr:blipFill>
        <a:blip r:embed="rId81"/>
        <a:stretch>
          <a:fillRect/>
        </a:stretch>
      </xdr:blipFill>
      <xdr:spPr>
        <a:xfrm>
          <a:off x="0" y="0"/>
          <a:ext cx="817245" cy="923925"/>
        </a:xfrm>
        <a:prstGeom prst="rect">
          <a:avLst/>
        </a:prstGeom>
      </xdr:spPr>
    </xdr:pic>
  </etc:cellImage>
  <etc:cellImage>
    <xdr:pic>
      <xdr:nvPicPr>
        <xdr:cNvPr id="99" name="ID_0B375358699843A6BD8277B2C1623C9F" descr="upload_post_object_v2_2385890825"/>
        <xdr:cNvPicPr/>
      </xdr:nvPicPr>
      <xdr:blipFill>
        <a:blip r:embed="rId82"/>
        <a:stretch>
          <a:fillRect/>
        </a:stretch>
      </xdr:blipFill>
      <xdr:spPr>
        <a:xfrm>
          <a:off x="0" y="0"/>
          <a:ext cx="381000" cy="904875"/>
        </a:xfrm>
        <a:prstGeom prst="rect">
          <a:avLst/>
        </a:prstGeom>
      </xdr:spPr>
    </xdr:pic>
  </etc:cellImage>
  <etc:cellImage>
    <xdr:pic>
      <xdr:nvPicPr>
        <xdr:cNvPr id="100" name="ID_81F636D69D964285844D82E236D348F5" descr="upload_post_object_v2_4136466156"/>
        <xdr:cNvPicPr/>
      </xdr:nvPicPr>
      <xdr:blipFill>
        <a:blip r:embed="rId83"/>
        <a:stretch>
          <a:fillRect/>
        </a:stretch>
      </xdr:blipFill>
      <xdr:spPr>
        <a:xfrm>
          <a:off x="0" y="0"/>
          <a:ext cx="390525" cy="773430"/>
        </a:xfrm>
        <a:prstGeom prst="rect">
          <a:avLst/>
        </a:prstGeom>
      </xdr:spPr>
    </xdr:pic>
  </etc:cellImage>
  <etc:cellImage>
    <xdr:pic>
      <xdr:nvPicPr>
        <xdr:cNvPr id="101" name="ID_88951E0A2AAA408E9BD062AC8F6FBCD7" descr="upload_post_object_v2_2035873483"/>
        <xdr:cNvPicPr/>
      </xdr:nvPicPr>
      <xdr:blipFill>
        <a:blip r:embed="rId84"/>
        <a:stretch>
          <a:fillRect/>
        </a:stretch>
      </xdr:blipFill>
      <xdr:spPr>
        <a:xfrm>
          <a:off x="0" y="0"/>
          <a:ext cx="769620" cy="876300"/>
        </a:xfrm>
        <a:prstGeom prst="rect">
          <a:avLst/>
        </a:prstGeom>
      </xdr:spPr>
    </xdr:pic>
  </etc:cellImage>
  <etc:cellImage>
    <xdr:pic>
      <xdr:nvPicPr>
        <xdr:cNvPr id="102" name="ID_D044E856A2F04AE79868BEF880CF4156" descr="upload_post_object_v2_227732683"/>
        <xdr:cNvPicPr/>
      </xdr:nvPicPr>
      <xdr:blipFill>
        <a:blip r:embed="rId85"/>
        <a:stretch>
          <a:fillRect/>
        </a:stretch>
      </xdr:blipFill>
      <xdr:spPr>
        <a:xfrm>
          <a:off x="0" y="0"/>
          <a:ext cx="571500" cy="933450"/>
        </a:xfrm>
        <a:prstGeom prst="rect">
          <a:avLst/>
        </a:prstGeom>
      </xdr:spPr>
    </xdr:pic>
  </etc:cellImage>
  <etc:cellImage>
    <xdr:pic>
      <xdr:nvPicPr>
        <xdr:cNvPr id="103" name="ID_E67E1A568C4349ACB11E29108C0F1C8E" descr="upload_post_object_v2_1083344997"/>
        <xdr:cNvPicPr/>
      </xdr:nvPicPr>
      <xdr:blipFill>
        <a:blip r:embed="rId86"/>
        <a:stretch>
          <a:fillRect/>
        </a:stretch>
      </xdr:blipFill>
      <xdr:spPr>
        <a:xfrm>
          <a:off x="0" y="0"/>
          <a:ext cx="826770" cy="632460"/>
        </a:xfrm>
        <a:prstGeom prst="rect">
          <a:avLst/>
        </a:prstGeom>
      </xdr:spPr>
    </xdr:pic>
  </etc:cellImage>
  <etc:cellImage>
    <xdr:pic>
      <xdr:nvPicPr>
        <xdr:cNvPr id="104" name="ID_D764EB359E584733828AB82A8997B97A" descr="upload_post_object_v2_289665455"/>
        <xdr:cNvPicPr/>
      </xdr:nvPicPr>
      <xdr:blipFill>
        <a:blip r:embed="rId87"/>
        <a:stretch>
          <a:fillRect/>
        </a:stretch>
      </xdr:blipFill>
      <xdr:spPr>
        <a:xfrm>
          <a:off x="0" y="0"/>
          <a:ext cx="807720" cy="632460"/>
        </a:xfrm>
        <a:prstGeom prst="rect">
          <a:avLst/>
        </a:prstGeom>
      </xdr:spPr>
    </xdr:pic>
  </etc:cellImage>
  <etc:cellImage>
    <xdr:pic>
      <xdr:nvPicPr>
        <xdr:cNvPr id="105" name="ID_A675033A5A3545F6B308E15EB5884063" descr="upload_post_object_v2_3331414491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</etc:cellImage>
  <etc:cellImage>
    <xdr:pic>
      <xdr:nvPicPr>
        <xdr:cNvPr id="106" name="ID_7B8351D3495F4CA18B1D5B69CDC79ABC" descr="upload_post_object_v2_1627698775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</etc:cellImage>
  <etc:cellImage>
    <xdr:pic>
      <xdr:nvPicPr>
        <xdr:cNvPr id="107" name="ID_34899AC523254F94A69178274B969F00" descr="upload_post_object_v2_797133219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</etc:cellImage>
  <etc:cellImage>
    <xdr:pic>
      <xdr:nvPicPr>
        <xdr:cNvPr id="108" name="ID_7E659BFC989A47949D24F5E1F4413B66" descr="upload_post_object_v2_1579469594"/>
        <xdr:cNvPicPr/>
      </xdr:nvPicPr>
      <xdr:blipFill>
        <a:blip r:embed="rId78"/>
        <a:stretch>
          <a:fillRect/>
        </a:stretch>
      </xdr:blipFill>
      <xdr:spPr>
        <a:xfrm>
          <a:off x="0" y="0"/>
          <a:ext cx="1007745" cy="680085"/>
        </a:xfrm>
        <a:prstGeom prst="rect">
          <a:avLst/>
        </a:prstGeom>
      </xdr:spPr>
    </xdr:pic>
  </etc:cellImage>
  <etc:cellImage>
    <xdr:pic>
      <xdr:nvPicPr>
        <xdr:cNvPr id="109" name="ID_8624901BF1E74DEEBA48B2D55B1DB74B" descr="upload_post_object_v2_1136597390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</etc:cellImage>
  <etc:cellImage>
    <xdr:pic>
      <xdr:nvPicPr>
        <xdr:cNvPr id="110" name="ID_A1C93AED29A74D76AB0F6B2FE2B51511" descr="upload_post_object_v2_2531599279"/>
        <xdr:cNvPicPr/>
      </xdr:nvPicPr>
      <xdr:blipFill>
        <a:blip r:embed="rId88"/>
        <a:stretch>
          <a:fillRect/>
        </a:stretch>
      </xdr:blipFill>
      <xdr:spPr>
        <a:xfrm>
          <a:off x="0" y="0"/>
          <a:ext cx="798195" cy="859155"/>
        </a:xfrm>
        <a:prstGeom prst="rect">
          <a:avLst/>
        </a:prstGeom>
      </xdr:spPr>
    </xdr:pic>
  </etc:cellImage>
  <etc:cellImage>
    <xdr:pic>
      <xdr:nvPicPr>
        <xdr:cNvPr id="111" name="ID_3B9A7BDF770045B09ABCFC2D57059071" descr="upload_post_object_v2_3018655607"/>
        <xdr:cNvPicPr/>
      </xdr:nvPicPr>
      <xdr:blipFill>
        <a:blip r:embed="rId89"/>
        <a:stretch>
          <a:fillRect/>
        </a:stretch>
      </xdr:blipFill>
      <xdr:spPr>
        <a:xfrm>
          <a:off x="0" y="0"/>
          <a:ext cx="523875" cy="802005"/>
        </a:xfrm>
        <a:prstGeom prst="rect">
          <a:avLst/>
        </a:prstGeom>
      </xdr:spPr>
    </xdr:pic>
  </etc:cellImage>
  <etc:cellImage>
    <xdr:pic>
      <xdr:nvPicPr>
        <xdr:cNvPr id="112" name="ID_1725105E319D40DCA39C6B8BDB8EB70A" descr="upload_post_object_v2_676525991"/>
        <xdr:cNvPicPr/>
      </xdr:nvPicPr>
      <xdr:blipFill>
        <a:blip r:embed="rId90"/>
        <a:stretch>
          <a:fillRect/>
        </a:stretch>
      </xdr:blipFill>
      <xdr:spPr>
        <a:xfrm>
          <a:off x="0" y="0"/>
          <a:ext cx="960120" cy="706755"/>
        </a:xfrm>
        <a:prstGeom prst="rect">
          <a:avLst/>
        </a:prstGeom>
      </xdr:spPr>
    </xdr:pic>
  </etc:cellImage>
  <etc:cellImage>
    <xdr:pic>
      <xdr:nvPicPr>
        <xdr:cNvPr id="113" name="ID_6818B56E61D64D3AB8F40B4CA03016AD" descr="upload_post_object_v2_249732046"/>
        <xdr:cNvPicPr/>
      </xdr:nvPicPr>
      <xdr:blipFill>
        <a:blip r:embed="rId91"/>
        <a:stretch>
          <a:fillRect/>
        </a:stretch>
      </xdr:blipFill>
      <xdr:spPr>
        <a:xfrm>
          <a:off x="0" y="0"/>
          <a:ext cx="476250" cy="735330"/>
        </a:xfrm>
        <a:prstGeom prst="rect">
          <a:avLst/>
        </a:prstGeom>
      </xdr:spPr>
    </xdr:pic>
  </etc:cellImage>
  <etc:cellImage>
    <xdr:pic>
      <xdr:nvPicPr>
        <xdr:cNvPr id="114" name="ID_BAFED8A1A8104D33AC2FFB9328A2C7EB" descr="upload_post_object_v2_237154522"/>
        <xdr:cNvPicPr/>
      </xdr:nvPicPr>
      <xdr:blipFill>
        <a:blip r:embed="rId92"/>
        <a:stretch>
          <a:fillRect/>
        </a:stretch>
      </xdr:blipFill>
      <xdr:spPr>
        <a:xfrm>
          <a:off x="0" y="0"/>
          <a:ext cx="523875" cy="895350"/>
        </a:xfrm>
        <a:prstGeom prst="rect">
          <a:avLst/>
        </a:prstGeom>
      </xdr:spPr>
    </xdr:pic>
  </etc:cellImage>
  <etc:cellImage>
    <xdr:pic>
      <xdr:nvPicPr>
        <xdr:cNvPr id="115" name="ID_A148F5AED6374D51BDDDEBD81BD7EA2B" descr="upload_post_object_v2_3286424116"/>
        <xdr:cNvPicPr/>
      </xdr:nvPicPr>
      <xdr:blipFill>
        <a:blip r:embed="rId93"/>
        <a:stretch>
          <a:fillRect/>
        </a:stretch>
      </xdr:blipFill>
      <xdr:spPr>
        <a:xfrm>
          <a:off x="0" y="0"/>
          <a:ext cx="836295" cy="680085"/>
        </a:xfrm>
        <a:prstGeom prst="rect">
          <a:avLst/>
        </a:prstGeom>
      </xdr:spPr>
    </xdr:pic>
  </etc:cellImage>
  <etc:cellImage>
    <xdr:pic>
      <xdr:nvPicPr>
        <xdr:cNvPr id="116" name="ID_E075DB430ECD422B958C6744B587DCD5" descr="upload_post_object_v2_3602114618"/>
        <xdr:cNvPicPr/>
      </xdr:nvPicPr>
      <xdr:blipFill>
        <a:blip r:embed="rId94"/>
        <a:stretch>
          <a:fillRect/>
        </a:stretch>
      </xdr:blipFill>
      <xdr:spPr>
        <a:xfrm>
          <a:off x="0" y="0"/>
          <a:ext cx="845820" cy="396240"/>
        </a:xfrm>
        <a:prstGeom prst="rect">
          <a:avLst/>
        </a:prstGeom>
      </xdr:spPr>
    </xdr:pic>
  </etc:cellImage>
  <etc:cellImage>
    <xdr:pic>
      <xdr:nvPicPr>
        <xdr:cNvPr id="117" name="ID_4FE60B2BB743415CAC1FE2B04DE00B21" descr="upload_post_object_v2_4258585494"/>
        <xdr:cNvPicPr/>
      </xdr:nvPicPr>
      <xdr:blipFill>
        <a:blip r:embed="rId95"/>
        <a:stretch>
          <a:fillRect/>
        </a:stretch>
      </xdr:blipFill>
      <xdr:spPr>
        <a:xfrm>
          <a:off x="0" y="0"/>
          <a:ext cx="931545" cy="763905"/>
        </a:xfrm>
        <a:prstGeom prst="rect">
          <a:avLst/>
        </a:prstGeom>
      </xdr:spPr>
    </xdr:pic>
  </etc:cellImage>
  <etc:cellImage>
    <xdr:pic>
      <xdr:nvPicPr>
        <xdr:cNvPr id="118" name="ID_E455EC70A39E4F19A2B4101231398460" descr="upload_post_object_v2_1248149490"/>
        <xdr:cNvPicPr/>
      </xdr:nvPicPr>
      <xdr:blipFill>
        <a:blip r:embed="rId96"/>
        <a:stretch>
          <a:fillRect/>
        </a:stretch>
      </xdr:blipFill>
      <xdr:spPr>
        <a:xfrm>
          <a:off x="0" y="0"/>
          <a:ext cx="883920" cy="744855"/>
        </a:xfrm>
        <a:prstGeom prst="rect">
          <a:avLst/>
        </a:prstGeom>
      </xdr:spPr>
    </xdr:pic>
  </etc:cellImage>
  <etc:cellImage>
    <xdr:pic>
      <xdr:nvPicPr>
        <xdr:cNvPr id="119" name="ID_A4183E4DD6EF4B909DE082285BBB441E" descr="upload_post_object_v2_1510513586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</etc:cellImage>
  <etc:cellImage>
    <xdr:pic>
      <xdr:nvPicPr>
        <xdr:cNvPr id="120" name="ID_6593F1FC9D5241EEA06C6607BC3FAA0C" descr="upload_post_object_v2_3815835262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</etc:cellImage>
  <etc:cellImage>
    <xdr:pic>
      <xdr:nvPicPr>
        <xdr:cNvPr id="121" name="ID_61AA5B2A10204951A014F9F13F1D68AD" descr="upload_post_object_v2_688309041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</etc:cellImage>
  <etc:cellImage>
    <xdr:pic>
      <xdr:nvPicPr>
        <xdr:cNvPr id="122" name="ID_5F0E5ECE1E5B472890DAF789D9DC6A92" descr="upload_post_object_v2_1119938809"/>
        <xdr:cNvPicPr/>
      </xdr:nvPicPr>
      <xdr:blipFill>
        <a:blip r:embed="rId78"/>
        <a:stretch>
          <a:fillRect/>
        </a:stretch>
      </xdr:blipFill>
      <xdr:spPr>
        <a:xfrm>
          <a:off x="0" y="0"/>
          <a:ext cx="1007745" cy="680085"/>
        </a:xfrm>
        <a:prstGeom prst="rect">
          <a:avLst/>
        </a:prstGeom>
      </xdr:spPr>
    </xdr:pic>
  </etc:cellImage>
  <etc:cellImage>
    <xdr:pic>
      <xdr:nvPicPr>
        <xdr:cNvPr id="123" name="ID_CA3653747FC8422891B4DD318CF860BA" descr="upload_post_object_v2_995120404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</etc:cellImage>
  <etc:cellImage>
    <xdr:pic>
      <xdr:nvPicPr>
        <xdr:cNvPr id="124" name="ID_D668924F1DED4E2A82BBCB934686CADF" descr="upload_post_object_v2_3267792399"/>
        <xdr:cNvPicPr/>
      </xdr:nvPicPr>
      <xdr:blipFill>
        <a:blip r:embed="rId97"/>
        <a:stretch>
          <a:fillRect/>
        </a:stretch>
      </xdr:blipFill>
      <xdr:spPr>
        <a:xfrm>
          <a:off x="0" y="0"/>
          <a:ext cx="836295" cy="501015"/>
        </a:xfrm>
        <a:prstGeom prst="rect">
          <a:avLst/>
        </a:prstGeom>
      </xdr:spPr>
    </xdr:pic>
  </etc:cellImage>
  <etc:cellImage>
    <xdr:pic>
      <xdr:nvPicPr>
        <xdr:cNvPr id="125" name="ID_61B39F98AC814B5682095C1BD7B75499" descr="upload_post_object_v2_3113505093"/>
        <xdr:cNvPicPr/>
      </xdr:nvPicPr>
      <xdr:blipFill>
        <a:blip r:embed="rId1"/>
        <a:stretch>
          <a:fillRect/>
        </a:stretch>
      </xdr:blipFill>
      <xdr:spPr>
        <a:xfrm>
          <a:off x="0" y="0"/>
          <a:ext cx="969645" cy="501015"/>
        </a:xfrm>
        <a:prstGeom prst="rect">
          <a:avLst/>
        </a:prstGeom>
      </xdr:spPr>
    </xdr:pic>
  </etc:cellImage>
  <etc:cellImage>
    <xdr:pic>
      <xdr:nvPicPr>
        <xdr:cNvPr id="126" name="ID_158CB3760A03488EAC0A190EEF8DED1D" descr="upload_post_object_v2_332928618"/>
        <xdr:cNvPicPr/>
      </xdr:nvPicPr>
      <xdr:blipFill>
        <a:blip r:embed="rId98"/>
        <a:stretch>
          <a:fillRect/>
        </a:stretch>
      </xdr:blipFill>
      <xdr:spPr>
        <a:xfrm>
          <a:off x="0" y="0"/>
          <a:ext cx="561975" cy="716280"/>
        </a:xfrm>
        <a:prstGeom prst="rect">
          <a:avLst/>
        </a:prstGeom>
      </xdr:spPr>
    </xdr:pic>
  </etc:cellImage>
  <etc:cellImage>
    <xdr:pic>
      <xdr:nvPicPr>
        <xdr:cNvPr id="127" name="ID_71CAEC40B8EA4FF88180E5BE08B2F53F" descr="upload_post_object_v2_1875350545"/>
        <xdr:cNvPicPr/>
      </xdr:nvPicPr>
      <xdr:blipFill>
        <a:blip r:embed="rId99"/>
        <a:stretch>
          <a:fillRect/>
        </a:stretch>
      </xdr:blipFill>
      <xdr:spPr>
        <a:xfrm>
          <a:off x="0" y="0"/>
          <a:ext cx="504825" cy="706755"/>
        </a:xfrm>
        <a:prstGeom prst="rect">
          <a:avLst/>
        </a:prstGeom>
      </xdr:spPr>
    </xdr:pic>
  </etc:cellImage>
  <etc:cellImage>
    <xdr:pic>
      <xdr:nvPicPr>
        <xdr:cNvPr id="128" name="ID_33118A77371446B3B439959B855417E3" descr="upload_post_object_v2_3094524629"/>
        <xdr:cNvPicPr/>
      </xdr:nvPicPr>
      <xdr:blipFill>
        <a:blip r:embed="rId100"/>
        <a:stretch>
          <a:fillRect/>
        </a:stretch>
      </xdr:blipFill>
      <xdr:spPr>
        <a:xfrm>
          <a:off x="0" y="0"/>
          <a:ext cx="750570" cy="706755"/>
        </a:xfrm>
        <a:prstGeom prst="rect">
          <a:avLst/>
        </a:prstGeom>
      </xdr:spPr>
    </xdr:pic>
  </etc:cellImage>
  <etc:cellImage>
    <xdr:pic>
      <xdr:nvPicPr>
        <xdr:cNvPr id="129" name="ID_994BB321A98349039BB22068B1C6D11A" descr="upload_post_object_v2_1761306013"/>
        <xdr:cNvPicPr/>
      </xdr:nvPicPr>
      <xdr:blipFill>
        <a:blip r:embed="rId101"/>
        <a:stretch>
          <a:fillRect/>
        </a:stretch>
      </xdr:blipFill>
      <xdr:spPr>
        <a:xfrm>
          <a:off x="0" y="0"/>
          <a:ext cx="381000" cy="706755"/>
        </a:xfrm>
        <a:prstGeom prst="rect">
          <a:avLst/>
        </a:prstGeom>
      </xdr:spPr>
    </xdr:pic>
  </etc:cellImage>
  <etc:cellImage>
    <xdr:pic>
      <xdr:nvPicPr>
        <xdr:cNvPr id="130" name="ID_79A8A0633C5B458CA80711DA49FE46BB" descr="upload_post_object_v2_2608774348"/>
        <xdr:cNvPicPr/>
      </xdr:nvPicPr>
      <xdr:blipFill>
        <a:blip r:embed="rId102"/>
        <a:stretch>
          <a:fillRect/>
        </a:stretch>
      </xdr:blipFill>
      <xdr:spPr>
        <a:xfrm>
          <a:off x="0" y="0"/>
          <a:ext cx="941070" cy="501015"/>
        </a:xfrm>
        <a:prstGeom prst="rect">
          <a:avLst/>
        </a:prstGeom>
      </xdr:spPr>
    </xdr:pic>
  </etc:cellImage>
  <etc:cellImage>
    <xdr:pic>
      <xdr:nvPicPr>
        <xdr:cNvPr id="131" name="ID_9B1BB30182E04977832F28C1A807CE61" descr="upload_post_object_v2_3006887397"/>
        <xdr:cNvPicPr/>
      </xdr:nvPicPr>
      <xdr:blipFill>
        <a:blip r:embed="rId103"/>
        <a:stretch>
          <a:fillRect/>
        </a:stretch>
      </xdr:blipFill>
      <xdr:spPr>
        <a:xfrm>
          <a:off x="0" y="0"/>
          <a:ext cx="845820" cy="565785"/>
        </a:xfrm>
        <a:prstGeom prst="rect">
          <a:avLst/>
        </a:prstGeom>
      </xdr:spPr>
    </xdr:pic>
  </etc:cellImage>
  <etc:cellImage>
    <xdr:pic>
      <xdr:nvPicPr>
        <xdr:cNvPr id="132" name="ID_823BB29CC6B0425DB3140CAA34893947" descr="upload_post_object_v2_3127698538"/>
        <xdr:cNvPicPr/>
      </xdr:nvPicPr>
      <xdr:blipFill>
        <a:blip r:embed="rId104"/>
        <a:stretch>
          <a:fillRect/>
        </a:stretch>
      </xdr:blipFill>
      <xdr:spPr>
        <a:xfrm>
          <a:off x="0" y="0"/>
          <a:ext cx="979170" cy="501015"/>
        </a:xfrm>
        <a:prstGeom prst="rect">
          <a:avLst/>
        </a:prstGeom>
      </xdr:spPr>
    </xdr:pic>
  </etc:cellImage>
  <etc:cellImage>
    <xdr:pic>
      <xdr:nvPicPr>
        <xdr:cNvPr id="133" name="ID_4CA261B48C324779867CC430E681618A" descr="upload_post_object_v2_3772259908"/>
        <xdr:cNvPicPr/>
      </xdr:nvPicPr>
      <xdr:blipFill>
        <a:blip r:embed="rId105"/>
        <a:stretch>
          <a:fillRect/>
        </a:stretch>
      </xdr:blipFill>
      <xdr:spPr>
        <a:xfrm>
          <a:off x="0" y="0"/>
          <a:ext cx="552450" cy="706755"/>
        </a:xfrm>
        <a:prstGeom prst="rect">
          <a:avLst/>
        </a:prstGeom>
      </xdr:spPr>
    </xdr:pic>
  </etc:cellImage>
  <etc:cellImage>
    <xdr:pic>
      <xdr:nvPicPr>
        <xdr:cNvPr id="134" name="ID_816CD0F058104716A84B4E84C93628E4" descr="upload_post_object_v2_1895525739"/>
        <xdr:cNvPicPr/>
      </xdr:nvPicPr>
      <xdr:blipFill>
        <a:blip r:embed="rId106"/>
        <a:stretch>
          <a:fillRect/>
        </a:stretch>
      </xdr:blipFill>
      <xdr:spPr>
        <a:xfrm>
          <a:off x="0" y="0"/>
          <a:ext cx="855345" cy="443865"/>
        </a:xfrm>
        <a:prstGeom prst="rect">
          <a:avLst/>
        </a:prstGeom>
      </xdr:spPr>
    </xdr:pic>
  </etc:cellImage>
  <etc:cellImage>
    <xdr:pic>
      <xdr:nvPicPr>
        <xdr:cNvPr id="135" name="ID_4DE15D1F6C1749DF8F2AC1F4390813BF" descr="upload_post_object_v2_1152774040"/>
        <xdr:cNvPicPr/>
      </xdr:nvPicPr>
      <xdr:blipFill>
        <a:blip r:embed="rId107"/>
        <a:stretch>
          <a:fillRect/>
        </a:stretch>
      </xdr:blipFill>
      <xdr:spPr>
        <a:xfrm>
          <a:off x="0" y="0"/>
          <a:ext cx="1141095" cy="386715"/>
        </a:xfrm>
        <a:prstGeom prst="rect">
          <a:avLst/>
        </a:prstGeom>
      </xdr:spPr>
    </xdr:pic>
  </etc:cellImage>
  <etc:cellImage>
    <xdr:pic>
      <xdr:nvPicPr>
        <xdr:cNvPr id="136" name="ID_040760192798401DA542319720E96BE5" descr="upload_post_object_v2_1571248941"/>
        <xdr:cNvPicPr/>
      </xdr:nvPicPr>
      <xdr:blipFill>
        <a:blip r:embed="rId108"/>
        <a:stretch>
          <a:fillRect/>
        </a:stretch>
      </xdr:blipFill>
      <xdr:spPr>
        <a:xfrm>
          <a:off x="0" y="0"/>
          <a:ext cx="1217295" cy="443865"/>
        </a:xfrm>
        <a:prstGeom prst="rect">
          <a:avLst/>
        </a:prstGeom>
      </xdr:spPr>
    </xdr:pic>
  </etc:cellImage>
  <etc:cellImage>
    <xdr:pic>
      <xdr:nvPicPr>
        <xdr:cNvPr id="137" name="ID_2BDE90E29738414C854540E1498BF1C1" descr="upload_post_object_v2_1435347824"/>
        <xdr:cNvPicPr/>
      </xdr:nvPicPr>
      <xdr:blipFill>
        <a:blip r:embed="rId109"/>
        <a:stretch>
          <a:fillRect/>
        </a:stretch>
      </xdr:blipFill>
      <xdr:spPr>
        <a:xfrm>
          <a:off x="0" y="0"/>
          <a:ext cx="1036320" cy="415290"/>
        </a:xfrm>
        <a:prstGeom prst="rect">
          <a:avLst/>
        </a:prstGeom>
      </xdr:spPr>
    </xdr:pic>
  </etc:cellImage>
  <etc:cellImage>
    <xdr:pic>
      <xdr:nvPicPr>
        <xdr:cNvPr id="138" name="ID_4CB11F7B16664C33B9349BC90AE24564" descr="upload_post_object_v2_1278484508"/>
        <xdr:cNvPicPr/>
      </xdr:nvPicPr>
      <xdr:blipFill>
        <a:blip r:embed="rId110"/>
        <a:stretch>
          <a:fillRect/>
        </a:stretch>
      </xdr:blipFill>
      <xdr:spPr>
        <a:xfrm>
          <a:off x="0" y="0"/>
          <a:ext cx="552450" cy="687705"/>
        </a:xfrm>
        <a:prstGeom prst="rect">
          <a:avLst/>
        </a:prstGeom>
      </xdr:spPr>
    </xdr:pic>
  </etc:cellImage>
  <etc:cellImage>
    <xdr:pic>
      <xdr:nvPicPr>
        <xdr:cNvPr id="139" name="ID_3F62787AD34448A0B374CF579919346A" descr="upload_post_object_v2_2617843892"/>
        <xdr:cNvPicPr/>
      </xdr:nvPicPr>
      <xdr:blipFill>
        <a:blip r:embed="rId111"/>
        <a:stretch>
          <a:fillRect/>
        </a:stretch>
      </xdr:blipFill>
      <xdr:spPr>
        <a:xfrm>
          <a:off x="0" y="0"/>
          <a:ext cx="409575" cy="706755"/>
        </a:xfrm>
        <a:prstGeom prst="rect">
          <a:avLst/>
        </a:prstGeom>
      </xdr:spPr>
    </xdr:pic>
  </etc:cellImage>
  <etc:cellImage>
    <xdr:pic>
      <xdr:nvPicPr>
        <xdr:cNvPr id="140" name="ID_B035712430494740A27F9B5614441448" descr="upload_post_object_v2_1529295589"/>
        <xdr:cNvPicPr/>
      </xdr:nvPicPr>
      <xdr:blipFill>
        <a:blip r:embed="rId112"/>
        <a:stretch>
          <a:fillRect/>
        </a:stretch>
      </xdr:blipFill>
      <xdr:spPr>
        <a:xfrm>
          <a:off x="0" y="0"/>
          <a:ext cx="864870" cy="293370"/>
        </a:xfrm>
        <a:prstGeom prst="rect">
          <a:avLst/>
        </a:prstGeom>
      </xdr:spPr>
    </xdr:pic>
  </etc:cellImage>
  <etc:cellImage>
    <xdr:pic>
      <xdr:nvPicPr>
        <xdr:cNvPr id="141" name="ID_74E5A1365C8A490E8FA5738C7509F9E6" descr="upload_post_object_v2_1377605700"/>
        <xdr:cNvPicPr/>
      </xdr:nvPicPr>
      <xdr:blipFill>
        <a:blip r:embed="rId113"/>
        <a:stretch>
          <a:fillRect/>
        </a:stretch>
      </xdr:blipFill>
      <xdr:spPr>
        <a:xfrm>
          <a:off x="0" y="0"/>
          <a:ext cx="788670" cy="537210"/>
        </a:xfrm>
        <a:prstGeom prst="rect">
          <a:avLst/>
        </a:prstGeom>
      </xdr:spPr>
    </xdr:pic>
  </etc:cellImage>
  <etc:cellImage>
    <xdr:pic>
      <xdr:nvPicPr>
        <xdr:cNvPr id="142" name="ID_ADEF198A686742FAA6AD7BAD4DA2B841" descr="upload_post_object_v2_82784193"/>
        <xdr:cNvPicPr/>
      </xdr:nvPicPr>
      <xdr:blipFill>
        <a:blip r:embed="rId114"/>
        <a:stretch>
          <a:fillRect/>
        </a:stretch>
      </xdr:blipFill>
      <xdr:spPr>
        <a:xfrm>
          <a:off x="0" y="0"/>
          <a:ext cx="798195" cy="245745"/>
        </a:xfrm>
        <a:prstGeom prst="rect">
          <a:avLst/>
        </a:prstGeom>
      </xdr:spPr>
    </xdr:pic>
  </etc:cellImage>
  <etc:cellImage>
    <xdr:pic>
      <xdr:nvPicPr>
        <xdr:cNvPr id="143" name="ID_F6B577847EA448B99FEC8FA60C132EB0" descr="upload_post_object_v2_1417073740"/>
        <xdr:cNvPicPr/>
      </xdr:nvPicPr>
      <xdr:blipFill>
        <a:blip r:embed="rId115"/>
        <a:stretch>
          <a:fillRect/>
        </a:stretch>
      </xdr:blipFill>
      <xdr:spPr>
        <a:xfrm>
          <a:off x="0" y="0"/>
          <a:ext cx="542925" cy="687705"/>
        </a:xfrm>
        <a:prstGeom prst="rect">
          <a:avLst/>
        </a:prstGeom>
      </xdr:spPr>
    </xdr:pic>
  </etc:cellImage>
  <etc:cellImage>
    <xdr:pic>
      <xdr:nvPicPr>
        <xdr:cNvPr id="144" name="ID_4BDAF232781749779936207C701675E7" descr="upload_post_object_v2_2321347930"/>
        <xdr:cNvPicPr/>
      </xdr:nvPicPr>
      <xdr:blipFill>
        <a:blip r:embed="rId116"/>
        <a:stretch>
          <a:fillRect/>
        </a:stretch>
      </xdr:blipFill>
      <xdr:spPr>
        <a:xfrm>
          <a:off x="0" y="0"/>
          <a:ext cx="552450" cy="689610"/>
        </a:xfrm>
        <a:prstGeom prst="rect">
          <a:avLst/>
        </a:prstGeom>
      </xdr:spPr>
    </xdr:pic>
  </etc:cellImage>
  <etc:cellImage>
    <xdr:pic>
      <xdr:nvPicPr>
        <xdr:cNvPr id="145" name="ID_1B7BD0D7220A4E6194F6A36A027FE360" descr="upload_post_object_v2_3878743055"/>
        <xdr:cNvPicPr/>
      </xdr:nvPicPr>
      <xdr:blipFill>
        <a:blip r:embed="rId117"/>
        <a:stretch>
          <a:fillRect/>
        </a:stretch>
      </xdr:blipFill>
      <xdr:spPr>
        <a:xfrm>
          <a:off x="0" y="0"/>
          <a:ext cx="702945" cy="622935"/>
        </a:xfrm>
        <a:prstGeom prst="rect">
          <a:avLst/>
        </a:prstGeom>
      </xdr:spPr>
    </xdr:pic>
  </etc:cellImage>
  <etc:cellImage>
    <xdr:pic>
      <xdr:nvPicPr>
        <xdr:cNvPr id="146" name="ID_98EC6C33368541E69F5E84E8C35E252C" descr="upload_post_object_v2_2728180794"/>
        <xdr:cNvPicPr/>
      </xdr:nvPicPr>
      <xdr:blipFill>
        <a:blip r:embed="rId118"/>
        <a:stretch>
          <a:fillRect/>
        </a:stretch>
      </xdr:blipFill>
      <xdr:spPr>
        <a:xfrm>
          <a:off x="0" y="0"/>
          <a:ext cx="702945" cy="584835"/>
        </a:xfrm>
        <a:prstGeom prst="rect">
          <a:avLst/>
        </a:prstGeom>
      </xdr:spPr>
    </xdr:pic>
  </etc:cellImage>
  <etc:cellImage>
    <xdr:pic>
      <xdr:nvPicPr>
        <xdr:cNvPr id="147" name="ID_68657923ECD64434A682D9E3CEB3BBE0" descr="upload_post_object_v2_3337234630"/>
        <xdr:cNvPicPr/>
      </xdr:nvPicPr>
      <xdr:blipFill>
        <a:blip r:embed="rId119"/>
        <a:stretch>
          <a:fillRect/>
        </a:stretch>
      </xdr:blipFill>
      <xdr:spPr>
        <a:xfrm>
          <a:off x="0" y="0"/>
          <a:ext cx="826770" cy="358140"/>
        </a:xfrm>
        <a:prstGeom prst="rect">
          <a:avLst/>
        </a:prstGeom>
      </xdr:spPr>
    </xdr:pic>
  </etc:cellImage>
  <etc:cellImage>
    <xdr:pic>
      <xdr:nvPicPr>
        <xdr:cNvPr id="148" name="ID_26858ACF0E484E55AAB55E7EC73EAB69" descr="upload_post_object_v2_872118042"/>
        <xdr:cNvPicPr/>
      </xdr:nvPicPr>
      <xdr:blipFill>
        <a:blip r:embed="rId120"/>
        <a:stretch>
          <a:fillRect/>
        </a:stretch>
      </xdr:blipFill>
      <xdr:spPr>
        <a:xfrm>
          <a:off x="0" y="0"/>
          <a:ext cx="845820" cy="424815"/>
        </a:xfrm>
        <a:prstGeom prst="rect">
          <a:avLst/>
        </a:prstGeom>
      </xdr:spPr>
    </xdr:pic>
  </etc:cellImage>
  <etc:cellImage>
    <xdr:pic>
      <xdr:nvPicPr>
        <xdr:cNvPr id="149" name="ID_6F6A21BB7C3244B9B4AB483FED3D706D" descr="upload_post_object_v2_4176825470"/>
        <xdr:cNvPicPr/>
      </xdr:nvPicPr>
      <xdr:blipFill>
        <a:blip r:embed="rId121"/>
        <a:stretch>
          <a:fillRect/>
        </a:stretch>
      </xdr:blipFill>
      <xdr:spPr>
        <a:xfrm>
          <a:off x="0" y="0"/>
          <a:ext cx="1074420" cy="377190"/>
        </a:xfrm>
        <a:prstGeom prst="rect">
          <a:avLst/>
        </a:prstGeom>
      </xdr:spPr>
    </xdr:pic>
  </etc:cellImage>
  <etc:cellImage>
    <xdr:pic>
      <xdr:nvPicPr>
        <xdr:cNvPr id="150" name="ID_50BCD7604D79401DA75EDE926A4857FA" descr="upload_post_object_v2_3844417510"/>
        <xdr:cNvPicPr/>
      </xdr:nvPicPr>
      <xdr:blipFill>
        <a:blip r:embed="rId122"/>
        <a:stretch>
          <a:fillRect/>
        </a:stretch>
      </xdr:blipFill>
      <xdr:spPr>
        <a:xfrm>
          <a:off x="0" y="0"/>
          <a:ext cx="1083945" cy="462915"/>
        </a:xfrm>
        <a:prstGeom prst="rect">
          <a:avLst/>
        </a:prstGeom>
      </xdr:spPr>
    </xdr:pic>
  </etc:cellImage>
  <etc:cellImage>
    <xdr:pic>
      <xdr:nvPicPr>
        <xdr:cNvPr id="151" name="ID_37A9E90F27704CB397DE704F355F36A8" descr="upload_post_object_v2_3842799361"/>
        <xdr:cNvPicPr/>
      </xdr:nvPicPr>
      <xdr:blipFill>
        <a:blip r:embed="rId123"/>
        <a:stretch>
          <a:fillRect/>
        </a:stretch>
      </xdr:blipFill>
      <xdr:spPr>
        <a:xfrm>
          <a:off x="0" y="0"/>
          <a:ext cx="798195" cy="491490"/>
        </a:xfrm>
        <a:prstGeom prst="rect">
          <a:avLst/>
        </a:prstGeom>
      </xdr:spPr>
    </xdr:pic>
  </etc:cellImage>
  <etc:cellImage>
    <xdr:pic>
      <xdr:nvPicPr>
        <xdr:cNvPr id="152" name="ID_69E5198F36EA459E95D837091573ED5E" descr="upload_post_object_v2_4280738823"/>
        <xdr:cNvPicPr/>
      </xdr:nvPicPr>
      <xdr:blipFill>
        <a:blip r:embed="rId124"/>
        <a:stretch>
          <a:fillRect/>
        </a:stretch>
      </xdr:blipFill>
      <xdr:spPr>
        <a:xfrm>
          <a:off x="0" y="0"/>
          <a:ext cx="702945" cy="697230"/>
        </a:xfrm>
        <a:prstGeom prst="rect">
          <a:avLst/>
        </a:prstGeom>
      </xdr:spPr>
    </xdr:pic>
  </etc:cellImage>
  <etc:cellImage>
    <xdr:pic>
      <xdr:nvPicPr>
        <xdr:cNvPr id="153" name="ID_DFF6ADBAD2DD47D287F09088C9A9A732" descr="upload_post_object_v2_565715730"/>
        <xdr:cNvPicPr/>
      </xdr:nvPicPr>
      <xdr:blipFill>
        <a:blip r:embed="rId125"/>
        <a:stretch>
          <a:fillRect/>
        </a:stretch>
      </xdr:blipFill>
      <xdr:spPr>
        <a:xfrm>
          <a:off x="0" y="0"/>
          <a:ext cx="590550" cy="697230"/>
        </a:xfrm>
        <a:prstGeom prst="rect">
          <a:avLst/>
        </a:prstGeom>
      </xdr:spPr>
    </xdr:pic>
  </etc:cellImage>
  <etc:cellImage>
    <xdr:pic>
      <xdr:nvPicPr>
        <xdr:cNvPr id="154" name="ID_58F9C3488DDC4147B489FDB80AF9A91B" descr="upload_post_object_v2_527664534"/>
        <xdr:cNvPicPr/>
      </xdr:nvPicPr>
      <xdr:blipFill>
        <a:blip r:embed="rId126"/>
        <a:stretch>
          <a:fillRect/>
        </a:stretch>
      </xdr:blipFill>
      <xdr:spPr>
        <a:xfrm>
          <a:off x="0" y="0"/>
          <a:ext cx="817245" cy="472440"/>
        </a:xfrm>
        <a:prstGeom prst="rect">
          <a:avLst/>
        </a:prstGeom>
      </xdr:spPr>
    </xdr:pic>
  </etc:cellImage>
  <etc:cellImage>
    <xdr:pic>
      <xdr:nvPicPr>
        <xdr:cNvPr id="155" name="ID_4E7C4535430F4D3FBC39DC4FFF0EB89A" descr="upload_post_object_v2_1151651764"/>
        <xdr:cNvPicPr/>
      </xdr:nvPicPr>
      <xdr:blipFill>
        <a:blip r:embed="rId127"/>
        <a:stretch>
          <a:fillRect/>
        </a:stretch>
      </xdr:blipFill>
      <xdr:spPr>
        <a:xfrm>
          <a:off x="0" y="0"/>
          <a:ext cx="788670" cy="481965"/>
        </a:xfrm>
        <a:prstGeom prst="rect">
          <a:avLst/>
        </a:prstGeom>
      </xdr:spPr>
    </xdr:pic>
  </etc:cellImage>
  <etc:cellImage>
    <xdr:pic>
      <xdr:nvPicPr>
        <xdr:cNvPr id="156" name="ID_9BB4334FFBD94CC8A0BBE47632EE2AE9" descr="upload_post_object_v2_3086966910"/>
        <xdr:cNvPicPr/>
      </xdr:nvPicPr>
      <xdr:blipFill>
        <a:blip r:embed="rId128"/>
        <a:stretch>
          <a:fillRect/>
        </a:stretch>
      </xdr:blipFill>
      <xdr:spPr>
        <a:xfrm>
          <a:off x="0" y="0"/>
          <a:ext cx="826770" cy="358140"/>
        </a:xfrm>
        <a:prstGeom prst="rect">
          <a:avLst/>
        </a:prstGeom>
      </xdr:spPr>
    </xdr:pic>
  </etc:cellImage>
  <etc:cellImage>
    <xdr:pic>
      <xdr:nvPicPr>
        <xdr:cNvPr id="157" name="ID_A9CE86D5BF5A4D04948E070C89303407" descr="upload_post_object_v2_679928509"/>
        <xdr:cNvPicPr/>
      </xdr:nvPicPr>
      <xdr:blipFill>
        <a:blip r:embed="rId129"/>
        <a:stretch>
          <a:fillRect/>
        </a:stretch>
      </xdr:blipFill>
      <xdr:spPr>
        <a:xfrm>
          <a:off x="0" y="0"/>
          <a:ext cx="702945" cy="632460"/>
        </a:xfrm>
        <a:prstGeom prst="rect">
          <a:avLst/>
        </a:prstGeom>
      </xdr:spPr>
    </xdr:pic>
  </etc:cellImage>
  <etc:cellImage>
    <xdr:pic>
      <xdr:nvPicPr>
        <xdr:cNvPr id="158" name="ID_F9A9801FEDDE4EA185F701ED756480BD" descr="upload_post_object_v2_1530270474"/>
        <xdr:cNvPicPr/>
      </xdr:nvPicPr>
      <xdr:blipFill>
        <a:blip r:embed="rId130"/>
        <a:stretch>
          <a:fillRect/>
        </a:stretch>
      </xdr:blipFill>
      <xdr:spPr>
        <a:xfrm>
          <a:off x="0" y="0"/>
          <a:ext cx="788670" cy="556260"/>
        </a:xfrm>
        <a:prstGeom prst="rect">
          <a:avLst/>
        </a:prstGeom>
      </xdr:spPr>
    </xdr:pic>
  </etc:cellImage>
  <etc:cellImage>
    <xdr:pic>
      <xdr:nvPicPr>
        <xdr:cNvPr id="159" name="ID_F002A7010E7F469CAA7A109B43E1F105" descr="upload_post_object_v2_1938474634"/>
        <xdr:cNvPicPr/>
      </xdr:nvPicPr>
      <xdr:blipFill>
        <a:blip r:embed="rId131"/>
        <a:stretch>
          <a:fillRect/>
        </a:stretch>
      </xdr:blipFill>
      <xdr:spPr>
        <a:xfrm>
          <a:off x="0" y="0"/>
          <a:ext cx="826770" cy="613410"/>
        </a:xfrm>
        <a:prstGeom prst="rect">
          <a:avLst/>
        </a:prstGeom>
      </xdr:spPr>
    </xdr:pic>
  </etc:cellImage>
  <etc:cellImage>
    <xdr:pic>
      <xdr:nvPicPr>
        <xdr:cNvPr id="160" name="ID_6E52D42620CB4F70B07D0DBA0EAB287F" descr="upload_post_object_v2_1488139735"/>
        <xdr:cNvPicPr/>
      </xdr:nvPicPr>
      <xdr:blipFill>
        <a:blip r:embed="rId132"/>
        <a:stretch>
          <a:fillRect/>
        </a:stretch>
      </xdr:blipFill>
      <xdr:spPr>
        <a:xfrm>
          <a:off x="0" y="0"/>
          <a:ext cx="514350" cy="697230"/>
        </a:xfrm>
        <a:prstGeom prst="rect">
          <a:avLst/>
        </a:prstGeom>
      </xdr:spPr>
    </xdr:pic>
  </etc:cellImage>
  <etc:cellImage>
    <xdr:pic>
      <xdr:nvPicPr>
        <xdr:cNvPr id="161" name="ID_09E7E1F14E8D433CAC5B725FD91B829A" descr="upload_post_object_v2_2985486051"/>
        <xdr:cNvPicPr/>
      </xdr:nvPicPr>
      <xdr:blipFill>
        <a:blip r:embed="rId133"/>
        <a:stretch>
          <a:fillRect/>
        </a:stretch>
      </xdr:blipFill>
      <xdr:spPr>
        <a:xfrm>
          <a:off x="0" y="0"/>
          <a:ext cx="798195" cy="501015"/>
        </a:xfrm>
        <a:prstGeom prst="rect">
          <a:avLst/>
        </a:prstGeom>
      </xdr:spPr>
    </xdr:pic>
  </etc:cellImage>
  <etc:cellImage>
    <xdr:pic>
      <xdr:nvPicPr>
        <xdr:cNvPr id="162" name="ID_DDD8C47570204663BD444A5D08F4D830" descr="upload_post_object_v2_3272586958"/>
        <xdr:cNvPicPr/>
      </xdr:nvPicPr>
      <xdr:blipFill>
        <a:blip r:embed="rId134"/>
        <a:stretch>
          <a:fillRect/>
        </a:stretch>
      </xdr:blipFill>
      <xdr:spPr>
        <a:xfrm>
          <a:off x="0" y="0"/>
          <a:ext cx="798195" cy="198120"/>
        </a:xfrm>
        <a:prstGeom prst="rect">
          <a:avLst/>
        </a:prstGeom>
      </xdr:spPr>
    </xdr:pic>
  </etc:cellImage>
  <etc:cellImage>
    <xdr:pic>
      <xdr:nvPicPr>
        <xdr:cNvPr id="163" name="ID_60EE38B533434B7BB7678037272B1F48" descr="upload_post_object_v2_1508033921"/>
        <xdr:cNvPicPr/>
      </xdr:nvPicPr>
      <xdr:blipFill>
        <a:blip r:embed="rId135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</etc:cellImage>
  <etc:cellImage>
    <xdr:pic>
      <xdr:nvPicPr>
        <xdr:cNvPr id="164" name="ID_945534B9676A41588AB3544785E7C45A" descr="upload_post_object_v2_1929625633"/>
        <xdr:cNvPicPr/>
      </xdr:nvPicPr>
      <xdr:blipFill>
        <a:blip r:embed="rId123"/>
        <a:stretch>
          <a:fillRect/>
        </a:stretch>
      </xdr:blipFill>
      <xdr:spPr>
        <a:xfrm>
          <a:off x="0" y="0"/>
          <a:ext cx="798195" cy="491490"/>
        </a:xfrm>
        <a:prstGeom prst="rect">
          <a:avLst/>
        </a:prstGeom>
      </xdr:spPr>
    </xdr:pic>
  </etc:cellImage>
  <etc:cellImage>
    <xdr:pic>
      <xdr:nvPicPr>
        <xdr:cNvPr id="165" name="ID_82DFE8EA08B0407B8BFEF3FB554A86FA" descr="upload_post_object_v2_4249350928"/>
        <xdr:cNvPicPr/>
      </xdr:nvPicPr>
      <xdr:blipFill>
        <a:blip r:embed="rId136"/>
        <a:stretch>
          <a:fillRect/>
        </a:stretch>
      </xdr:blipFill>
      <xdr:spPr>
        <a:xfrm>
          <a:off x="0" y="0"/>
          <a:ext cx="836295" cy="501015"/>
        </a:xfrm>
        <a:prstGeom prst="rect">
          <a:avLst/>
        </a:prstGeom>
      </xdr:spPr>
    </xdr:pic>
  </etc:cellImage>
  <etc:cellImage>
    <xdr:pic>
      <xdr:nvPicPr>
        <xdr:cNvPr id="166" name="ID_C52D304FAF52440AB11C895BF734901D" descr="upload_post_object_v2_25630863"/>
        <xdr:cNvPicPr/>
      </xdr:nvPicPr>
      <xdr:blipFill>
        <a:blip r:embed="rId137"/>
        <a:stretch>
          <a:fillRect/>
        </a:stretch>
      </xdr:blipFill>
      <xdr:spPr>
        <a:xfrm>
          <a:off x="0" y="0"/>
          <a:ext cx="826770" cy="350520"/>
        </a:xfrm>
        <a:prstGeom prst="rect">
          <a:avLst/>
        </a:prstGeom>
      </xdr:spPr>
    </xdr:pic>
  </etc:cellImage>
  <etc:cellImage>
    <xdr:pic>
      <xdr:nvPicPr>
        <xdr:cNvPr id="167" name="ID_4FBF4AD5F05D4CAA8B77ED629922AC21" descr="upload_post_object_v2_2439373450"/>
        <xdr:cNvPicPr/>
      </xdr:nvPicPr>
      <xdr:blipFill>
        <a:blip r:embed="rId138"/>
        <a:stretch>
          <a:fillRect/>
        </a:stretch>
      </xdr:blipFill>
      <xdr:spPr>
        <a:xfrm>
          <a:off x="0" y="0"/>
          <a:ext cx="798195" cy="312420"/>
        </a:xfrm>
        <a:prstGeom prst="rect">
          <a:avLst/>
        </a:prstGeom>
      </xdr:spPr>
    </xdr:pic>
  </etc:cellImage>
  <etc:cellImage>
    <xdr:pic>
      <xdr:nvPicPr>
        <xdr:cNvPr id="168" name="ID_5544246F567E43338EEF20A1E05B2FB1" descr="upload_post_object_v2_756101579"/>
        <xdr:cNvPicPr/>
      </xdr:nvPicPr>
      <xdr:blipFill>
        <a:blip r:embed="rId139"/>
        <a:stretch>
          <a:fillRect/>
        </a:stretch>
      </xdr:blipFill>
      <xdr:spPr>
        <a:xfrm>
          <a:off x="0" y="0"/>
          <a:ext cx="788670" cy="312420"/>
        </a:xfrm>
        <a:prstGeom prst="rect">
          <a:avLst/>
        </a:prstGeom>
      </xdr:spPr>
    </xdr:pic>
  </etc:cellImage>
  <etc:cellImage>
    <xdr:pic>
      <xdr:nvPicPr>
        <xdr:cNvPr id="169" name="ID_908CFFC1196B46A297F4E7B9AD3F0FA4" descr="upload_post_object_v2_893941078"/>
        <xdr:cNvPicPr/>
      </xdr:nvPicPr>
      <xdr:blipFill>
        <a:blip r:embed="rId140"/>
        <a:stretch>
          <a:fillRect/>
        </a:stretch>
      </xdr:blipFill>
      <xdr:spPr>
        <a:xfrm>
          <a:off x="0" y="0"/>
          <a:ext cx="571500" cy="689610"/>
        </a:xfrm>
        <a:prstGeom prst="rect">
          <a:avLst/>
        </a:prstGeom>
      </xdr:spPr>
    </xdr:pic>
  </etc:cellImage>
  <etc:cellImage>
    <xdr:pic>
      <xdr:nvPicPr>
        <xdr:cNvPr id="170" name="ID_5918C4BCE1994731A04FCEF9888A7B53" descr="upload_post_object_v2_2738591761"/>
        <xdr:cNvPicPr/>
      </xdr:nvPicPr>
      <xdr:blipFill>
        <a:blip r:embed="rId141"/>
        <a:stretch>
          <a:fillRect/>
        </a:stretch>
      </xdr:blipFill>
      <xdr:spPr>
        <a:xfrm>
          <a:off x="0" y="0"/>
          <a:ext cx="495300" cy="687705"/>
        </a:xfrm>
        <a:prstGeom prst="rect">
          <a:avLst/>
        </a:prstGeom>
      </xdr:spPr>
    </xdr:pic>
  </etc:cellImage>
  <etc:cellImage>
    <xdr:pic>
      <xdr:nvPicPr>
        <xdr:cNvPr id="171" name="ID_64EE0858E5B34FB4994B96B2BF58EB05" descr="upload_post_object_v2_4055658947"/>
        <xdr:cNvPicPr/>
      </xdr:nvPicPr>
      <xdr:blipFill>
        <a:blip r:embed="rId142"/>
        <a:stretch>
          <a:fillRect/>
        </a:stretch>
      </xdr:blipFill>
      <xdr:spPr>
        <a:xfrm>
          <a:off x="0" y="0"/>
          <a:ext cx="419100" cy="689610"/>
        </a:xfrm>
        <a:prstGeom prst="rect">
          <a:avLst/>
        </a:prstGeom>
      </xdr:spPr>
    </xdr:pic>
  </etc:cellImage>
  <etc:cellImage>
    <xdr:pic>
      <xdr:nvPicPr>
        <xdr:cNvPr id="172" name="ID_9A93E6FCC95C4ECF9CB0E0089F580E4E" descr="upload_post_object_v2_3839327799"/>
        <xdr:cNvPicPr/>
      </xdr:nvPicPr>
      <xdr:blipFill>
        <a:blip r:embed="rId140"/>
        <a:stretch>
          <a:fillRect/>
        </a:stretch>
      </xdr:blipFill>
      <xdr:spPr>
        <a:xfrm>
          <a:off x="0" y="0"/>
          <a:ext cx="571500" cy="689610"/>
        </a:xfrm>
        <a:prstGeom prst="rect">
          <a:avLst/>
        </a:prstGeom>
      </xdr:spPr>
    </xdr:pic>
  </etc:cellImage>
  <etc:cellImage>
    <xdr:pic>
      <xdr:nvPicPr>
        <xdr:cNvPr id="173" name="ID_97AD8966C4524BE48E7B396AD5FBA4EC" descr="upload_post_object_v2_27421003"/>
        <xdr:cNvPicPr/>
      </xdr:nvPicPr>
      <xdr:blipFill>
        <a:blip r:embed="rId143"/>
        <a:stretch>
          <a:fillRect/>
        </a:stretch>
      </xdr:blipFill>
      <xdr:spPr>
        <a:xfrm>
          <a:off x="0" y="0"/>
          <a:ext cx="893445" cy="575310"/>
        </a:xfrm>
        <a:prstGeom prst="rect">
          <a:avLst/>
        </a:prstGeom>
      </xdr:spPr>
    </xdr:pic>
  </etc:cellImage>
  <etc:cellImage>
    <xdr:pic>
      <xdr:nvPicPr>
        <xdr:cNvPr id="174" name="ID_D19D94BAF6F8491FA836ADBA47AC3351" descr="upload_post_object_v2_2129617232"/>
        <xdr:cNvPicPr/>
      </xdr:nvPicPr>
      <xdr:blipFill>
        <a:blip r:embed="rId144"/>
        <a:stretch>
          <a:fillRect/>
        </a:stretch>
      </xdr:blipFill>
      <xdr:spPr>
        <a:xfrm>
          <a:off x="0" y="0"/>
          <a:ext cx="807720" cy="377190"/>
        </a:xfrm>
        <a:prstGeom prst="rect">
          <a:avLst/>
        </a:prstGeom>
      </xdr:spPr>
    </xdr:pic>
  </etc:cellImage>
  <etc:cellImage>
    <xdr:pic>
      <xdr:nvPicPr>
        <xdr:cNvPr id="175" name="ID_5D49C5AFFF4B43C19DCD14C6851E047B" descr="upload_post_object_v2_1143050350"/>
        <xdr:cNvPicPr/>
      </xdr:nvPicPr>
      <xdr:blipFill>
        <a:blip r:embed="rId145"/>
        <a:stretch>
          <a:fillRect/>
        </a:stretch>
      </xdr:blipFill>
      <xdr:spPr>
        <a:xfrm>
          <a:off x="0" y="0"/>
          <a:ext cx="702945" cy="641985"/>
        </a:xfrm>
        <a:prstGeom prst="rect">
          <a:avLst/>
        </a:prstGeom>
      </xdr:spPr>
    </xdr:pic>
  </etc:cellImage>
  <etc:cellImage>
    <xdr:pic>
      <xdr:nvPicPr>
        <xdr:cNvPr id="176" name="ID_8AA46021CABC476B93D01F12CF857DA7" descr="upload_post_object_v2_3260473699"/>
        <xdr:cNvPicPr/>
      </xdr:nvPicPr>
      <xdr:blipFill>
        <a:blip r:embed="rId146"/>
        <a:stretch>
          <a:fillRect/>
        </a:stretch>
      </xdr:blipFill>
      <xdr:spPr>
        <a:xfrm>
          <a:off x="0" y="0"/>
          <a:ext cx="826770" cy="188595"/>
        </a:xfrm>
        <a:prstGeom prst="rect">
          <a:avLst/>
        </a:prstGeom>
      </xdr:spPr>
    </xdr:pic>
  </etc:cellImage>
  <etc:cellImage>
    <xdr:pic>
      <xdr:nvPicPr>
        <xdr:cNvPr id="177" name="ID_6F245DCB07294BC3AF9E0055906B70AE" descr="upload_post_object_v2_1065425301"/>
        <xdr:cNvPicPr/>
      </xdr:nvPicPr>
      <xdr:blipFill>
        <a:blip r:embed="rId147"/>
        <a:stretch>
          <a:fillRect/>
        </a:stretch>
      </xdr:blipFill>
      <xdr:spPr>
        <a:xfrm>
          <a:off x="0" y="0"/>
          <a:ext cx="807720" cy="594360"/>
        </a:xfrm>
        <a:prstGeom prst="rect">
          <a:avLst/>
        </a:prstGeom>
      </xdr:spPr>
    </xdr:pic>
  </etc:cellImage>
  <etc:cellImage>
    <xdr:pic>
      <xdr:nvPicPr>
        <xdr:cNvPr id="178" name="ID_0C7D669E43D44824B3A060DBC38B36B5" descr="upload_post_object_v2_411876992"/>
        <xdr:cNvPicPr/>
      </xdr:nvPicPr>
      <xdr:blipFill>
        <a:blip r:embed="rId148"/>
        <a:stretch>
          <a:fillRect/>
        </a:stretch>
      </xdr:blipFill>
      <xdr:spPr>
        <a:xfrm>
          <a:off x="0" y="0"/>
          <a:ext cx="807720" cy="687705"/>
        </a:xfrm>
        <a:prstGeom prst="rect">
          <a:avLst/>
        </a:prstGeom>
      </xdr:spPr>
    </xdr:pic>
  </etc:cellImage>
  <etc:cellImage>
    <xdr:pic>
      <xdr:nvPicPr>
        <xdr:cNvPr id="179" name="ID_65CA3D2EC98541D5A0F5A6C6589A3747" descr="upload_post_object_v2_3698919935"/>
        <xdr:cNvPicPr/>
      </xdr:nvPicPr>
      <xdr:blipFill>
        <a:blip r:embed="rId149"/>
        <a:stretch>
          <a:fillRect/>
        </a:stretch>
      </xdr:blipFill>
      <xdr:spPr>
        <a:xfrm>
          <a:off x="0" y="0"/>
          <a:ext cx="817245" cy="527685"/>
        </a:xfrm>
        <a:prstGeom prst="rect">
          <a:avLst/>
        </a:prstGeom>
      </xdr:spPr>
    </xdr:pic>
  </etc:cellImage>
  <etc:cellImage>
    <xdr:pic>
      <xdr:nvPicPr>
        <xdr:cNvPr id="180" name="ID_E5A7E3764FE840B39FDBDC47E559869F" descr="upload_post_object_v2_3784144198"/>
        <xdr:cNvPicPr/>
      </xdr:nvPicPr>
      <xdr:blipFill>
        <a:blip r:embed="rId150"/>
        <a:stretch>
          <a:fillRect/>
        </a:stretch>
      </xdr:blipFill>
      <xdr:spPr>
        <a:xfrm>
          <a:off x="0" y="0"/>
          <a:ext cx="836295" cy="142875"/>
        </a:xfrm>
        <a:prstGeom prst="rect">
          <a:avLst/>
        </a:prstGeom>
      </xdr:spPr>
    </xdr:pic>
  </etc:cellImage>
  <etc:cellImage>
    <xdr:pic>
      <xdr:nvPicPr>
        <xdr:cNvPr id="181" name="ID_15FA8BA42C774125985AC2469865AEC9" descr="upload_post_object_v2_480813987"/>
        <xdr:cNvPicPr/>
      </xdr:nvPicPr>
      <xdr:blipFill>
        <a:blip r:embed="rId151"/>
        <a:stretch>
          <a:fillRect/>
        </a:stretch>
      </xdr:blipFill>
      <xdr:spPr>
        <a:xfrm>
          <a:off x="0" y="0"/>
          <a:ext cx="826770" cy="114300"/>
        </a:xfrm>
        <a:prstGeom prst="rect">
          <a:avLst/>
        </a:prstGeom>
      </xdr:spPr>
    </xdr:pic>
  </etc:cellImage>
  <etc:cellImage>
    <xdr:pic>
      <xdr:nvPicPr>
        <xdr:cNvPr id="182" name="ID_6D3D21D5392943F981AC0562CFDF0F85" descr="upload_post_object_v2_1313313983"/>
        <xdr:cNvPicPr/>
      </xdr:nvPicPr>
      <xdr:blipFill>
        <a:blip r:embed="rId152"/>
        <a:stretch>
          <a:fillRect/>
        </a:stretch>
      </xdr:blipFill>
      <xdr:spPr>
        <a:xfrm>
          <a:off x="0" y="0"/>
          <a:ext cx="855345" cy="171450"/>
        </a:xfrm>
        <a:prstGeom prst="rect">
          <a:avLst/>
        </a:prstGeom>
      </xdr:spPr>
    </xdr:pic>
  </etc:cellImage>
  <etc:cellImage>
    <xdr:pic>
      <xdr:nvPicPr>
        <xdr:cNvPr id="183" name="ID_F34D4221BFC24F6F935038B806D634C4" descr="upload_post_object_v2_3788682320"/>
        <xdr:cNvPicPr/>
      </xdr:nvPicPr>
      <xdr:blipFill>
        <a:blip r:embed="rId153"/>
        <a:stretch>
          <a:fillRect/>
        </a:stretch>
      </xdr:blipFill>
      <xdr:spPr>
        <a:xfrm>
          <a:off x="0" y="0"/>
          <a:ext cx="807720" cy="472440"/>
        </a:xfrm>
        <a:prstGeom prst="rect">
          <a:avLst/>
        </a:prstGeom>
      </xdr:spPr>
    </xdr:pic>
  </etc:cellImage>
  <etc:cellImage>
    <xdr:pic>
      <xdr:nvPicPr>
        <xdr:cNvPr id="184" name="ID_236143A9D927482185ADC8B8BAD709BC" descr="upload_post_object_v2_2172615897"/>
        <xdr:cNvPicPr/>
      </xdr:nvPicPr>
      <xdr:blipFill>
        <a:blip r:embed="rId154"/>
        <a:stretch>
          <a:fillRect/>
        </a:stretch>
      </xdr:blipFill>
      <xdr:spPr>
        <a:xfrm>
          <a:off x="0" y="0"/>
          <a:ext cx="788670" cy="424815"/>
        </a:xfrm>
        <a:prstGeom prst="rect">
          <a:avLst/>
        </a:prstGeom>
      </xdr:spPr>
    </xdr:pic>
  </etc:cellImage>
  <etc:cellImage>
    <xdr:pic>
      <xdr:nvPicPr>
        <xdr:cNvPr id="185" name="ID_F7BBFAD0B5B64EDCA2C95F89E63B6EA4" descr="upload_post_object_v2_353865536"/>
        <xdr:cNvPicPr/>
      </xdr:nvPicPr>
      <xdr:blipFill>
        <a:blip r:embed="rId155"/>
        <a:stretch>
          <a:fillRect/>
        </a:stretch>
      </xdr:blipFill>
      <xdr:spPr>
        <a:xfrm>
          <a:off x="0" y="0"/>
          <a:ext cx="845820" cy="217170"/>
        </a:xfrm>
        <a:prstGeom prst="rect">
          <a:avLst/>
        </a:prstGeom>
      </xdr:spPr>
    </xdr:pic>
  </etc:cellImage>
  <etc:cellImage>
    <xdr:pic>
      <xdr:nvPicPr>
        <xdr:cNvPr id="186" name="ID_9310E1A180684FE6B9F13AC7C6BB88D7" descr="upload_post_object_v2_621719257"/>
        <xdr:cNvPicPr/>
      </xdr:nvPicPr>
      <xdr:blipFill>
        <a:blip r:embed="rId156"/>
        <a:stretch>
          <a:fillRect/>
        </a:stretch>
      </xdr:blipFill>
      <xdr:spPr>
        <a:xfrm>
          <a:off x="0" y="0"/>
          <a:ext cx="845820" cy="226695"/>
        </a:xfrm>
        <a:prstGeom prst="rect">
          <a:avLst/>
        </a:prstGeom>
      </xdr:spPr>
    </xdr:pic>
  </etc:cellImage>
  <etc:cellImage>
    <xdr:pic>
      <xdr:nvPicPr>
        <xdr:cNvPr id="187" name="ID_0CE80387404240A484E25DD6B18C880B" descr="upload_post_object_v2_4200410103"/>
        <xdr:cNvPicPr/>
      </xdr:nvPicPr>
      <xdr:blipFill>
        <a:blip r:embed="rId157"/>
        <a:stretch>
          <a:fillRect/>
        </a:stretch>
      </xdr:blipFill>
      <xdr:spPr>
        <a:xfrm>
          <a:off x="0" y="0"/>
          <a:ext cx="731520" cy="651510"/>
        </a:xfrm>
        <a:prstGeom prst="rect">
          <a:avLst/>
        </a:prstGeom>
      </xdr:spPr>
    </xdr:pic>
  </etc:cellImage>
  <etc:cellImage>
    <xdr:pic>
      <xdr:nvPicPr>
        <xdr:cNvPr id="188" name="ID_9DACABC6CC204928BE7B7389ACA106F5" descr="upload_post_object_v2_742564983"/>
        <xdr:cNvPicPr/>
      </xdr:nvPicPr>
      <xdr:blipFill>
        <a:blip r:embed="rId157"/>
        <a:stretch>
          <a:fillRect/>
        </a:stretch>
      </xdr:blipFill>
      <xdr:spPr>
        <a:xfrm>
          <a:off x="0" y="0"/>
          <a:ext cx="731520" cy="651510"/>
        </a:xfrm>
        <a:prstGeom prst="rect">
          <a:avLst/>
        </a:prstGeom>
      </xdr:spPr>
    </xdr:pic>
  </etc:cellImage>
  <etc:cellImage>
    <xdr:pic>
      <xdr:nvPicPr>
        <xdr:cNvPr id="189" name="ID_5C171A43E7CF43588911E7D81DB50CCF" descr="upload_post_object_v2_3216915347"/>
        <xdr:cNvPicPr/>
      </xdr:nvPicPr>
      <xdr:blipFill>
        <a:blip r:embed="rId158"/>
        <a:stretch>
          <a:fillRect/>
        </a:stretch>
      </xdr:blipFill>
      <xdr:spPr>
        <a:xfrm>
          <a:off x="0" y="0"/>
          <a:ext cx="741045" cy="641985"/>
        </a:xfrm>
        <a:prstGeom prst="rect">
          <a:avLst/>
        </a:prstGeom>
      </xdr:spPr>
    </xdr:pic>
  </etc:cellImage>
  <etc:cellImage>
    <xdr:pic>
      <xdr:nvPicPr>
        <xdr:cNvPr id="190" name="ID_A843354EBBE94E1F8806A6686A0A3E80" descr="upload_post_object_v2_1126140138"/>
        <xdr:cNvPicPr/>
      </xdr:nvPicPr>
      <xdr:blipFill>
        <a:blip r:embed="rId159"/>
        <a:stretch>
          <a:fillRect/>
        </a:stretch>
      </xdr:blipFill>
      <xdr:spPr>
        <a:xfrm>
          <a:off x="0" y="0"/>
          <a:ext cx="731520" cy="622935"/>
        </a:xfrm>
        <a:prstGeom prst="rect">
          <a:avLst/>
        </a:prstGeom>
      </xdr:spPr>
    </xdr:pic>
  </etc:cellImage>
  <etc:cellImage>
    <xdr:pic>
      <xdr:nvPicPr>
        <xdr:cNvPr id="191" name="ID_6ED5DD6333634B6AA35FF014070A72E0" descr="upload_post_object_v2_2759540309"/>
        <xdr:cNvPicPr/>
      </xdr:nvPicPr>
      <xdr:blipFill>
        <a:blip r:embed="rId160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</etc:cellImage>
  <etc:cellImage>
    <xdr:pic>
      <xdr:nvPicPr>
        <xdr:cNvPr id="192" name="ID_DC979AF53FEC4D26AB1FB30F1893C9E3" descr="upload_post_object_v2_3745425017"/>
        <xdr:cNvPicPr/>
      </xdr:nvPicPr>
      <xdr:blipFill>
        <a:blip r:embed="rId161"/>
        <a:stretch>
          <a:fillRect/>
        </a:stretch>
      </xdr:blipFill>
      <xdr:spPr>
        <a:xfrm>
          <a:off x="0" y="0"/>
          <a:ext cx="788670" cy="114300"/>
        </a:xfrm>
        <a:prstGeom prst="rect">
          <a:avLst/>
        </a:prstGeom>
      </xdr:spPr>
    </xdr:pic>
  </etc:cellImage>
  <etc:cellImage>
    <xdr:pic>
      <xdr:nvPicPr>
        <xdr:cNvPr id="193" name="ID_CBDBA49DA94647938103C209E1651744" descr="upload_post_object_v2_589344526"/>
        <xdr:cNvPicPr/>
      </xdr:nvPicPr>
      <xdr:blipFill>
        <a:blip r:embed="rId162"/>
        <a:stretch>
          <a:fillRect/>
        </a:stretch>
      </xdr:blipFill>
      <xdr:spPr>
        <a:xfrm>
          <a:off x="0" y="0"/>
          <a:ext cx="845820" cy="95250"/>
        </a:xfrm>
        <a:prstGeom prst="rect">
          <a:avLst/>
        </a:prstGeom>
      </xdr:spPr>
    </xdr:pic>
  </etc:cellImage>
  <etc:cellImage>
    <xdr:pic>
      <xdr:nvPicPr>
        <xdr:cNvPr id="194" name="ID_ECEE6429ABFB43C0AFBA27FF82FF610D" descr="upload_post_object_v2_111209632"/>
        <xdr:cNvPicPr/>
      </xdr:nvPicPr>
      <xdr:blipFill>
        <a:blip r:embed="rId163"/>
        <a:stretch>
          <a:fillRect/>
        </a:stretch>
      </xdr:blipFill>
      <xdr:spPr>
        <a:xfrm>
          <a:off x="0" y="0"/>
          <a:ext cx="826770" cy="226695"/>
        </a:xfrm>
        <a:prstGeom prst="rect">
          <a:avLst/>
        </a:prstGeom>
      </xdr:spPr>
    </xdr:pic>
  </etc:cellImage>
  <etc:cellImage>
    <xdr:pic>
      <xdr:nvPicPr>
        <xdr:cNvPr id="195" name="ID_C98F340BAEEC4A208558503F761D1D7B" descr="upload_post_object_v2_4176479981"/>
        <xdr:cNvPicPr/>
      </xdr:nvPicPr>
      <xdr:blipFill>
        <a:blip r:embed="rId164"/>
        <a:stretch>
          <a:fillRect/>
        </a:stretch>
      </xdr:blipFill>
      <xdr:spPr>
        <a:xfrm>
          <a:off x="0" y="0"/>
          <a:ext cx="731520" cy="613410"/>
        </a:xfrm>
        <a:prstGeom prst="rect">
          <a:avLst/>
        </a:prstGeom>
      </xdr:spPr>
    </xdr:pic>
  </etc:cellImage>
  <etc:cellImage>
    <xdr:pic>
      <xdr:nvPicPr>
        <xdr:cNvPr id="196" name="ID_11B55B9345384A4A8BA59B29B3A634BD" descr="upload_post_object_v2_1272417531"/>
        <xdr:cNvPicPr/>
      </xdr:nvPicPr>
      <xdr:blipFill>
        <a:blip r:embed="rId165"/>
        <a:stretch>
          <a:fillRect/>
        </a:stretch>
      </xdr:blipFill>
      <xdr:spPr>
        <a:xfrm>
          <a:off x="0" y="0"/>
          <a:ext cx="883920" cy="434340"/>
        </a:xfrm>
        <a:prstGeom prst="rect">
          <a:avLst/>
        </a:prstGeom>
      </xdr:spPr>
    </xdr:pic>
  </etc:cellImage>
  <etc:cellImage>
    <xdr:pic>
      <xdr:nvPicPr>
        <xdr:cNvPr id="197" name="ID_BF15B82D08024355B373F7F18111571E" descr="upload_post_object_v2_2223692725"/>
        <xdr:cNvPicPr/>
      </xdr:nvPicPr>
      <xdr:blipFill>
        <a:blip r:embed="rId166"/>
        <a:stretch>
          <a:fillRect/>
        </a:stretch>
      </xdr:blipFill>
      <xdr:spPr>
        <a:xfrm>
          <a:off x="0" y="0"/>
          <a:ext cx="447675" cy="687705"/>
        </a:xfrm>
        <a:prstGeom prst="rect">
          <a:avLst/>
        </a:prstGeom>
      </xdr:spPr>
    </xdr:pic>
  </etc:cellImage>
  <etc:cellImage>
    <xdr:pic>
      <xdr:nvPicPr>
        <xdr:cNvPr id="198" name="ID_BE035973A4584B6FA455A916008B41E5" descr="upload_post_object_v2_693303448"/>
        <xdr:cNvPicPr/>
      </xdr:nvPicPr>
      <xdr:blipFill>
        <a:blip r:embed="rId167"/>
        <a:stretch>
          <a:fillRect/>
        </a:stretch>
      </xdr:blipFill>
      <xdr:spPr>
        <a:xfrm>
          <a:off x="0" y="0"/>
          <a:ext cx="779145" cy="443865"/>
        </a:xfrm>
        <a:prstGeom prst="rect">
          <a:avLst/>
        </a:prstGeom>
      </xdr:spPr>
    </xdr:pic>
  </etc:cellImage>
  <etc:cellImage>
    <xdr:pic>
      <xdr:nvPicPr>
        <xdr:cNvPr id="199" name="ID_D1FCEEFC6216457B9B52AE94600C4749" descr="upload_post_object_v2_1134589860"/>
        <xdr:cNvPicPr/>
      </xdr:nvPicPr>
      <xdr:blipFill>
        <a:blip r:embed="rId168"/>
        <a:stretch>
          <a:fillRect/>
        </a:stretch>
      </xdr:blipFill>
      <xdr:spPr>
        <a:xfrm>
          <a:off x="0" y="0"/>
          <a:ext cx="817245" cy="520065"/>
        </a:xfrm>
        <a:prstGeom prst="rect">
          <a:avLst/>
        </a:prstGeom>
      </xdr:spPr>
    </xdr:pic>
  </etc:cellImage>
  <etc:cellImage>
    <xdr:pic>
      <xdr:nvPicPr>
        <xdr:cNvPr id="200" name="ID_282C3A2FEFF944838CF1ADD2E61F468D" descr="upload_post_object_v2_2350764709"/>
        <xdr:cNvPicPr/>
      </xdr:nvPicPr>
      <xdr:blipFill>
        <a:blip r:embed="rId169"/>
        <a:stretch>
          <a:fillRect/>
        </a:stretch>
      </xdr:blipFill>
      <xdr:spPr>
        <a:xfrm>
          <a:off x="0" y="0"/>
          <a:ext cx="931545" cy="302895"/>
        </a:xfrm>
        <a:prstGeom prst="rect">
          <a:avLst/>
        </a:prstGeom>
      </xdr:spPr>
    </xdr:pic>
  </etc:cellImage>
  <etc:cellImage>
    <xdr:pic>
      <xdr:nvPicPr>
        <xdr:cNvPr id="201" name="ID_5CC607DD469D4C2F945968F3E4669160" descr="upload_post_object_v2_446827319"/>
        <xdr:cNvPicPr/>
      </xdr:nvPicPr>
      <xdr:blipFill>
        <a:blip r:embed="rId170"/>
        <a:stretch>
          <a:fillRect/>
        </a:stretch>
      </xdr:blipFill>
      <xdr:spPr>
        <a:xfrm>
          <a:off x="0" y="0"/>
          <a:ext cx="712470" cy="651510"/>
        </a:xfrm>
        <a:prstGeom prst="rect">
          <a:avLst/>
        </a:prstGeom>
      </xdr:spPr>
    </xdr:pic>
  </etc:cellImage>
  <etc:cellImage>
    <xdr:pic>
      <xdr:nvPicPr>
        <xdr:cNvPr id="202" name="ID_AFB6A950FE4B49C58354E35D74246FB8" descr="upload_post_object_v2_3579890949"/>
        <xdr:cNvPicPr/>
      </xdr:nvPicPr>
      <xdr:blipFill>
        <a:blip r:embed="rId170"/>
        <a:stretch>
          <a:fillRect/>
        </a:stretch>
      </xdr:blipFill>
      <xdr:spPr>
        <a:xfrm>
          <a:off x="0" y="0"/>
          <a:ext cx="712470" cy="651510"/>
        </a:xfrm>
        <a:prstGeom prst="rect">
          <a:avLst/>
        </a:prstGeom>
      </xdr:spPr>
    </xdr:pic>
  </etc:cellImage>
  <etc:cellImage>
    <xdr:pic>
      <xdr:nvPicPr>
        <xdr:cNvPr id="203" name="ID_ABE761078B7046AEB755EBCDEF961C5A" descr="upload_post_object_v2_1421699519"/>
        <xdr:cNvPicPr/>
      </xdr:nvPicPr>
      <xdr:blipFill>
        <a:blip r:embed="rId171"/>
        <a:stretch>
          <a:fillRect/>
        </a:stretch>
      </xdr:blipFill>
      <xdr:spPr>
        <a:xfrm>
          <a:off x="0" y="0"/>
          <a:ext cx="836295" cy="264795"/>
        </a:xfrm>
        <a:prstGeom prst="rect">
          <a:avLst/>
        </a:prstGeom>
      </xdr:spPr>
    </xdr:pic>
  </etc:cellImage>
  <etc:cellImage>
    <xdr:pic>
      <xdr:nvPicPr>
        <xdr:cNvPr id="204" name="ID_3D34A639EC004FAF961CE5A42E376ADD" descr="upload_post_object_v2_620283983"/>
        <xdr:cNvPicPr/>
      </xdr:nvPicPr>
      <xdr:blipFill>
        <a:blip r:embed="rId172"/>
        <a:stretch>
          <a:fillRect/>
        </a:stretch>
      </xdr:blipFill>
      <xdr:spPr>
        <a:xfrm>
          <a:off x="0" y="0"/>
          <a:ext cx="712470" cy="651510"/>
        </a:xfrm>
        <a:prstGeom prst="rect">
          <a:avLst/>
        </a:prstGeom>
      </xdr:spPr>
    </xdr:pic>
  </etc:cellImage>
  <etc:cellImage>
    <xdr:pic>
      <xdr:nvPicPr>
        <xdr:cNvPr id="205" name="ID_19ED05E14342457F98DC087BBF568E79" descr="upload_post_object_v2_45276228"/>
        <xdr:cNvPicPr/>
      </xdr:nvPicPr>
      <xdr:blipFill>
        <a:blip r:embed="rId173"/>
        <a:stretch>
          <a:fillRect/>
        </a:stretch>
      </xdr:blipFill>
      <xdr:spPr>
        <a:xfrm>
          <a:off x="0" y="0"/>
          <a:ext cx="760095" cy="680085"/>
        </a:xfrm>
        <a:prstGeom prst="rect">
          <a:avLst/>
        </a:prstGeom>
      </xdr:spPr>
    </xdr:pic>
  </etc:cellImage>
  <etc:cellImage>
    <xdr:pic>
      <xdr:nvPicPr>
        <xdr:cNvPr id="206" name="ID_748BAA7DBA824EC8845029D8313B056E" descr="upload_post_object_v2_3349244180"/>
        <xdr:cNvPicPr/>
      </xdr:nvPicPr>
      <xdr:blipFill>
        <a:blip r:embed="rId174"/>
        <a:stretch>
          <a:fillRect/>
        </a:stretch>
      </xdr:blipFill>
      <xdr:spPr>
        <a:xfrm>
          <a:off x="0" y="0"/>
          <a:ext cx="1083945" cy="510540"/>
        </a:xfrm>
        <a:prstGeom prst="rect">
          <a:avLst/>
        </a:prstGeom>
      </xdr:spPr>
    </xdr:pic>
  </etc:cellImage>
  <etc:cellImage>
    <xdr:pic>
      <xdr:nvPicPr>
        <xdr:cNvPr id="207" name="ID_5DF188C072C149FCB9DD131E8EB10EAC" descr="upload_post_object_v2_2842110831"/>
        <xdr:cNvPicPr/>
      </xdr:nvPicPr>
      <xdr:blipFill>
        <a:blip r:embed="rId175"/>
        <a:stretch>
          <a:fillRect/>
        </a:stretch>
      </xdr:blipFill>
      <xdr:spPr>
        <a:xfrm>
          <a:off x="0" y="0"/>
          <a:ext cx="817245" cy="405765"/>
        </a:xfrm>
        <a:prstGeom prst="rect">
          <a:avLst/>
        </a:prstGeom>
      </xdr:spPr>
    </xdr:pic>
  </etc:cellImage>
  <etc:cellImage>
    <xdr:pic>
      <xdr:nvPicPr>
        <xdr:cNvPr id="208" name="ID_B54933663ED74018BB0CA0E68A10FD19" descr="upload_post_object_v2_1779370276"/>
        <xdr:cNvPicPr/>
      </xdr:nvPicPr>
      <xdr:blipFill>
        <a:blip r:embed="rId176"/>
        <a:stretch>
          <a:fillRect/>
        </a:stretch>
      </xdr:blipFill>
      <xdr:spPr>
        <a:xfrm>
          <a:off x="0" y="0"/>
          <a:ext cx="514350" cy="641985"/>
        </a:xfrm>
        <a:prstGeom prst="rect">
          <a:avLst/>
        </a:prstGeom>
      </xdr:spPr>
    </xdr:pic>
  </etc:cellImage>
  <etc:cellImage>
    <xdr:pic>
      <xdr:nvPicPr>
        <xdr:cNvPr id="209" name="ID_CFC0D5E412DA4678B1BD1383D696F22E" descr="upload_post_object_v2_2665612849"/>
        <xdr:cNvPicPr/>
      </xdr:nvPicPr>
      <xdr:blipFill>
        <a:blip r:embed="rId177"/>
        <a:stretch>
          <a:fillRect/>
        </a:stretch>
      </xdr:blipFill>
      <xdr:spPr>
        <a:xfrm>
          <a:off x="0" y="0"/>
          <a:ext cx="855345" cy="114300"/>
        </a:xfrm>
        <a:prstGeom prst="rect">
          <a:avLst/>
        </a:prstGeom>
      </xdr:spPr>
    </xdr:pic>
  </etc:cellImage>
  <etc:cellImage>
    <xdr:pic>
      <xdr:nvPicPr>
        <xdr:cNvPr id="210" name="ID_8AA2E95DF0CC4D49B08829E6336C4347" descr="upload_post_object_v2_1754512108"/>
        <xdr:cNvPicPr/>
      </xdr:nvPicPr>
      <xdr:blipFill>
        <a:blip r:embed="rId178"/>
        <a:stretch>
          <a:fillRect/>
        </a:stretch>
      </xdr:blipFill>
      <xdr:spPr>
        <a:xfrm>
          <a:off x="0" y="0"/>
          <a:ext cx="826770" cy="95250"/>
        </a:xfrm>
        <a:prstGeom prst="rect">
          <a:avLst/>
        </a:prstGeom>
      </xdr:spPr>
    </xdr:pic>
  </etc:cellImage>
  <etc:cellImage>
    <xdr:pic>
      <xdr:nvPicPr>
        <xdr:cNvPr id="211" name="ID_3C2718BC6D8F4AB7BAE8D46CB09E5261" descr="upload_post_object_v2_862524126"/>
        <xdr:cNvPicPr/>
      </xdr:nvPicPr>
      <xdr:blipFill>
        <a:blip r:embed="rId179"/>
        <a:stretch>
          <a:fillRect/>
        </a:stretch>
      </xdr:blipFill>
      <xdr:spPr>
        <a:xfrm>
          <a:off x="0" y="0"/>
          <a:ext cx="912495" cy="152400"/>
        </a:xfrm>
        <a:prstGeom prst="rect">
          <a:avLst/>
        </a:prstGeom>
      </xdr:spPr>
    </xdr:pic>
  </etc:cellImage>
  <etc:cellImage>
    <xdr:pic>
      <xdr:nvPicPr>
        <xdr:cNvPr id="212" name="ID_2D0A9B242DAE43B99F85DD95A6A79364" descr="upload_post_object_v2_1844648988"/>
        <xdr:cNvPicPr/>
      </xdr:nvPicPr>
      <xdr:blipFill>
        <a:blip r:embed="rId180"/>
        <a:stretch>
          <a:fillRect/>
        </a:stretch>
      </xdr:blipFill>
      <xdr:spPr>
        <a:xfrm>
          <a:off x="0" y="0"/>
          <a:ext cx="581025" cy="641985"/>
        </a:xfrm>
        <a:prstGeom prst="rect">
          <a:avLst/>
        </a:prstGeom>
      </xdr:spPr>
    </xdr:pic>
  </etc:cellImage>
  <etc:cellImage>
    <xdr:pic>
      <xdr:nvPicPr>
        <xdr:cNvPr id="213" name="ID_FE14936291234FE5A071730C9B83BA47" descr="upload_post_object_v2_512207540"/>
        <xdr:cNvPicPr/>
      </xdr:nvPicPr>
      <xdr:blipFill>
        <a:blip r:embed="rId181"/>
        <a:stretch>
          <a:fillRect/>
        </a:stretch>
      </xdr:blipFill>
      <xdr:spPr>
        <a:xfrm>
          <a:off x="0" y="0"/>
          <a:ext cx="702945" cy="632460"/>
        </a:xfrm>
        <a:prstGeom prst="rect">
          <a:avLst/>
        </a:prstGeom>
      </xdr:spPr>
    </xdr:pic>
  </etc:cellImage>
  <etc:cellImage>
    <xdr:pic>
      <xdr:nvPicPr>
        <xdr:cNvPr id="214" name="ID_73F2D60C7DAA461DB1DC5EC736E4EC50" descr="upload_post_object_v2_2823112777"/>
        <xdr:cNvPicPr/>
      </xdr:nvPicPr>
      <xdr:blipFill>
        <a:blip r:embed="rId182"/>
        <a:stretch>
          <a:fillRect/>
        </a:stretch>
      </xdr:blipFill>
      <xdr:spPr>
        <a:xfrm>
          <a:off x="0" y="0"/>
          <a:ext cx="731520" cy="689610"/>
        </a:xfrm>
        <a:prstGeom prst="rect">
          <a:avLst/>
        </a:prstGeom>
      </xdr:spPr>
    </xdr:pic>
  </etc:cellImage>
  <etc:cellImage>
    <xdr:pic>
      <xdr:nvPicPr>
        <xdr:cNvPr id="215" name="ID_483DB78F469244C1829A54BC2E3099A0" descr="upload_post_object_v2_722721493"/>
        <xdr:cNvPicPr/>
      </xdr:nvPicPr>
      <xdr:blipFill>
        <a:blip r:embed="rId183"/>
        <a:stretch>
          <a:fillRect/>
        </a:stretch>
      </xdr:blipFill>
      <xdr:spPr>
        <a:xfrm>
          <a:off x="0" y="0"/>
          <a:ext cx="826770" cy="510540"/>
        </a:xfrm>
        <a:prstGeom prst="rect">
          <a:avLst/>
        </a:prstGeom>
      </xdr:spPr>
    </xdr:pic>
  </etc:cellImage>
  <etc:cellImage>
    <xdr:pic>
      <xdr:nvPicPr>
        <xdr:cNvPr id="216" name="ID_310DCB8066E04AC6907C0F3B66BA9106" descr="upload_post_object_v2_1870930885"/>
        <xdr:cNvPicPr/>
      </xdr:nvPicPr>
      <xdr:blipFill>
        <a:blip r:embed="rId184"/>
        <a:stretch>
          <a:fillRect/>
        </a:stretch>
      </xdr:blipFill>
      <xdr:spPr>
        <a:xfrm>
          <a:off x="0" y="0"/>
          <a:ext cx="750570" cy="670560"/>
        </a:xfrm>
        <a:prstGeom prst="rect">
          <a:avLst/>
        </a:prstGeom>
      </xdr:spPr>
    </xdr:pic>
  </etc:cellImage>
  <etc:cellImage>
    <xdr:pic>
      <xdr:nvPicPr>
        <xdr:cNvPr id="217" name="ID_9AD2B200FDF1445B979E91894BC369BA" descr="upload_post_object_v2_1989346366"/>
        <xdr:cNvPicPr/>
      </xdr:nvPicPr>
      <xdr:blipFill>
        <a:blip r:embed="rId185"/>
        <a:stretch>
          <a:fillRect/>
        </a:stretch>
      </xdr:blipFill>
      <xdr:spPr>
        <a:xfrm>
          <a:off x="0" y="0"/>
          <a:ext cx="769620" cy="622935"/>
        </a:xfrm>
        <a:prstGeom prst="rect">
          <a:avLst/>
        </a:prstGeom>
      </xdr:spPr>
    </xdr:pic>
  </etc:cellImage>
  <etc:cellImage>
    <xdr:pic>
      <xdr:nvPicPr>
        <xdr:cNvPr id="218" name="ID_77FF014C1B024DBD99A7101682189101" descr="upload_post_object_v2_361607749"/>
        <xdr:cNvPicPr/>
      </xdr:nvPicPr>
      <xdr:blipFill>
        <a:blip r:embed="rId186"/>
        <a:stretch>
          <a:fillRect/>
        </a:stretch>
      </xdr:blipFill>
      <xdr:spPr>
        <a:xfrm>
          <a:off x="0" y="0"/>
          <a:ext cx="941070" cy="434340"/>
        </a:xfrm>
        <a:prstGeom prst="rect">
          <a:avLst/>
        </a:prstGeom>
      </xdr:spPr>
    </xdr:pic>
  </etc:cellImage>
  <etc:cellImage>
    <xdr:pic>
      <xdr:nvPicPr>
        <xdr:cNvPr id="219" name="ID_CE2AAB8CE7B248F0987093CB05DF9696" descr="upload_post_object_v2_4161189439"/>
        <xdr:cNvPicPr/>
      </xdr:nvPicPr>
      <xdr:blipFill>
        <a:blip r:embed="rId187"/>
        <a:stretch>
          <a:fillRect/>
        </a:stretch>
      </xdr:blipFill>
      <xdr:spPr>
        <a:xfrm>
          <a:off x="0" y="0"/>
          <a:ext cx="969645" cy="236220"/>
        </a:xfrm>
        <a:prstGeom prst="rect">
          <a:avLst/>
        </a:prstGeom>
      </xdr:spPr>
    </xdr:pic>
  </etc:cellImage>
  <etc:cellImage>
    <xdr:pic>
      <xdr:nvPicPr>
        <xdr:cNvPr id="220" name="ID_5CE36B05883845909ADC8D27F59F038E" descr="upload_post_object_v2_197050081"/>
        <xdr:cNvPicPr/>
      </xdr:nvPicPr>
      <xdr:blipFill>
        <a:blip r:embed="rId188"/>
        <a:stretch>
          <a:fillRect/>
        </a:stretch>
      </xdr:blipFill>
      <xdr:spPr>
        <a:xfrm>
          <a:off x="0" y="0"/>
          <a:ext cx="845820" cy="188595"/>
        </a:xfrm>
        <a:prstGeom prst="rect">
          <a:avLst/>
        </a:prstGeom>
      </xdr:spPr>
    </xdr:pic>
  </etc:cellImage>
  <etc:cellImage>
    <xdr:pic>
      <xdr:nvPicPr>
        <xdr:cNvPr id="221" name="ID_FB5A19190F2E4AECB34C3C150F94E76C" descr="upload_post_object_v2_1655848646"/>
        <xdr:cNvPicPr/>
      </xdr:nvPicPr>
      <xdr:blipFill>
        <a:blip r:embed="rId189"/>
        <a:stretch>
          <a:fillRect/>
        </a:stretch>
      </xdr:blipFill>
      <xdr:spPr>
        <a:xfrm>
          <a:off x="0" y="0"/>
          <a:ext cx="960120" cy="123825"/>
        </a:xfrm>
        <a:prstGeom prst="rect">
          <a:avLst/>
        </a:prstGeom>
      </xdr:spPr>
    </xdr:pic>
  </etc:cellImage>
  <etc:cellImage>
    <xdr:pic>
      <xdr:nvPicPr>
        <xdr:cNvPr id="222" name="ID_ABD3AD0411BC4BD9BC1795C3B570F909" descr="upload_post_object_v2_3353801208"/>
        <xdr:cNvPicPr/>
      </xdr:nvPicPr>
      <xdr:blipFill>
        <a:blip r:embed="rId190"/>
        <a:stretch>
          <a:fillRect/>
        </a:stretch>
      </xdr:blipFill>
      <xdr:spPr>
        <a:xfrm>
          <a:off x="0" y="0"/>
          <a:ext cx="769620" cy="680085"/>
        </a:xfrm>
        <a:prstGeom prst="rect">
          <a:avLst/>
        </a:prstGeom>
      </xdr:spPr>
    </xdr:pic>
  </etc:cellImage>
  <etc:cellImage>
    <xdr:pic>
      <xdr:nvPicPr>
        <xdr:cNvPr id="223" name="ID_31D8224544164DD4A72EB781D0874AB0" descr="upload_post_object_v2_3329994626"/>
        <xdr:cNvPicPr/>
      </xdr:nvPicPr>
      <xdr:blipFill>
        <a:blip r:embed="rId191"/>
        <a:stretch>
          <a:fillRect/>
        </a:stretch>
      </xdr:blipFill>
      <xdr:spPr>
        <a:xfrm>
          <a:off x="0" y="0"/>
          <a:ext cx="817245" cy="340995"/>
        </a:xfrm>
        <a:prstGeom prst="rect">
          <a:avLst/>
        </a:prstGeom>
      </xdr:spPr>
    </xdr:pic>
  </etc:cellImage>
  <etc:cellImage>
    <xdr:pic>
      <xdr:nvPicPr>
        <xdr:cNvPr id="224" name="ID_8A8EDA126DF44CC384A4B4F3935E1105" descr="upload_post_object_v2_2559098136"/>
        <xdr:cNvPicPr/>
      </xdr:nvPicPr>
      <xdr:blipFill>
        <a:blip r:embed="rId192"/>
        <a:stretch>
          <a:fillRect/>
        </a:stretch>
      </xdr:blipFill>
      <xdr:spPr>
        <a:xfrm>
          <a:off x="0" y="0"/>
          <a:ext cx="960120" cy="331470"/>
        </a:xfrm>
        <a:prstGeom prst="rect">
          <a:avLst/>
        </a:prstGeom>
      </xdr:spPr>
    </xdr:pic>
  </etc:cellImage>
  <etc:cellImage>
    <xdr:pic>
      <xdr:nvPicPr>
        <xdr:cNvPr id="225" name="ID_0C429F7BB78C43A0AEC84E56D0CF562D" descr="upload_post_object_v2_2858240124"/>
        <xdr:cNvPicPr/>
      </xdr:nvPicPr>
      <xdr:blipFill>
        <a:blip r:embed="rId193"/>
        <a:stretch>
          <a:fillRect/>
        </a:stretch>
      </xdr:blipFill>
      <xdr:spPr>
        <a:xfrm>
          <a:off x="0" y="0"/>
          <a:ext cx="817245" cy="527685"/>
        </a:xfrm>
        <a:prstGeom prst="rect">
          <a:avLst/>
        </a:prstGeom>
      </xdr:spPr>
    </xdr:pic>
  </etc:cellImage>
  <etc:cellImage>
    <xdr:pic>
      <xdr:nvPicPr>
        <xdr:cNvPr id="226" name="ID_CBB8CE3AE0CC42928DF123DDE96A6DF8" descr="upload_post_object_v2_363549629"/>
        <xdr:cNvPicPr/>
      </xdr:nvPicPr>
      <xdr:blipFill>
        <a:blip r:embed="rId194"/>
        <a:stretch>
          <a:fillRect/>
        </a:stretch>
      </xdr:blipFill>
      <xdr:spPr>
        <a:xfrm>
          <a:off x="0" y="0"/>
          <a:ext cx="750570" cy="680085"/>
        </a:xfrm>
        <a:prstGeom prst="rect">
          <a:avLst/>
        </a:prstGeom>
      </xdr:spPr>
    </xdr:pic>
  </etc:cellImage>
  <etc:cellImage>
    <xdr:pic>
      <xdr:nvPicPr>
        <xdr:cNvPr id="227" name="ID_40676E4A7AEA4F2DA1E2B833E9B867BB" descr="upload_post_object_v2_1570081777"/>
        <xdr:cNvPicPr/>
      </xdr:nvPicPr>
      <xdr:blipFill>
        <a:blip r:embed="rId195"/>
        <a:stretch>
          <a:fillRect/>
        </a:stretch>
      </xdr:blipFill>
      <xdr:spPr>
        <a:xfrm>
          <a:off x="0" y="0"/>
          <a:ext cx="779145" cy="670560"/>
        </a:xfrm>
        <a:prstGeom prst="rect">
          <a:avLst/>
        </a:prstGeom>
      </xdr:spPr>
    </xdr:pic>
  </etc:cellImage>
  <etc:cellImage>
    <xdr:pic>
      <xdr:nvPicPr>
        <xdr:cNvPr id="228" name="ID_8CA3F0D14FAA4ED0AAF3BF2C379A5B2D" descr="upload_post_object_v2_184861218"/>
        <xdr:cNvPicPr/>
      </xdr:nvPicPr>
      <xdr:blipFill>
        <a:blip r:embed="rId196"/>
        <a:stretch>
          <a:fillRect/>
        </a:stretch>
      </xdr:blipFill>
      <xdr:spPr>
        <a:xfrm>
          <a:off x="0" y="0"/>
          <a:ext cx="817245" cy="632460"/>
        </a:xfrm>
        <a:prstGeom prst="rect">
          <a:avLst/>
        </a:prstGeom>
      </xdr:spPr>
    </xdr:pic>
  </etc:cellImage>
  <etc:cellImage>
    <xdr:pic>
      <xdr:nvPicPr>
        <xdr:cNvPr id="229" name="ID_AC83A2225E044E9BA2C06491D0767C0D" descr="upload_post_object_v2_554823824"/>
        <xdr:cNvPicPr/>
      </xdr:nvPicPr>
      <xdr:blipFill>
        <a:blip r:embed="rId197"/>
        <a:stretch>
          <a:fillRect/>
        </a:stretch>
      </xdr:blipFill>
      <xdr:spPr>
        <a:xfrm>
          <a:off x="0" y="0"/>
          <a:ext cx="702945" cy="706755"/>
        </a:xfrm>
        <a:prstGeom prst="rect">
          <a:avLst/>
        </a:prstGeom>
      </xdr:spPr>
    </xdr:pic>
  </etc:cellImage>
  <etc:cellImage>
    <xdr:pic>
      <xdr:nvPicPr>
        <xdr:cNvPr id="230" name="ID_1EA1AA765C1344719E85258C465C6733" descr="upload_post_object_v2_2644873060"/>
        <xdr:cNvPicPr/>
      </xdr:nvPicPr>
      <xdr:blipFill>
        <a:blip r:embed="rId198"/>
        <a:stretch>
          <a:fillRect/>
        </a:stretch>
      </xdr:blipFill>
      <xdr:spPr>
        <a:xfrm>
          <a:off x="0" y="0"/>
          <a:ext cx="779145" cy="706755"/>
        </a:xfrm>
        <a:prstGeom prst="rect">
          <a:avLst/>
        </a:prstGeom>
      </xdr:spPr>
    </xdr:pic>
  </etc:cellImage>
  <etc:cellImage>
    <xdr:pic>
      <xdr:nvPicPr>
        <xdr:cNvPr id="231" name="ID_A74636410B9B445498D0AA9E65E56BA5" descr="upload_post_object_v2_3877913863"/>
        <xdr:cNvPicPr/>
      </xdr:nvPicPr>
      <xdr:blipFill>
        <a:blip r:embed="rId199"/>
        <a:stretch>
          <a:fillRect/>
        </a:stretch>
      </xdr:blipFill>
      <xdr:spPr>
        <a:xfrm>
          <a:off x="0" y="0"/>
          <a:ext cx="798195" cy="651510"/>
        </a:xfrm>
        <a:prstGeom prst="rect">
          <a:avLst/>
        </a:prstGeom>
      </xdr:spPr>
    </xdr:pic>
  </etc:cellImage>
  <etc:cellImage>
    <xdr:pic>
      <xdr:nvPicPr>
        <xdr:cNvPr id="232" name="ID_BE408F2469DA419498D5348E61E103C4" descr="upload_post_object_v2_203720351"/>
        <xdr:cNvPicPr/>
      </xdr:nvPicPr>
      <xdr:blipFill>
        <a:blip r:embed="rId200"/>
        <a:stretch>
          <a:fillRect/>
        </a:stretch>
      </xdr:blipFill>
      <xdr:spPr>
        <a:xfrm>
          <a:off x="0" y="0"/>
          <a:ext cx="836295" cy="537210"/>
        </a:xfrm>
        <a:prstGeom prst="rect">
          <a:avLst/>
        </a:prstGeom>
      </xdr:spPr>
    </xdr:pic>
  </etc:cellImage>
  <etc:cellImage>
    <xdr:pic>
      <xdr:nvPicPr>
        <xdr:cNvPr id="233" name="ID_03E42DC740F84C32924D38A0746A6064" descr="upload_post_object_v2_622832082"/>
        <xdr:cNvPicPr/>
      </xdr:nvPicPr>
      <xdr:blipFill>
        <a:blip r:embed="rId201"/>
        <a:stretch>
          <a:fillRect/>
        </a:stretch>
      </xdr:blipFill>
      <xdr:spPr>
        <a:xfrm>
          <a:off x="0" y="0"/>
          <a:ext cx="836295" cy="632460"/>
        </a:xfrm>
        <a:prstGeom prst="rect">
          <a:avLst/>
        </a:prstGeom>
      </xdr:spPr>
    </xdr:pic>
  </etc:cellImage>
  <etc:cellImage>
    <xdr:pic>
      <xdr:nvPicPr>
        <xdr:cNvPr id="234" name="ID_820E5DC4A4CB49D2AF6E6234C5014276" descr="upload_post_object_v2_3709117737"/>
        <xdr:cNvPicPr/>
      </xdr:nvPicPr>
      <xdr:blipFill>
        <a:blip r:embed="rId202"/>
        <a:stretch>
          <a:fillRect/>
        </a:stretch>
      </xdr:blipFill>
      <xdr:spPr>
        <a:xfrm>
          <a:off x="0" y="0"/>
          <a:ext cx="571500" cy="687705"/>
        </a:xfrm>
        <a:prstGeom prst="rect">
          <a:avLst/>
        </a:prstGeom>
      </xdr:spPr>
    </xdr:pic>
  </etc:cellImage>
  <etc:cellImage>
    <xdr:pic>
      <xdr:nvPicPr>
        <xdr:cNvPr id="235" name="ID_7AAEF80C00B846D1AED867479D8F71C2" descr="upload_post_object_v2_3231520028"/>
        <xdr:cNvPicPr/>
      </xdr:nvPicPr>
      <xdr:blipFill>
        <a:blip r:embed="rId203"/>
        <a:stretch>
          <a:fillRect/>
        </a:stretch>
      </xdr:blipFill>
      <xdr:spPr>
        <a:xfrm>
          <a:off x="0" y="0"/>
          <a:ext cx="883920" cy="331470"/>
        </a:xfrm>
        <a:prstGeom prst="rect">
          <a:avLst/>
        </a:prstGeom>
      </xdr:spPr>
    </xdr:pic>
  </etc:cellImage>
  <etc:cellImage>
    <xdr:pic>
      <xdr:nvPicPr>
        <xdr:cNvPr id="236" name="ID_03EAB70124D648C7AACECF571FAFD488" descr="upload_post_object_v2_3970306467"/>
        <xdr:cNvPicPr/>
      </xdr:nvPicPr>
      <xdr:blipFill>
        <a:blip r:embed="rId204"/>
        <a:stretch>
          <a:fillRect/>
        </a:stretch>
      </xdr:blipFill>
      <xdr:spPr>
        <a:xfrm>
          <a:off x="0" y="0"/>
          <a:ext cx="285750" cy="680085"/>
        </a:xfrm>
        <a:prstGeom prst="rect">
          <a:avLst/>
        </a:prstGeom>
      </xdr:spPr>
    </xdr:pic>
  </etc:cellImage>
  <etc:cellImage>
    <xdr:pic>
      <xdr:nvPicPr>
        <xdr:cNvPr id="237" name="ID_F2BD4E281AA04DDEB93BDFACE206DDBB" descr="upload_post_object_v2_1101604642"/>
        <xdr:cNvPicPr/>
      </xdr:nvPicPr>
      <xdr:blipFill>
        <a:blip r:embed="rId205"/>
        <a:stretch>
          <a:fillRect/>
        </a:stretch>
      </xdr:blipFill>
      <xdr:spPr>
        <a:xfrm>
          <a:off x="0" y="0"/>
          <a:ext cx="807720" cy="293370"/>
        </a:xfrm>
        <a:prstGeom prst="rect">
          <a:avLst/>
        </a:prstGeom>
      </xdr:spPr>
    </xdr:pic>
  </etc:cellImage>
  <etc:cellImage>
    <xdr:pic>
      <xdr:nvPicPr>
        <xdr:cNvPr id="238" name="ID_6EEFBEDDF9AC49489A0DD0C46755A123" descr="upload_post_object_v2_626294806"/>
        <xdr:cNvPicPr/>
      </xdr:nvPicPr>
      <xdr:blipFill>
        <a:blip r:embed="rId206"/>
        <a:stretch>
          <a:fillRect/>
        </a:stretch>
      </xdr:blipFill>
      <xdr:spPr>
        <a:xfrm>
          <a:off x="0" y="0"/>
          <a:ext cx="721995" cy="689610"/>
        </a:xfrm>
        <a:prstGeom prst="rect">
          <a:avLst/>
        </a:prstGeom>
      </xdr:spPr>
    </xdr:pic>
  </etc:cellImage>
  <etc:cellImage>
    <xdr:pic>
      <xdr:nvPicPr>
        <xdr:cNvPr id="239" name="ID_B68003646EC44804A45A1D1D7472BB44" descr="upload_post_object_v2_2632874386"/>
        <xdr:cNvPicPr/>
      </xdr:nvPicPr>
      <xdr:blipFill>
        <a:blip r:embed="rId207"/>
        <a:stretch>
          <a:fillRect/>
        </a:stretch>
      </xdr:blipFill>
      <xdr:spPr>
        <a:xfrm>
          <a:off x="0" y="0"/>
          <a:ext cx="817245" cy="312420"/>
        </a:xfrm>
        <a:prstGeom prst="rect">
          <a:avLst/>
        </a:prstGeom>
      </xdr:spPr>
    </xdr:pic>
  </etc:cellImage>
  <etc:cellImage>
    <xdr:pic>
      <xdr:nvPicPr>
        <xdr:cNvPr id="240" name="ID_F8811BA26541439EAE91D3F703F644A8" descr="upload_post_object_v2_212728748"/>
        <xdr:cNvPicPr/>
      </xdr:nvPicPr>
      <xdr:blipFill>
        <a:blip r:embed="rId208"/>
        <a:stretch>
          <a:fillRect/>
        </a:stretch>
      </xdr:blipFill>
      <xdr:spPr>
        <a:xfrm>
          <a:off x="0" y="0"/>
          <a:ext cx="941070" cy="312420"/>
        </a:xfrm>
        <a:prstGeom prst="rect">
          <a:avLst/>
        </a:prstGeom>
      </xdr:spPr>
    </xdr:pic>
  </etc:cellImage>
  <etc:cellImage>
    <xdr:pic>
      <xdr:nvPicPr>
        <xdr:cNvPr id="241" name="ID_C76149A26F214850BF4AED681CF5F240" descr="upload_post_object_v2_2035222492"/>
        <xdr:cNvPicPr/>
      </xdr:nvPicPr>
      <xdr:blipFill>
        <a:blip r:embed="rId209"/>
        <a:stretch>
          <a:fillRect/>
        </a:stretch>
      </xdr:blipFill>
      <xdr:spPr>
        <a:xfrm>
          <a:off x="0" y="0"/>
          <a:ext cx="902970" cy="236220"/>
        </a:xfrm>
        <a:prstGeom prst="rect">
          <a:avLst/>
        </a:prstGeom>
      </xdr:spPr>
    </xdr:pic>
  </etc:cellImage>
  <etc:cellImage>
    <xdr:pic>
      <xdr:nvPicPr>
        <xdr:cNvPr id="242" name="ID_F770A836722C49ABA871F8EA40F54E15" descr="upload_post_object_v2_2761437330"/>
        <xdr:cNvPicPr/>
      </xdr:nvPicPr>
      <xdr:blipFill>
        <a:blip r:embed="rId210"/>
        <a:stretch>
          <a:fillRect/>
        </a:stretch>
      </xdr:blipFill>
      <xdr:spPr>
        <a:xfrm>
          <a:off x="0" y="0"/>
          <a:ext cx="304800" cy="687705"/>
        </a:xfrm>
        <a:prstGeom prst="rect">
          <a:avLst/>
        </a:prstGeom>
      </xdr:spPr>
    </xdr:pic>
  </etc:cellImage>
  <etc:cellImage>
    <xdr:pic>
      <xdr:nvPicPr>
        <xdr:cNvPr id="243" name="ID_4481B6A540CF48D98EF3035151C2E050" descr="upload_post_object_v2_3453277022"/>
        <xdr:cNvPicPr/>
      </xdr:nvPicPr>
      <xdr:blipFill>
        <a:blip r:embed="rId211"/>
        <a:stretch>
          <a:fillRect/>
        </a:stretch>
      </xdr:blipFill>
      <xdr:spPr>
        <a:xfrm>
          <a:off x="0" y="0"/>
          <a:ext cx="295275" cy="689610"/>
        </a:xfrm>
        <a:prstGeom prst="rect">
          <a:avLst/>
        </a:prstGeom>
      </xdr:spPr>
    </xdr:pic>
  </etc:cellImage>
  <etc:cellImage>
    <xdr:pic>
      <xdr:nvPicPr>
        <xdr:cNvPr id="244" name="ID_9E8B62A77BBE408D85B25C7793FF343E" descr="upload_post_object_v2_3970073285"/>
        <xdr:cNvPicPr/>
      </xdr:nvPicPr>
      <xdr:blipFill>
        <a:blip r:embed="rId212"/>
        <a:stretch>
          <a:fillRect/>
        </a:stretch>
      </xdr:blipFill>
      <xdr:spPr>
        <a:xfrm>
          <a:off x="0" y="0"/>
          <a:ext cx="836295" cy="236220"/>
        </a:xfrm>
        <a:prstGeom prst="rect">
          <a:avLst/>
        </a:prstGeom>
      </xdr:spPr>
    </xdr:pic>
  </etc:cellImage>
  <etc:cellImage>
    <xdr:pic>
      <xdr:nvPicPr>
        <xdr:cNvPr id="245" name="ID_AE11B7FD35BB47C6959F2F078003648D" descr="upload_post_object_v2_849136988"/>
        <xdr:cNvPicPr/>
      </xdr:nvPicPr>
      <xdr:blipFill>
        <a:blip r:embed="rId213"/>
        <a:stretch>
          <a:fillRect/>
        </a:stretch>
      </xdr:blipFill>
      <xdr:spPr>
        <a:xfrm>
          <a:off x="0" y="0"/>
          <a:ext cx="798195" cy="689610"/>
        </a:xfrm>
        <a:prstGeom prst="rect">
          <a:avLst/>
        </a:prstGeom>
      </xdr:spPr>
    </xdr:pic>
  </etc:cellImage>
  <etc:cellImage>
    <xdr:pic>
      <xdr:nvPicPr>
        <xdr:cNvPr id="246" name="ID_9C7610446C8B4A42A2D672D483853884" descr="upload_post_object_v2_32338070"/>
        <xdr:cNvPicPr/>
      </xdr:nvPicPr>
      <xdr:blipFill>
        <a:blip r:embed="rId214"/>
        <a:stretch>
          <a:fillRect/>
        </a:stretch>
      </xdr:blipFill>
      <xdr:spPr>
        <a:xfrm>
          <a:off x="0" y="0"/>
          <a:ext cx="485775" cy="687705"/>
        </a:xfrm>
        <a:prstGeom prst="rect">
          <a:avLst/>
        </a:prstGeom>
      </xdr:spPr>
    </xdr:pic>
  </etc:cellImage>
  <etc:cellImage>
    <xdr:pic>
      <xdr:nvPicPr>
        <xdr:cNvPr id="247" name="ID_83BD7C9681BA4BA9B624FFE4703A1147" descr="upload_post_object_v2_2272284567"/>
        <xdr:cNvPicPr/>
      </xdr:nvPicPr>
      <xdr:blipFill>
        <a:blip r:embed="rId215"/>
        <a:stretch>
          <a:fillRect/>
        </a:stretch>
      </xdr:blipFill>
      <xdr:spPr>
        <a:xfrm>
          <a:off x="0" y="0"/>
          <a:ext cx="702945" cy="689610"/>
        </a:xfrm>
        <a:prstGeom prst="rect">
          <a:avLst/>
        </a:prstGeom>
      </xdr:spPr>
    </xdr:pic>
  </etc:cellImage>
  <etc:cellImage>
    <xdr:pic>
      <xdr:nvPicPr>
        <xdr:cNvPr id="248" name="ID_4FD9C8CC256C41F99DE63145C21939DF" descr="upload_post_object_v2_3937650976"/>
        <xdr:cNvPicPr/>
      </xdr:nvPicPr>
      <xdr:blipFill>
        <a:blip r:embed="rId216"/>
        <a:stretch>
          <a:fillRect/>
        </a:stretch>
      </xdr:blipFill>
      <xdr:spPr>
        <a:xfrm>
          <a:off x="0" y="0"/>
          <a:ext cx="371475" cy="697230"/>
        </a:xfrm>
        <a:prstGeom prst="rect">
          <a:avLst/>
        </a:prstGeom>
      </xdr:spPr>
    </xdr:pic>
  </etc:cellImage>
  <etc:cellImage>
    <xdr:pic>
      <xdr:nvPicPr>
        <xdr:cNvPr id="249" name="ID_90372B467B454A98B7808BB4A2395555" descr="upload_post_object_v2_1957923525"/>
        <xdr:cNvPicPr/>
      </xdr:nvPicPr>
      <xdr:blipFill>
        <a:blip r:embed="rId217"/>
        <a:stretch>
          <a:fillRect/>
        </a:stretch>
      </xdr:blipFill>
      <xdr:spPr>
        <a:xfrm>
          <a:off x="0" y="0"/>
          <a:ext cx="409575" cy="697230"/>
        </a:xfrm>
        <a:prstGeom prst="rect">
          <a:avLst/>
        </a:prstGeom>
      </xdr:spPr>
    </xdr:pic>
  </etc:cellImage>
  <etc:cellImage>
    <xdr:pic>
      <xdr:nvPicPr>
        <xdr:cNvPr id="250" name="ID_B2D84D1DFD7E4679BC0192C28A24FCAB" descr="upload_post_object_v2_1374896694"/>
        <xdr:cNvPicPr/>
      </xdr:nvPicPr>
      <xdr:blipFill>
        <a:blip r:embed="rId218"/>
        <a:stretch>
          <a:fillRect/>
        </a:stretch>
      </xdr:blipFill>
      <xdr:spPr>
        <a:xfrm>
          <a:off x="0" y="0"/>
          <a:ext cx="893445" cy="518160"/>
        </a:xfrm>
        <a:prstGeom prst="rect">
          <a:avLst/>
        </a:prstGeom>
      </xdr:spPr>
    </xdr:pic>
  </etc:cellImage>
  <etc:cellImage>
    <xdr:pic>
      <xdr:nvPicPr>
        <xdr:cNvPr id="251" name="ID_BD9863DE3D2D4C71BCD776C3E3D2E3C1" descr="upload_post_object_v2_630676933"/>
        <xdr:cNvPicPr/>
      </xdr:nvPicPr>
      <xdr:blipFill>
        <a:blip r:embed="rId219"/>
        <a:stretch>
          <a:fillRect/>
        </a:stretch>
      </xdr:blipFill>
      <xdr:spPr>
        <a:xfrm>
          <a:off x="0" y="0"/>
          <a:ext cx="750570" cy="510540"/>
        </a:xfrm>
        <a:prstGeom prst="rect">
          <a:avLst/>
        </a:prstGeom>
      </xdr:spPr>
    </xdr:pic>
  </etc:cellImage>
  <etc:cellImage>
    <xdr:pic>
      <xdr:nvPicPr>
        <xdr:cNvPr id="252" name="ID_BA3A483F9C4A46BDA18A9C0E2870273F" descr="upload_post_object_v2_3230842414"/>
        <xdr:cNvPicPr/>
      </xdr:nvPicPr>
      <xdr:blipFill>
        <a:blip r:embed="rId220"/>
        <a:stretch>
          <a:fillRect/>
        </a:stretch>
      </xdr:blipFill>
      <xdr:spPr>
        <a:xfrm>
          <a:off x="0" y="0"/>
          <a:ext cx="769620" cy="641985"/>
        </a:xfrm>
        <a:prstGeom prst="rect">
          <a:avLst/>
        </a:prstGeom>
      </xdr:spPr>
    </xdr:pic>
  </etc:cellImage>
  <etc:cellImage>
    <xdr:pic>
      <xdr:nvPicPr>
        <xdr:cNvPr id="253" name="ID_09B262E7357A4DD582BA63B968179449" descr="upload_post_object_v2_3977528045"/>
        <xdr:cNvPicPr/>
      </xdr:nvPicPr>
      <xdr:blipFill>
        <a:blip r:embed="rId221"/>
        <a:stretch>
          <a:fillRect/>
        </a:stretch>
      </xdr:blipFill>
      <xdr:spPr>
        <a:xfrm>
          <a:off x="0" y="0"/>
          <a:ext cx="590550" cy="670560"/>
        </a:xfrm>
        <a:prstGeom prst="rect">
          <a:avLst/>
        </a:prstGeom>
      </xdr:spPr>
    </xdr:pic>
  </etc:cellImage>
  <etc:cellImage>
    <xdr:pic>
      <xdr:nvPicPr>
        <xdr:cNvPr id="254" name="ID_F670D4230CF14ECAAEDED74D9E08603D" descr="upload_post_object_v2_887984109"/>
        <xdr:cNvPicPr/>
      </xdr:nvPicPr>
      <xdr:blipFill>
        <a:blip r:embed="rId222"/>
        <a:stretch>
          <a:fillRect/>
        </a:stretch>
      </xdr:blipFill>
      <xdr:spPr>
        <a:xfrm>
          <a:off x="0" y="0"/>
          <a:ext cx="826770" cy="472440"/>
        </a:xfrm>
        <a:prstGeom prst="rect">
          <a:avLst/>
        </a:prstGeom>
      </xdr:spPr>
    </xdr:pic>
  </etc:cellImage>
  <etc:cellImage>
    <xdr:pic>
      <xdr:nvPicPr>
        <xdr:cNvPr id="255" name="ID_1F14E9EBD9B94BE794B2AA41EBE49EB7" descr="upload_post_object_v2_79830492"/>
        <xdr:cNvPicPr/>
      </xdr:nvPicPr>
      <xdr:blipFill>
        <a:blip r:embed="rId223"/>
        <a:stretch>
          <a:fillRect/>
        </a:stretch>
      </xdr:blipFill>
      <xdr:spPr>
        <a:xfrm>
          <a:off x="0" y="0"/>
          <a:ext cx="960120" cy="312420"/>
        </a:xfrm>
        <a:prstGeom prst="rect">
          <a:avLst/>
        </a:prstGeom>
      </xdr:spPr>
    </xdr:pic>
  </etc:cellImage>
  <etc:cellImage>
    <xdr:pic>
      <xdr:nvPicPr>
        <xdr:cNvPr id="256" name="ID_7EDC39FE27AB48DEA3B6209B974DB096" descr="upload_post_object_v2_3131252093"/>
        <xdr:cNvPicPr/>
      </xdr:nvPicPr>
      <xdr:blipFill>
        <a:blip r:embed="rId224"/>
        <a:stretch>
          <a:fillRect/>
        </a:stretch>
      </xdr:blipFill>
      <xdr:spPr>
        <a:xfrm>
          <a:off x="0" y="0"/>
          <a:ext cx="798195" cy="651510"/>
        </a:xfrm>
        <a:prstGeom prst="rect">
          <a:avLst/>
        </a:prstGeom>
      </xdr:spPr>
    </xdr:pic>
  </etc:cellImage>
  <etc:cellImage>
    <xdr:pic>
      <xdr:nvPicPr>
        <xdr:cNvPr id="257" name="ID_408B4C641FE748038F6FC99D05A568F9" descr="upload_post_object_v2_420183690"/>
        <xdr:cNvPicPr/>
      </xdr:nvPicPr>
      <xdr:blipFill>
        <a:blip r:embed="rId225"/>
        <a:stretch>
          <a:fillRect/>
        </a:stretch>
      </xdr:blipFill>
      <xdr:spPr>
        <a:xfrm>
          <a:off x="0" y="0"/>
          <a:ext cx="769620" cy="687705"/>
        </a:xfrm>
        <a:prstGeom prst="rect">
          <a:avLst/>
        </a:prstGeom>
      </xdr:spPr>
    </xdr:pic>
  </etc:cellImage>
  <etc:cellImage>
    <xdr:pic>
      <xdr:nvPicPr>
        <xdr:cNvPr id="258" name="ID_1B622667A4704AF6B166F23EFCD633DB" descr="upload_post_object_v2_3474015796"/>
        <xdr:cNvPicPr/>
      </xdr:nvPicPr>
      <xdr:blipFill>
        <a:blip r:embed="rId226"/>
        <a:stretch>
          <a:fillRect/>
        </a:stretch>
      </xdr:blipFill>
      <xdr:spPr>
        <a:xfrm>
          <a:off x="0" y="0"/>
          <a:ext cx="798195" cy="697230"/>
        </a:xfrm>
        <a:prstGeom prst="rect">
          <a:avLst/>
        </a:prstGeom>
      </xdr:spPr>
    </xdr:pic>
  </etc:cellImage>
  <etc:cellImage>
    <xdr:pic>
      <xdr:nvPicPr>
        <xdr:cNvPr id="259" name="ID_0897AFA82D9147D6BDBEBB8D39288EA0" descr="upload_post_object_v2_4148449145"/>
        <xdr:cNvPicPr/>
      </xdr:nvPicPr>
      <xdr:blipFill>
        <a:blip r:embed="rId224"/>
        <a:stretch>
          <a:fillRect/>
        </a:stretch>
      </xdr:blipFill>
      <xdr:spPr>
        <a:xfrm>
          <a:off x="0" y="0"/>
          <a:ext cx="798195" cy="651510"/>
        </a:xfrm>
        <a:prstGeom prst="rect">
          <a:avLst/>
        </a:prstGeom>
      </xdr:spPr>
    </xdr:pic>
  </etc:cellImage>
  <etc:cellImage>
    <xdr:pic>
      <xdr:nvPicPr>
        <xdr:cNvPr id="260" name="ID_21FF13919BCD4DB39A00FDBD7D118DFB" descr="upload_post_object_v2_826971386"/>
        <xdr:cNvPicPr/>
      </xdr:nvPicPr>
      <xdr:blipFill>
        <a:blip r:embed="rId227"/>
        <a:stretch>
          <a:fillRect/>
        </a:stretch>
      </xdr:blipFill>
      <xdr:spPr>
        <a:xfrm>
          <a:off x="0" y="0"/>
          <a:ext cx="931545" cy="264795"/>
        </a:xfrm>
        <a:prstGeom prst="rect">
          <a:avLst/>
        </a:prstGeom>
      </xdr:spPr>
    </xdr:pic>
  </etc:cellImage>
  <etc:cellImage>
    <xdr:pic>
      <xdr:nvPicPr>
        <xdr:cNvPr id="261" name="ID_9374EAF93A514EB590DF458CB9244DCC" descr="upload_post_object_v2_2746814444"/>
        <xdr:cNvPicPr/>
      </xdr:nvPicPr>
      <xdr:blipFill>
        <a:blip r:embed="rId228"/>
        <a:stretch>
          <a:fillRect/>
        </a:stretch>
      </xdr:blipFill>
      <xdr:spPr>
        <a:xfrm>
          <a:off x="0" y="0"/>
          <a:ext cx="855345" cy="520065"/>
        </a:xfrm>
        <a:prstGeom prst="rect">
          <a:avLst/>
        </a:prstGeom>
      </xdr:spPr>
    </xdr:pic>
  </etc:cellImage>
  <etc:cellImage>
    <xdr:pic>
      <xdr:nvPicPr>
        <xdr:cNvPr id="262" name="ID_1D69D5DAECD247EE890A5BBC963D4D80" descr="upload_post_object_v2_3882370049"/>
        <xdr:cNvPicPr/>
      </xdr:nvPicPr>
      <xdr:blipFill>
        <a:blip r:embed="rId229"/>
        <a:stretch>
          <a:fillRect/>
        </a:stretch>
      </xdr:blipFill>
      <xdr:spPr>
        <a:xfrm>
          <a:off x="0" y="0"/>
          <a:ext cx="769620" cy="405765"/>
        </a:xfrm>
        <a:prstGeom prst="rect">
          <a:avLst/>
        </a:prstGeom>
      </xdr:spPr>
    </xdr:pic>
  </etc:cellImage>
  <etc:cellImage>
    <xdr:pic>
      <xdr:nvPicPr>
        <xdr:cNvPr id="263" name="ID_430F478C12B5433BB356255BED8454B7" descr="upload_post_object_v2_3750831205"/>
        <xdr:cNvPicPr/>
      </xdr:nvPicPr>
      <xdr:blipFill>
        <a:blip r:embed="rId230"/>
        <a:stretch>
          <a:fillRect/>
        </a:stretch>
      </xdr:blipFill>
      <xdr:spPr>
        <a:xfrm>
          <a:off x="0" y="0"/>
          <a:ext cx="702945" cy="510540"/>
        </a:xfrm>
        <a:prstGeom prst="rect">
          <a:avLst/>
        </a:prstGeom>
      </xdr:spPr>
    </xdr:pic>
  </etc:cellImage>
  <etc:cellImage>
    <xdr:pic>
      <xdr:nvPicPr>
        <xdr:cNvPr id="264" name="ID_0656A122917E4F67BC6264B55756F1C4" descr="upload_post_object_v2_1655958655"/>
        <xdr:cNvPicPr/>
      </xdr:nvPicPr>
      <xdr:blipFill>
        <a:blip r:embed="rId231"/>
        <a:stretch>
          <a:fillRect/>
        </a:stretch>
      </xdr:blipFill>
      <xdr:spPr>
        <a:xfrm>
          <a:off x="0" y="0"/>
          <a:ext cx="836295" cy="661035"/>
        </a:xfrm>
        <a:prstGeom prst="rect">
          <a:avLst/>
        </a:prstGeom>
      </xdr:spPr>
    </xdr:pic>
  </etc:cellImage>
  <etc:cellImage>
    <xdr:pic>
      <xdr:nvPicPr>
        <xdr:cNvPr id="265" name="ID_A96B1956582C457392F51EE7F21B7D75" descr="upload_post_object_v2_2818233742"/>
        <xdr:cNvPicPr/>
      </xdr:nvPicPr>
      <xdr:blipFill>
        <a:blip r:embed="rId232"/>
        <a:stretch>
          <a:fillRect/>
        </a:stretch>
      </xdr:blipFill>
      <xdr:spPr>
        <a:xfrm>
          <a:off x="0" y="0"/>
          <a:ext cx="1026795" cy="481965"/>
        </a:xfrm>
        <a:prstGeom prst="rect">
          <a:avLst/>
        </a:prstGeom>
      </xdr:spPr>
    </xdr:pic>
  </etc:cellImage>
  <etc:cellImage>
    <xdr:pic>
      <xdr:nvPicPr>
        <xdr:cNvPr id="266" name="ID_7CDC445FBCD2420A9947E8B169BC8C90" descr="upload_post_object_v2_648084687"/>
        <xdr:cNvPicPr/>
      </xdr:nvPicPr>
      <xdr:blipFill>
        <a:blip r:embed="rId233"/>
        <a:stretch>
          <a:fillRect/>
        </a:stretch>
      </xdr:blipFill>
      <xdr:spPr>
        <a:xfrm>
          <a:off x="0" y="0"/>
          <a:ext cx="702945" cy="689610"/>
        </a:xfrm>
        <a:prstGeom prst="rect">
          <a:avLst/>
        </a:prstGeom>
      </xdr:spPr>
    </xdr:pic>
  </etc:cellImage>
  <etc:cellImage>
    <xdr:pic>
      <xdr:nvPicPr>
        <xdr:cNvPr id="267" name="ID_7F00DB73563B4A719E26BA6B4EC876BA" descr="upload_post_object_v2_4066848276"/>
        <xdr:cNvPicPr/>
      </xdr:nvPicPr>
      <xdr:blipFill>
        <a:blip r:embed="rId234"/>
        <a:stretch>
          <a:fillRect/>
        </a:stretch>
      </xdr:blipFill>
      <xdr:spPr>
        <a:xfrm>
          <a:off x="0" y="0"/>
          <a:ext cx="466725" cy="603885"/>
        </a:xfrm>
        <a:prstGeom prst="rect">
          <a:avLst/>
        </a:prstGeom>
      </xdr:spPr>
    </xdr:pic>
  </etc:cellImage>
  <etc:cellImage>
    <xdr:pic>
      <xdr:nvPicPr>
        <xdr:cNvPr id="268" name="ID_112040F58AF146DE99E7B72D3D879720" descr="upload_post_object_v2_29924650"/>
        <xdr:cNvPicPr/>
      </xdr:nvPicPr>
      <xdr:blipFill>
        <a:blip r:embed="rId235"/>
        <a:stretch>
          <a:fillRect/>
        </a:stretch>
      </xdr:blipFill>
      <xdr:spPr>
        <a:xfrm>
          <a:off x="0" y="0"/>
          <a:ext cx="609600" cy="735330"/>
        </a:xfrm>
        <a:prstGeom prst="rect">
          <a:avLst/>
        </a:prstGeom>
      </xdr:spPr>
    </xdr:pic>
  </etc:cellImage>
  <etc:cellImage>
    <xdr:pic>
      <xdr:nvPicPr>
        <xdr:cNvPr id="269" name="ID_AC080BD8BC0B4A60B5697C316CA1E9D5" descr="upload_post_object_v2_1854053484"/>
        <xdr:cNvPicPr/>
      </xdr:nvPicPr>
      <xdr:blipFill>
        <a:blip r:embed="rId236"/>
        <a:stretch>
          <a:fillRect/>
        </a:stretch>
      </xdr:blipFill>
      <xdr:spPr>
        <a:xfrm>
          <a:off x="0" y="0"/>
          <a:ext cx="514350" cy="697230"/>
        </a:xfrm>
        <a:prstGeom prst="rect">
          <a:avLst/>
        </a:prstGeom>
      </xdr:spPr>
    </xdr:pic>
  </etc:cellImage>
  <etc:cellImage>
    <xdr:pic>
      <xdr:nvPicPr>
        <xdr:cNvPr id="270" name="ID_3A8E85EEAA334F658A94D1E8288749E9" descr="upload_post_object_v2_2090229555"/>
        <xdr:cNvPicPr/>
      </xdr:nvPicPr>
      <xdr:blipFill>
        <a:blip r:embed="rId237"/>
        <a:stretch>
          <a:fillRect/>
        </a:stretch>
      </xdr:blipFill>
      <xdr:spPr>
        <a:xfrm>
          <a:off x="0" y="0"/>
          <a:ext cx="428625" cy="556260"/>
        </a:xfrm>
        <a:prstGeom prst="rect">
          <a:avLst/>
        </a:prstGeom>
      </xdr:spPr>
    </xdr:pic>
  </etc:cellImage>
  <etc:cellImage>
    <xdr:pic>
      <xdr:nvPicPr>
        <xdr:cNvPr id="271" name="ID_EB07BDEBE86644309EEA962DA1AEB593" descr="upload_post_object_v2_1338638295"/>
        <xdr:cNvPicPr/>
      </xdr:nvPicPr>
      <xdr:blipFill>
        <a:blip r:embed="rId238"/>
        <a:stretch>
          <a:fillRect/>
        </a:stretch>
      </xdr:blipFill>
      <xdr:spPr>
        <a:xfrm>
          <a:off x="0" y="0"/>
          <a:ext cx="826770" cy="706755"/>
        </a:xfrm>
        <a:prstGeom prst="rect">
          <a:avLst/>
        </a:prstGeom>
      </xdr:spPr>
    </xdr:pic>
  </etc:cellImage>
  <etc:cellImage>
    <xdr:pic>
      <xdr:nvPicPr>
        <xdr:cNvPr id="272" name="ID_754D05F785B942619DB7BC2783F1FABD" descr="upload_post_object_v2_364999559"/>
        <xdr:cNvPicPr/>
      </xdr:nvPicPr>
      <xdr:blipFill>
        <a:blip r:embed="rId239"/>
        <a:stretch>
          <a:fillRect/>
        </a:stretch>
      </xdr:blipFill>
      <xdr:spPr>
        <a:xfrm>
          <a:off x="0" y="0"/>
          <a:ext cx="807720" cy="510540"/>
        </a:xfrm>
        <a:prstGeom prst="rect">
          <a:avLst/>
        </a:prstGeom>
      </xdr:spPr>
    </xdr:pic>
  </etc:cellImage>
  <etc:cellImage>
    <xdr:pic>
      <xdr:nvPicPr>
        <xdr:cNvPr id="273" name="ID_DEC34F6DC6994FAFB4EC9EFAD80B9020" descr="upload_post_object_v2_566806639"/>
        <xdr:cNvPicPr/>
      </xdr:nvPicPr>
      <xdr:blipFill>
        <a:blip r:embed="rId240"/>
        <a:stretch>
          <a:fillRect/>
        </a:stretch>
      </xdr:blipFill>
      <xdr:spPr>
        <a:xfrm>
          <a:off x="0" y="0"/>
          <a:ext cx="826770" cy="396240"/>
        </a:xfrm>
        <a:prstGeom prst="rect">
          <a:avLst/>
        </a:prstGeom>
      </xdr:spPr>
    </xdr:pic>
  </etc:cellImage>
  <etc:cellImage>
    <xdr:pic>
      <xdr:nvPicPr>
        <xdr:cNvPr id="274" name="ID_B076B8E1EF9A41188AF728A31A13494C" descr="upload_post_object_v2_1370051585"/>
        <xdr:cNvPicPr/>
      </xdr:nvPicPr>
      <xdr:blipFill>
        <a:blip r:embed="rId241"/>
        <a:stretch>
          <a:fillRect/>
        </a:stretch>
      </xdr:blipFill>
      <xdr:spPr>
        <a:xfrm>
          <a:off x="0" y="0"/>
          <a:ext cx="609600" cy="697230"/>
        </a:xfrm>
        <a:prstGeom prst="rect">
          <a:avLst/>
        </a:prstGeom>
      </xdr:spPr>
    </xdr:pic>
  </etc:cellImage>
  <etc:cellImage>
    <xdr:pic>
      <xdr:nvPicPr>
        <xdr:cNvPr id="275" name="ID_691303BE269B47B4A512F25516DAD0BC" descr="upload_post_object_v2_3262165475"/>
        <xdr:cNvPicPr/>
      </xdr:nvPicPr>
      <xdr:blipFill>
        <a:blip r:embed="rId242"/>
        <a:stretch>
          <a:fillRect/>
        </a:stretch>
      </xdr:blipFill>
      <xdr:spPr>
        <a:xfrm>
          <a:off x="0" y="0"/>
          <a:ext cx="807720" cy="537210"/>
        </a:xfrm>
        <a:prstGeom prst="rect">
          <a:avLst/>
        </a:prstGeom>
      </xdr:spPr>
    </xdr:pic>
  </etc:cellImage>
  <etc:cellImage>
    <xdr:pic>
      <xdr:nvPicPr>
        <xdr:cNvPr id="276" name="ID_49554AE84AB74EA484B7BF291FF0223C" descr="upload_post_object_v2_2807090256"/>
        <xdr:cNvPicPr/>
      </xdr:nvPicPr>
      <xdr:blipFill>
        <a:blip r:embed="rId243"/>
        <a:stretch>
          <a:fillRect/>
        </a:stretch>
      </xdr:blipFill>
      <xdr:spPr>
        <a:xfrm>
          <a:off x="0" y="0"/>
          <a:ext cx="817245" cy="405765"/>
        </a:xfrm>
        <a:prstGeom prst="rect">
          <a:avLst/>
        </a:prstGeom>
      </xdr:spPr>
    </xdr:pic>
  </etc:cellImage>
  <etc:cellImage>
    <xdr:pic>
      <xdr:nvPicPr>
        <xdr:cNvPr id="277" name="ID_277CCBA4C30D4E1CA0AFDD0DFDE2346F" descr="upload_post_object_v2_1209978776"/>
        <xdr:cNvPicPr/>
      </xdr:nvPicPr>
      <xdr:blipFill>
        <a:blip r:embed="rId244"/>
        <a:stretch>
          <a:fillRect/>
        </a:stretch>
      </xdr:blipFill>
      <xdr:spPr>
        <a:xfrm>
          <a:off x="0" y="0"/>
          <a:ext cx="788670" cy="501015"/>
        </a:xfrm>
        <a:prstGeom prst="rect">
          <a:avLst/>
        </a:prstGeom>
      </xdr:spPr>
    </xdr:pic>
  </etc:cellImage>
  <etc:cellImage>
    <xdr:pic>
      <xdr:nvPicPr>
        <xdr:cNvPr id="278" name="ID_7D611D8C65DC48B199FCEA1120765BAB" descr="upload_post_object_v2_1042355335"/>
        <xdr:cNvPicPr/>
      </xdr:nvPicPr>
      <xdr:blipFill>
        <a:blip r:embed="rId245"/>
        <a:stretch>
          <a:fillRect/>
        </a:stretch>
      </xdr:blipFill>
      <xdr:spPr>
        <a:xfrm>
          <a:off x="0" y="0"/>
          <a:ext cx="836295" cy="386715"/>
        </a:xfrm>
        <a:prstGeom prst="rect">
          <a:avLst/>
        </a:prstGeom>
      </xdr:spPr>
    </xdr:pic>
  </etc:cellImage>
  <etc:cellImage>
    <xdr:pic>
      <xdr:nvPicPr>
        <xdr:cNvPr id="279" name="ID_7E80D7869DD94E39A7D700068F15DCE5" descr="upload_post_object_v2_403329985"/>
        <xdr:cNvPicPr/>
      </xdr:nvPicPr>
      <xdr:blipFill>
        <a:blip r:embed="rId246"/>
        <a:stretch>
          <a:fillRect/>
        </a:stretch>
      </xdr:blipFill>
      <xdr:spPr>
        <a:xfrm>
          <a:off x="0" y="0"/>
          <a:ext cx="495300" cy="491490"/>
        </a:xfrm>
        <a:prstGeom prst="rect">
          <a:avLst/>
        </a:prstGeom>
      </xdr:spPr>
    </xdr:pic>
  </etc:cellImage>
  <etc:cellImage>
    <xdr:pic>
      <xdr:nvPicPr>
        <xdr:cNvPr id="280" name="ID_E751C5B926004BF19FD851B4BBAD61B3" descr="upload_post_object_v2_2660591591"/>
        <xdr:cNvPicPr/>
      </xdr:nvPicPr>
      <xdr:blipFill>
        <a:blip r:embed="rId247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</etc:cellImage>
  <etc:cellImage>
    <xdr:pic>
      <xdr:nvPicPr>
        <xdr:cNvPr id="281" name="ID_46352DB03A504FFB8927622EBAB39C55" descr="upload_post_object_v2_1394003707"/>
        <xdr:cNvPicPr/>
      </xdr:nvPicPr>
      <xdr:blipFill>
        <a:blip r:embed="rId248"/>
        <a:stretch>
          <a:fillRect/>
        </a:stretch>
      </xdr:blipFill>
      <xdr:spPr>
        <a:xfrm>
          <a:off x="0" y="0"/>
          <a:ext cx="702945" cy="622935"/>
        </a:xfrm>
        <a:prstGeom prst="rect">
          <a:avLst/>
        </a:prstGeom>
      </xdr:spPr>
    </xdr:pic>
  </etc:cellImage>
  <etc:cellImage>
    <xdr:pic>
      <xdr:nvPicPr>
        <xdr:cNvPr id="282" name="ID_6406DE6E673B445DA9E8522EFCE74BB1" descr="upload_post_object_v2_543506337"/>
        <xdr:cNvPicPr/>
      </xdr:nvPicPr>
      <xdr:blipFill>
        <a:blip r:embed="rId249"/>
        <a:stretch>
          <a:fillRect/>
        </a:stretch>
      </xdr:blipFill>
      <xdr:spPr>
        <a:xfrm>
          <a:off x="0" y="0"/>
          <a:ext cx="1093470" cy="114300"/>
        </a:xfrm>
        <a:prstGeom prst="rect">
          <a:avLst/>
        </a:prstGeom>
      </xdr:spPr>
    </xdr:pic>
  </etc:cellImage>
  <etc:cellImage>
    <xdr:pic>
      <xdr:nvPicPr>
        <xdr:cNvPr id="283" name="ID_31F24C7CA14E4B5EA32B1C33C77A7EF4" descr="upload_post_object_v2_3933175024"/>
        <xdr:cNvPicPr/>
      </xdr:nvPicPr>
      <xdr:blipFill>
        <a:blip r:embed="rId250"/>
        <a:stretch>
          <a:fillRect/>
        </a:stretch>
      </xdr:blipFill>
      <xdr:spPr>
        <a:xfrm>
          <a:off x="0" y="0"/>
          <a:ext cx="807720" cy="226695"/>
        </a:xfrm>
        <a:prstGeom prst="rect">
          <a:avLst/>
        </a:prstGeom>
      </xdr:spPr>
    </xdr:pic>
  </etc:cellImage>
  <etc:cellImage>
    <xdr:pic>
      <xdr:nvPicPr>
        <xdr:cNvPr id="284" name="ID_05995CA3C830465F9BE8FAC35A7FEE46" descr="upload_post_object_v2_156511293"/>
        <xdr:cNvPicPr/>
      </xdr:nvPicPr>
      <xdr:blipFill>
        <a:blip r:embed="rId251"/>
        <a:stretch>
          <a:fillRect/>
        </a:stretch>
      </xdr:blipFill>
      <xdr:spPr>
        <a:xfrm>
          <a:off x="0" y="0"/>
          <a:ext cx="836295" cy="632460"/>
        </a:xfrm>
        <a:prstGeom prst="rect">
          <a:avLst/>
        </a:prstGeom>
      </xdr:spPr>
    </xdr:pic>
  </etc:cellImage>
  <etc:cellImage>
    <xdr:pic>
      <xdr:nvPicPr>
        <xdr:cNvPr id="285" name="ID_A0579A98DD214AAF8E89F4FD250AB6C0" descr="upload_post_object_v2_2919470635"/>
        <xdr:cNvPicPr/>
      </xdr:nvPicPr>
      <xdr:blipFill>
        <a:blip r:embed="rId252"/>
        <a:stretch>
          <a:fillRect/>
        </a:stretch>
      </xdr:blipFill>
      <xdr:spPr>
        <a:xfrm>
          <a:off x="0" y="0"/>
          <a:ext cx="779145" cy="501015"/>
        </a:xfrm>
        <a:prstGeom prst="rect">
          <a:avLst/>
        </a:prstGeom>
      </xdr:spPr>
    </xdr:pic>
  </etc:cellImage>
  <etc:cellImage>
    <xdr:pic>
      <xdr:nvPicPr>
        <xdr:cNvPr id="286" name="ID_CA64C3E19D2040219273FAC7D3E60242" descr="upload_post_object_v2_4113887290"/>
        <xdr:cNvPicPr/>
      </xdr:nvPicPr>
      <xdr:blipFill>
        <a:blip r:embed="rId253"/>
        <a:stretch>
          <a:fillRect/>
        </a:stretch>
      </xdr:blipFill>
      <xdr:spPr>
        <a:xfrm>
          <a:off x="0" y="0"/>
          <a:ext cx="807720" cy="367665"/>
        </a:xfrm>
        <a:prstGeom prst="rect">
          <a:avLst/>
        </a:prstGeom>
      </xdr:spPr>
    </xdr:pic>
  </etc:cellImage>
  <etc:cellImage>
    <xdr:pic>
      <xdr:nvPicPr>
        <xdr:cNvPr id="287" name="ID_B8F51494AC3342E9BA0994EC8BF22EC6" descr="upload_post_object_v2_4261288842"/>
        <xdr:cNvPicPr/>
      </xdr:nvPicPr>
      <xdr:blipFill>
        <a:blip r:embed="rId254"/>
        <a:stretch>
          <a:fillRect/>
        </a:stretch>
      </xdr:blipFill>
      <xdr:spPr>
        <a:xfrm>
          <a:off x="0" y="0"/>
          <a:ext cx="798195" cy="367665"/>
        </a:xfrm>
        <a:prstGeom prst="rect">
          <a:avLst/>
        </a:prstGeom>
      </xdr:spPr>
    </xdr:pic>
  </etc:cellImage>
  <etc:cellImage>
    <xdr:pic>
      <xdr:nvPicPr>
        <xdr:cNvPr id="288" name="ID_BB4B489B9EC44DF5BF51EC9B2F438388" descr="upload_post_object_v2_3049532512"/>
        <xdr:cNvPicPr/>
      </xdr:nvPicPr>
      <xdr:blipFill>
        <a:blip r:embed="rId255"/>
        <a:stretch>
          <a:fillRect/>
        </a:stretch>
      </xdr:blipFill>
      <xdr:spPr>
        <a:xfrm>
          <a:off x="0" y="0"/>
          <a:ext cx="769620" cy="377190"/>
        </a:xfrm>
        <a:prstGeom prst="rect">
          <a:avLst/>
        </a:prstGeom>
      </xdr:spPr>
    </xdr:pic>
  </etc:cellImage>
  <etc:cellImage>
    <xdr:pic>
      <xdr:nvPicPr>
        <xdr:cNvPr id="289" name="ID_FED0E4C9384A43B6A8D6EF92392CAA6E" descr="upload_post_object_v2_244384246"/>
        <xdr:cNvPicPr/>
      </xdr:nvPicPr>
      <xdr:blipFill>
        <a:blip r:embed="rId256"/>
        <a:stretch>
          <a:fillRect/>
        </a:stretch>
      </xdr:blipFill>
      <xdr:spPr>
        <a:xfrm>
          <a:off x="0" y="0"/>
          <a:ext cx="788670" cy="424815"/>
        </a:xfrm>
        <a:prstGeom prst="rect">
          <a:avLst/>
        </a:prstGeom>
      </xdr:spPr>
    </xdr:pic>
  </etc:cellImage>
  <etc:cellImage>
    <xdr:pic>
      <xdr:nvPicPr>
        <xdr:cNvPr id="290" name="ID_8A2D5019C4CD4BC99B962B115A169C3B" descr="upload_post_object_v2_393979009"/>
        <xdr:cNvPicPr/>
      </xdr:nvPicPr>
      <xdr:blipFill>
        <a:blip r:embed="rId257"/>
        <a:stretch>
          <a:fillRect/>
        </a:stretch>
      </xdr:blipFill>
      <xdr:spPr>
        <a:xfrm>
          <a:off x="0" y="0"/>
          <a:ext cx="702945" cy="603885"/>
        </a:xfrm>
        <a:prstGeom prst="rect">
          <a:avLst/>
        </a:prstGeom>
      </xdr:spPr>
    </xdr:pic>
  </etc:cellImage>
  <etc:cellImage>
    <xdr:pic>
      <xdr:nvPicPr>
        <xdr:cNvPr id="291" name="ID_1E491DFF95C04C09954E94D963BC9AE0" descr="upload_post_object_v2_989734948"/>
        <xdr:cNvPicPr/>
      </xdr:nvPicPr>
      <xdr:blipFill>
        <a:blip r:embed="rId258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</etc:cellImage>
  <etc:cellImage>
    <xdr:pic>
      <xdr:nvPicPr>
        <xdr:cNvPr id="292" name="ID_29FB53193907440B84FE7B66EC6E9E62" descr="upload_post_object_v2_1618587510"/>
        <xdr:cNvPicPr/>
      </xdr:nvPicPr>
      <xdr:blipFill>
        <a:blip r:embed="rId259"/>
        <a:stretch>
          <a:fillRect/>
        </a:stretch>
      </xdr:blipFill>
      <xdr:spPr>
        <a:xfrm>
          <a:off x="0" y="0"/>
          <a:ext cx="979170" cy="76200"/>
        </a:xfrm>
        <a:prstGeom prst="rect">
          <a:avLst/>
        </a:prstGeom>
      </xdr:spPr>
    </xdr:pic>
  </etc:cellImage>
  <etc:cellImage>
    <xdr:pic>
      <xdr:nvPicPr>
        <xdr:cNvPr id="293" name="ID_16296F775F354229B4F2DF2D9E482742" descr="upload_post_object_v2_1265085370"/>
        <xdr:cNvPicPr/>
      </xdr:nvPicPr>
      <xdr:blipFill>
        <a:blip r:embed="rId260"/>
        <a:stretch>
          <a:fillRect/>
        </a:stretch>
      </xdr:blipFill>
      <xdr:spPr>
        <a:xfrm>
          <a:off x="0" y="0"/>
          <a:ext cx="826770" cy="386715"/>
        </a:xfrm>
        <a:prstGeom prst="rect">
          <a:avLst/>
        </a:prstGeom>
      </xdr:spPr>
    </xdr:pic>
  </etc:cellImage>
  <etc:cellImage>
    <xdr:pic>
      <xdr:nvPicPr>
        <xdr:cNvPr id="294" name="ID_4D240B7D5CFA4178888AE7EED4992E1E" descr="upload_post_object_v2_3168342635"/>
        <xdr:cNvPicPr/>
      </xdr:nvPicPr>
      <xdr:blipFill>
        <a:blip r:embed="rId261"/>
        <a:stretch>
          <a:fillRect/>
        </a:stretch>
      </xdr:blipFill>
      <xdr:spPr>
        <a:xfrm>
          <a:off x="0" y="0"/>
          <a:ext cx="845820" cy="396240"/>
        </a:xfrm>
        <a:prstGeom prst="rect">
          <a:avLst/>
        </a:prstGeom>
      </xdr:spPr>
    </xdr:pic>
  </etc:cellImage>
  <etc:cellImage>
    <xdr:pic>
      <xdr:nvPicPr>
        <xdr:cNvPr id="295" name="ID_97CDDB4F8D8A4BA5AE7AED84DAF47ED4" descr="upload_post_object_v2_3767405246"/>
        <xdr:cNvPicPr/>
      </xdr:nvPicPr>
      <xdr:blipFill>
        <a:blip r:embed="rId262"/>
        <a:stretch>
          <a:fillRect/>
        </a:stretch>
      </xdr:blipFill>
      <xdr:spPr>
        <a:xfrm>
          <a:off x="0" y="0"/>
          <a:ext cx="826770" cy="613410"/>
        </a:xfrm>
        <a:prstGeom prst="rect">
          <a:avLst/>
        </a:prstGeom>
      </xdr:spPr>
    </xdr:pic>
  </etc:cellImage>
  <etc:cellImage>
    <xdr:pic>
      <xdr:nvPicPr>
        <xdr:cNvPr id="296" name="ID_7F49425236704AF69E796A5116FA94EF" descr="upload_post_object_v2_595359019"/>
        <xdr:cNvPicPr/>
      </xdr:nvPicPr>
      <xdr:blipFill>
        <a:blip r:embed="rId263"/>
        <a:stretch>
          <a:fillRect/>
        </a:stretch>
      </xdr:blipFill>
      <xdr:spPr>
        <a:xfrm>
          <a:off x="0" y="0"/>
          <a:ext cx="760095" cy="594360"/>
        </a:xfrm>
        <a:prstGeom prst="rect">
          <a:avLst/>
        </a:prstGeom>
      </xdr:spPr>
    </xdr:pic>
  </etc:cellImage>
  <etc:cellImage>
    <xdr:pic>
      <xdr:nvPicPr>
        <xdr:cNvPr id="297" name="ID_B965ADA2AF3443CA879DD6AAE6D2662F" descr="upload_post_object_v2_1029824984"/>
        <xdr:cNvPicPr/>
      </xdr:nvPicPr>
      <xdr:blipFill>
        <a:blip r:embed="rId264"/>
        <a:stretch>
          <a:fillRect/>
        </a:stretch>
      </xdr:blipFill>
      <xdr:spPr>
        <a:xfrm>
          <a:off x="0" y="0"/>
          <a:ext cx="798195" cy="443865"/>
        </a:xfrm>
        <a:prstGeom prst="rect">
          <a:avLst/>
        </a:prstGeom>
      </xdr:spPr>
    </xdr:pic>
  </etc:cellImage>
  <etc:cellImage>
    <xdr:pic>
      <xdr:nvPicPr>
        <xdr:cNvPr id="298" name="ID_FB81457FEE534A2B8D52B37389E2A363" descr="upload_post_object_v2_4044103050"/>
        <xdr:cNvPicPr/>
      </xdr:nvPicPr>
      <xdr:blipFill>
        <a:blip r:embed="rId265"/>
        <a:stretch>
          <a:fillRect/>
        </a:stretch>
      </xdr:blipFill>
      <xdr:spPr>
        <a:xfrm>
          <a:off x="0" y="0"/>
          <a:ext cx="533400" cy="565785"/>
        </a:xfrm>
        <a:prstGeom prst="rect">
          <a:avLst/>
        </a:prstGeom>
      </xdr:spPr>
    </xdr:pic>
  </etc:cellImage>
  <etc:cellImage>
    <xdr:pic>
      <xdr:nvPicPr>
        <xdr:cNvPr id="299" name="ID_D61BC2E2F4BB4E07A09606E16320A744" descr="upload_post_object_v2_123932938"/>
        <xdr:cNvPicPr/>
      </xdr:nvPicPr>
      <xdr:blipFill>
        <a:blip r:embed="rId266"/>
        <a:stretch>
          <a:fillRect/>
        </a:stretch>
      </xdr:blipFill>
      <xdr:spPr>
        <a:xfrm>
          <a:off x="0" y="0"/>
          <a:ext cx="826770" cy="264795"/>
        </a:xfrm>
        <a:prstGeom prst="rect">
          <a:avLst/>
        </a:prstGeom>
      </xdr:spPr>
    </xdr:pic>
  </etc:cellImage>
  <etc:cellImage>
    <xdr:pic>
      <xdr:nvPicPr>
        <xdr:cNvPr id="300" name="ID_12AE2E8953564C01B10F4748BA5B74D7" descr="upload_post_object_v2_2634593603"/>
        <xdr:cNvPicPr/>
      </xdr:nvPicPr>
      <xdr:blipFill>
        <a:blip r:embed="rId267"/>
        <a:stretch>
          <a:fillRect/>
        </a:stretch>
      </xdr:blipFill>
      <xdr:spPr>
        <a:xfrm>
          <a:off x="0" y="0"/>
          <a:ext cx="950595" cy="537210"/>
        </a:xfrm>
        <a:prstGeom prst="rect">
          <a:avLst/>
        </a:prstGeom>
      </xdr:spPr>
    </xdr:pic>
  </etc:cellImage>
  <etc:cellImage>
    <xdr:pic>
      <xdr:nvPicPr>
        <xdr:cNvPr id="301" name="ID_73EAF7D3426D48A6AC9F8CF74B95AF67" descr="upload_post_object_v2_1189044708"/>
        <xdr:cNvPicPr/>
      </xdr:nvPicPr>
      <xdr:blipFill>
        <a:blip r:embed="rId268"/>
        <a:stretch>
          <a:fillRect/>
        </a:stretch>
      </xdr:blipFill>
      <xdr:spPr>
        <a:xfrm>
          <a:off x="0" y="0"/>
          <a:ext cx="1083945" cy="661035"/>
        </a:xfrm>
        <a:prstGeom prst="rect">
          <a:avLst/>
        </a:prstGeom>
      </xdr:spPr>
    </xdr:pic>
  </etc:cellImage>
  <etc:cellImage>
    <xdr:pic>
      <xdr:nvPicPr>
        <xdr:cNvPr id="302" name="ID_41B6F633498E4CCD81DF1B9A6AACE4EE" descr="upload_post_object_v2_1934438332"/>
        <xdr:cNvPicPr/>
      </xdr:nvPicPr>
      <xdr:blipFill>
        <a:blip r:embed="rId269"/>
        <a:stretch>
          <a:fillRect/>
        </a:stretch>
      </xdr:blipFill>
      <xdr:spPr>
        <a:xfrm>
          <a:off x="0" y="0"/>
          <a:ext cx="1283970" cy="680085"/>
        </a:xfrm>
        <a:prstGeom prst="rect">
          <a:avLst/>
        </a:prstGeom>
      </xdr:spPr>
    </xdr:pic>
  </etc:cellImage>
  <etc:cellImage>
    <xdr:pic>
      <xdr:nvPicPr>
        <xdr:cNvPr id="303" name="ID_39622B8926E74BDF8BA75D460161CF2E" descr="upload_post_object_v2_642479396"/>
        <xdr:cNvPicPr/>
      </xdr:nvPicPr>
      <xdr:blipFill>
        <a:blip r:embed="rId270"/>
        <a:stretch>
          <a:fillRect/>
        </a:stretch>
      </xdr:blipFill>
      <xdr:spPr>
        <a:xfrm>
          <a:off x="0" y="0"/>
          <a:ext cx="1188720" cy="613410"/>
        </a:xfrm>
        <a:prstGeom prst="rect">
          <a:avLst/>
        </a:prstGeom>
      </xdr:spPr>
    </xdr:pic>
  </etc:cellImage>
  <etc:cellImage>
    <xdr:pic>
      <xdr:nvPicPr>
        <xdr:cNvPr id="304" name="ID_6F2EB2D12B604AF58CABABEEF842C9B5" descr="upload_post_object_v2_3730001982"/>
        <xdr:cNvPicPr/>
      </xdr:nvPicPr>
      <xdr:blipFill>
        <a:blip r:embed="rId271"/>
        <a:stretch>
          <a:fillRect/>
        </a:stretch>
      </xdr:blipFill>
      <xdr:spPr>
        <a:xfrm>
          <a:off x="0" y="0"/>
          <a:ext cx="1264920" cy="725805"/>
        </a:xfrm>
        <a:prstGeom prst="rect">
          <a:avLst/>
        </a:prstGeom>
      </xdr:spPr>
    </xdr:pic>
  </etc:cellImage>
  <etc:cellImage>
    <xdr:pic>
      <xdr:nvPicPr>
        <xdr:cNvPr id="305" name="ID_1AEF3A8A44C441F1B4D00DD9C43B055D" descr="upload_post_object_v2_1993775410"/>
        <xdr:cNvPicPr/>
      </xdr:nvPicPr>
      <xdr:blipFill>
        <a:blip r:embed="rId272"/>
        <a:stretch>
          <a:fillRect/>
        </a:stretch>
      </xdr:blipFill>
      <xdr:spPr>
        <a:xfrm>
          <a:off x="0" y="0"/>
          <a:ext cx="1083945" cy="754380"/>
        </a:xfrm>
        <a:prstGeom prst="rect">
          <a:avLst/>
        </a:prstGeom>
      </xdr:spPr>
    </xdr:pic>
  </etc:cellImage>
  <etc:cellImage>
    <xdr:pic>
      <xdr:nvPicPr>
        <xdr:cNvPr id="306" name="ID_C7945A2A4377449EB673ACB6F3DB16B3" descr="upload_post_object_v2_2536555640"/>
        <xdr:cNvPicPr/>
      </xdr:nvPicPr>
      <xdr:blipFill>
        <a:blip r:embed="rId273"/>
        <a:stretch>
          <a:fillRect/>
        </a:stretch>
      </xdr:blipFill>
      <xdr:spPr>
        <a:xfrm>
          <a:off x="0" y="0"/>
          <a:ext cx="1064895" cy="680085"/>
        </a:xfrm>
        <a:prstGeom prst="rect">
          <a:avLst/>
        </a:prstGeom>
      </xdr:spPr>
    </xdr:pic>
  </etc:cellImage>
  <etc:cellImage>
    <xdr:pic>
      <xdr:nvPicPr>
        <xdr:cNvPr id="307" name="ID_254F5B1AA8CA4DF6B977E08A0EA18FD8" descr="upload_post_object_v2_350739318"/>
        <xdr:cNvPicPr/>
      </xdr:nvPicPr>
      <xdr:blipFill>
        <a:blip r:embed="rId274"/>
        <a:stretch>
          <a:fillRect/>
        </a:stretch>
      </xdr:blipFill>
      <xdr:spPr>
        <a:xfrm>
          <a:off x="0" y="0"/>
          <a:ext cx="1064895" cy="689610"/>
        </a:xfrm>
        <a:prstGeom prst="rect">
          <a:avLst/>
        </a:prstGeom>
      </xdr:spPr>
    </xdr:pic>
  </etc:cellImage>
  <etc:cellImage>
    <xdr:pic>
      <xdr:nvPicPr>
        <xdr:cNvPr id="308" name="ID_665C356F5ED44CDFBE6A5FCC2383E4E9" descr="upload_post_object_v2_3964144329"/>
        <xdr:cNvPicPr/>
      </xdr:nvPicPr>
      <xdr:blipFill>
        <a:blip r:embed="rId275"/>
        <a:stretch>
          <a:fillRect/>
        </a:stretch>
      </xdr:blipFill>
      <xdr:spPr>
        <a:xfrm>
          <a:off x="0" y="0"/>
          <a:ext cx="960120" cy="527685"/>
        </a:xfrm>
        <a:prstGeom prst="rect">
          <a:avLst/>
        </a:prstGeom>
      </xdr:spPr>
    </xdr:pic>
  </etc:cellImage>
  <etc:cellImage>
    <xdr:pic>
      <xdr:nvPicPr>
        <xdr:cNvPr id="309" name="ID_97124AA2F84D451D96C2F1B4A3D4D5F1" descr="upload_post_object_v2_1430096366"/>
        <xdr:cNvPicPr/>
      </xdr:nvPicPr>
      <xdr:blipFill>
        <a:blip r:embed="rId276"/>
        <a:stretch>
          <a:fillRect/>
        </a:stretch>
      </xdr:blipFill>
      <xdr:spPr>
        <a:xfrm>
          <a:off x="0" y="0"/>
          <a:ext cx="428625" cy="584835"/>
        </a:xfrm>
        <a:prstGeom prst="rect">
          <a:avLst/>
        </a:prstGeom>
      </xdr:spPr>
    </xdr:pic>
  </etc:cellImage>
  <etc:cellImage>
    <xdr:pic>
      <xdr:nvPicPr>
        <xdr:cNvPr id="310" name="ID_CB80DD7429DA491CBE7CAECA197C6002" descr="upload_post_object_v2_1453401067"/>
        <xdr:cNvPicPr/>
      </xdr:nvPicPr>
      <xdr:blipFill>
        <a:blip r:embed="rId277"/>
        <a:stretch>
          <a:fillRect/>
        </a:stretch>
      </xdr:blipFill>
      <xdr:spPr>
        <a:xfrm>
          <a:off x="0" y="0"/>
          <a:ext cx="1405890" cy="302895"/>
        </a:xfrm>
        <a:prstGeom prst="rect">
          <a:avLst/>
        </a:prstGeom>
      </xdr:spPr>
    </xdr:pic>
  </etc:cellImage>
  <etc:cellImage>
    <xdr:pic>
      <xdr:nvPicPr>
        <xdr:cNvPr id="311" name="ID_428635232A904FB38E2EA52851AC7110" descr="upload_post_object_v2_776130463"/>
        <xdr:cNvPicPr/>
      </xdr:nvPicPr>
      <xdr:blipFill>
        <a:blip r:embed="rId278"/>
        <a:stretch>
          <a:fillRect/>
        </a:stretch>
      </xdr:blipFill>
      <xdr:spPr>
        <a:xfrm>
          <a:off x="0" y="0"/>
          <a:ext cx="702945" cy="501015"/>
        </a:xfrm>
        <a:prstGeom prst="rect">
          <a:avLst/>
        </a:prstGeom>
      </xdr:spPr>
    </xdr:pic>
  </etc:cellImage>
  <etc:cellImage>
    <xdr:pic>
      <xdr:nvPicPr>
        <xdr:cNvPr id="312" name="ID_059A6B40DBAB4F6293070DC421A67E0B" descr="upload_post_object_v2_1333475640"/>
        <xdr:cNvPicPr/>
      </xdr:nvPicPr>
      <xdr:blipFill>
        <a:blip r:embed="rId279"/>
        <a:stretch>
          <a:fillRect/>
        </a:stretch>
      </xdr:blipFill>
      <xdr:spPr>
        <a:xfrm>
          <a:off x="0" y="0"/>
          <a:ext cx="912495" cy="527685"/>
        </a:xfrm>
        <a:prstGeom prst="rect">
          <a:avLst/>
        </a:prstGeom>
      </xdr:spPr>
    </xdr:pic>
  </etc:cellImage>
  <etc:cellImage>
    <xdr:pic>
      <xdr:nvPicPr>
        <xdr:cNvPr id="313" name="ID_C10256DB28B349C5BE639F1231BDEF03" descr="upload_post_object_v2_350531258"/>
        <xdr:cNvPicPr/>
      </xdr:nvPicPr>
      <xdr:blipFill>
        <a:blip r:embed="rId280"/>
        <a:stretch>
          <a:fillRect/>
        </a:stretch>
      </xdr:blipFill>
      <xdr:spPr>
        <a:xfrm>
          <a:off x="0" y="0"/>
          <a:ext cx="1443990" cy="744855"/>
        </a:xfrm>
        <a:prstGeom prst="rect">
          <a:avLst/>
        </a:prstGeom>
      </xdr:spPr>
    </xdr:pic>
  </etc:cellImage>
  <etc:cellImage>
    <xdr:pic>
      <xdr:nvPicPr>
        <xdr:cNvPr id="314" name="ID_125FD58F19574227977CD614A6902643" descr="upload_post_object_v2_2612227781"/>
        <xdr:cNvPicPr/>
      </xdr:nvPicPr>
      <xdr:blipFill>
        <a:blip r:embed="rId281"/>
        <a:stretch>
          <a:fillRect/>
        </a:stretch>
      </xdr:blipFill>
      <xdr:spPr>
        <a:xfrm>
          <a:off x="0" y="0"/>
          <a:ext cx="1150620" cy="537210"/>
        </a:xfrm>
        <a:prstGeom prst="rect">
          <a:avLst/>
        </a:prstGeom>
      </xdr:spPr>
    </xdr:pic>
  </etc:cellImage>
  <etc:cellImage>
    <xdr:pic>
      <xdr:nvPicPr>
        <xdr:cNvPr id="315" name="ID_502054C58B8E48C48D12362267E9CF12" descr="upload_post_object_v2_1724340342"/>
        <xdr:cNvPicPr/>
      </xdr:nvPicPr>
      <xdr:blipFill>
        <a:blip r:embed="rId282"/>
        <a:stretch>
          <a:fillRect/>
        </a:stretch>
      </xdr:blipFill>
      <xdr:spPr>
        <a:xfrm>
          <a:off x="0" y="0"/>
          <a:ext cx="1405890" cy="527685"/>
        </a:xfrm>
        <a:prstGeom prst="rect">
          <a:avLst/>
        </a:prstGeom>
      </xdr:spPr>
    </xdr:pic>
  </etc:cellImage>
  <etc:cellImage>
    <xdr:pic>
      <xdr:nvPicPr>
        <xdr:cNvPr id="316" name="ID_25FE95B2CA52436585EBEF36B17D34A1" descr="upload_post_object_v2_539356672"/>
        <xdr:cNvPicPr/>
      </xdr:nvPicPr>
      <xdr:blipFill>
        <a:blip r:embed="rId283"/>
        <a:stretch>
          <a:fillRect/>
        </a:stretch>
      </xdr:blipFill>
      <xdr:spPr>
        <a:xfrm>
          <a:off x="0" y="0"/>
          <a:ext cx="1188720" cy="594360"/>
        </a:xfrm>
        <a:prstGeom prst="rect">
          <a:avLst/>
        </a:prstGeom>
      </xdr:spPr>
    </xdr:pic>
  </etc:cellImage>
  <etc:cellImage>
    <xdr:pic>
      <xdr:nvPicPr>
        <xdr:cNvPr id="317" name="ID_06528268881F4ECDA2D9DE7C7367A2F3" descr="upload_post_object_v2_3738655113"/>
        <xdr:cNvPicPr/>
      </xdr:nvPicPr>
      <xdr:blipFill>
        <a:blip r:embed="rId284"/>
        <a:stretch>
          <a:fillRect/>
        </a:stretch>
      </xdr:blipFill>
      <xdr:spPr>
        <a:xfrm>
          <a:off x="0" y="0"/>
          <a:ext cx="969645" cy="575310"/>
        </a:xfrm>
        <a:prstGeom prst="rect">
          <a:avLst/>
        </a:prstGeom>
      </xdr:spPr>
    </xdr:pic>
  </etc:cellImage>
  <etc:cellImage>
    <xdr:pic>
      <xdr:nvPicPr>
        <xdr:cNvPr id="318" name="ID_0F53F04B3CA64BCD90F73776F2E56E39" descr="upload_post_object_v2_1814019362"/>
        <xdr:cNvPicPr/>
      </xdr:nvPicPr>
      <xdr:blipFill>
        <a:blip r:embed="rId285"/>
        <a:stretch>
          <a:fillRect/>
        </a:stretch>
      </xdr:blipFill>
      <xdr:spPr>
        <a:xfrm>
          <a:off x="0" y="0"/>
          <a:ext cx="1045845" cy="670560"/>
        </a:xfrm>
        <a:prstGeom prst="rect">
          <a:avLst/>
        </a:prstGeom>
      </xdr:spPr>
    </xdr:pic>
  </etc:cellImage>
  <etc:cellImage>
    <xdr:pic>
      <xdr:nvPicPr>
        <xdr:cNvPr id="319" name="ID_9EC1BAF6EF444841A45253ACE006C64D" descr="upload_post_object_v2_735770575"/>
        <xdr:cNvPicPr/>
      </xdr:nvPicPr>
      <xdr:blipFill>
        <a:blip r:embed="rId286"/>
        <a:stretch>
          <a:fillRect/>
        </a:stretch>
      </xdr:blipFill>
      <xdr:spPr>
        <a:xfrm>
          <a:off x="0" y="0"/>
          <a:ext cx="1045845" cy="632460"/>
        </a:xfrm>
        <a:prstGeom prst="rect">
          <a:avLst/>
        </a:prstGeom>
      </xdr:spPr>
    </xdr:pic>
  </etc:cellImage>
  <etc:cellImage>
    <xdr:pic>
      <xdr:nvPicPr>
        <xdr:cNvPr id="320" name="ID_C68118BF10AE4755AF8BEDD160F513C0" descr="upload_post_object_v2_3438729159"/>
        <xdr:cNvPicPr/>
      </xdr:nvPicPr>
      <xdr:blipFill>
        <a:blip r:embed="rId287"/>
        <a:stretch>
          <a:fillRect/>
        </a:stretch>
      </xdr:blipFill>
      <xdr:spPr>
        <a:xfrm>
          <a:off x="0" y="0"/>
          <a:ext cx="1055370" cy="613410"/>
        </a:xfrm>
        <a:prstGeom prst="rect">
          <a:avLst/>
        </a:prstGeom>
      </xdr:spPr>
    </xdr:pic>
  </etc:cellImage>
  <etc:cellImage>
    <xdr:pic>
      <xdr:nvPicPr>
        <xdr:cNvPr id="321" name="ID_948C667FD15D499CB7C7106FC503E217" descr="upload_post_object_v2_3900213247"/>
        <xdr:cNvPicPr/>
      </xdr:nvPicPr>
      <xdr:blipFill>
        <a:blip r:embed="rId288"/>
        <a:stretch>
          <a:fillRect/>
        </a:stretch>
      </xdr:blipFill>
      <xdr:spPr>
        <a:xfrm>
          <a:off x="0" y="0"/>
          <a:ext cx="1141095" cy="687705"/>
        </a:xfrm>
        <a:prstGeom prst="rect">
          <a:avLst/>
        </a:prstGeom>
      </xdr:spPr>
    </xdr:pic>
  </etc:cellImage>
  <etc:cellImage>
    <xdr:pic>
      <xdr:nvPicPr>
        <xdr:cNvPr id="322" name="ID_2B5EE47505314246BEC80A4C0F865F87" descr="upload_post_object_v2_20322737"/>
        <xdr:cNvPicPr/>
      </xdr:nvPicPr>
      <xdr:blipFill>
        <a:blip r:embed="rId289"/>
        <a:stretch>
          <a:fillRect/>
        </a:stretch>
      </xdr:blipFill>
      <xdr:spPr>
        <a:xfrm>
          <a:off x="0" y="0"/>
          <a:ext cx="1036320" cy="689610"/>
        </a:xfrm>
        <a:prstGeom prst="rect">
          <a:avLst/>
        </a:prstGeom>
      </xdr:spPr>
    </xdr:pic>
  </etc:cellImage>
  <etc:cellImage>
    <xdr:pic>
      <xdr:nvPicPr>
        <xdr:cNvPr id="323" name="ID_1BF9CA615C8044C5B2D3DDB622990B65" descr="upload_post_object_v2_979262235"/>
        <xdr:cNvPicPr/>
      </xdr:nvPicPr>
      <xdr:blipFill>
        <a:blip r:embed="rId290"/>
        <a:stretch>
          <a:fillRect/>
        </a:stretch>
      </xdr:blipFill>
      <xdr:spPr>
        <a:xfrm>
          <a:off x="0" y="0"/>
          <a:ext cx="1055370" cy="603885"/>
        </a:xfrm>
        <a:prstGeom prst="rect">
          <a:avLst/>
        </a:prstGeom>
      </xdr:spPr>
    </xdr:pic>
  </etc:cellImage>
  <etc:cellImage>
    <xdr:pic>
      <xdr:nvPicPr>
        <xdr:cNvPr id="324" name="ID_5F92943E7D144FD4A3C203AC201BCC7A" descr="upload_post_object_v2_697289820"/>
        <xdr:cNvPicPr/>
      </xdr:nvPicPr>
      <xdr:blipFill>
        <a:blip r:embed="rId291"/>
        <a:stretch>
          <a:fillRect/>
        </a:stretch>
      </xdr:blipFill>
      <xdr:spPr>
        <a:xfrm>
          <a:off x="0" y="0"/>
          <a:ext cx="1217295" cy="687705"/>
        </a:xfrm>
        <a:prstGeom prst="rect">
          <a:avLst/>
        </a:prstGeom>
      </xdr:spPr>
    </xdr:pic>
  </etc:cellImage>
  <etc:cellImage>
    <xdr:pic>
      <xdr:nvPicPr>
        <xdr:cNvPr id="325" name="ID_95353E9D94024F9289D81B6C94A0E712" descr="upload_post_object_v2_590708205"/>
        <xdr:cNvPicPr/>
      </xdr:nvPicPr>
      <xdr:blipFill>
        <a:blip r:embed="rId292"/>
        <a:stretch>
          <a:fillRect/>
        </a:stretch>
      </xdr:blipFill>
      <xdr:spPr>
        <a:xfrm>
          <a:off x="0" y="0"/>
          <a:ext cx="1036320" cy="622935"/>
        </a:xfrm>
        <a:prstGeom prst="rect">
          <a:avLst/>
        </a:prstGeom>
      </xdr:spPr>
    </xdr:pic>
  </etc:cellImage>
  <etc:cellImage>
    <xdr:pic>
      <xdr:nvPicPr>
        <xdr:cNvPr id="326" name="ID_E2C1A6DEB9004F27AB7F06723A7A4602" descr="upload_post_object_v2_2725941342"/>
        <xdr:cNvPicPr/>
      </xdr:nvPicPr>
      <xdr:blipFill>
        <a:blip r:embed="rId293"/>
        <a:stretch>
          <a:fillRect/>
        </a:stretch>
      </xdr:blipFill>
      <xdr:spPr>
        <a:xfrm>
          <a:off x="0" y="0"/>
          <a:ext cx="1074420" cy="689610"/>
        </a:xfrm>
        <a:prstGeom prst="rect">
          <a:avLst/>
        </a:prstGeom>
      </xdr:spPr>
    </xdr:pic>
  </etc:cellImage>
  <etc:cellImage>
    <xdr:pic>
      <xdr:nvPicPr>
        <xdr:cNvPr id="327" name="ID_D574A91F70E2446CA10067E05518E1A5" descr="upload_post_object_v2_2307127625"/>
        <xdr:cNvPicPr/>
      </xdr:nvPicPr>
      <xdr:blipFill>
        <a:blip r:embed="rId294"/>
        <a:stretch>
          <a:fillRect/>
        </a:stretch>
      </xdr:blipFill>
      <xdr:spPr>
        <a:xfrm>
          <a:off x="0" y="0"/>
          <a:ext cx="1122045" cy="594360"/>
        </a:xfrm>
        <a:prstGeom prst="rect">
          <a:avLst/>
        </a:prstGeom>
      </xdr:spPr>
    </xdr:pic>
  </etc:cellImage>
  <etc:cellImage>
    <xdr:pic>
      <xdr:nvPicPr>
        <xdr:cNvPr id="328" name="ID_2CCCD858377E42A0A25978E243E40783" descr="upload_post_object_v2_2433171707"/>
        <xdr:cNvPicPr/>
      </xdr:nvPicPr>
      <xdr:blipFill>
        <a:blip r:embed="rId295"/>
        <a:stretch>
          <a:fillRect/>
        </a:stretch>
      </xdr:blipFill>
      <xdr:spPr>
        <a:xfrm>
          <a:off x="0" y="0"/>
          <a:ext cx="1055370" cy="632460"/>
        </a:xfrm>
        <a:prstGeom prst="rect">
          <a:avLst/>
        </a:prstGeom>
      </xdr:spPr>
    </xdr:pic>
  </etc:cellImage>
  <etc:cellImage>
    <xdr:pic>
      <xdr:nvPicPr>
        <xdr:cNvPr id="329" name="ID_C4431656CB8C4B6181103E6914E8927A" descr="upload_post_object_v2_629207391"/>
        <xdr:cNvPicPr/>
      </xdr:nvPicPr>
      <xdr:blipFill>
        <a:blip r:embed="rId296"/>
        <a:stretch>
          <a:fillRect/>
        </a:stretch>
      </xdr:blipFill>
      <xdr:spPr>
        <a:xfrm>
          <a:off x="0" y="0"/>
          <a:ext cx="1045845" cy="641985"/>
        </a:xfrm>
        <a:prstGeom prst="rect">
          <a:avLst/>
        </a:prstGeom>
      </xdr:spPr>
    </xdr:pic>
  </etc:cellImage>
  <etc:cellImage>
    <xdr:pic>
      <xdr:nvPicPr>
        <xdr:cNvPr id="330" name="ID_45364533C26B46968A54398C9549EB43" descr="upload_post_object_v2_3183340990"/>
        <xdr:cNvPicPr/>
      </xdr:nvPicPr>
      <xdr:blipFill>
        <a:blip r:embed="rId297"/>
        <a:stretch>
          <a:fillRect/>
        </a:stretch>
      </xdr:blipFill>
      <xdr:spPr>
        <a:xfrm>
          <a:off x="0" y="0"/>
          <a:ext cx="988695" cy="622935"/>
        </a:xfrm>
        <a:prstGeom prst="rect">
          <a:avLst/>
        </a:prstGeom>
      </xdr:spPr>
    </xdr:pic>
  </etc:cellImage>
  <etc:cellImage>
    <xdr:pic>
      <xdr:nvPicPr>
        <xdr:cNvPr id="331" name="ID_B2A3041367094463BEC645D470B37463" descr="upload_post_object_v2_1295728360"/>
        <xdr:cNvPicPr/>
      </xdr:nvPicPr>
      <xdr:blipFill>
        <a:blip r:embed="rId298"/>
        <a:stretch>
          <a:fillRect/>
        </a:stretch>
      </xdr:blipFill>
      <xdr:spPr>
        <a:xfrm>
          <a:off x="0" y="0"/>
          <a:ext cx="979170" cy="622935"/>
        </a:xfrm>
        <a:prstGeom prst="rect">
          <a:avLst/>
        </a:prstGeom>
      </xdr:spPr>
    </xdr:pic>
  </etc:cellImage>
  <etc:cellImage>
    <xdr:pic>
      <xdr:nvPicPr>
        <xdr:cNvPr id="332" name="ID_E64CC708380C4B1793778C455B441C74" descr="upload_post_object_v2_1965559974"/>
        <xdr:cNvPicPr/>
      </xdr:nvPicPr>
      <xdr:blipFill>
        <a:blip r:embed="rId299"/>
        <a:stretch>
          <a:fillRect/>
        </a:stretch>
      </xdr:blipFill>
      <xdr:spPr>
        <a:xfrm>
          <a:off x="0" y="0"/>
          <a:ext cx="1274445" cy="952500"/>
        </a:xfrm>
        <a:prstGeom prst="rect">
          <a:avLst/>
        </a:prstGeom>
      </xdr:spPr>
    </xdr:pic>
  </etc:cellImage>
  <etc:cellImage>
    <xdr:pic>
      <xdr:nvPicPr>
        <xdr:cNvPr id="333" name="ID_790FD60780AE44FD9B3B167D44919275" descr="upload_post_object_v2_682112289"/>
        <xdr:cNvPicPr/>
      </xdr:nvPicPr>
      <xdr:blipFill>
        <a:blip r:embed="rId300"/>
        <a:stretch>
          <a:fillRect/>
        </a:stretch>
      </xdr:blipFill>
      <xdr:spPr>
        <a:xfrm>
          <a:off x="0" y="0"/>
          <a:ext cx="1274445" cy="952500"/>
        </a:xfrm>
        <a:prstGeom prst="rect">
          <a:avLst/>
        </a:prstGeom>
      </xdr:spPr>
    </xdr:pic>
  </etc:cellImage>
  <etc:cellImage>
    <xdr:pic>
      <xdr:nvPicPr>
        <xdr:cNvPr id="334" name="ID_267A6B37596D41F29A74CB9513200884" descr="upload_post_object_v2_321908191"/>
        <xdr:cNvPicPr/>
      </xdr:nvPicPr>
      <xdr:blipFill>
        <a:blip r:embed="rId301"/>
        <a:stretch>
          <a:fillRect/>
        </a:stretch>
      </xdr:blipFill>
      <xdr:spPr>
        <a:xfrm>
          <a:off x="0" y="0"/>
          <a:ext cx="1274445" cy="952500"/>
        </a:xfrm>
        <a:prstGeom prst="rect">
          <a:avLst/>
        </a:prstGeom>
      </xdr:spPr>
    </xdr:pic>
  </etc:cellImage>
  <etc:cellImage>
    <xdr:pic>
      <xdr:nvPicPr>
        <xdr:cNvPr id="335" name="ID_BBD8417616BA4911BB03B940C81684C0" descr="upload_post_object_v2_10194336"/>
        <xdr:cNvPicPr/>
      </xdr:nvPicPr>
      <xdr:blipFill>
        <a:blip r:embed="rId302"/>
        <a:stretch>
          <a:fillRect/>
        </a:stretch>
      </xdr:blipFill>
      <xdr:spPr>
        <a:xfrm>
          <a:off x="0" y="0"/>
          <a:ext cx="1007745" cy="706755"/>
        </a:xfrm>
        <a:prstGeom prst="rect">
          <a:avLst/>
        </a:prstGeom>
      </xdr:spPr>
    </xdr:pic>
  </etc:cellImage>
  <etc:cellImage>
    <xdr:pic>
      <xdr:nvPicPr>
        <xdr:cNvPr id="336" name="ID_AFB2A57EAD73446B9B0CBB697B84F7D1" descr="upload_post_object_v2_3532288228"/>
        <xdr:cNvPicPr/>
      </xdr:nvPicPr>
      <xdr:blipFill>
        <a:blip r:embed="rId303"/>
        <a:stretch>
          <a:fillRect/>
        </a:stretch>
      </xdr:blipFill>
      <xdr:spPr>
        <a:xfrm>
          <a:off x="0" y="0"/>
          <a:ext cx="1036320" cy="575310"/>
        </a:xfrm>
        <a:prstGeom prst="rect">
          <a:avLst/>
        </a:prstGeom>
      </xdr:spPr>
    </xdr:pic>
  </etc:cellImage>
  <etc:cellImage>
    <xdr:pic>
      <xdr:nvPicPr>
        <xdr:cNvPr id="337" name="ID_F7F5216666B54161A51FDAB8D14F4312" descr="upload_post_object_v2_1646501698"/>
        <xdr:cNvPicPr/>
      </xdr:nvPicPr>
      <xdr:blipFill>
        <a:blip r:embed="rId304"/>
        <a:stretch>
          <a:fillRect/>
        </a:stretch>
      </xdr:blipFill>
      <xdr:spPr>
        <a:xfrm>
          <a:off x="0" y="0"/>
          <a:ext cx="1055370" cy="670560"/>
        </a:xfrm>
        <a:prstGeom prst="rect">
          <a:avLst/>
        </a:prstGeom>
      </xdr:spPr>
    </xdr:pic>
  </etc:cellImage>
  <etc:cellImage>
    <xdr:pic>
      <xdr:nvPicPr>
        <xdr:cNvPr id="338" name="ID_C1A5B255EC1C4FD09369A30B5BE7007B" descr="upload_post_object_v2_1533001388"/>
        <xdr:cNvPicPr/>
      </xdr:nvPicPr>
      <xdr:blipFill>
        <a:blip r:embed="rId305"/>
        <a:stretch>
          <a:fillRect/>
        </a:stretch>
      </xdr:blipFill>
      <xdr:spPr>
        <a:xfrm>
          <a:off x="0" y="0"/>
          <a:ext cx="1102995" cy="603885"/>
        </a:xfrm>
        <a:prstGeom prst="rect">
          <a:avLst/>
        </a:prstGeom>
      </xdr:spPr>
    </xdr:pic>
  </etc:cellImage>
  <etc:cellImage>
    <xdr:pic>
      <xdr:nvPicPr>
        <xdr:cNvPr id="339" name="ID_1D1E82BECD8B42F2ADC549BEDD40F755" descr="upload_post_object_v2_1739914684"/>
        <xdr:cNvPicPr/>
      </xdr:nvPicPr>
      <xdr:blipFill>
        <a:blip r:embed="rId306"/>
        <a:stretch>
          <a:fillRect/>
        </a:stretch>
      </xdr:blipFill>
      <xdr:spPr>
        <a:xfrm>
          <a:off x="0" y="0"/>
          <a:ext cx="542925" cy="575310"/>
        </a:xfrm>
        <a:prstGeom prst="rect">
          <a:avLst/>
        </a:prstGeom>
      </xdr:spPr>
    </xdr:pic>
  </etc:cellImage>
  <etc:cellImage>
    <xdr:pic>
      <xdr:nvPicPr>
        <xdr:cNvPr id="340" name="ID_68B10F33385743E59EF8A6AA17D58D5E" descr="upload_post_object_v2_101080166"/>
        <xdr:cNvPicPr/>
      </xdr:nvPicPr>
      <xdr:blipFill>
        <a:blip r:embed="rId307"/>
        <a:stretch>
          <a:fillRect/>
        </a:stretch>
      </xdr:blipFill>
      <xdr:spPr>
        <a:xfrm>
          <a:off x="0" y="0"/>
          <a:ext cx="998220" cy="472440"/>
        </a:xfrm>
        <a:prstGeom prst="rect">
          <a:avLst/>
        </a:prstGeom>
      </xdr:spPr>
    </xdr:pic>
  </etc:cellImage>
  <etc:cellImage>
    <xdr:pic>
      <xdr:nvPicPr>
        <xdr:cNvPr id="341" name="ID_ECAC43D51A7A4AAFAA0C5076C7253337" descr="upload_post_object_v2_1378567327"/>
        <xdr:cNvPicPr/>
      </xdr:nvPicPr>
      <xdr:blipFill>
        <a:blip r:embed="rId308"/>
        <a:stretch>
          <a:fillRect/>
        </a:stretch>
      </xdr:blipFill>
      <xdr:spPr>
        <a:xfrm>
          <a:off x="0" y="0"/>
          <a:ext cx="561975" cy="613410"/>
        </a:xfrm>
        <a:prstGeom prst="rect">
          <a:avLst/>
        </a:prstGeom>
      </xdr:spPr>
    </xdr:pic>
  </etc:cellImage>
  <etc:cellImage>
    <xdr:pic>
      <xdr:nvPicPr>
        <xdr:cNvPr id="342" name="ID_E5183FF54164433E9947F58CBEC91884" descr="upload_post_object_v2_1005031766"/>
        <xdr:cNvPicPr/>
      </xdr:nvPicPr>
      <xdr:blipFill>
        <a:blip r:embed="rId309"/>
        <a:stretch>
          <a:fillRect/>
        </a:stretch>
      </xdr:blipFill>
      <xdr:spPr>
        <a:xfrm>
          <a:off x="0" y="0"/>
          <a:ext cx="702945" cy="575310"/>
        </a:xfrm>
        <a:prstGeom prst="rect">
          <a:avLst/>
        </a:prstGeom>
      </xdr:spPr>
    </xdr:pic>
  </etc:cellImage>
  <etc:cellImage>
    <xdr:pic>
      <xdr:nvPicPr>
        <xdr:cNvPr id="343" name="ID_DFDAF6DC514645079FD5BADB3D07766A" descr="upload_post_object_v2_1485043959"/>
        <xdr:cNvPicPr/>
      </xdr:nvPicPr>
      <xdr:blipFill>
        <a:blip r:embed="rId310"/>
        <a:stretch>
          <a:fillRect/>
        </a:stretch>
      </xdr:blipFill>
      <xdr:spPr>
        <a:xfrm>
          <a:off x="0" y="0"/>
          <a:ext cx="523875" cy="546735"/>
        </a:xfrm>
        <a:prstGeom prst="rect">
          <a:avLst/>
        </a:prstGeom>
      </xdr:spPr>
    </xdr:pic>
  </etc:cellImage>
  <etc:cellImage>
    <xdr:pic>
      <xdr:nvPicPr>
        <xdr:cNvPr id="344" name="ID_55657DF417304932AA85552BA93BAC4D" descr="upload_post_object_v2_413239870"/>
        <xdr:cNvPicPr/>
      </xdr:nvPicPr>
      <xdr:blipFill>
        <a:blip r:embed="rId311"/>
        <a:stretch>
          <a:fillRect/>
        </a:stretch>
      </xdr:blipFill>
      <xdr:spPr>
        <a:xfrm>
          <a:off x="0" y="0"/>
          <a:ext cx="1036320" cy="546735"/>
        </a:xfrm>
        <a:prstGeom prst="rect">
          <a:avLst/>
        </a:prstGeom>
      </xdr:spPr>
    </xdr:pic>
  </etc:cellImage>
  <etc:cellImage>
    <xdr:pic>
      <xdr:nvPicPr>
        <xdr:cNvPr id="345" name="ID_6B6B16C4FA4B4B8B89694FFDC87BFBE3" descr="upload_post_object_v2_2388680843"/>
        <xdr:cNvPicPr/>
      </xdr:nvPicPr>
      <xdr:blipFill>
        <a:blip r:embed="rId1"/>
        <a:stretch>
          <a:fillRect/>
        </a:stretch>
      </xdr:blipFill>
      <xdr:spPr>
        <a:xfrm>
          <a:off x="0" y="0"/>
          <a:ext cx="969645" cy="501015"/>
        </a:xfrm>
        <a:prstGeom prst="rect">
          <a:avLst/>
        </a:prstGeom>
      </xdr:spPr>
    </xdr:pic>
  </etc:cellImage>
  <etc:cellImage>
    <xdr:pic>
      <xdr:nvPicPr>
        <xdr:cNvPr id="346" name="ID_8FE94ACA647642CD956D85F203645F70" descr="upload_post_object_v2_2782113976"/>
        <xdr:cNvPicPr/>
      </xdr:nvPicPr>
      <xdr:blipFill>
        <a:blip r:embed="rId312"/>
        <a:stretch>
          <a:fillRect/>
        </a:stretch>
      </xdr:blipFill>
      <xdr:spPr>
        <a:xfrm>
          <a:off x="0" y="0"/>
          <a:ext cx="702945" cy="443865"/>
        </a:xfrm>
        <a:prstGeom prst="rect">
          <a:avLst/>
        </a:prstGeom>
      </xdr:spPr>
    </xdr:pic>
  </etc:cellImage>
  <etc:cellImage>
    <xdr:pic>
      <xdr:nvPicPr>
        <xdr:cNvPr id="347" name="ID_F0EA65887D414FBD88E7003B0A02AFF3" descr="upload_post_object_v2_1268807176"/>
        <xdr:cNvPicPr/>
      </xdr:nvPicPr>
      <xdr:blipFill>
        <a:blip r:embed="rId313"/>
        <a:stretch>
          <a:fillRect/>
        </a:stretch>
      </xdr:blipFill>
      <xdr:spPr>
        <a:xfrm>
          <a:off x="0" y="0"/>
          <a:ext cx="721995" cy="546735"/>
        </a:xfrm>
        <a:prstGeom prst="rect">
          <a:avLst/>
        </a:prstGeom>
      </xdr:spPr>
    </xdr:pic>
  </etc:cellImage>
  <etc:cellImage>
    <xdr:pic>
      <xdr:nvPicPr>
        <xdr:cNvPr id="348" name="ID_C2634432D5F8470D94EBC8DCEA3AC690" descr="upload_post_object_v2_2421071400"/>
        <xdr:cNvPicPr/>
      </xdr:nvPicPr>
      <xdr:blipFill>
        <a:blip r:embed="rId314"/>
        <a:stretch>
          <a:fillRect/>
        </a:stretch>
      </xdr:blipFill>
      <xdr:spPr>
        <a:xfrm>
          <a:off x="0" y="0"/>
          <a:ext cx="428625" cy="537210"/>
        </a:xfrm>
        <a:prstGeom prst="rect">
          <a:avLst/>
        </a:prstGeom>
      </xdr:spPr>
    </xdr:pic>
  </etc:cellImage>
  <etc:cellImage>
    <xdr:pic>
      <xdr:nvPicPr>
        <xdr:cNvPr id="349" name="ID_CF02C89252324C018514166078A94805" descr="upload_post_object_v2_2824447378"/>
        <xdr:cNvPicPr/>
      </xdr:nvPicPr>
      <xdr:blipFill>
        <a:blip r:embed="rId315"/>
        <a:stretch>
          <a:fillRect/>
        </a:stretch>
      </xdr:blipFill>
      <xdr:spPr>
        <a:xfrm>
          <a:off x="0" y="0"/>
          <a:ext cx="533400" cy="510540"/>
        </a:xfrm>
        <a:prstGeom prst="rect">
          <a:avLst/>
        </a:prstGeom>
      </xdr:spPr>
    </xdr:pic>
  </etc:cellImage>
  <etc:cellImage>
    <xdr:pic>
      <xdr:nvPicPr>
        <xdr:cNvPr id="350" name="ID_745DB565B82B4711AA974B3E3591D4E1" descr="upload_post_object_v2_293674660"/>
        <xdr:cNvPicPr/>
      </xdr:nvPicPr>
      <xdr:blipFill>
        <a:blip r:embed="rId316"/>
        <a:stretch>
          <a:fillRect/>
        </a:stretch>
      </xdr:blipFill>
      <xdr:spPr>
        <a:xfrm>
          <a:off x="0" y="0"/>
          <a:ext cx="702945" cy="594360"/>
        </a:xfrm>
        <a:prstGeom prst="rect">
          <a:avLst/>
        </a:prstGeom>
      </xdr:spPr>
    </xdr:pic>
  </etc:cellImage>
  <etc:cellImage>
    <xdr:pic>
      <xdr:nvPicPr>
        <xdr:cNvPr id="351" name="ID_32A27F73F46047C8969CD2866D9955D3" descr="upload_post_object_v2_1265676280"/>
        <xdr:cNvPicPr/>
      </xdr:nvPicPr>
      <xdr:blipFill>
        <a:blip r:embed="rId317"/>
        <a:stretch>
          <a:fillRect/>
        </a:stretch>
      </xdr:blipFill>
      <xdr:spPr>
        <a:xfrm>
          <a:off x="0" y="0"/>
          <a:ext cx="581025" cy="632460"/>
        </a:xfrm>
        <a:prstGeom prst="rect">
          <a:avLst/>
        </a:prstGeom>
      </xdr:spPr>
    </xdr:pic>
  </etc:cellImage>
  <etc:cellImage>
    <xdr:pic>
      <xdr:nvPicPr>
        <xdr:cNvPr id="352" name="ID_0B5834FE48B24586813C530B349AC09B" descr="upload_post_object_v2_274567188"/>
        <xdr:cNvPicPr/>
      </xdr:nvPicPr>
      <xdr:blipFill>
        <a:blip r:embed="rId318"/>
        <a:stretch>
          <a:fillRect/>
        </a:stretch>
      </xdr:blipFill>
      <xdr:spPr>
        <a:xfrm>
          <a:off x="0" y="0"/>
          <a:ext cx="702945" cy="546735"/>
        </a:xfrm>
        <a:prstGeom prst="rect">
          <a:avLst/>
        </a:prstGeom>
      </xdr:spPr>
    </xdr:pic>
  </etc:cellImage>
  <etc:cellImage>
    <xdr:pic>
      <xdr:nvPicPr>
        <xdr:cNvPr id="353" name="ID_AA5B34CBC225478795798F5B047E221C" descr="upload_post_object_v2_3179365555"/>
        <xdr:cNvPicPr/>
      </xdr:nvPicPr>
      <xdr:blipFill>
        <a:blip r:embed="rId319"/>
        <a:stretch>
          <a:fillRect/>
        </a:stretch>
      </xdr:blipFill>
      <xdr:spPr>
        <a:xfrm>
          <a:off x="0" y="0"/>
          <a:ext cx="702945" cy="689610"/>
        </a:xfrm>
        <a:prstGeom prst="rect">
          <a:avLst/>
        </a:prstGeom>
      </xdr:spPr>
    </xdr:pic>
  </etc:cellImage>
  <etc:cellImage>
    <xdr:pic>
      <xdr:nvPicPr>
        <xdr:cNvPr id="354" name="ID_FB614F5E6C6C4DA695E98E76D90969E3" descr="upload_post_object_v2_1895170601"/>
        <xdr:cNvPicPr/>
      </xdr:nvPicPr>
      <xdr:blipFill>
        <a:blip r:embed="rId320"/>
        <a:stretch>
          <a:fillRect/>
        </a:stretch>
      </xdr:blipFill>
      <xdr:spPr>
        <a:xfrm>
          <a:off x="0" y="0"/>
          <a:ext cx="788670" cy="651510"/>
        </a:xfrm>
        <a:prstGeom prst="rect">
          <a:avLst/>
        </a:prstGeom>
      </xdr:spPr>
    </xdr:pic>
  </etc:cellImage>
  <etc:cellImage>
    <xdr:pic>
      <xdr:nvPicPr>
        <xdr:cNvPr id="355" name="ID_2F549D4391284DE89FA5AF61D8FFBEBE" descr="upload_post_object_v2_1405703467"/>
        <xdr:cNvPicPr/>
      </xdr:nvPicPr>
      <xdr:blipFill>
        <a:blip r:embed="rId321"/>
        <a:stretch>
          <a:fillRect/>
        </a:stretch>
      </xdr:blipFill>
      <xdr:spPr>
        <a:xfrm>
          <a:off x="0" y="0"/>
          <a:ext cx="552450" cy="575310"/>
        </a:xfrm>
        <a:prstGeom prst="rect">
          <a:avLst/>
        </a:prstGeom>
      </xdr:spPr>
    </xdr:pic>
  </etc:cellImage>
  <etc:cellImage>
    <xdr:pic>
      <xdr:nvPicPr>
        <xdr:cNvPr id="356" name="ID_874FB425E2B142E5831E2C22D2A0C7DB" descr="upload_post_object_v2_1886403633"/>
        <xdr:cNvPicPr/>
      </xdr:nvPicPr>
      <xdr:blipFill>
        <a:blip r:embed="rId322"/>
        <a:stretch>
          <a:fillRect/>
        </a:stretch>
      </xdr:blipFill>
      <xdr:spPr>
        <a:xfrm>
          <a:off x="0" y="0"/>
          <a:ext cx="457200" cy="527685"/>
        </a:xfrm>
        <a:prstGeom prst="rect">
          <a:avLst/>
        </a:prstGeom>
      </xdr:spPr>
    </xdr:pic>
  </etc:cellImage>
  <etc:cellImage>
    <xdr:pic>
      <xdr:nvPicPr>
        <xdr:cNvPr id="357" name="ID_AC2CE519F2DA48B8BE1152F4470C1397" descr="upload_post_object_v2_1806352234"/>
        <xdr:cNvPicPr/>
      </xdr:nvPicPr>
      <xdr:blipFill>
        <a:blip r:embed="rId323"/>
        <a:stretch>
          <a:fillRect/>
        </a:stretch>
      </xdr:blipFill>
      <xdr:spPr>
        <a:xfrm>
          <a:off x="0" y="0"/>
          <a:ext cx="581025" cy="603885"/>
        </a:xfrm>
        <a:prstGeom prst="rect">
          <a:avLst/>
        </a:prstGeom>
      </xdr:spPr>
    </xdr:pic>
  </etc:cellImage>
  <etc:cellImage>
    <xdr:pic>
      <xdr:nvPicPr>
        <xdr:cNvPr id="358" name="ID_5DF9D5C8671B44538AC5D5471D0F5F4F" descr="upload_post_object_v2_243889168"/>
        <xdr:cNvPicPr/>
      </xdr:nvPicPr>
      <xdr:blipFill>
        <a:blip r:embed="rId324"/>
        <a:stretch>
          <a:fillRect/>
        </a:stretch>
      </xdr:blipFill>
      <xdr:spPr>
        <a:xfrm>
          <a:off x="0" y="0"/>
          <a:ext cx="741045" cy="689610"/>
        </a:xfrm>
        <a:prstGeom prst="rect">
          <a:avLst/>
        </a:prstGeom>
      </xdr:spPr>
    </xdr:pic>
  </etc:cellImage>
  <etc:cellImage>
    <xdr:pic>
      <xdr:nvPicPr>
        <xdr:cNvPr id="359" name="ID_E36A17B71E7E4BC687D67895DFDC1011" descr="upload_post_object_v2_816614640"/>
        <xdr:cNvPicPr/>
      </xdr:nvPicPr>
      <xdr:blipFill>
        <a:blip r:embed="rId325"/>
        <a:stretch>
          <a:fillRect/>
        </a:stretch>
      </xdr:blipFill>
      <xdr:spPr>
        <a:xfrm>
          <a:off x="0" y="0"/>
          <a:ext cx="590550" cy="537210"/>
        </a:xfrm>
        <a:prstGeom prst="rect">
          <a:avLst/>
        </a:prstGeom>
      </xdr:spPr>
    </xdr:pic>
  </etc:cellImage>
  <etc:cellImage>
    <xdr:pic>
      <xdr:nvPicPr>
        <xdr:cNvPr id="360" name="ID_CB076EEA3F11448FB6EFD66B270BAB7C" descr="upload_post_object_v2_1767437220"/>
        <xdr:cNvPicPr/>
      </xdr:nvPicPr>
      <xdr:blipFill>
        <a:blip r:embed="rId326"/>
        <a:stretch>
          <a:fillRect/>
        </a:stretch>
      </xdr:blipFill>
      <xdr:spPr>
        <a:xfrm>
          <a:off x="0" y="0"/>
          <a:ext cx="864870" cy="481965"/>
        </a:xfrm>
        <a:prstGeom prst="rect">
          <a:avLst/>
        </a:prstGeom>
      </xdr:spPr>
    </xdr:pic>
  </etc:cellImage>
  <etc:cellImage>
    <xdr:pic>
      <xdr:nvPicPr>
        <xdr:cNvPr id="361" name="ID_2612B1D56C7A4C79A70B63CC3389FE42" descr="upload_post_object_v2_2866711804"/>
        <xdr:cNvPicPr/>
      </xdr:nvPicPr>
      <xdr:blipFill>
        <a:blip r:embed="rId327"/>
        <a:stretch>
          <a:fillRect/>
        </a:stretch>
      </xdr:blipFill>
      <xdr:spPr>
        <a:xfrm>
          <a:off x="0" y="0"/>
          <a:ext cx="769620" cy="546735"/>
        </a:xfrm>
        <a:prstGeom prst="rect">
          <a:avLst/>
        </a:prstGeom>
      </xdr:spPr>
    </xdr:pic>
  </etc:cellImage>
  <etc:cellImage>
    <xdr:pic>
      <xdr:nvPicPr>
        <xdr:cNvPr id="362" name="ID_BCE0AF53F03A4CDBB66CC875E432543D" descr="upload_post_object_v2_3766523965"/>
        <xdr:cNvPicPr/>
      </xdr:nvPicPr>
      <xdr:blipFill>
        <a:blip r:embed="rId328"/>
        <a:stretch>
          <a:fillRect/>
        </a:stretch>
      </xdr:blipFill>
      <xdr:spPr>
        <a:xfrm>
          <a:off x="0" y="0"/>
          <a:ext cx="721995" cy="584835"/>
        </a:xfrm>
        <a:prstGeom prst="rect">
          <a:avLst/>
        </a:prstGeom>
      </xdr:spPr>
    </xdr:pic>
  </etc:cellImage>
  <etc:cellImage>
    <xdr:pic>
      <xdr:nvPicPr>
        <xdr:cNvPr id="363" name="ID_5B37FD293022479AB7094F4A3BAF3335" descr="upload_post_object_v2_3746918254"/>
        <xdr:cNvPicPr/>
      </xdr:nvPicPr>
      <xdr:blipFill>
        <a:blip r:embed="rId329"/>
        <a:stretch>
          <a:fillRect/>
        </a:stretch>
      </xdr:blipFill>
      <xdr:spPr>
        <a:xfrm>
          <a:off x="0" y="0"/>
          <a:ext cx="817245" cy="575310"/>
        </a:xfrm>
        <a:prstGeom prst="rect">
          <a:avLst/>
        </a:prstGeom>
      </xdr:spPr>
    </xdr:pic>
  </etc:cellImage>
  <etc:cellImage>
    <xdr:pic>
      <xdr:nvPicPr>
        <xdr:cNvPr id="364" name="ID_AE927983D05D414FA7ECC092712BE40B" descr="upload_post_object_v2_2029431818"/>
        <xdr:cNvPicPr/>
      </xdr:nvPicPr>
      <xdr:blipFill>
        <a:blip r:embed="rId330"/>
        <a:stretch>
          <a:fillRect/>
        </a:stretch>
      </xdr:blipFill>
      <xdr:spPr>
        <a:xfrm>
          <a:off x="0" y="0"/>
          <a:ext cx="702945" cy="651510"/>
        </a:xfrm>
        <a:prstGeom prst="rect">
          <a:avLst/>
        </a:prstGeom>
      </xdr:spPr>
    </xdr:pic>
  </etc:cellImage>
  <etc:cellImage>
    <xdr:pic>
      <xdr:nvPicPr>
        <xdr:cNvPr id="365" name="ID_A60754604D9845D092C090C02088DE3B" descr="upload_post_object_v2_165234654"/>
        <xdr:cNvPicPr/>
      </xdr:nvPicPr>
      <xdr:blipFill>
        <a:blip r:embed="rId331"/>
        <a:stretch>
          <a:fillRect/>
        </a:stretch>
      </xdr:blipFill>
      <xdr:spPr>
        <a:xfrm>
          <a:off x="0" y="0"/>
          <a:ext cx="760095" cy="594360"/>
        </a:xfrm>
        <a:prstGeom prst="rect">
          <a:avLst/>
        </a:prstGeom>
      </xdr:spPr>
    </xdr:pic>
  </etc:cellImage>
  <etc:cellImage>
    <xdr:pic>
      <xdr:nvPicPr>
        <xdr:cNvPr id="366" name="ID_A8DE022D494E4CA58B27116046E35C5C" descr="upload_post_object_v2_3897663567"/>
        <xdr:cNvPicPr/>
      </xdr:nvPicPr>
      <xdr:blipFill>
        <a:blip r:embed="rId332"/>
        <a:stretch>
          <a:fillRect/>
        </a:stretch>
      </xdr:blipFill>
      <xdr:spPr>
        <a:xfrm>
          <a:off x="0" y="0"/>
          <a:ext cx="702945" cy="613410"/>
        </a:xfrm>
        <a:prstGeom prst="rect">
          <a:avLst/>
        </a:prstGeom>
      </xdr:spPr>
    </xdr:pic>
  </etc:cellImage>
  <etc:cellImage>
    <xdr:pic>
      <xdr:nvPicPr>
        <xdr:cNvPr id="367" name="ID_842636CCA3A9420F97B9D38FAB5398E4" descr="upload_post_object_v2_3894851447"/>
        <xdr:cNvPicPr/>
      </xdr:nvPicPr>
      <xdr:blipFill>
        <a:blip r:embed="rId333"/>
        <a:stretch>
          <a:fillRect/>
        </a:stretch>
      </xdr:blipFill>
      <xdr:spPr>
        <a:xfrm>
          <a:off x="0" y="0"/>
          <a:ext cx="702945" cy="613410"/>
        </a:xfrm>
        <a:prstGeom prst="rect">
          <a:avLst/>
        </a:prstGeom>
      </xdr:spPr>
    </xdr:pic>
  </etc:cellImage>
  <etc:cellImage>
    <xdr:pic>
      <xdr:nvPicPr>
        <xdr:cNvPr id="368" name="ID_82D82D5E0FF14328BD66F7157A7977B9" descr="upload_post_object_v2_2544968739"/>
        <xdr:cNvPicPr/>
      </xdr:nvPicPr>
      <xdr:blipFill>
        <a:blip r:embed="rId334"/>
        <a:stretch>
          <a:fillRect/>
        </a:stretch>
      </xdr:blipFill>
      <xdr:spPr>
        <a:xfrm>
          <a:off x="0" y="0"/>
          <a:ext cx="466725" cy="584835"/>
        </a:xfrm>
        <a:prstGeom prst="rect">
          <a:avLst/>
        </a:prstGeom>
      </xdr:spPr>
    </xdr:pic>
  </etc:cellImage>
  <etc:cellImage>
    <xdr:pic>
      <xdr:nvPicPr>
        <xdr:cNvPr id="369" name="ID_353C71C1CBCF4AAB91E96F2A91B2086B" descr="upload_post_object_v2_408862924"/>
        <xdr:cNvPicPr/>
      </xdr:nvPicPr>
      <xdr:blipFill>
        <a:blip r:embed="rId335"/>
        <a:stretch>
          <a:fillRect/>
        </a:stretch>
      </xdr:blipFill>
      <xdr:spPr>
        <a:xfrm>
          <a:off x="0" y="0"/>
          <a:ext cx="741045" cy="520065"/>
        </a:xfrm>
        <a:prstGeom prst="rect">
          <a:avLst/>
        </a:prstGeom>
      </xdr:spPr>
    </xdr:pic>
  </etc:cellImage>
  <etc:cellImage>
    <xdr:pic>
      <xdr:nvPicPr>
        <xdr:cNvPr id="370" name="ID_99402CBAEFA74B30B46EAADD916293AC" descr="upload_post_object_v2_3325350684"/>
        <xdr:cNvPicPr/>
      </xdr:nvPicPr>
      <xdr:blipFill>
        <a:blip r:embed="rId336"/>
        <a:stretch>
          <a:fillRect/>
        </a:stretch>
      </xdr:blipFill>
      <xdr:spPr>
        <a:xfrm>
          <a:off x="0" y="0"/>
          <a:ext cx="760095" cy="481965"/>
        </a:xfrm>
        <a:prstGeom prst="rect">
          <a:avLst/>
        </a:prstGeom>
      </xdr:spPr>
    </xdr:pic>
  </etc:cellImage>
  <etc:cellImage>
    <xdr:pic>
      <xdr:nvPicPr>
        <xdr:cNvPr id="371" name="ID_9DB3E0628C6C482E97694BE6D94B66A2" descr="upload_post_object_v2_4250854055"/>
        <xdr:cNvPicPr/>
      </xdr:nvPicPr>
      <xdr:blipFill>
        <a:blip r:embed="rId335"/>
        <a:stretch>
          <a:fillRect/>
        </a:stretch>
      </xdr:blipFill>
      <xdr:spPr>
        <a:xfrm>
          <a:off x="0" y="0"/>
          <a:ext cx="741045" cy="520065"/>
        </a:xfrm>
        <a:prstGeom prst="rect">
          <a:avLst/>
        </a:prstGeom>
      </xdr:spPr>
    </xdr:pic>
  </etc:cellImage>
  <etc:cellImage>
    <xdr:pic>
      <xdr:nvPicPr>
        <xdr:cNvPr id="372" name="ID_6F35E7324FE241CF9740B1F58C1901C3" descr="upload_post_object_v2_3595773147"/>
        <xdr:cNvPicPr/>
      </xdr:nvPicPr>
      <xdr:blipFill>
        <a:blip r:embed="rId337"/>
        <a:stretch>
          <a:fillRect/>
        </a:stretch>
      </xdr:blipFill>
      <xdr:spPr>
        <a:xfrm>
          <a:off x="0" y="0"/>
          <a:ext cx="721995" cy="443865"/>
        </a:xfrm>
        <a:prstGeom prst="rect">
          <a:avLst/>
        </a:prstGeom>
      </xdr:spPr>
    </xdr:pic>
  </etc:cellImage>
  <etc:cellImage>
    <xdr:pic>
      <xdr:nvPicPr>
        <xdr:cNvPr id="373" name="ID_C553DC26AFCF43389914D771C3A2228C" descr="upload_post_object_v2_1049923648"/>
        <xdr:cNvPicPr/>
      </xdr:nvPicPr>
      <xdr:blipFill>
        <a:blip r:embed="rId338"/>
        <a:stretch>
          <a:fillRect/>
        </a:stretch>
      </xdr:blipFill>
      <xdr:spPr>
        <a:xfrm>
          <a:off x="0" y="0"/>
          <a:ext cx="702945" cy="697230"/>
        </a:xfrm>
        <a:prstGeom prst="rect">
          <a:avLst/>
        </a:prstGeom>
      </xdr:spPr>
    </xdr:pic>
  </etc:cellImage>
  <etc:cellImage>
    <xdr:pic>
      <xdr:nvPicPr>
        <xdr:cNvPr id="374" name="ID_06DC40AD45A043DABB05292CC4E7786D" descr="upload_post_object_v2_3729926299"/>
        <xdr:cNvPicPr/>
      </xdr:nvPicPr>
      <xdr:blipFill>
        <a:blip r:embed="rId339"/>
        <a:stretch>
          <a:fillRect/>
        </a:stretch>
      </xdr:blipFill>
      <xdr:spPr>
        <a:xfrm>
          <a:off x="0" y="0"/>
          <a:ext cx="609600" cy="556260"/>
        </a:xfrm>
        <a:prstGeom prst="rect">
          <a:avLst/>
        </a:prstGeom>
      </xdr:spPr>
    </xdr:pic>
  </etc:cellImage>
  <etc:cellImage>
    <xdr:pic>
      <xdr:nvPicPr>
        <xdr:cNvPr id="375" name="ID_F8D7BD56BD9C4739BA64128F900B7C0C" descr="upload_post_object_v2_1495185765"/>
        <xdr:cNvPicPr/>
      </xdr:nvPicPr>
      <xdr:blipFill>
        <a:blip r:embed="rId340"/>
        <a:stretch>
          <a:fillRect/>
        </a:stretch>
      </xdr:blipFill>
      <xdr:spPr>
        <a:xfrm>
          <a:off x="0" y="0"/>
          <a:ext cx="702945" cy="462915"/>
        </a:xfrm>
        <a:prstGeom prst="rect">
          <a:avLst/>
        </a:prstGeom>
      </xdr:spPr>
    </xdr:pic>
  </etc:cellImage>
  <etc:cellImage>
    <xdr:pic>
      <xdr:nvPicPr>
        <xdr:cNvPr id="376" name="ID_533EC456924442BD9A4924A4E3684D7C" descr="upload_post_object_v2_3243532107"/>
        <xdr:cNvPicPr/>
      </xdr:nvPicPr>
      <xdr:blipFill>
        <a:blip r:embed="rId341"/>
        <a:stretch>
          <a:fillRect/>
        </a:stretch>
      </xdr:blipFill>
      <xdr:spPr>
        <a:xfrm>
          <a:off x="0" y="0"/>
          <a:ext cx="495300" cy="537210"/>
        </a:xfrm>
        <a:prstGeom prst="rect">
          <a:avLst/>
        </a:prstGeom>
      </xdr:spPr>
    </xdr:pic>
  </etc:cellImage>
  <etc:cellImage>
    <xdr:pic>
      <xdr:nvPicPr>
        <xdr:cNvPr id="377" name="ID_A095E048115E4230A5098DD4252295AF" descr="upload_post_object_v2_3468156756"/>
        <xdr:cNvPicPr/>
      </xdr:nvPicPr>
      <xdr:blipFill>
        <a:blip r:embed="rId342"/>
        <a:stretch>
          <a:fillRect/>
        </a:stretch>
      </xdr:blipFill>
      <xdr:spPr>
        <a:xfrm>
          <a:off x="0" y="0"/>
          <a:ext cx="807720" cy="367665"/>
        </a:xfrm>
        <a:prstGeom prst="rect">
          <a:avLst/>
        </a:prstGeom>
      </xdr:spPr>
    </xdr:pic>
  </etc:cellImage>
  <etc:cellImage>
    <xdr:pic>
      <xdr:nvPicPr>
        <xdr:cNvPr id="378" name="ID_39FBA0FA05C84292AB6B4BEDE7A43250" descr="upload_post_object_v2_2305344046"/>
        <xdr:cNvPicPr/>
      </xdr:nvPicPr>
      <xdr:blipFill>
        <a:blip r:embed="rId343"/>
        <a:stretch>
          <a:fillRect/>
        </a:stretch>
      </xdr:blipFill>
      <xdr:spPr>
        <a:xfrm>
          <a:off x="0" y="0"/>
          <a:ext cx="817245" cy="424815"/>
        </a:xfrm>
        <a:prstGeom prst="rect">
          <a:avLst/>
        </a:prstGeom>
      </xdr:spPr>
    </xdr:pic>
  </etc:cellImage>
  <etc:cellImage>
    <xdr:pic>
      <xdr:nvPicPr>
        <xdr:cNvPr id="379" name="ID_0C5B4E5496B446BC99850A6205D9CCAB" descr="upload_post_object_v2_2905524573"/>
        <xdr:cNvPicPr/>
      </xdr:nvPicPr>
      <xdr:blipFill>
        <a:blip r:embed="rId344"/>
        <a:stretch>
          <a:fillRect/>
        </a:stretch>
      </xdr:blipFill>
      <xdr:spPr>
        <a:xfrm>
          <a:off x="0" y="0"/>
          <a:ext cx="836295" cy="520065"/>
        </a:xfrm>
        <a:prstGeom prst="rect">
          <a:avLst/>
        </a:prstGeom>
      </xdr:spPr>
    </xdr:pic>
  </etc:cellImage>
  <etc:cellImage>
    <xdr:pic>
      <xdr:nvPicPr>
        <xdr:cNvPr id="380" name="ID_48CE83A4F18B486992B6FA4525FC452D" descr="upload_post_object_v2_1304835628"/>
        <xdr:cNvPicPr/>
      </xdr:nvPicPr>
      <xdr:blipFill>
        <a:blip r:embed="rId345"/>
        <a:stretch>
          <a:fillRect/>
        </a:stretch>
      </xdr:blipFill>
      <xdr:spPr>
        <a:xfrm>
          <a:off x="0" y="0"/>
          <a:ext cx="750570" cy="527685"/>
        </a:xfrm>
        <a:prstGeom prst="rect">
          <a:avLst/>
        </a:prstGeom>
      </xdr:spPr>
    </xdr:pic>
  </etc:cellImage>
  <etc:cellImage>
    <xdr:pic>
      <xdr:nvPicPr>
        <xdr:cNvPr id="381" name="ID_833C30FF772A46EDAF611826D78B2482" descr="upload_post_object_v2_611283884"/>
        <xdr:cNvPicPr/>
      </xdr:nvPicPr>
      <xdr:blipFill>
        <a:blip r:embed="rId346"/>
        <a:stretch>
          <a:fillRect/>
        </a:stretch>
      </xdr:blipFill>
      <xdr:spPr>
        <a:xfrm>
          <a:off x="0" y="0"/>
          <a:ext cx="523875" cy="518160"/>
        </a:xfrm>
        <a:prstGeom prst="rect">
          <a:avLst/>
        </a:prstGeom>
      </xdr:spPr>
    </xdr:pic>
  </etc:cellImage>
  <etc:cellImage>
    <xdr:pic>
      <xdr:nvPicPr>
        <xdr:cNvPr id="382" name="ID_A795A2B5AE2641E0B5E181416F19E319" descr="upload_post_object_v2_3021452743"/>
        <xdr:cNvPicPr/>
      </xdr:nvPicPr>
      <xdr:blipFill>
        <a:blip r:embed="rId347"/>
        <a:stretch>
          <a:fillRect/>
        </a:stretch>
      </xdr:blipFill>
      <xdr:spPr>
        <a:xfrm>
          <a:off x="0" y="0"/>
          <a:ext cx="533400" cy="462915"/>
        </a:xfrm>
        <a:prstGeom prst="rect">
          <a:avLst/>
        </a:prstGeom>
      </xdr:spPr>
    </xdr:pic>
  </etc:cellImage>
  <etc:cellImage>
    <xdr:pic>
      <xdr:nvPicPr>
        <xdr:cNvPr id="383" name="ID_0684888A734548CB8CBA2966956BE895" descr="upload_post_object_v2_2128526556"/>
        <xdr:cNvPicPr/>
      </xdr:nvPicPr>
      <xdr:blipFill>
        <a:blip r:embed="rId348"/>
        <a:stretch>
          <a:fillRect/>
        </a:stretch>
      </xdr:blipFill>
      <xdr:spPr>
        <a:xfrm>
          <a:off x="0" y="0"/>
          <a:ext cx="760095" cy="520065"/>
        </a:xfrm>
        <a:prstGeom prst="rect">
          <a:avLst/>
        </a:prstGeom>
      </xdr:spPr>
    </xdr:pic>
  </etc:cellImage>
  <etc:cellImage>
    <xdr:pic>
      <xdr:nvPicPr>
        <xdr:cNvPr id="384" name="ID_EABDAAE6FFCF40A899C663441ECD4974" descr="upload_post_object_v2_2797031203"/>
        <xdr:cNvPicPr/>
      </xdr:nvPicPr>
      <xdr:blipFill>
        <a:blip r:embed="rId349"/>
        <a:stretch>
          <a:fillRect/>
        </a:stretch>
      </xdr:blipFill>
      <xdr:spPr>
        <a:xfrm>
          <a:off x="0" y="0"/>
          <a:ext cx="533400" cy="641985"/>
        </a:xfrm>
        <a:prstGeom prst="rect">
          <a:avLst/>
        </a:prstGeom>
      </xdr:spPr>
    </xdr:pic>
  </etc:cellImage>
  <etc:cellImage>
    <xdr:pic>
      <xdr:nvPicPr>
        <xdr:cNvPr id="385" name="ID_A8B656F1C78140A986BCBCF0528DBCAD" descr="upload_post_object_v2_1833250177"/>
        <xdr:cNvPicPr/>
      </xdr:nvPicPr>
      <xdr:blipFill>
        <a:blip r:embed="rId350"/>
        <a:stretch>
          <a:fillRect/>
        </a:stretch>
      </xdr:blipFill>
      <xdr:spPr>
        <a:xfrm>
          <a:off x="0" y="0"/>
          <a:ext cx="590550" cy="518160"/>
        </a:xfrm>
        <a:prstGeom prst="rect">
          <a:avLst/>
        </a:prstGeom>
      </xdr:spPr>
    </xdr:pic>
  </etc:cellImage>
  <etc:cellImage>
    <xdr:pic>
      <xdr:nvPicPr>
        <xdr:cNvPr id="386" name="ID_78EA6292A86A49DE810C08F497ACB3BA" descr="upload_post_object_v2_4267334797"/>
        <xdr:cNvPicPr/>
      </xdr:nvPicPr>
      <xdr:blipFill>
        <a:blip r:embed="rId351"/>
        <a:stretch>
          <a:fillRect/>
        </a:stretch>
      </xdr:blipFill>
      <xdr:spPr>
        <a:xfrm>
          <a:off x="0" y="0"/>
          <a:ext cx="750570" cy="386715"/>
        </a:xfrm>
        <a:prstGeom prst="rect">
          <a:avLst/>
        </a:prstGeom>
      </xdr:spPr>
    </xdr:pic>
  </etc:cellImage>
  <etc:cellImage>
    <xdr:pic>
      <xdr:nvPicPr>
        <xdr:cNvPr id="387" name="ID_7D32CB1B8CC74264932F0CA497DD1B62" descr="upload_post_object_v2_3600110634"/>
        <xdr:cNvPicPr/>
      </xdr:nvPicPr>
      <xdr:blipFill>
        <a:blip r:embed="rId352"/>
        <a:stretch>
          <a:fillRect/>
        </a:stretch>
      </xdr:blipFill>
      <xdr:spPr>
        <a:xfrm>
          <a:off x="0" y="0"/>
          <a:ext cx="702945" cy="594360"/>
        </a:xfrm>
        <a:prstGeom prst="rect">
          <a:avLst/>
        </a:prstGeom>
      </xdr:spPr>
    </xdr:pic>
  </etc:cellImage>
  <etc:cellImage>
    <xdr:pic>
      <xdr:nvPicPr>
        <xdr:cNvPr id="388" name="ID_DFC6DF3E3D6749D9922DD1F7276A1895" descr="upload_post_object_v2_544043249"/>
        <xdr:cNvPicPr/>
      </xdr:nvPicPr>
      <xdr:blipFill>
        <a:blip r:embed="rId353"/>
        <a:stretch>
          <a:fillRect/>
        </a:stretch>
      </xdr:blipFill>
      <xdr:spPr>
        <a:xfrm>
          <a:off x="0" y="0"/>
          <a:ext cx="702945" cy="546735"/>
        </a:xfrm>
        <a:prstGeom prst="rect">
          <a:avLst/>
        </a:prstGeom>
      </xdr:spPr>
    </xdr:pic>
  </etc:cellImage>
  <etc:cellImage>
    <xdr:pic>
      <xdr:nvPicPr>
        <xdr:cNvPr id="389" name="ID_B95023C6E9324BCD882DF3050F66A2E5" descr="upload_post_object_v2_3789616735"/>
        <xdr:cNvPicPr/>
      </xdr:nvPicPr>
      <xdr:blipFill>
        <a:blip r:embed="rId354"/>
        <a:stretch>
          <a:fillRect/>
        </a:stretch>
      </xdr:blipFill>
      <xdr:spPr>
        <a:xfrm>
          <a:off x="0" y="0"/>
          <a:ext cx="788670" cy="510540"/>
        </a:xfrm>
        <a:prstGeom prst="rect">
          <a:avLst/>
        </a:prstGeom>
      </xdr:spPr>
    </xdr:pic>
  </etc:cellImage>
  <etc:cellImage>
    <xdr:pic>
      <xdr:nvPicPr>
        <xdr:cNvPr id="390" name="ID_8DA5CEABB3984060932420E7516144D4" descr="upload_post_object_v2_596074430"/>
        <xdr:cNvPicPr/>
      </xdr:nvPicPr>
      <xdr:blipFill>
        <a:blip r:embed="rId355"/>
        <a:stretch>
          <a:fillRect/>
        </a:stretch>
      </xdr:blipFill>
      <xdr:spPr>
        <a:xfrm>
          <a:off x="0" y="0"/>
          <a:ext cx="712470" cy="518160"/>
        </a:xfrm>
        <a:prstGeom prst="rect">
          <a:avLst/>
        </a:prstGeom>
      </xdr:spPr>
    </xdr:pic>
  </etc:cellImage>
  <etc:cellImage>
    <xdr:pic>
      <xdr:nvPicPr>
        <xdr:cNvPr id="391" name="ID_804AE914AB3847D2A102549677A81EE6" descr="upload_post_object_v2_3053208232"/>
        <xdr:cNvPicPr/>
      </xdr:nvPicPr>
      <xdr:blipFill>
        <a:blip r:embed="rId356"/>
        <a:stretch>
          <a:fillRect/>
        </a:stretch>
      </xdr:blipFill>
      <xdr:spPr>
        <a:xfrm>
          <a:off x="0" y="0"/>
          <a:ext cx="581025" cy="527685"/>
        </a:xfrm>
        <a:prstGeom prst="rect">
          <a:avLst/>
        </a:prstGeom>
      </xdr:spPr>
    </xdr:pic>
  </etc:cellImage>
  <etc:cellImage>
    <xdr:pic>
      <xdr:nvPicPr>
        <xdr:cNvPr id="392" name="ID_6AD4E7B28D2941B980E6AB35944228F9" descr="upload_post_object_v2_335649641"/>
        <xdr:cNvPicPr/>
      </xdr:nvPicPr>
      <xdr:blipFill>
        <a:blip r:embed="rId357"/>
        <a:stretch>
          <a:fillRect/>
        </a:stretch>
      </xdr:blipFill>
      <xdr:spPr>
        <a:xfrm>
          <a:off x="0" y="0"/>
          <a:ext cx="702945" cy="527685"/>
        </a:xfrm>
        <a:prstGeom prst="rect">
          <a:avLst/>
        </a:prstGeom>
      </xdr:spPr>
    </xdr:pic>
  </etc:cellImage>
  <etc:cellImage>
    <xdr:pic>
      <xdr:nvPicPr>
        <xdr:cNvPr id="393" name="ID_BA306B473CD54201851EDC7A9BEB86C4" descr="upload_post_object_v2_227433514"/>
        <xdr:cNvPicPr/>
      </xdr:nvPicPr>
      <xdr:blipFill>
        <a:blip r:embed="rId358"/>
        <a:stretch>
          <a:fillRect/>
        </a:stretch>
      </xdr:blipFill>
      <xdr:spPr>
        <a:xfrm>
          <a:off x="0" y="0"/>
          <a:ext cx="798195" cy="520065"/>
        </a:xfrm>
        <a:prstGeom prst="rect">
          <a:avLst/>
        </a:prstGeom>
      </xdr:spPr>
    </xdr:pic>
  </etc:cellImage>
  <etc:cellImage>
    <xdr:pic>
      <xdr:nvPicPr>
        <xdr:cNvPr id="394" name="ID_2F40AC44AE12468C8F39E0E2C5CB4C90" descr="upload_post_object_v2_2317843157"/>
        <xdr:cNvPicPr/>
      </xdr:nvPicPr>
      <xdr:blipFill>
        <a:blip r:embed="rId359"/>
        <a:stretch>
          <a:fillRect/>
        </a:stretch>
      </xdr:blipFill>
      <xdr:spPr>
        <a:xfrm>
          <a:off x="0" y="0"/>
          <a:ext cx="581025" cy="453390"/>
        </a:xfrm>
        <a:prstGeom prst="rect">
          <a:avLst/>
        </a:prstGeom>
      </xdr:spPr>
    </xdr:pic>
  </etc:cellImage>
  <etc:cellImage>
    <xdr:pic>
      <xdr:nvPicPr>
        <xdr:cNvPr id="395" name="ID_8A80BE17CF0446D4AA6FB494A91F28B5" descr="upload_post_object_v2_87770538"/>
        <xdr:cNvPicPr/>
      </xdr:nvPicPr>
      <xdr:blipFill>
        <a:blip r:embed="rId360"/>
        <a:stretch>
          <a:fillRect/>
        </a:stretch>
      </xdr:blipFill>
      <xdr:spPr>
        <a:xfrm>
          <a:off x="0" y="0"/>
          <a:ext cx="702945" cy="594360"/>
        </a:xfrm>
        <a:prstGeom prst="rect">
          <a:avLst/>
        </a:prstGeom>
      </xdr:spPr>
    </xdr:pic>
  </etc:cellImage>
  <etc:cellImage>
    <xdr:pic>
      <xdr:nvPicPr>
        <xdr:cNvPr id="396" name="ID_6924EDB86E67465F8FB1FB9A86DD6655" descr="upload_post_object_v2_163136812"/>
        <xdr:cNvPicPr/>
      </xdr:nvPicPr>
      <xdr:blipFill>
        <a:blip r:embed="rId361"/>
        <a:stretch>
          <a:fillRect/>
        </a:stretch>
      </xdr:blipFill>
      <xdr:spPr>
        <a:xfrm>
          <a:off x="0" y="0"/>
          <a:ext cx="788670" cy="377190"/>
        </a:xfrm>
        <a:prstGeom prst="rect">
          <a:avLst/>
        </a:prstGeom>
      </xdr:spPr>
    </xdr:pic>
  </etc:cellImage>
  <etc:cellImage>
    <xdr:pic>
      <xdr:nvPicPr>
        <xdr:cNvPr id="397" name="ID_794B66885793491E88BADFB5BA09E1CA" descr="upload_post_object_v2_1280760725"/>
        <xdr:cNvPicPr/>
      </xdr:nvPicPr>
      <xdr:blipFill>
        <a:blip r:embed="rId362"/>
        <a:stretch>
          <a:fillRect/>
        </a:stretch>
      </xdr:blipFill>
      <xdr:spPr>
        <a:xfrm>
          <a:off x="0" y="0"/>
          <a:ext cx="712470" cy="443865"/>
        </a:xfrm>
        <a:prstGeom prst="rect">
          <a:avLst/>
        </a:prstGeom>
      </xdr:spPr>
    </xdr:pic>
  </etc:cellImage>
  <etc:cellImage>
    <xdr:pic>
      <xdr:nvPicPr>
        <xdr:cNvPr id="398" name="ID_9F94EB0BAC4F42D9B01943BD63E6F47B" descr="upload_post_object_v2_2647583556"/>
        <xdr:cNvPicPr/>
      </xdr:nvPicPr>
      <xdr:blipFill>
        <a:blip r:embed="rId363"/>
        <a:stretch>
          <a:fillRect/>
        </a:stretch>
      </xdr:blipFill>
      <xdr:spPr>
        <a:xfrm>
          <a:off x="0" y="0"/>
          <a:ext cx="750570" cy="594360"/>
        </a:xfrm>
        <a:prstGeom prst="rect">
          <a:avLst/>
        </a:prstGeom>
      </xdr:spPr>
    </xdr:pic>
  </etc:cellImage>
  <etc:cellImage>
    <xdr:pic>
      <xdr:nvPicPr>
        <xdr:cNvPr id="399" name="ID_F1BEA163CABD42AAAFF172AEC37F91C8" descr="upload_post_object_v2_161258443"/>
        <xdr:cNvPicPr/>
      </xdr:nvPicPr>
      <xdr:blipFill>
        <a:blip r:embed="rId364"/>
        <a:stretch>
          <a:fillRect/>
        </a:stretch>
      </xdr:blipFill>
      <xdr:spPr>
        <a:xfrm>
          <a:off x="0" y="0"/>
          <a:ext cx="600075" cy="518160"/>
        </a:xfrm>
        <a:prstGeom prst="rect">
          <a:avLst/>
        </a:prstGeom>
      </xdr:spPr>
    </xdr:pic>
  </etc:cellImage>
  <etc:cellImage>
    <xdr:pic>
      <xdr:nvPicPr>
        <xdr:cNvPr id="400" name="ID_6737849078134CEC9F439833E9A53B7E" descr="upload_post_object_v2_3847263839"/>
        <xdr:cNvPicPr/>
      </xdr:nvPicPr>
      <xdr:blipFill>
        <a:blip r:embed="rId365"/>
        <a:stretch>
          <a:fillRect/>
        </a:stretch>
      </xdr:blipFill>
      <xdr:spPr>
        <a:xfrm>
          <a:off x="0" y="0"/>
          <a:ext cx="769620" cy="518160"/>
        </a:xfrm>
        <a:prstGeom prst="rect">
          <a:avLst/>
        </a:prstGeom>
      </xdr:spPr>
    </xdr:pic>
  </etc:cellImage>
  <etc:cellImage>
    <xdr:pic>
      <xdr:nvPicPr>
        <xdr:cNvPr id="401" name="ID_00D8AA44ACAF45848FCC012D4820E73A" descr="upload_post_object_v2_2936301536"/>
        <xdr:cNvPicPr/>
      </xdr:nvPicPr>
      <xdr:blipFill>
        <a:blip r:embed="rId366"/>
        <a:stretch>
          <a:fillRect/>
        </a:stretch>
      </xdr:blipFill>
      <xdr:spPr>
        <a:xfrm>
          <a:off x="0" y="0"/>
          <a:ext cx="702945" cy="565785"/>
        </a:xfrm>
        <a:prstGeom prst="rect">
          <a:avLst/>
        </a:prstGeom>
      </xdr:spPr>
    </xdr:pic>
  </etc:cellImage>
  <etc:cellImage>
    <xdr:pic>
      <xdr:nvPicPr>
        <xdr:cNvPr id="402" name="ID_F8BE3957FC4E4BE2B4142C110478568A" descr="upload_post_object_v2_2038301221"/>
        <xdr:cNvPicPr/>
      </xdr:nvPicPr>
      <xdr:blipFill>
        <a:blip r:embed="rId367"/>
        <a:stretch>
          <a:fillRect/>
        </a:stretch>
      </xdr:blipFill>
      <xdr:spPr>
        <a:xfrm>
          <a:off x="0" y="0"/>
          <a:ext cx="788670" cy="613410"/>
        </a:xfrm>
        <a:prstGeom prst="rect">
          <a:avLst/>
        </a:prstGeom>
      </xdr:spPr>
    </xdr:pic>
  </etc:cellImage>
  <etc:cellImage>
    <xdr:pic>
      <xdr:nvPicPr>
        <xdr:cNvPr id="403" name="ID_E4819AA4033A4F65AFE678DCCDF74B80" descr="upload_post_object_v2_1365073424"/>
        <xdr:cNvPicPr/>
      </xdr:nvPicPr>
      <xdr:blipFill>
        <a:blip r:embed="rId368"/>
        <a:stretch>
          <a:fillRect/>
        </a:stretch>
      </xdr:blipFill>
      <xdr:spPr>
        <a:xfrm>
          <a:off x="0" y="0"/>
          <a:ext cx="864870" cy="556260"/>
        </a:xfrm>
        <a:prstGeom prst="rect">
          <a:avLst/>
        </a:prstGeom>
      </xdr:spPr>
    </xdr:pic>
  </etc:cellImage>
  <etc:cellImage>
    <xdr:pic>
      <xdr:nvPicPr>
        <xdr:cNvPr id="404" name="ID_474804668E924D46915EDAEB9D7E89D9" descr="upload_post_object_v2_642370477"/>
        <xdr:cNvPicPr/>
      </xdr:nvPicPr>
      <xdr:blipFill>
        <a:blip r:embed="rId369"/>
        <a:stretch>
          <a:fillRect/>
        </a:stretch>
      </xdr:blipFill>
      <xdr:spPr>
        <a:xfrm>
          <a:off x="0" y="0"/>
          <a:ext cx="817245" cy="687705"/>
        </a:xfrm>
        <a:prstGeom prst="rect">
          <a:avLst/>
        </a:prstGeom>
      </xdr:spPr>
    </xdr:pic>
  </etc:cellImage>
  <etc:cellImage>
    <xdr:pic>
      <xdr:nvPicPr>
        <xdr:cNvPr id="405" name="ID_99EEF22C199942BB876E04057BC7DA34" descr="upload_post_object_v2_1603945635"/>
        <xdr:cNvPicPr/>
      </xdr:nvPicPr>
      <xdr:blipFill>
        <a:blip r:embed="rId370"/>
        <a:stretch>
          <a:fillRect/>
        </a:stretch>
      </xdr:blipFill>
      <xdr:spPr>
        <a:xfrm>
          <a:off x="0" y="0"/>
          <a:ext cx="1405890" cy="603885"/>
        </a:xfrm>
        <a:prstGeom prst="rect">
          <a:avLst/>
        </a:prstGeom>
      </xdr:spPr>
    </xdr:pic>
  </etc:cellImage>
  <etc:cellImage>
    <xdr:pic>
      <xdr:nvPicPr>
        <xdr:cNvPr id="406" name="ID_147D4E7BAA9541EDBA62F5F53D5E8EE8" descr="upload_post_object_v2_87821200"/>
        <xdr:cNvPicPr/>
      </xdr:nvPicPr>
      <xdr:blipFill>
        <a:blip r:embed="rId371"/>
        <a:stretch>
          <a:fillRect/>
        </a:stretch>
      </xdr:blipFill>
      <xdr:spPr>
        <a:xfrm>
          <a:off x="0" y="0"/>
          <a:ext cx="466725" cy="603885"/>
        </a:xfrm>
        <a:prstGeom prst="rect">
          <a:avLst/>
        </a:prstGeom>
      </xdr:spPr>
    </xdr:pic>
  </etc:cellImage>
  <etc:cellImage>
    <xdr:pic>
      <xdr:nvPicPr>
        <xdr:cNvPr id="407" name="ID_76F3F86CC145416EAACB95F504B6A3F3" descr="upload_post_object_v2_1719611147"/>
        <xdr:cNvPicPr/>
      </xdr:nvPicPr>
      <xdr:blipFill>
        <a:blip r:embed="rId372"/>
        <a:stretch>
          <a:fillRect/>
        </a:stretch>
      </xdr:blipFill>
      <xdr:spPr>
        <a:xfrm>
          <a:off x="0" y="0"/>
          <a:ext cx="609600" cy="744855"/>
        </a:xfrm>
        <a:prstGeom prst="rect">
          <a:avLst/>
        </a:prstGeom>
      </xdr:spPr>
    </xdr:pic>
  </etc:cellImage>
  <etc:cellImage>
    <xdr:pic>
      <xdr:nvPicPr>
        <xdr:cNvPr id="408" name="ID_CCECD8DF9CF74AC0A5B4391F62A455D4" descr="upload_post_object_v2_1358046626"/>
        <xdr:cNvPicPr/>
      </xdr:nvPicPr>
      <xdr:blipFill>
        <a:blip r:embed="rId373"/>
        <a:stretch>
          <a:fillRect/>
        </a:stretch>
      </xdr:blipFill>
      <xdr:spPr>
        <a:xfrm>
          <a:off x="0" y="0"/>
          <a:ext cx="542925" cy="689610"/>
        </a:xfrm>
        <a:prstGeom prst="rect">
          <a:avLst/>
        </a:prstGeom>
      </xdr:spPr>
    </xdr:pic>
  </etc:cellImage>
  <etc:cellImage>
    <xdr:pic>
      <xdr:nvPicPr>
        <xdr:cNvPr id="409" name="ID_75C10B8CD9334FFDB3DC03F8EB9CDC77" descr="upload_post_object_v2_3652087887"/>
        <xdr:cNvPicPr/>
      </xdr:nvPicPr>
      <xdr:blipFill>
        <a:blip r:embed="rId374"/>
        <a:stretch>
          <a:fillRect/>
        </a:stretch>
      </xdr:blipFill>
      <xdr:spPr>
        <a:xfrm>
          <a:off x="0" y="0"/>
          <a:ext cx="760095" cy="670560"/>
        </a:xfrm>
        <a:prstGeom prst="rect">
          <a:avLst/>
        </a:prstGeom>
      </xdr:spPr>
    </xdr:pic>
  </etc:cellImage>
  <etc:cellImage>
    <xdr:pic>
      <xdr:nvPicPr>
        <xdr:cNvPr id="410" name="ID_AA13D2F409114E95BE6C61E973A35C6F" descr="upload_post_object_v2_3975248834"/>
        <xdr:cNvPicPr/>
      </xdr:nvPicPr>
      <xdr:blipFill>
        <a:blip r:embed="rId375"/>
        <a:stretch>
          <a:fillRect/>
        </a:stretch>
      </xdr:blipFill>
      <xdr:spPr>
        <a:xfrm>
          <a:off x="0" y="0"/>
          <a:ext cx="931545" cy="622935"/>
        </a:xfrm>
        <a:prstGeom prst="rect">
          <a:avLst/>
        </a:prstGeom>
      </xdr:spPr>
    </xdr:pic>
  </etc:cellImage>
  <etc:cellImage>
    <xdr:pic>
      <xdr:nvPicPr>
        <xdr:cNvPr id="411" name="ID_582EECE49FE54679AFB3355D867FEA25" descr="upload_post_object_v2_4076548632"/>
        <xdr:cNvPicPr/>
      </xdr:nvPicPr>
      <xdr:blipFill>
        <a:blip r:embed="rId376"/>
        <a:stretch>
          <a:fillRect/>
        </a:stretch>
      </xdr:blipFill>
      <xdr:spPr>
        <a:xfrm>
          <a:off x="0" y="0"/>
          <a:ext cx="314325" cy="632460"/>
        </a:xfrm>
        <a:prstGeom prst="rect">
          <a:avLst/>
        </a:prstGeom>
      </xdr:spPr>
    </xdr:pic>
  </etc:cellImage>
  <etc:cellImage>
    <xdr:pic>
      <xdr:nvPicPr>
        <xdr:cNvPr id="412" name="ID_BAA5FDDCD8004A308E90FC1E999A5D02" descr="upload_post_object_v2_4132132215"/>
        <xdr:cNvPicPr/>
      </xdr:nvPicPr>
      <xdr:blipFill>
        <a:blip r:embed="rId377"/>
        <a:stretch>
          <a:fillRect/>
        </a:stretch>
      </xdr:blipFill>
      <xdr:spPr>
        <a:xfrm>
          <a:off x="0" y="0"/>
          <a:ext cx="883920" cy="613410"/>
        </a:xfrm>
        <a:prstGeom prst="rect">
          <a:avLst/>
        </a:prstGeom>
      </xdr:spPr>
    </xdr:pic>
  </etc:cellImage>
  <etc:cellImage>
    <xdr:pic>
      <xdr:nvPicPr>
        <xdr:cNvPr id="413" name="ID_78F153490C5F4E3F986F87830727CEC5" descr="upload_post_object_v2_1818955339"/>
        <xdr:cNvPicPr/>
      </xdr:nvPicPr>
      <xdr:blipFill>
        <a:blip r:embed="rId378"/>
        <a:stretch>
          <a:fillRect/>
        </a:stretch>
      </xdr:blipFill>
      <xdr:spPr>
        <a:xfrm>
          <a:off x="0" y="0"/>
          <a:ext cx="523875" cy="50101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87050</author>
  </authors>
  <commentList>
    <comment ref="I1" authorId="0">
      <text>
        <r>
          <rPr>
            <sz val="9"/>
            <rFont val="宋体"/>
            <charset val="134"/>
          </rPr>
          <t>单位可以选择：
PCE(个)
KG（公斤）
Meter（米）
Kilometer（千米）
Set(套)
如使用其他单位，需提前咨询印尼公司</t>
        </r>
      </text>
    </comment>
    <comment ref="L1" authorId="0">
      <text>
        <r>
          <rPr>
            <sz val="9"/>
            <rFont val="宋体"/>
            <charset val="134"/>
          </rPr>
          <t>单位可以选择：
PCE(个)
KG（公斤）
Meter（米）
Kilometer（千米）
Set(套)
如使用其他单位，需提前咨询印尼公司</t>
        </r>
      </text>
    </comment>
    <comment ref="S1" authorId="0">
      <text>
        <r>
          <rPr>
            <sz val="9"/>
            <rFont val="宋体"/>
            <charset val="134"/>
          </rPr>
          <t xml:space="preserve">如无单个毛重，请按现有包装计算
</t>
        </r>
      </text>
    </comment>
    <comment ref="U1" authorId="0">
      <text>
        <r>
          <rPr>
            <sz val="9"/>
            <rFont val="宋体"/>
            <charset val="134"/>
          </rPr>
          <t xml:space="preserve">如单个净重无法计算，请按现有包装计算
</t>
        </r>
      </text>
    </comment>
    <comment ref="W1" authorId="0">
      <text>
        <r>
          <rPr>
            <sz val="9"/>
            <rFont val="宋体"/>
            <charset val="134"/>
          </rPr>
          <t xml:space="preserve">如用卡板包装，需填写卡板号，如无则不需要填写
</t>
        </r>
      </text>
    </comment>
    <comment ref="AP1" authorId="0">
      <text>
        <r>
          <rPr>
            <sz val="9"/>
            <rFont val="宋体"/>
            <charset val="134"/>
          </rPr>
          <t>单位可以选择：
PCE(个)
KG（公斤）
Meter（米）
Kilometer（千米）
Set(套)
如使用其他单位，需提前咨询印尼公司</t>
        </r>
      </text>
    </comment>
  </commentList>
</comments>
</file>

<file path=xl/comments2.xml><?xml version="1.0" encoding="utf-8"?>
<comments xmlns="http://schemas.openxmlformats.org/spreadsheetml/2006/main">
  <authors>
    <author>87050</author>
  </authors>
  <commentList>
    <comment ref="M3" authorId="0">
      <text>
        <r>
          <rPr>
            <sz val="9"/>
            <rFont val="宋体"/>
            <charset val="134"/>
          </rPr>
          <t>单位可以选择：
PCE(个)
KG（公斤）
Meter（米）
Kilometer（千米）
Set(套)
如使用其他单位，需提前咨询印尼公司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<sst xmlns="http://schemas.openxmlformats.org/spreadsheetml/2006/main" count="9361" uniqueCount="3132">
  <si>
    <t>序号    serial number</t>
  </si>
  <si>
    <t>中国HSCODE（China）</t>
  </si>
  <si>
    <t xml:space="preserve">  印尼HS CODE (Indonesia)</t>
  </si>
  <si>
    <t>货号
Item No.</t>
  </si>
  <si>
    <t>产品中文名称
Chinese name of the product</t>
  </si>
  <si>
    <t xml:space="preserve">产品英文名称
English name of the product                                                               </t>
  </si>
  <si>
    <t>规格
specification</t>
  </si>
  <si>
    <t>用量
dosage</t>
  </si>
  <si>
    <t>单位
Unit</t>
  </si>
  <si>
    <t>需求数量
Quantity</t>
  </si>
  <si>
    <t>产品数量Product quantity</t>
  </si>
  <si>
    <t>供应商
Supplier</t>
  </si>
  <si>
    <t>采购单日期
Date of purchase order</t>
  </si>
  <si>
    <t>采购单号
PO No.</t>
  </si>
  <si>
    <t>采购单价
Purchase price</t>
  </si>
  <si>
    <t>采购金额Purchase Amount</t>
  </si>
  <si>
    <t>采购总额 Total Amount</t>
  </si>
  <si>
    <t>单个毛重
Gross weight（KGM）</t>
  </si>
  <si>
    <t>毛重总重
Total Gross weight（KGM）</t>
  </si>
  <si>
    <t>单个净重
Net weight（KGM）</t>
  </si>
  <si>
    <t>净重总重Total Net weight（KGM）</t>
  </si>
  <si>
    <t>卡板号
Pallet No.</t>
  </si>
  <si>
    <t>箱号
Carton No.</t>
  </si>
  <si>
    <t>箱数
Carton No.</t>
  </si>
  <si>
    <t>每箱数量Qty/Per carton</t>
  </si>
  <si>
    <t>长
Length</t>
  </si>
  <si>
    <t>宽
Width</t>
  </si>
  <si>
    <t>高
Height</t>
  </si>
  <si>
    <t>立方数/每箱CBM/Per carton</t>
  </si>
  <si>
    <t>总立方数Total CBM</t>
  </si>
  <si>
    <t xml:space="preserve">图片
Picture </t>
  </si>
  <si>
    <t>产品用途
product use</t>
  </si>
  <si>
    <t>合同号码
Contract No.</t>
  </si>
  <si>
    <t>合同日期
Date of contract</t>
  </si>
  <si>
    <t>发票号
Invoice No.</t>
  </si>
  <si>
    <t>发票日期
Date of Invoice</t>
  </si>
  <si>
    <t>发票单价
Unit price on invoice</t>
  </si>
  <si>
    <t>金额
Invoice amount</t>
  </si>
  <si>
    <t>发票合计金额Invoice total amount</t>
  </si>
  <si>
    <t>柜号
Container No.</t>
  </si>
  <si>
    <t>走柜日期
Shipping date</t>
  </si>
  <si>
    <t>提单号
Bl No.</t>
  </si>
  <si>
    <t>预计到港日期
ETA PORT</t>
  </si>
  <si>
    <t>实际到厂日期 Actual arrival date</t>
  </si>
  <si>
    <t>Container Size</t>
  </si>
  <si>
    <t>Vessel Name/Voyage No.</t>
  </si>
  <si>
    <t>总集装箱运费金额（中国运费） Total Container Freight Amount (China's Freight)</t>
  </si>
  <si>
    <t>货运代理运输费用 Forwarder Transportation Costs (Indonesia Freight)</t>
  </si>
  <si>
    <t>Actual freight for product</t>
  </si>
  <si>
    <t>塑胶件-折叠筐</t>
  </si>
  <si>
    <t>folding basket</t>
  </si>
  <si>
    <t>PCE</t>
  </si>
  <si>
    <t>pcs</t>
  </si>
  <si>
    <t>BRIGHT STAR (HK)INDUSTRY/LIMITED</t>
  </si>
  <si>
    <t>1-22</t>
  </si>
  <si>
    <t>RPRRI00139</t>
  </si>
  <si>
    <t>PR202400139</t>
  </si>
  <si>
    <t>WHSU6160759</t>
  </si>
  <si>
    <t>030F500038</t>
  </si>
  <si>
    <t>40HQ</t>
  </si>
  <si>
    <t>WAN HAI 371/S011</t>
  </si>
  <si>
    <t xml:space="preserve">¥212,872.84
</t>
  </si>
  <si>
    <t>总合计</t>
  </si>
  <si>
    <t>RPRRI00140</t>
  </si>
  <si>
    <t>PR202400140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</si>
  <si>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WHSU5417230</t>
    </r>
  </si>
  <si>
    <t>030F500039</t>
  </si>
  <si>
    <t>J00002-Jack Lantern-南瓜灯</t>
  </si>
  <si>
    <t>工具灯IC板打螺丝底模</t>
  </si>
  <si>
    <t>Tool light IC board screw bottom die</t>
  </si>
  <si>
    <t>河源市源城区新汇丰机械模具加工部</t>
  </si>
  <si>
    <t>序号1</t>
  </si>
  <si>
    <t>RPRRI00146</t>
  </si>
  <si>
    <t>PR202400146</t>
  </si>
  <si>
    <t>WHSU2789070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</si>
  <si>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030F500175</t>
    </r>
    <r>
      <rPr>
        <b/>
        <sz val="12"/>
        <color rgb="FF000000"/>
        <rFont val="等线"/>
        <charset val="134"/>
      </rPr>
      <t xml:space="preserve"> </t>
    </r>
  </si>
  <si>
    <t>20FT</t>
  </si>
  <si>
    <t xml:space="preserve">¥9,738.00  
</t>
  </si>
  <si>
    <t xml:space="preserve">¥351,329.77 
</t>
  </si>
  <si>
    <t>工具灯压电池片上下模</t>
  </si>
  <si>
    <t>The tool light presses the upper and lower die of the battery</t>
  </si>
  <si>
    <t>假电池</t>
  </si>
  <si>
    <t>Dummy cell</t>
  </si>
  <si>
    <t>南瓜锥超声上模</t>
  </si>
  <si>
    <t>Ultrasonic molding of pumpkin cone</t>
  </si>
  <si>
    <t>南瓜锥超声下模</t>
  </si>
  <si>
    <t>Pumpkin cone ultrasonic mold</t>
  </si>
  <si>
    <t>J00025-Color Changing Pumpkin Light-变色南瓜灯</t>
  </si>
  <si>
    <t>压电池片上下模</t>
  </si>
  <si>
    <t>Press the upper and lower die of the battery</t>
  </si>
  <si>
    <t>三档开关烫胶固定底模</t>
  </si>
  <si>
    <t>Three speed switch hot glue fixed bottom die</t>
  </si>
  <si>
    <t>南瓜灯打螺丝底模</t>
  </si>
  <si>
    <t>Jack-o '-lantern screw bottom mold</t>
  </si>
  <si>
    <t>电池盖打螺丝底模</t>
  </si>
  <si>
    <t>Screw the bottom mold of the battery cover</t>
  </si>
  <si>
    <t>J00012-Little Pumpkin Lamp-小南瓜灯</t>
  </si>
  <si>
    <t>打螺丝底模</t>
  </si>
  <si>
    <t>Screw the bottom die</t>
  </si>
  <si>
    <t>W83669-Lighting Ground Plug Arm-亮灯地插手臂</t>
  </si>
  <si>
    <t>手臂L件啤钉轴</t>
  </si>
  <si>
    <t>Arm L piece pin shaft</t>
  </si>
  <si>
    <t>手臂R件啤钉轴</t>
  </si>
  <si>
    <t>Arm R piece stud shaft</t>
  </si>
  <si>
    <t>L件打螺丝底模</t>
  </si>
  <si>
    <t>L part screw bottom die</t>
  </si>
  <si>
    <t>R件打螺丝底模</t>
  </si>
  <si>
    <t>Screw bottom die for R pieces</t>
  </si>
  <si>
    <t>J00038-Remote Control Light-遥控灯</t>
  </si>
  <si>
    <t>RPRRI00147</t>
  </si>
  <si>
    <t>PR202400147</t>
  </si>
  <si>
    <t>吸塑模</t>
  </si>
  <si>
    <t>Blister die</t>
  </si>
  <si>
    <t>序号2</t>
  </si>
  <si>
    <t>发热片</t>
  </si>
  <si>
    <t>Heating sheet</t>
  </si>
  <si>
    <t>J00035-Tools Series-工具系列</t>
  </si>
  <si>
    <t>彩钉切水口上下模</t>
  </si>
  <si>
    <t>Color nail cut water top and bottom die</t>
  </si>
  <si>
    <t>序号3</t>
  </si>
  <si>
    <t>J00016-Ladle Set-大勺套装</t>
  </si>
  <si>
    <t>2.5x5.5光轴</t>
  </si>
  <si>
    <t>2.5x5.5 optical axis</t>
  </si>
  <si>
    <t>KGM</t>
  </si>
  <si>
    <t>河源市港正五金制造有限公司</t>
  </si>
  <si>
    <t>序号1箱装4万颗</t>
  </si>
  <si>
    <t>RPRRI00148</t>
  </si>
  <si>
    <t>PR202400148</t>
  </si>
  <si>
    <t xml:space="preserve">¥9,738.00 
</t>
  </si>
  <si>
    <r>
      <rPr>
        <b/>
        <sz val="11"/>
        <color rgb="FF000000"/>
        <rFont val="等线"/>
        <charset val="134"/>
      </rPr>
      <t>1.0t*ID2.7*</t>
    </r>
    <r>
      <rPr>
        <b/>
        <sz val="11"/>
        <color rgb="FF000000"/>
        <rFont val="宋体"/>
        <charset val="134"/>
        <scheme val="minor"/>
      </rPr>
      <t>∅</t>
    </r>
    <r>
      <rPr>
        <b/>
        <sz val="11"/>
        <color rgb="FF000000"/>
        <rFont val="等线"/>
        <charset val="134"/>
      </rPr>
      <t>18*打孔轮</t>
    </r>
  </si>
  <si>
    <r>
      <rPr>
        <b/>
        <sz val="11"/>
        <color rgb="FF000000"/>
        <rFont val="等线"/>
        <charset val="134"/>
      </rPr>
      <t>1.0t*ID2.7*</t>
    </r>
    <r>
      <rPr>
        <b/>
        <sz val="11"/>
        <color rgb="FF000000"/>
        <rFont val="宋体"/>
        <charset val="134"/>
        <scheme val="minor"/>
      </rPr>
      <t>∅</t>
    </r>
    <r>
      <rPr>
        <b/>
        <sz val="11"/>
        <color rgb="FF000000"/>
        <rFont val="等线"/>
        <charset val="134"/>
      </rPr>
      <t>18* Punch wheel</t>
    </r>
  </si>
  <si>
    <t>序号2箱装4万颗</t>
  </si>
  <si>
    <t>1.0t*9.7*117.9齿条</t>
  </si>
  <si>
    <t>1.0t x 9.7 x 117.9 rack</t>
  </si>
  <si>
    <t>序号3-4</t>
  </si>
  <si>
    <t>序号3至4箱装8千颗</t>
  </si>
  <si>
    <t>J00015-Spade Set-铲子套装</t>
  </si>
  <si>
    <t>0.8t*7.2*71齿条</t>
  </si>
  <si>
    <t>0.8t*7.2*71 rack</t>
  </si>
  <si>
    <t>序号8-9</t>
  </si>
  <si>
    <r>
      <rPr>
        <b/>
        <sz val="12"/>
        <color rgb="FF000000"/>
        <rFont val="等线"/>
        <charset val="134"/>
      </rPr>
      <t>序号8箱装2.1万颗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序号9箱装1.6万颗</t>
    </r>
  </si>
  <si>
    <r>
      <rPr>
        <b/>
        <sz val="12"/>
        <color rgb="FF000000"/>
        <rFont val="等线"/>
        <charset val="134"/>
      </rPr>
      <t>J00015-Spade Set-铲子套装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J00016-Ladle Set-大勺套装</t>
    </r>
  </si>
  <si>
    <t>0.8t*8.2*68.4细齿齿条</t>
  </si>
  <si>
    <t>0.8t*8.2*68.4 fine tooth rack</t>
  </si>
  <si>
    <t>序号10-12、16</t>
  </si>
  <si>
    <r>
      <rPr>
        <b/>
        <sz val="12"/>
        <color rgb="FF000000"/>
        <rFont val="等线"/>
        <charset val="134"/>
      </rPr>
      <t>序号10至12箱装1.2万颗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序号16箱装8千颗</t>
    </r>
  </si>
  <si>
    <t>0.8t*3.4*66.1齿条</t>
  </si>
  <si>
    <t>0.8t x 3.4 x 66.1 rack</t>
  </si>
  <si>
    <t>序号17-18</t>
  </si>
  <si>
    <r>
      <rPr>
        <b/>
        <sz val="12"/>
        <color rgb="FF000000"/>
        <rFont val="等线"/>
        <charset val="134"/>
      </rPr>
      <t>序号17箱装2.4万颗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序号18箱装1.6万颗</t>
    </r>
  </si>
  <si>
    <t>0.3t*8W*7H正极</t>
  </si>
  <si>
    <t>0.3t*8W*7H positive electrode</t>
  </si>
  <si>
    <t>序号19</t>
  </si>
  <si>
    <t>序号19箱装6万颗</t>
  </si>
  <si>
    <t>0.3t*8W*7H负极</t>
  </si>
  <si>
    <t>0.3t*8W*7H negative electrode</t>
  </si>
  <si>
    <t>序号20</t>
  </si>
  <si>
    <t>序号20箱装6万颗</t>
  </si>
  <si>
    <t>0.3t*16.8W*7H负正极</t>
  </si>
  <si>
    <t>0.3t*16.8W*7H negative positive electrode</t>
  </si>
  <si>
    <t>序号21-24</t>
  </si>
  <si>
    <t>序号21至24箱装3万颗</t>
  </si>
  <si>
    <t>螺丝 2.3*6PB</t>
  </si>
  <si>
    <t>Screws 2.3*6PB</t>
  </si>
  <si>
    <t>序号25</t>
  </si>
  <si>
    <t>序号25箱装6万颗</t>
  </si>
  <si>
    <t>螺丝 2.3*8PB</t>
  </si>
  <si>
    <t>Screws 2.3*8PB</t>
  </si>
  <si>
    <t>序号26</t>
  </si>
  <si>
    <t>序号26箱装18万颗</t>
  </si>
  <si>
    <t>J00012-Little Pumpkin Light-小南瓜灯</t>
  </si>
  <si>
    <t>正极电池片0.4t*11W*9H 叶仔1.0±0.1 坡高1.5</t>
  </si>
  <si>
    <t>Positive battery 0.4t*11W*9H Blade 1.0±0.1 Slope height 1.5</t>
  </si>
  <si>
    <t>序号27-29</t>
  </si>
  <si>
    <t>序号27-29箱装10万颗</t>
  </si>
  <si>
    <t>负极电池片0.4t*11W*9H 叶仔1.0±0.1</t>
  </si>
  <si>
    <t>Negative battery 0.4t*11W*9H blade size 1.0±0.1</t>
  </si>
  <si>
    <t>序号30-39</t>
  </si>
  <si>
    <t>序号30-39箱装3万颗</t>
  </si>
  <si>
    <t>序号40-42</t>
  </si>
  <si>
    <r>
      <rPr>
        <b/>
        <sz val="12"/>
        <color rgb="FF000000"/>
        <rFont val="等线"/>
        <charset val="134"/>
      </rPr>
      <t>序号40-41箱装28万颗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序号42箱装4万颗</t>
    </r>
  </si>
  <si>
    <t>M2.6*8PM 牙=5.5mm D=3.6(带槽倒扣）</t>
  </si>
  <si>
    <t>M2.6*8PM tooth =5.5mm D=3.6(back-up with slot)</t>
  </si>
  <si>
    <t>序号43-44</t>
  </si>
  <si>
    <r>
      <rPr>
        <b/>
        <sz val="12"/>
        <color rgb="FF000000"/>
        <rFont val="等线"/>
        <charset val="134"/>
      </rPr>
      <t>序号43箱装22万颗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序号44箱装8万颗</t>
    </r>
  </si>
  <si>
    <t>M2.6*2.0L丝母</t>
  </si>
  <si>
    <t>M2.6*2.0L silk masterbatch</t>
  </si>
  <si>
    <t>序号45-46</t>
  </si>
  <si>
    <r>
      <rPr>
        <b/>
        <sz val="12"/>
        <color rgb="FF000000"/>
        <rFont val="等线"/>
        <charset val="134"/>
      </rPr>
      <t>序号45箱装28万颗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序号46箱装2万颗</t>
    </r>
  </si>
  <si>
    <t>螺丝 2.3*4PB D=3.6</t>
  </si>
  <si>
    <t>Screw 2.3*4PB D=3.6</t>
  </si>
  <si>
    <t>序号47</t>
  </si>
  <si>
    <t>序号47箱装79800颗</t>
  </si>
  <si>
    <t>螺丝 2.3*6PB D=3.6</t>
  </si>
  <si>
    <t>Screw 2.3*6PB D=3.6</t>
  </si>
  <si>
    <t>序号48</t>
  </si>
  <si>
    <t>序号48箱装106200颗</t>
  </si>
  <si>
    <t>序号49</t>
  </si>
  <si>
    <t>序号49箱装26900颗</t>
  </si>
  <si>
    <t>RPRRI00149</t>
  </si>
  <si>
    <t>PR202400149</t>
  </si>
  <si>
    <t>序号50</t>
  </si>
  <si>
    <t>序号50箱装26900颗</t>
  </si>
  <si>
    <t>CI226正片</t>
  </si>
  <si>
    <t>CI226 positive</t>
  </si>
  <si>
    <t>序号51</t>
  </si>
  <si>
    <t>序号51箱装26900颗</t>
  </si>
  <si>
    <t>CI226负片</t>
  </si>
  <si>
    <t>CI226 negative</t>
  </si>
  <si>
    <t>序号52</t>
  </si>
  <si>
    <t>序号52箱装26900颗</t>
  </si>
  <si>
    <t>CI226正负片</t>
  </si>
  <si>
    <r>
      <rPr>
        <b/>
        <sz val="12"/>
        <color rgb="FF000000"/>
        <rFont val="等线"/>
        <charset val="134"/>
      </rPr>
      <t>CI226 positive and negative</t>
    </r>
    <r>
      <rPr>
        <b/>
        <sz val="12"/>
        <color rgb="FF000000"/>
        <rFont val="等线"/>
        <charset val="134"/>
      </rPr>
      <t xml:space="preserve"> </t>
    </r>
  </si>
  <si>
    <t>26900 (ACTUAL QTY 23,600)</t>
  </si>
  <si>
    <t>序号53</t>
  </si>
  <si>
    <t>序号53箱装26900颗</t>
  </si>
  <si>
    <t>CI226负正片</t>
  </si>
  <si>
    <t>CI226 negative and positive</t>
  </si>
  <si>
    <t>序号54</t>
  </si>
  <si>
    <t>序号54箱装26900颗</t>
  </si>
  <si>
    <t>序号55</t>
  </si>
  <si>
    <t>序号55箱装22200颗</t>
  </si>
  <si>
    <t>序号56</t>
  </si>
  <si>
    <t>序号56箱装22200颗</t>
  </si>
  <si>
    <t>序号57-58</t>
  </si>
  <si>
    <r>
      <rPr>
        <b/>
        <sz val="12"/>
        <color rgb="FF000000"/>
        <rFont val="等线"/>
        <charset val="134"/>
      </rPr>
      <t>序号57箱装3万颗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序号58箱装1万4千4百颗</t>
    </r>
  </si>
  <si>
    <t>螺丝 2.6*6PB</t>
  </si>
  <si>
    <t>Screws 2.6*6PB</t>
  </si>
  <si>
    <t>序号59</t>
  </si>
  <si>
    <t>序号59箱装66000颗</t>
  </si>
  <si>
    <t>序号60</t>
  </si>
  <si>
    <t>序号60箱装66000颗</t>
  </si>
  <si>
    <t>序号61</t>
  </si>
  <si>
    <t>序号61箱装66000颗</t>
  </si>
  <si>
    <t>J00012/J00038/W85202 -Shared-共用</t>
  </si>
  <si>
    <t>4.5CM绝缘片/厚度0.26MM</t>
  </si>
  <si>
    <t>4.5CM insulation sheet/Thickness 0.26MM</t>
  </si>
  <si>
    <t>东莞市太初纸品有限公司</t>
  </si>
  <si>
    <t>326-337</t>
  </si>
  <si>
    <r>
      <rPr>
        <b/>
        <sz val="12"/>
        <color rgb="FF000000"/>
        <rFont val="等线"/>
        <charset val="134"/>
      </rPr>
      <t>1至12箱数量为45100pcs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13箱数量为38800pcs</t>
    </r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</si>
  <si>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RPIRRI00150</t>
    </r>
  </si>
  <si>
    <t>PR202400150</t>
  </si>
  <si>
    <t>WHSU2230204</t>
  </si>
  <si>
    <t>030F500396</t>
  </si>
  <si>
    <t xml:space="preserve">
497,888.32</t>
  </si>
  <si>
    <t>W84670/W84863-Shared-共用</t>
  </si>
  <si>
    <t>5英寸子母扣</t>
  </si>
  <si>
    <t>5 inch child buckle</t>
  </si>
  <si>
    <t>河源市正华包装有限公司</t>
  </si>
  <si>
    <t>338-342</t>
  </si>
  <si>
    <t>每箱20盒</t>
  </si>
  <si>
    <r>
      <rPr>
        <b/>
        <sz val="12"/>
        <color rgb="FF000000"/>
        <rFont val="等线"/>
        <charset val="134"/>
      </rPr>
      <t>E73622A布鲁伊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家族沐浴玩具</t>
    </r>
    <r>
      <rPr>
        <b/>
        <sz val="12"/>
        <color rgb="FF000000"/>
        <rFont val="等线"/>
        <charset val="134"/>
      </rPr>
      <t xml:space="preserve"> </t>
    </r>
  </si>
  <si>
    <t>塑胶件-布鲁伊爸爸杯</t>
  </si>
  <si>
    <t>Plastic. - Bluey's Daddy Cup</t>
  </si>
  <si>
    <t>PCS</t>
  </si>
  <si>
    <t>东莞兴信塑胶制品有限公司</t>
  </si>
  <si>
    <t>1</t>
  </si>
  <si>
    <t>1-24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</si>
  <si>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RPIRRI00151</t>
    </r>
  </si>
  <si>
    <t>PR202400151</t>
  </si>
  <si>
    <t>塑胶件-布鲁伊杯</t>
  </si>
  <si>
    <t>Plastic - Bluey Cup</t>
  </si>
  <si>
    <t>2</t>
  </si>
  <si>
    <t>24-34</t>
  </si>
  <si>
    <t>塑胶件-宾果妈妈杯</t>
  </si>
  <si>
    <t>Plastic - Bingo mother cup</t>
  </si>
  <si>
    <t>35-54</t>
  </si>
  <si>
    <t>E73635A布鲁伊沐浴浮水玩具</t>
  </si>
  <si>
    <t>塑胶件-布鲁伊泳游圈面</t>
  </si>
  <si>
    <t>Plastic - Bluey swimming circle</t>
  </si>
  <si>
    <r>
      <rPr>
        <b/>
        <sz val="12"/>
        <color rgb="FF000000"/>
        <rFont val="等线"/>
        <charset val="134"/>
      </rPr>
      <t>3卡/30箱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1卡/4箱</t>
    </r>
  </si>
  <si>
    <t>35-88</t>
  </si>
  <si>
    <t>碱性锌锰电池</t>
  </si>
  <si>
    <t>Alkaline zinc-manganese battery</t>
  </si>
  <si>
    <t>耐科森(香港)科技有限公司</t>
  </si>
  <si>
    <t>4-7</t>
  </si>
  <si>
    <t>129-325</t>
  </si>
  <si>
    <r>
      <rPr>
        <b/>
        <sz val="12"/>
        <color rgb="FF000000"/>
        <rFont val="等线"/>
        <charset val="134"/>
      </rPr>
      <t>1至3箱数量为480000pcs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4箱数量为530000pcs</t>
    </r>
  </si>
  <si>
    <r>
      <rPr>
        <b/>
        <sz val="12"/>
        <color rgb="FF000000"/>
        <rFont val="等线"/>
        <charset val="134"/>
      </rPr>
      <t>∣提供电源∣碱性锌锰成分∣圆柱型∣无牌∣1.5v|无汞 AG13|不享惠</t>
    </r>
    <r>
      <rPr>
        <b/>
        <sz val="12"/>
        <color rgb="FF000000"/>
        <rFont val="等线"/>
        <charset val="134"/>
      </rPr>
      <t xml:space="preserve">  </t>
    </r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</si>
  <si>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RPIRRI00152</t>
    </r>
  </si>
  <si>
    <t>PR202400152</t>
  </si>
  <si>
    <t>030F500816</t>
  </si>
  <si>
    <t>47602J</t>
  </si>
  <si>
    <t>47602T-AAA-碳性电池(GP)AAA RO3绿色CE标</t>
  </si>
  <si>
    <t>47602T-AAA-Carbon Battery (GP) AAA RO3 Green CE Standard</t>
  </si>
  <si>
    <t>东莞市莞力电子科技有限公司</t>
  </si>
  <si>
    <t>89-128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</si>
  <si>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RPIRRI00153</t>
    </r>
  </si>
  <si>
    <t>PR202400153</t>
  </si>
  <si>
    <t>030F500817</t>
  </si>
  <si>
    <t>胶针机</t>
  </si>
  <si>
    <t>Glue needle machine</t>
  </si>
  <si>
    <t>ML120-BEP</t>
  </si>
  <si>
    <t>东莞市雅洛轩进出口贸易有限公司</t>
  </si>
  <si>
    <t>打胶钉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</si>
  <si>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YN00096</t>
    </r>
  </si>
  <si>
    <t>YNA00096</t>
  </si>
  <si>
    <t>030F500818</t>
  </si>
  <si>
    <t>喷码机</t>
  </si>
  <si>
    <t>Inkjet printer</t>
  </si>
  <si>
    <t>S680-S PLUS</t>
  </si>
  <si>
    <t>344-348</t>
  </si>
  <si>
    <t>打印日期码</t>
  </si>
  <si>
    <t>合计</t>
  </si>
  <si>
    <t>FC83591GN-Dinosaur-恐龙/FC83541GN-Unicorn-独角兽</t>
  </si>
  <si>
    <t>碎海绵</t>
  </si>
  <si>
    <t>Shredded Foam</t>
  </si>
  <si>
    <t>28</t>
  </si>
  <si>
    <t>包</t>
  </si>
  <si>
    <t>东莞市正隆家居用品有限公司</t>
  </si>
  <si>
    <t>1-28</t>
  </si>
  <si>
    <t>CGDD007446-2</t>
  </si>
  <si>
    <t>MRSU4935317</t>
  </si>
  <si>
    <t>06/01/2025</t>
  </si>
  <si>
    <t>MAEU-248336436</t>
  </si>
  <si>
    <t>19/01/2025</t>
  </si>
  <si>
    <t>21/01/2025</t>
  </si>
  <si>
    <t>AS NARA/502S</t>
  </si>
  <si>
    <t>FC86005GN-Teddy Dog-泰迪狗/FC83645GN-White Nose Dog-白鼻子狗</t>
  </si>
  <si>
    <t>CGDD007446-1</t>
  </si>
  <si>
    <t>CGD007446-1</t>
  </si>
  <si>
    <t>BMOU4677162</t>
  </si>
  <si>
    <t>MAEU 248336447</t>
  </si>
  <si>
    <t xml:space="preserve">47669-JD THE COWS ARE OUT-奶牛农场公仔与铲车 </t>
  </si>
  <si>
    <t>产品贴纸</t>
  </si>
  <si>
    <t>Product sticker</t>
  </si>
  <si>
    <t>SET</t>
  </si>
  <si>
    <t>东莞清溪台聚印刷有限公司</t>
  </si>
  <si>
    <t>产品配件</t>
  </si>
  <si>
    <t>RPRRI00141</t>
  </si>
  <si>
    <t>PR202400141</t>
  </si>
  <si>
    <t>WHLU5810690</t>
  </si>
  <si>
    <t>030F500040</t>
  </si>
  <si>
    <t>22/01/2025</t>
  </si>
  <si>
    <t>彩盒</t>
  </si>
  <si>
    <t>Color box</t>
  </si>
  <si>
    <t>34.3CM(L) x7.6CM(D) x 25.4CM(H)</t>
  </si>
  <si>
    <t>东莞市恒新昌彩印有限公司</t>
  </si>
  <si>
    <t>231-232</t>
  </si>
  <si>
    <t>透明橡皮筋-3024</t>
  </si>
  <si>
    <t>Clear rubber band -3024</t>
  </si>
  <si>
    <t>江西艺达辉工艺品有限公司</t>
  </si>
  <si>
    <t>彩盒顶固定咭</t>
  </si>
  <si>
    <t>Color box top fixing card</t>
  </si>
  <si>
    <t>东莞市星徽纸品有限公司</t>
  </si>
  <si>
    <t>外箱</t>
  </si>
  <si>
    <t>Outer box</t>
  </si>
  <si>
    <t>E73635A-Splash &amp; Float Bluey-布鲁伊沐浴浮水玩具</t>
  </si>
  <si>
    <t>1.6mm纸绳</t>
  </si>
  <si>
    <t>1.6mm Paper rope</t>
  </si>
  <si>
    <t>深圳市鸿滨洋制品有限公司</t>
  </si>
  <si>
    <t>237-240</t>
  </si>
  <si>
    <t>1-3/8
4/6</t>
  </si>
  <si>
    <t>92120-02-White Salamande-白色蝾螈</t>
  </si>
  <si>
    <t>6MM白色棉带</t>
  </si>
  <si>
    <t>6mm white cotton tape</t>
  </si>
  <si>
    <t>东莞市华信兴服装有限公司</t>
  </si>
  <si>
    <t>38</t>
  </si>
  <si>
    <t>604#1431蓝色强力线</t>
  </si>
  <si>
    <t>604#1410 blue strong thread</t>
  </si>
  <si>
    <t>604#白色强力线</t>
  </si>
  <si>
    <t>604# white strong thread</t>
  </si>
  <si>
    <t>92120-04-Green Salamander-绿色蝾螈</t>
  </si>
  <si>
    <t>604#1008粉色强力线</t>
  </si>
  <si>
    <t>604#1008 pink strong thread</t>
  </si>
  <si>
    <t>92120-06-Purple Salamander-紫色蝾螈</t>
  </si>
  <si>
    <t>89</t>
  </si>
  <si>
    <t>604#1410蓝色强力线</t>
  </si>
  <si>
    <t>E73622A-Bluey Family Pourers-布鲁伊家族沐浴玩具</t>
  </si>
  <si>
    <t>Plastic - Bluey's Daddy Cup</t>
  </si>
  <si>
    <t>1-2卡/60箱
6卡/3箱</t>
  </si>
  <si>
    <t>1-63</t>
  </si>
  <si>
    <t>1-62/80
63/40</t>
  </si>
  <si>
    <t>RPRRI00142</t>
  </si>
  <si>
    <t>PR202400142</t>
  </si>
  <si>
    <t>6卡</t>
  </si>
  <si>
    <t>61-87</t>
  </si>
  <si>
    <t>1-23/210
24/170</t>
  </si>
  <si>
    <t>3卡/30箱
7卡/12箱</t>
  </si>
  <si>
    <t>88-129</t>
  </si>
  <si>
    <t>1-41/120
42/80</t>
  </si>
  <si>
    <t>塑胶件-宾果杯</t>
  </si>
  <si>
    <t>Plastic - Bingo cups</t>
  </si>
  <si>
    <t>7卡</t>
  </si>
  <si>
    <t>130-143</t>
  </si>
  <si>
    <t>1-13/360
14/320</t>
  </si>
  <si>
    <t>塑胶件-布鲁伊大身</t>
  </si>
  <si>
    <t>Plastic - Bluey's big body</t>
  </si>
  <si>
    <t>5卡</t>
  </si>
  <si>
    <t>144-172</t>
  </si>
  <si>
    <t>1-28/175
29/100</t>
  </si>
  <si>
    <t>4卡/30箱
6卡/3箱
7卡/4箱
8卡/6箱</t>
  </si>
  <si>
    <t>173-215</t>
  </si>
  <si>
    <t>1-42/117
43/86</t>
  </si>
  <si>
    <t xml:space="preserve">E73636A-Splash &amp; Float Bingo-布鲁伊沐浴浮水玩具混装 </t>
  </si>
  <si>
    <t>塑胶件-宾果大身</t>
  </si>
  <si>
    <t>Plastic - Bingo Big Body</t>
  </si>
  <si>
    <t>8卡</t>
  </si>
  <si>
    <t>216-225</t>
  </si>
  <si>
    <t>1-8/175
9/147
10/77</t>
  </si>
  <si>
    <t>A吸塑</t>
  </si>
  <si>
    <t>A Blister</t>
  </si>
  <si>
    <t xml:space="preserve">200MM(L) X 140MM(W) X27MM(H) </t>
  </si>
  <si>
    <t>B吸塑</t>
  </si>
  <si>
    <t>B Blister</t>
  </si>
  <si>
    <t xml:space="preserve">335MM(L) X 65MM(W) X43MM(H) </t>
  </si>
  <si>
    <t>C吸塑</t>
  </si>
  <si>
    <t>C Blister</t>
  </si>
  <si>
    <t xml:space="preserve">335MM(L) X 65MM(W) X40MM(H) </t>
  </si>
  <si>
    <t>男公仔周转吸塑</t>
  </si>
  <si>
    <t>Male figure turnover blister</t>
  </si>
  <si>
    <t>女公仔周转吸塑</t>
  </si>
  <si>
    <t>Female figure turnover blister</t>
  </si>
  <si>
    <t>夹模</t>
  </si>
  <si>
    <t>clamp mold</t>
  </si>
  <si>
    <t>29*11*9</t>
  </si>
  <si>
    <t>兴信一般贸易</t>
  </si>
  <si>
    <t>边模</t>
  </si>
  <si>
    <t>edge mold</t>
  </si>
  <si>
    <t>13*11*5</t>
  </si>
  <si>
    <t>63"450G-6MM-8MM白色兔毛(9548 9549用）+53"43#前身爱心+心形肚皮贴绣</t>
  </si>
  <si>
    <t>63“450G-6MM-8MM White rabbit hair (for 9548 9549) + 53”43# front body heart + heart-shaped belly printing embroidery</t>
  </si>
  <si>
    <t>东莞华登塑胶制品有限公司</t>
  </si>
  <si>
    <t>3-4</t>
  </si>
  <si>
    <t>34.35.39-50</t>
  </si>
  <si>
    <t>RPRRI00143</t>
  </si>
  <si>
    <t>PR202400143</t>
  </si>
  <si>
    <t>左右后身 63"450G-6MM-8MM白色兔毛</t>
  </si>
  <si>
    <t>Left and right back 63"450G-6MM-8MM white rabbit hair</t>
  </si>
  <si>
    <t>1-2</t>
  </si>
  <si>
    <t>13-24</t>
  </si>
  <si>
    <t>底 63"450G-6MM-8MM白色兔毛</t>
  </si>
  <si>
    <t>Bottom 63"450G-6MM-8MM white rabbit hair</t>
  </si>
  <si>
    <t>25-28</t>
  </si>
  <si>
    <t>左右尾巴 63"450G-6MM-8MM白色兔毛</t>
  </si>
  <si>
    <t>Left and right tail 63"450G-6MM-8MM white rabbit hair</t>
  </si>
  <si>
    <t>29-30</t>
  </si>
  <si>
    <t>内耳 63"550G15MM白色兔毛</t>
  </si>
  <si>
    <t>Inner ears 63"550G15MM white rabbit hair</t>
  </si>
  <si>
    <t>1-12</t>
  </si>
  <si>
    <t>外耳 58"绿色过油膜烫点布 TC底</t>
  </si>
  <si>
    <t>Outer ear 58" green oil film hot spot cloth TC base</t>
  </si>
  <si>
    <t>2-3</t>
  </si>
  <si>
    <t>31.33</t>
  </si>
  <si>
    <t>翅膀 53"蓝色巴黎之星布底，底对底中间加TT贴合</t>
  </si>
  <si>
    <t>Wings 53" blue Paris Star cloth base, base to base with TT fit</t>
  </si>
  <si>
    <t>3</t>
  </si>
  <si>
    <t>36-37</t>
  </si>
  <si>
    <t>头角 54"#114蓝色幻彩PU</t>
  </si>
  <si>
    <t>Headhorn 54” #114 blue illuminated PU</t>
  </si>
  <si>
    <t>32</t>
  </si>
  <si>
    <t>尾刺 58"绿色过油膜烫点布 TC底</t>
  </si>
  <si>
    <t>Tail thorn 58" green oil film hot spot cloth TC base</t>
  </si>
  <si>
    <t>63"400G 10MM浅绿色小兔毛+53"8#前身爱心+心形肚皮贴绣</t>
  </si>
  <si>
    <t>63"400G 10MM light green rabbit hair +53"8# front body  heart + heart belly sticker embroidery</t>
  </si>
  <si>
    <t>101-112</t>
  </si>
  <si>
    <t>左右后身 63"400G 10MM浅绿色小兔毛</t>
  </si>
  <si>
    <t>Left and right back 63"400G 10MM light green rabbit hair</t>
  </si>
  <si>
    <t>8.9.10</t>
  </si>
  <si>
    <t>115-118.141-154</t>
  </si>
  <si>
    <t>底 63"400G 10MM浅绿色小兔毛</t>
  </si>
  <si>
    <t>Bottom 63"400G 10MM small light green rabbit hair</t>
  </si>
  <si>
    <t>124-127</t>
  </si>
  <si>
    <t>左右尾巴 63"400G 10MM浅绿色小兔毛</t>
  </si>
  <si>
    <t>Left and right tail 63"400G 10MM light green rabbit hair</t>
  </si>
  <si>
    <t>8-9</t>
  </si>
  <si>
    <t>128.129</t>
  </si>
  <si>
    <t>左外耳 58"420G5MM紫色塞乐绒</t>
  </si>
  <si>
    <t>Left outer ear 58” 420G5MM purple Celeron</t>
  </si>
  <si>
    <t>119-123</t>
  </si>
  <si>
    <t>左内耳 58"450g15mm紫色PV绒+60"40D 20针稀网纱贴合</t>
  </si>
  <si>
    <t>Left inner ear 58"450g15mm purple PV velvet +60"40D 20-pin thin mesh fit</t>
  </si>
  <si>
    <t>136-138</t>
  </si>
  <si>
    <t>右外耳 63"450G6MM玫红色兔毛</t>
  </si>
  <si>
    <t>Right outer ear 63"450G6MM rose red rabbit fur</t>
  </si>
  <si>
    <t>133-135</t>
  </si>
  <si>
    <t>右内耳 63"450g15mm粉色PV绒+60"40D 20针稀网纱贴合</t>
  </si>
  <si>
    <t>Right inner ear 63"450g15mm pink PV velvet +60"40D 20-pin thin mesh fit</t>
  </si>
  <si>
    <t>130-132</t>
  </si>
  <si>
    <t>翅膀 53"粉色巴黎之星布底</t>
  </si>
  <si>
    <t>Wings 53” pink Star of Paris fabric backing</t>
  </si>
  <si>
    <t>99-100</t>
  </si>
  <si>
    <t>头角 53"8#粉色巴黎之星</t>
  </si>
  <si>
    <t>Headhorn 53” 8# pink Paris star</t>
  </si>
  <si>
    <t>114</t>
  </si>
  <si>
    <t>尾刺 63"400G10MM粉色小兔毛</t>
  </si>
  <si>
    <t>Tail spur 63"400G10MM small pink rabbit hair</t>
  </si>
  <si>
    <t>139-140</t>
  </si>
  <si>
    <t>RPRRI00144</t>
  </si>
  <si>
    <t>PR202400144</t>
  </si>
  <si>
    <t>63"400G10MM紫色兔毛+53"平布底 前身爱心+心形肚皮贴绣</t>
  </si>
  <si>
    <t>63"400G10MM purple rabbit hair+ 53 ”flat cloth bottom front heart + heart-shaped belly embroidery</t>
  </si>
  <si>
    <t>6-7</t>
  </si>
  <si>
    <t>81-86.93-98</t>
  </si>
  <si>
    <t>左右后身 63"400G10MM紫色兔毛</t>
  </si>
  <si>
    <t>Left and right back body 63"400G10MM purple rabbit hair</t>
  </si>
  <si>
    <t>69-80</t>
  </si>
  <si>
    <t>底 63"400G10MM紫色兔毛</t>
  </si>
  <si>
    <t>Bottom 63"400G10MM purple rabbit hair</t>
  </si>
  <si>
    <t>65-68</t>
  </si>
  <si>
    <t>左右尾巴 63"400G10MM紫色兔毛</t>
  </si>
  <si>
    <t>Left and right tails 63"400G10MM purple rabbit hair</t>
  </si>
  <si>
    <t>63-64</t>
  </si>
  <si>
    <t>耳朵 58"450G 6MM绿色兔毛</t>
  </si>
  <si>
    <t>Ears 58"450G 6MM green rabbit hair</t>
  </si>
  <si>
    <t>51-62</t>
  </si>
  <si>
    <t>耳朵花边 58"#绿色过油膜烫点布 TC底</t>
  </si>
  <si>
    <t>Ear lace 58"# green over-lacquered iron-on dot cloth TC backing</t>
  </si>
  <si>
    <t>90</t>
  </si>
  <si>
    <t>翅膀 53"蓝色巴黎之星布底</t>
  </si>
  <si>
    <t>Wings 53” blue Star of Paris cloth backing</t>
  </si>
  <si>
    <t>87-88</t>
  </si>
  <si>
    <t>头角 53"蓝色巴黎之星 平布底</t>
  </si>
  <si>
    <t>Headhorn 53” blue star of Paris on plain cloth backing</t>
  </si>
  <si>
    <t>92</t>
  </si>
  <si>
    <t>尾刺 58"#绿色过油膜烫点布 TC底</t>
  </si>
  <si>
    <t>Tail thorn 58"# Green oil film hot spot cloth TC base</t>
  </si>
  <si>
    <t>91</t>
  </si>
  <si>
    <t>胶水-HN-5012</t>
  </si>
  <si>
    <t>Glue-HN-5012</t>
  </si>
  <si>
    <t>广东鸿森化工新材料有限公司</t>
  </si>
  <si>
    <t>粘公仔</t>
  </si>
  <si>
    <t>030F500813</t>
  </si>
  <si>
    <t>四色移印机</t>
  </si>
  <si>
    <t>four color pad printing machine</t>
  </si>
  <si>
    <t>200*200</t>
  </si>
  <si>
    <t>东莞市鸿毅机械科技实业有限公司</t>
  </si>
  <si>
    <t>9-10</t>
  </si>
  <si>
    <t>235-236</t>
  </si>
  <si>
    <t>品牌鸿毅 印刷玩具</t>
  </si>
  <si>
    <t>030F500814</t>
  </si>
  <si>
    <t>1-19</t>
  </si>
  <si>
    <t>1-20</t>
  </si>
  <si>
    <r>
      <rPr>
        <b/>
        <sz val="12"/>
        <color rgb="FF000000"/>
        <rFont val="等线"/>
        <charset val="134"/>
      </rPr>
      <t>1-19卡200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20号箱430</t>
    </r>
  </si>
  <si>
    <t>RPRRI00154</t>
  </si>
  <si>
    <t>PR202400154</t>
  </si>
  <si>
    <t>TRHU4477135</t>
  </si>
  <si>
    <t>030F500993</t>
  </si>
  <si>
    <t>30/01/2025</t>
  </si>
  <si>
    <t>40'</t>
  </si>
  <si>
    <t>URU BHUM/145S</t>
  </si>
  <si>
    <t>钙塑板</t>
  </si>
  <si>
    <t>calcium-plastic board</t>
  </si>
  <si>
    <t>20</t>
  </si>
  <si>
    <t>21</t>
  </si>
  <si>
    <t>GPPS GP5250</t>
  </si>
  <si>
    <t>展盈（华南）有限公司</t>
  </si>
  <si>
    <t>1-40</t>
  </si>
  <si>
    <t>每包25KG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</si>
  <si>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RPIRRI00157</t>
    </r>
  </si>
  <si>
    <t>PR202400157</t>
  </si>
  <si>
    <t>TCKU7868201</t>
  </si>
  <si>
    <t>030F500998</t>
  </si>
  <si>
    <t>31/01/2025</t>
  </si>
  <si>
    <t>PVC新胶粒（已塑化）/胶粒状</t>
  </si>
  <si>
    <t>PVC new pellets (plasticized)/colloidal</t>
  </si>
  <si>
    <t>东莞鼎信实业有限公司</t>
  </si>
  <si>
    <t>41-140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</si>
  <si>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RPIRRI00158</t>
    </r>
  </si>
  <si>
    <t>PR202400158</t>
  </si>
  <si>
    <t>POM PM820</t>
  </si>
  <si>
    <t>深圳市星柏塑料化工有限公司</t>
  </si>
  <si>
    <t>141-190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</si>
  <si>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RPIRRI00159</t>
    </r>
  </si>
  <si>
    <t>PR202400159</t>
  </si>
  <si>
    <r>
      <rPr>
        <b/>
        <sz val="12"/>
        <color rgb="FF000000"/>
        <rFont val="等线"/>
        <charset val="134"/>
      </rPr>
      <t>1-2卡60箱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7卡/10箱</t>
    </r>
  </si>
  <si>
    <t>1-70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</si>
  <si>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RPIRRI00155</t>
    </r>
  </si>
  <si>
    <t>PR202400155</t>
  </si>
  <si>
    <r>
      <rPr>
        <b/>
        <sz val="12"/>
        <color rgb="FF000000"/>
        <rFont val="等线"/>
        <charset val="134"/>
      </rPr>
      <t>3卡/30箱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6卡/2箱</t>
    </r>
  </si>
  <si>
    <t>71-102</t>
  </si>
  <si>
    <r>
      <rPr>
        <b/>
        <sz val="12"/>
        <color rgb="FF000000"/>
        <rFont val="等线"/>
        <charset val="134"/>
      </rPr>
      <t>4-5卡/60箱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6卡/1箱</t>
    </r>
  </si>
  <si>
    <t>103-163</t>
  </si>
  <si>
    <t>Plastic parts - Bingo cups</t>
  </si>
  <si>
    <t>164-189</t>
  </si>
  <si>
    <t>Plastic parts - Bluey's big body</t>
  </si>
  <si>
    <t>190-202</t>
  </si>
  <si>
    <t>203-209</t>
  </si>
  <si>
    <r>
      <rPr>
        <b/>
        <sz val="12"/>
        <color rgb="FF000000"/>
        <rFont val="等线"/>
        <charset val="134"/>
      </rPr>
      <t>1-6/117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7/58</t>
    </r>
  </si>
  <si>
    <t>20*14*7</t>
  </si>
  <si>
    <t>clamping mold</t>
  </si>
  <si>
    <t>21*9*8</t>
  </si>
  <si>
    <t>钢板</t>
  </si>
  <si>
    <t>steel plate</t>
  </si>
  <si>
    <t>10*7.5*1</t>
  </si>
  <si>
    <t>底模</t>
  </si>
  <si>
    <t>bottom mold</t>
  </si>
  <si>
    <t>6.5*6*3.5</t>
  </si>
  <si>
    <t>A11胶头</t>
  </si>
  <si>
    <t>A11 glue head</t>
  </si>
  <si>
    <t>11*11*7</t>
  </si>
  <si>
    <t>A7胶头</t>
  </si>
  <si>
    <t>A7 glue head</t>
  </si>
  <si>
    <t>7.3*7.3*5.5</t>
  </si>
  <si>
    <t>A3胶头</t>
  </si>
  <si>
    <t>A3 glue head</t>
  </si>
  <si>
    <t>5*5*4</t>
  </si>
  <si>
    <t>FC85957CM/FC85950BI/FC85942MN/FC83607PG/FC86005GN</t>
  </si>
  <si>
    <r>
      <rPr>
        <b/>
        <sz val="12"/>
        <color rgb="FF000000"/>
        <rFont val="等线"/>
        <charset val="134"/>
      </rPr>
      <t>PO胶袋</t>
    </r>
    <r>
      <rPr>
        <b/>
        <sz val="12"/>
        <color rgb="FF000000"/>
        <rFont val="等线"/>
        <charset val="134"/>
      </rPr>
      <t xml:space="preserve"> </t>
    </r>
  </si>
  <si>
    <t>PO Polybag</t>
  </si>
  <si>
    <t>(780+60 (L)+60 (R) )x 1160mm</t>
  </si>
  <si>
    <t>8</t>
  </si>
  <si>
    <t>透明真空热封胶袋</t>
  </si>
  <si>
    <t>Transpare Vacuum Hot Seal Polybag</t>
  </si>
  <si>
    <r>
      <rPr>
        <b/>
        <sz val="12"/>
        <color rgb="FF000000"/>
        <rFont val="等线"/>
        <charset val="134"/>
      </rPr>
      <t>尼龙-PE0.08</t>
    </r>
    <r>
      <rPr>
        <b/>
        <sz val="12"/>
        <color rgb="FF000000"/>
        <rFont val="等线"/>
        <charset val="134"/>
      </rPr>
      <t xml:space="preserve">   </t>
    </r>
    <r>
      <rPr>
        <b/>
        <sz val="12"/>
        <color rgb="FF000000"/>
        <rFont val="等线"/>
        <charset val="134"/>
      </rPr>
      <t>430 x680mm</t>
    </r>
  </si>
  <si>
    <t>9</t>
  </si>
  <si>
    <t>211</t>
  </si>
  <si>
    <t>弹性胶钉100MM</t>
  </si>
  <si>
    <t>Elastic staple pin</t>
  </si>
  <si>
    <t>BEP100</t>
  </si>
  <si>
    <t>9-14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</si>
  <si>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RPIRRI00156</t>
    </r>
  </si>
  <si>
    <t>PR202400156</t>
  </si>
  <si>
    <t>弹性胶钉55MM</t>
  </si>
  <si>
    <t>BEP55</t>
  </si>
  <si>
    <t>15-19</t>
  </si>
  <si>
    <t>弹性胶钉75MM</t>
  </si>
  <si>
    <t>BEP75</t>
  </si>
  <si>
    <t>20-21</t>
  </si>
  <si>
    <r>
      <rPr>
        <b/>
        <sz val="12"/>
        <color rgb="FF000000"/>
        <rFont val="等线"/>
        <charset val="134"/>
      </rPr>
      <t>10-21每箱8卷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22有4卷</t>
    </r>
  </si>
  <si>
    <t>弹性胶钉160MM</t>
  </si>
  <si>
    <t>BEP160</t>
  </si>
  <si>
    <t>22-24</t>
  </si>
  <si>
    <r>
      <rPr>
        <b/>
        <sz val="12"/>
        <color rgb="FF000000"/>
        <rFont val="等线"/>
        <charset val="134"/>
      </rPr>
      <t>22号2卷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23-24号4卷</t>
    </r>
  </si>
  <si>
    <t>弹性胶钉85MM</t>
  </si>
  <si>
    <t>BEP85</t>
  </si>
  <si>
    <t>25-29</t>
  </si>
  <si>
    <r>
      <rPr>
        <b/>
        <sz val="12"/>
        <color rgb="FF000000"/>
        <rFont val="等线"/>
        <charset val="134"/>
      </rPr>
      <t>25-28号7卷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29号2卷</t>
    </r>
  </si>
  <si>
    <t>弹性胶钉120MM</t>
  </si>
  <si>
    <t>BEP120</t>
  </si>
  <si>
    <t>30-33</t>
  </si>
  <si>
    <t>弹性胶钉140MM</t>
  </si>
  <si>
    <t>BEP140</t>
  </si>
  <si>
    <t>4</t>
  </si>
  <si>
    <t>34-38</t>
  </si>
  <si>
    <t>弹性胶钉150MM</t>
  </si>
  <si>
    <t>BEP150</t>
  </si>
  <si>
    <t>39-41</t>
  </si>
  <si>
    <r>
      <rPr>
        <b/>
        <sz val="12"/>
        <color rgb="FF000000"/>
        <rFont val="等线"/>
        <charset val="134"/>
      </rPr>
      <t>39-40号4卷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41号2卷</t>
    </r>
  </si>
  <si>
    <t>安全刀架</t>
  </si>
  <si>
    <t>kinfe shelf cutter</t>
  </si>
  <si>
    <t>5</t>
  </si>
  <si>
    <t>42</t>
  </si>
  <si>
    <t>批水口 无品牌</t>
  </si>
  <si>
    <t>安全刀片</t>
  </si>
  <si>
    <t>safety blade</t>
  </si>
  <si>
    <t>43</t>
  </si>
  <si>
    <t>超声膜</t>
  </si>
  <si>
    <t>Ultrasound membrane</t>
  </si>
  <si>
    <t>90MM*150</t>
  </si>
  <si>
    <t>6</t>
  </si>
  <si>
    <t>44-45</t>
  </si>
  <si>
    <t>隔绝产品压痕</t>
  </si>
  <si>
    <t>110MM*150</t>
  </si>
  <si>
    <t>46-48</t>
  </si>
  <si>
    <r>
      <rPr>
        <b/>
        <sz val="12"/>
        <color rgb="FF000000"/>
        <rFont val="等线"/>
        <charset val="134"/>
      </rPr>
      <t>46-47号18卷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48号14卷</t>
    </r>
  </si>
  <si>
    <t>130MM*150</t>
  </si>
  <si>
    <t>7</t>
  </si>
  <si>
    <t>49-51</t>
  </si>
  <si>
    <r>
      <rPr>
        <b/>
        <sz val="12"/>
        <color rgb="FF000000"/>
        <rFont val="等线"/>
        <charset val="134"/>
      </rPr>
      <t>49-50号18卷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51号14卷</t>
    </r>
  </si>
  <si>
    <t>弹性胶钉机</t>
  </si>
  <si>
    <t>ELASTIC STAPLE MACHINE</t>
  </si>
  <si>
    <t>YM-ZD120</t>
  </si>
  <si>
    <t>1-8</t>
  </si>
  <si>
    <r>
      <rPr>
        <b/>
        <sz val="12"/>
        <color rgb="FF000000"/>
        <rFont val="等线"/>
        <charset val="134"/>
      </rPr>
      <t>1-7号4台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8号2台</t>
    </r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</si>
  <si>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YN00097</t>
    </r>
  </si>
  <si>
    <t>YNA00097</t>
  </si>
  <si>
    <t>030F502259</t>
  </si>
  <si>
    <t>W83669-Ground plug light up arm-地插亮灯手臂</t>
  </si>
  <si>
    <t>电池盒版本/三条灯串线共42颗灯</t>
  </si>
  <si>
    <t>Battery box version/three light strings totaling 42 lights</t>
  </si>
  <si>
    <t>廣誠達照明科技有限公司</t>
  </si>
  <si>
    <t>17-21</t>
  </si>
  <si>
    <t>1-188</t>
  </si>
  <si>
    <t>照明装饰用</t>
  </si>
  <si>
    <t>RPIRRI00160</t>
  </si>
  <si>
    <t>PR202400160</t>
  </si>
  <si>
    <t>WHLU5613813</t>
  </si>
  <si>
    <t>030F502250</t>
  </si>
  <si>
    <r>
      <rPr>
        <b/>
        <sz val="12"/>
        <color rgb="FF000000"/>
        <rFont val="等线"/>
        <charset val="134"/>
      </rPr>
      <t>FC83607PG FC85942MN</t>
    </r>
    <r>
      <rPr>
        <b/>
        <sz val="12"/>
        <color rgb="FF000000"/>
        <rFont val="等线"/>
        <charset val="134"/>
      </rPr>
      <t xml:space="preserve">  </t>
    </r>
    <r>
      <rPr>
        <b/>
        <sz val="12"/>
        <color rgb="FF000000"/>
        <rFont val="等线"/>
        <charset val="134"/>
      </rPr>
      <t>FC85957CM</t>
    </r>
    <r>
      <rPr>
        <b/>
        <sz val="12"/>
        <color rgb="FF000000"/>
        <rFont val="等线"/>
        <charset val="134"/>
      </rPr>
      <t xml:space="preserve">   </t>
    </r>
    <r>
      <rPr>
        <b/>
        <sz val="12"/>
        <color rgb="FF000000"/>
        <rFont val="等线"/>
        <charset val="134"/>
      </rPr>
      <t>FC85950BI</t>
    </r>
  </si>
  <si>
    <t>5#黑色尼龙拉链</t>
  </si>
  <si>
    <t>5#black nylon zipper</t>
  </si>
  <si>
    <t>M</t>
  </si>
  <si>
    <t>深圳市意亿兴拉链制造有限公司</t>
  </si>
  <si>
    <t>16号卡板</t>
  </si>
  <si>
    <t>303-304</t>
  </si>
  <si>
    <t>RPIRRI00161</t>
  </si>
  <si>
    <t>PR202400161</t>
  </si>
  <si>
    <t>5#黑色自动拉链头</t>
  </si>
  <si>
    <t>5#Black automatic zipper pull</t>
  </si>
  <si>
    <t>KG</t>
  </si>
  <si>
    <t>FC83607PG</t>
  </si>
  <si>
    <t>小猪佩奇护理布标</t>
  </si>
  <si>
    <t>Peppa's Care label</t>
  </si>
  <si>
    <t>东莞市美特标签制品有限公司</t>
  </si>
  <si>
    <t>12号卡板</t>
  </si>
  <si>
    <t>小猪佩奇ID布标</t>
  </si>
  <si>
    <t>Peppa's ID label</t>
  </si>
  <si>
    <t>小猪佩奇法律布标</t>
  </si>
  <si>
    <r>
      <rPr>
        <b/>
        <sz val="12"/>
        <color rgb="FF000000"/>
        <rFont val="等线"/>
        <charset val="134"/>
      </rPr>
      <t>Peppa's</t>
    </r>
    <r>
      <rPr>
        <b/>
        <sz val="12"/>
        <color rgb="FF000000"/>
        <rFont val="等线"/>
        <charset val="134"/>
      </rPr>
      <t xml:space="preserve">  </t>
    </r>
    <r>
      <rPr>
        <b/>
        <sz val="12"/>
        <color rgb="FF000000"/>
        <rFont val="等线"/>
        <charset val="134"/>
      </rPr>
      <t>Law label</t>
    </r>
  </si>
  <si>
    <t>小猪佩奇法律公告布标</t>
  </si>
  <si>
    <t>Peppa's Law Notice label</t>
  </si>
  <si>
    <t>FC85942MN</t>
  </si>
  <si>
    <t>米妮护理布标</t>
  </si>
  <si>
    <t>Minnie's Care label</t>
  </si>
  <si>
    <t>米妮ID布标</t>
  </si>
  <si>
    <t>Minnie's ID label</t>
  </si>
  <si>
    <t>米妮法律布标</t>
  </si>
  <si>
    <t>Minnie's Law label</t>
  </si>
  <si>
    <t>米妮法律公告布标</t>
  </si>
  <si>
    <t>Minnie's Law Notice label</t>
  </si>
  <si>
    <t>FC85950BI</t>
  </si>
  <si>
    <t>哔哩哔哩护理布标</t>
  </si>
  <si>
    <r>
      <rPr>
        <b/>
        <sz val="12"/>
        <color rgb="FF000000"/>
        <rFont val="等线"/>
        <charset val="134"/>
      </rPr>
      <t>Blippi</t>
    </r>
    <r>
      <rPr>
        <b/>
        <sz val="12"/>
        <color rgb="FF000000"/>
        <rFont val="等线"/>
        <charset val="134"/>
      </rPr>
      <t xml:space="preserve">  </t>
    </r>
    <r>
      <rPr>
        <b/>
        <sz val="12"/>
        <color rgb="FF000000"/>
        <rFont val="等线"/>
        <charset val="134"/>
      </rPr>
      <t>Care label</t>
    </r>
  </si>
  <si>
    <t>哔哩哔哩ID布标</t>
  </si>
  <si>
    <t>Blippi ID label</t>
  </si>
  <si>
    <t>哔哩哔哩法律布标</t>
  </si>
  <si>
    <t>Blippi Law label</t>
  </si>
  <si>
    <t>哔哩哔哩法律公告布标</t>
  </si>
  <si>
    <t>Blippi Law Notice label</t>
  </si>
  <si>
    <t>FC85957CM</t>
  </si>
  <si>
    <t>启蒙动画护理布标</t>
  </si>
  <si>
    <t>CoComelon's Care label</t>
  </si>
  <si>
    <t>启蒙动画ID布标</t>
  </si>
  <si>
    <t>CoComelon's ID label（38*123mm)</t>
  </si>
  <si>
    <t>RPIRRI00162</t>
  </si>
  <si>
    <t>PR202400162</t>
  </si>
  <si>
    <t>启蒙动画法律布标</t>
  </si>
  <si>
    <t>CoComelon's Law label</t>
  </si>
  <si>
    <t>启蒙动画法律公告布标</t>
  </si>
  <si>
    <t>CoComelon's Law Notice label</t>
  </si>
  <si>
    <r>
      <rPr>
        <b/>
        <sz val="12"/>
        <color rgb="FF000000"/>
        <rFont val="等线"/>
        <charset val="134"/>
      </rPr>
      <t>CoComelon's</t>
    </r>
    <r>
      <rPr>
        <b/>
        <sz val="12"/>
        <color rgb="FF000000"/>
        <rFont val="等线"/>
        <charset val="134"/>
      </rPr>
      <t xml:space="preserve">  </t>
    </r>
    <r>
      <rPr>
        <b/>
        <sz val="12"/>
        <color rgb="FF000000"/>
        <rFont val="等线"/>
        <charset val="134"/>
      </rPr>
      <t>Law label</t>
    </r>
  </si>
  <si>
    <r>
      <rPr>
        <b/>
        <sz val="12"/>
        <color rgb="FF000000"/>
        <rFont val="等线"/>
        <charset val="134"/>
      </rPr>
      <t>CoComelon's</t>
    </r>
    <r>
      <rPr>
        <b/>
        <sz val="12"/>
        <color rgb="FF000000"/>
        <rFont val="等线"/>
        <charset val="134"/>
      </rPr>
      <t xml:space="preserve">  </t>
    </r>
    <r>
      <rPr>
        <b/>
        <sz val="12"/>
        <color rgb="FF000000"/>
        <rFont val="等线"/>
        <charset val="134"/>
      </rPr>
      <t>Law Notice label</t>
    </r>
  </si>
  <si>
    <t>启蒙动画利宝</t>
  </si>
  <si>
    <t>CoComelon Carton sticker</t>
  </si>
  <si>
    <t>河源东康纸品有限公司</t>
  </si>
  <si>
    <t>294-295</t>
  </si>
  <si>
    <t>哔哩哔哩利宝</t>
  </si>
  <si>
    <t>Blippi carton sticker</t>
  </si>
  <si>
    <t>296-297</t>
  </si>
  <si>
    <t>米妮利宝</t>
  </si>
  <si>
    <t>Minnie Carton sticker</t>
  </si>
  <si>
    <t>298-299</t>
  </si>
  <si>
    <t>小猪佩奇利宝</t>
  </si>
  <si>
    <t>Peppa Pig Carton sticker</t>
  </si>
  <si>
    <t>305-306</t>
  </si>
  <si>
    <t>FC83645GN</t>
  </si>
  <si>
    <t>白鼻子狗利宝</t>
  </si>
  <si>
    <t>White-nosed dog Carton sticker</t>
  </si>
  <si>
    <t>300-302</t>
  </si>
  <si>
    <t>FC85957CM/FC85950BI/FC85942MN/FC83607PG</t>
  </si>
  <si>
    <t>护理卡</t>
  </si>
  <si>
    <t>Care sheet</t>
  </si>
  <si>
    <t>东莞市顺宏印刷有限公司</t>
  </si>
  <si>
    <t>说明书</t>
  </si>
  <si>
    <t>Publicity card</t>
  </si>
  <si>
    <t>荷兰绒贴合底布-前靠背*1</t>
  </si>
  <si>
    <t>Dutch velvet laminated with cloth-front*1</t>
  </si>
  <si>
    <t>华康塑胶制品（东源）有限公司</t>
  </si>
  <si>
    <t>216-217</t>
  </si>
  <si>
    <t>RPIRRI00163</t>
  </si>
  <si>
    <t>PR202400163</t>
  </si>
  <si>
    <t>荷兰绒贴合底布-前脚面*1</t>
  </si>
  <si>
    <t>Dutch velvet laminated with cloth-the front of foot*1</t>
  </si>
  <si>
    <t>蓝色舒棉绒贴涤白布-后靠背*1</t>
  </si>
  <si>
    <t>Blue shu velveteen laminated with white polyester cloth-back*1</t>
  </si>
  <si>
    <t>205-213</t>
  </si>
  <si>
    <t>蓝色舒棉绒贴涤白布-顶风琴*1</t>
  </si>
  <si>
    <t>Blue shu velveteen laminated with white polyester cloth-top cover*1</t>
  </si>
  <si>
    <t>11号卡板</t>
  </si>
  <si>
    <t>184-195</t>
  </si>
  <si>
    <t>蓝色舒棉绒贴涤白布-底围*3</t>
  </si>
  <si>
    <t>Blue shu velveteen laminated with white polyester cloth-bottom cover 3 side*3</t>
  </si>
  <si>
    <r>
      <rPr>
        <b/>
        <sz val="12"/>
        <color rgb="FF000000"/>
        <rFont val="等线"/>
        <charset val="134"/>
      </rPr>
      <t>9号卡板</t>
    </r>
    <r>
      <rPr>
        <b/>
        <sz val="12"/>
        <color rgb="FF000000"/>
        <rFont val="等线"/>
        <charset val="134"/>
      </rPr>
      <t xml:space="preserve">         </t>
    </r>
    <r>
      <rPr>
        <b/>
        <sz val="12"/>
        <color rgb="FF000000"/>
        <rFont val="等线"/>
        <charset val="134"/>
      </rPr>
      <t>10号卡板</t>
    </r>
  </si>
  <si>
    <t>146-168</t>
  </si>
  <si>
    <t>蓝色舒棉绒贴涤白布-坐垫*1</t>
  </si>
  <si>
    <t>Blue shu velveteen laminated with white polyester cloth-cushion*1</t>
  </si>
  <si>
    <t>196-203</t>
  </si>
  <si>
    <t>蓝色舒棉绒贴涤白布-后提手*1</t>
  </si>
  <si>
    <t>Blue shu velveteen laminated with white polyester cloth-handle*1</t>
  </si>
  <si>
    <t>10号卡板</t>
  </si>
  <si>
    <t>绿色舒棉绒贴涤白布-扶手*2</t>
  </si>
  <si>
    <t>Green shu velveteen laminated with white polyester cloth-armrest*2</t>
  </si>
  <si>
    <t>169-183</t>
  </si>
  <si>
    <t>黄色舒棉绒贴涤白布-扶手面*2</t>
  </si>
  <si>
    <t>Yellow shu velveteen laminated with white polyester cloth-left front side*2</t>
  </si>
  <si>
    <t>214-215</t>
  </si>
  <si>
    <t>黑色滴胶布-底*1</t>
  </si>
  <si>
    <t>Black anti slip-bottom*1</t>
  </si>
  <si>
    <t>牛津布-拉链袋布*2</t>
  </si>
  <si>
    <t>Black oxford cloth-pocket*2</t>
  </si>
  <si>
    <t>牛津布-扶手挡布*2</t>
  </si>
  <si>
    <t>Black oxford cloth-sofa construction 3*2</t>
  </si>
  <si>
    <t>牛津布-底拉条*7</t>
  </si>
  <si>
    <t>Black oxford cloth-sofa construction 2*7</t>
  </si>
  <si>
    <t>牛津布-后拉条*3</t>
  </si>
  <si>
    <t>Black oxford cloth-sofa construction 1*3</t>
  </si>
  <si>
    <t>292-293</t>
  </si>
  <si>
    <t>粉色舒棉绒贴涤白布-后靠背*1</t>
  </si>
  <si>
    <t>Pink shu velveteen laminated with white polyester cloth-back*1</t>
  </si>
  <si>
    <t>15号卡板</t>
  </si>
  <si>
    <t>269-278</t>
  </si>
  <si>
    <t>粉色舒棉绒贴涤白布-顶风琴*1</t>
  </si>
  <si>
    <t>Pink shu velveteen laminated with white polyester cloth-top cover*1</t>
  </si>
  <si>
    <t>279-287</t>
  </si>
  <si>
    <t>粉色舒棉绒贴涤白布-底围*3</t>
  </si>
  <si>
    <t>Pink shu velveteen laminated with white polyester cloth-bottom cover 3 side*3</t>
  </si>
  <si>
    <t>13号卡板</t>
  </si>
  <si>
    <t>226-248</t>
  </si>
  <si>
    <t>粉色舒棉绒贴涤白布-坐垫*1</t>
  </si>
  <si>
    <t>Pink shu velveteen laminated with white polyester cloth-cushion*1</t>
  </si>
  <si>
    <t>14号卡板</t>
  </si>
  <si>
    <t>263-268</t>
  </si>
  <si>
    <t>RPIRRI00164</t>
  </si>
  <si>
    <t>PR202400164</t>
  </si>
  <si>
    <t>紫色舒棉绒贴涤白布-后提手*1</t>
  </si>
  <si>
    <t>Purple shu velveteen laminated with white polyester cloth-handle*1</t>
  </si>
  <si>
    <t>玫红色舒棉绒贴涤白布-扶手*2</t>
  </si>
  <si>
    <t>Fushcia shu velveteen laminated with white polyester cloth-armrest*2</t>
  </si>
  <si>
    <t>249-262</t>
  </si>
  <si>
    <t>紫色舒棉绒贴涤白布-扶手面*2</t>
  </si>
  <si>
    <t>Purple shu velveteen laminated with white polyester cloth-left front side*2</t>
  </si>
  <si>
    <t>289-290</t>
  </si>
  <si>
    <t>8号卡板</t>
  </si>
  <si>
    <t>141-142</t>
  </si>
  <si>
    <t>兰色舒棉绒贴涤白布-后靠背*1</t>
  </si>
  <si>
    <t>7号卡板</t>
  </si>
  <si>
    <t>121-128</t>
  </si>
  <si>
    <t>兰色舒棉绒贴涤白布-顶风琴*1</t>
  </si>
  <si>
    <t>108-120</t>
  </si>
  <si>
    <t>兰色舒棉绒贴涤白布-底围*3</t>
  </si>
  <si>
    <r>
      <rPr>
        <b/>
        <sz val="12"/>
        <color rgb="FF000000"/>
        <rFont val="等线"/>
        <charset val="134"/>
      </rPr>
      <t>5号卡板</t>
    </r>
    <r>
      <rPr>
        <b/>
        <sz val="12"/>
        <color rgb="FF000000"/>
        <rFont val="等线"/>
        <charset val="134"/>
      </rPr>
      <t xml:space="preserve">        </t>
    </r>
    <r>
      <rPr>
        <b/>
        <sz val="12"/>
        <color rgb="FF000000"/>
        <rFont val="等线"/>
        <charset val="134"/>
      </rPr>
      <t>6号卡板</t>
    </r>
  </si>
  <si>
    <t>67-89</t>
  </si>
  <si>
    <t>兰色舒棉绒贴涤白布-坐垫*1</t>
  </si>
  <si>
    <t>129-136</t>
  </si>
  <si>
    <t>兰色舒棉绒贴涤白布-后提手*1</t>
  </si>
  <si>
    <t>浅蓝色舒棉绒贴涤白布-扶手面*2</t>
  </si>
  <si>
    <t>Light blue shu velveteen laminated with white polyester cloth-armrest*2</t>
  </si>
  <si>
    <t>137-138</t>
  </si>
  <si>
    <t>浅蓝色舒棉绒贴涤白布-扶手*2</t>
  </si>
  <si>
    <t>Light blue shu velveteen laminated with white polyester cloth-left front side*2</t>
  </si>
  <si>
    <t>6号卡板</t>
  </si>
  <si>
    <t>90-107</t>
  </si>
  <si>
    <t>RPIRRI00165</t>
  </si>
  <si>
    <t>PR202400165</t>
  </si>
  <si>
    <t>4号卡板</t>
  </si>
  <si>
    <t>61-62</t>
  </si>
  <si>
    <t>粉紫舒棉绒贴涤白布-后靠背*1</t>
  </si>
  <si>
    <t>Pinkish purple shu velveteen laminated with white polyester cloth-back*1</t>
  </si>
  <si>
    <t>3号卡板</t>
  </si>
  <si>
    <t>44-51</t>
  </si>
  <si>
    <t>粉紫舒棉绒贴涤白布-顶风琴*1</t>
  </si>
  <si>
    <t>Pinkish purple shu velveteen laminated with white polyester cloth-top cover*1</t>
  </si>
  <si>
    <t>36-43</t>
  </si>
  <si>
    <t>粉紫舒棉绒贴涤白布-底围*3</t>
  </si>
  <si>
    <t>Pinkish purple shu velveteen laminated with white polyester cloth-bottom cover 3 side*3</t>
  </si>
  <si>
    <t>1号卡板</t>
  </si>
  <si>
    <t>粉紫舒棉绒贴涤白布-坐垫*1</t>
  </si>
  <si>
    <t>Pinkish purple shu velveteen laminated with white polyester cloth-cushion*1</t>
  </si>
  <si>
    <t>52-57</t>
  </si>
  <si>
    <t>粉紫舒棉绒贴涤白布-后提手*1</t>
  </si>
  <si>
    <t>Pinkish purple shu velveteen laminated with white polyester cloth-handle*1</t>
  </si>
  <si>
    <t>2号卡板</t>
  </si>
  <si>
    <t>21-35</t>
  </si>
  <si>
    <t>玫红色舒棉绒贴涤白布-扶手面*2</t>
  </si>
  <si>
    <t>Fushcia shu velveteen laminated with white polyester cloth-left front side*2</t>
  </si>
  <si>
    <t>58-59</t>
  </si>
  <si>
    <t>FC83541GN</t>
  </si>
  <si>
    <t>RPIRRI00166</t>
  </si>
  <si>
    <t>PR202400166</t>
  </si>
  <si>
    <t>DFSU7745690</t>
  </si>
  <si>
    <t>030F502564</t>
  </si>
  <si>
    <t>03/02/2025</t>
  </si>
  <si>
    <t>WAN HAI 352/S018</t>
  </si>
  <si>
    <t>47101J-16 BF JD S690 COMBINE AND HEAD-联合收割机</t>
  </si>
  <si>
    <t>贴纸</t>
  </si>
  <si>
    <t>sticker</t>
  </si>
  <si>
    <t>东莞市清溪台聚印刷有限公司</t>
  </si>
  <si>
    <t>21卡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</si>
  <si>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RPIRRI00167</t>
    </r>
  </si>
  <si>
    <t>PR202400167</t>
  </si>
  <si>
    <t>WHLU4285690</t>
  </si>
  <si>
    <t>030F503695</t>
  </si>
  <si>
    <t>05/02/2025</t>
  </si>
  <si>
    <t>color box</t>
  </si>
  <si>
    <t>26"(L) x 17"(W)x14.5"(H),展开：62"(L)x63.8"(W),FSC-310G粉灰+E坑+胶片4PCS</t>
  </si>
  <si>
    <t>东莞恒新昌纸品有限公司</t>
  </si>
  <si>
    <t>22卡</t>
  </si>
  <si>
    <t>133-138</t>
  </si>
  <si>
    <r>
      <rPr>
        <b/>
        <sz val="11"/>
        <color rgb="FF000000"/>
        <rFont val="等线"/>
        <charset val="134"/>
      </rPr>
      <t>1-5/20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6/17(备品)</t>
    </r>
  </si>
  <si>
    <t>内咭</t>
  </si>
  <si>
    <t>inner card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</si>
  <si>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61.6"(L) x 37"(W),FSC-300G粉灰+B坑</t>
    </r>
  </si>
  <si>
    <t>22卡-23卡 16卡</t>
  </si>
  <si>
    <r>
      <rPr>
        <b/>
        <sz val="12"/>
        <color rgb="FF000000"/>
        <rFont val="等线"/>
        <charset val="134"/>
      </rPr>
      <t>139-147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143-146</t>
    </r>
  </si>
  <si>
    <t>30（20备品）</t>
  </si>
  <si>
    <t>47101J/47391J</t>
  </si>
  <si>
    <t>彩盒签板</t>
  </si>
  <si>
    <t>Color box tag board</t>
  </si>
  <si>
    <t>24卡</t>
  </si>
  <si>
    <r>
      <rPr>
        <b/>
        <sz val="12"/>
        <color rgb="FF000000"/>
        <rFont val="等线"/>
        <charset val="134"/>
      </rPr>
      <t>E73622A-Bluey Family Pourers-布鲁伊家族沐浴玩具</t>
    </r>
    <r>
      <rPr>
        <b/>
        <sz val="12"/>
        <color rgb="FF000000"/>
        <rFont val="等线"/>
        <charset val="134"/>
      </rPr>
      <t xml:space="preserve"> </t>
    </r>
  </si>
  <si>
    <t>彩盒FSC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</si>
  <si>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Color box FSC</t>
    </r>
  </si>
  <si>
    <t>453x829MM</t>
  </si>
  <si>
    <r>
      <rPr>
        <b/>
        <sz val="12"/>
        <color rgb="FF000000"/>
        <rFont val="等线"/>
        <charset val="134"/>
      </rPr>
      <t>1卡/2箱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2卡/40包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3卡/40包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4卡/1箱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5卡/40包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6卡/4包</t>
    </r>
  </si>
  <si>
    <t>32-158</t>
  </si>
  <si>
    <r>
      <rPr>
        <b/>
        <sz val="11"/>
        <color rgb="FF000000"/>
        <rFont val="等线"/>
        <charset val="134"/>
      </rPr>
      <t>1-123/100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124/尾数50</t>
    </r>
  </si>
  <si>
    <t>397x572MM</t>
  </si>
  <si>
    <r>
      <rPr>
        <b/>
        <sz val="12"/>
        <color rgb="FF000000"/>
        <rFont val="等线"/>
        <charset val="134"/>
      </rPr>
      <t>1-51/7卡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52/6卡</t>
    </r>
  </si>
  <si>
    <t>159-212</t>
  </si>
  <si>
    <r>
      <rPr>
        <b/>
        <sz val="11"/>
        <color rgb="FF000000"/>
        <rFont val="等线"/>
        <charset val="134"/>
      </rPr>
      <t>1-51/100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52/尾数(30)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备品（51）</t>
    </r>
  </si>
  <si>
    <r>
      <rPr>
        <b/>
        <sz val="12"/>
        <color rgb="FF000000"/>
        <rFont val="等线"/>
        <charset val="134"/>
      </rPr>
      <t>E73636A-Splash &amp; Float Bingo-布鲁伊沐浴浮水玩具混装</t>
    </r>
    <r>
      <rPr>
        <b/>
        <sz val="12"/>
        <color rgb="FF000000"/>
        <rFont val="等线"/>
        <charset val="134"/>
      </rPr>
      <t xml:space="preserve"> </t>
    </r>
  </si>
  <si>
    <t>213-235</t>
  </si>
  <si>
    <t>100（30备品）</t>
  </si>
  <si>
    <t>纸箱</t>
  </si>
  <si>
    <t>carton</t>
  </si>
  <si>
    <r>
      <rPr>
        <b/>
        <sz val="12"/>
        <color rgb="FF000000"/>
        <rFont val="等线"/>
        <charset val="134"/>
      </rPr>
      <t>订箱尺寸：26.375"*17.375"*15.125"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量箱尺寸：26.625"*17.375"*15.625"</t>
    </r>
  </si>
  <si>
    <t>彩盒背部加强卡</t>
  </si>
  <si>
    <t>color box back reinforcement card</t>
  </si>
  <si>
    <t>608x306mm,压线,FSC,K=K,过140磅</t>
  </si>
  <si>
    <t>彩盒底加强卡</t>
  </si>
  <si>
    <t>color box bottom booster card</t>
  </si>
  <si>
    <t>605.0x202.0mm，中间开孔，有压线,FSC,K=K,过140磅</t>
  </si>
  <si>
    <t>螺杆支撑卡</t>
  </si>
  <si>
    <t>Screw Support Card</t>
  </si>
  <si>
    <t>60x150mm,有压线,FSC-K4K，过140磅</t>
  </si>
  <si>
    <t>卷齿支架滚筒支撑卡</t>
  </si>
  <si>
    <t>roll bracket drum support card</t>
  </si>
  <si>
    <t>385*170mm，有压线，开孔</t>
  </si>
  <si>
    <t>47391J-I6 BF CIH 8240 Combine-收割机</t>
  </si>
  <si>
    <t>Carton</t>
  </si>
  <si>
    <r>
      <rPr>
        <b/>
        <sz val="12"/>
        <color rgb="FF000000"/>
        <rFont val="等线"/>
        <charset val="134"/>
      </rPr>
      <t>订箱尺寸：26.5"*17.75"*15.625"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量箱尺寸：26.75"*17.875"*16.25"</t>
    </r>
  </si>
  <si>
    <t>16卡</t>
  </si>
  <si>
    <t>内卡下加强卡-FSC</t>
  </si>
  <si>
    <t>Inside card bottom reinforcement card-FSC</t>
  </si>
  <si>
    <t>610*310mm,打10个直径6.0mm圆孔</t>
  </si>
  <si>
    <t>螺旋钻支撑卡-FSC</t>
  </si>
  <si>
    <t>Auger support card-FSC</t>
  </si>
  <si>
    <t>160*60mm，压线</t>
  </si>
  <si>
    <t>30</t>
  </si>
  <si>
    <t>B料防老化橡皮筋-4024E</t>
  </si>
  <si>
    <t>B material anti-aging rubber band-4024E</t>
  </si>
  <si>
    <t>4024E</t>
  </si>
  <si>
    <t>子母扣绳</t>
  </si>
  <si>
    <t>Child buckle rope</t>
  </si>
  <si>
    <t>100mm</t>
  </si>
  <si>
    <t>油性雪梨纸</t>
  </si>
  <si>
    <t>Oily Sydney paper</t>
  </si>
  <si>
    <t>L1194*889MM</t>
  </si>
  <si>
    <t>纸绳-1.6MM</t>
  </si>
  <si>
    <t>paper string-1.6MM</t>
  </si>
  <si>
    <t>直径1.6</t>
  </si>
  <si>
    <t>TNE</t>
  </si>
  <si>
    <t>91000</t>
  </si>
  <si>
    <r>
      <rPr>
        <b/>
        <sz val="11"/>
        <color rgb="FF000000"/>
        <rFont val="等线"/>
        <charset val="134"/>
      </rPr>
      <t>1-11/8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12/3</t>
    </r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</si>
  <si>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RPIRRI00168</t>
    </r>
  </si>
  <si>
    <t>PR202400168</t>
  </si>
  <si>
    <t>HAPPY-8HA-FSC 笑脸说明书</t>
  </si>
  <si>
    <t>HAPPY-8HA-FSC Smiley face</t>
  </si>
  <si>
    <t>110x55MM</t>
  </si>
  <si>
    <t>东莞市台聚印刷有限公司</t>
  </si>
  <si>
    <r>
      <rPr>
        <b/>
        <sz val="11"/>
        <color rgb="FF000000"/>
        <rFont val="等线"/>
        <charset val="134"/>
      </rPr>
      <t>1/20000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2/17810</t>
    </r>
  </si>
  <si>
    <t>椭圆无骨绑线-1.8MM</t>
  </si>
  <si>
    <t>Oval boneless binding wire -1.8MM</t>
  </si>
  <si>
    <t>保士特塑胶制品有限公司有限公司</t>
  </si>
  <si>
    <t>236-239</t>
  </si>
  <si>
    <r>
      <rPr>
        <b/>
        <sz val="11"/>
        <color rgb="FF000000"/>
        <rFont val="等线"/>
        <charset val="134"/>
      </rPr>
      <t>1-3/10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4/5</t>
    </r>
  </si>
  <si>
    <t>塑胶件-左身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</si>
  <si>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Plastic part - left carbody</t>
    </r>
  </si>
  <si>
    <t>23卡</t>
  </si>
  <si>
    <t>1-10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</si>
  <si>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RPIRRI00169</t>
    </r>
  </si>
  <si>
    <t>PR202400169</t>
  </si>
  <si>
    <t>塑胶件-右身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</si>
  <si>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Plastic part - right carbody</t>
    </r>
  </si>
  <si>
    <t>20卡</t>
  </si>
  <si>
    <t>11-20</t>
  </si>
  <si>
    <t>塑胶件-车底组件</t>
  </si>
  <si>
    <t>Plastic part - chassis assembling component</t>
  </si>
  <si>
    <t>17卡</t>
  </si>
  <si>
    <t>21-23</t>
  </si>
  <si>
    <r>
      <rPr>
        <b/>
        <sz val="12"/>
        <color rgb="FF000000"/>
        <rFont val="等线"/>
        <charset val="134"/>
      </rPr>
      <t>1-2/80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3/40</t>
    </r>
  </si>
  <si>
    <t>塑胶件-车身盖组件</t>
  </si>
  <si>
    <t>Plastic part - Body cover assembly</t>
  </si>
  <si>
    <t>28-39</t>
  </si>
  <si>
    <r>
      <rPr>
        <b/>
        <sz val="12"/>
        <color rgb="FF000000"/>
        <rFont val="等线"/>
        <charset val="134"/>
      </rPr>
      <t>1-6/15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7-9/18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10-12/19</t>
    </r>
  </si>
  <si>
    <t>塑胶件-尾踏板组件</t>
  </si>
  <si>
    <t>Plastic part - rear pedal assembling component</t>
  </si>
  <si>
    <t>塑胶件-后轴前压盖</t>
  </si>
  <si>
    <t>Plastic part -rear axle front pressor cover</t>
  </si>
  <si>
    <t>塑胶件-后轴后压盖</t>
  </si>
  <si>
    <t>Plastic part - rear axle rear pressor cover</t>
  </si>
  <si>
    <t>塑胶件-进料箱组件</t>
  </si>
  <si>
    <t>Plastic part - Feed tank group</t>
  </si>
  <si>
    <r>
      <rPr>
        <b/>
        <sz val="12"/>
        <color rgb="FF000000"/>
        <rFont val="等线"/>
        <charset val="134"/>
      </rPr>
      <t>1-3/21卡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24卡/32</t>
    </r>
  </si>
  <si>
    <t>42-45</t>
  </si>
  <si>
    <r>
      <rPr>
        <b/>
        <sz val="12"/>
        <color rgb="FF000000"/>
        <rFont val="等线"/>
        <charset val="134"/>
      </rPr>
      <t>1-3/56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4/35</t>
    </r>
  </si>
  <si>
    <t>塑胶件-上身右后门板组件</t>
  </si>
  <si>
    <t>Plastic part -Upper right rear door panel assembly</t>
  </si>
  <si>
    <t>塑胶件-垫片</t>
  </si>
  <si>
    <t>Plastic part - gasket</t>
  </si>
  <si>
    <t>塑胶件-螺丝盖</t>
  </si>
  <si>
    <t>Plastic part -screw cover</t>
  </si>
  <si>
    <t>塑胶件-左镜</t>
  </si>
  <si>
    <t>Plastic part -left mirror</t>
  </si>
  <si>
    <t>23卡/200</t>
  </si>
  <si>
    <t>塑胶件-右镜</t>
  </si>
  <si>
    <t>Plastic part -right mirror</t>
  </si>
  <si>
    <t>塑胶件-尾钩</t>
  </si>
  <si>
    <t>Plastic part -rear hook</t>
  </si>
  <si>
    <t>塑胶件-尾勾配件</t>
  </si>
  <si>
    <t>Plastic part -rear hook spare parts</t>
  </si>
  <si>
    <t>塑胶件-进料箱唧芯</t>
  </si>
  <si>
    <t>Plastic part -inlet room linkage core</t>
  </si>
  <si>
    <t>塑胶件-车身右尾踏板</t>
  </si>
  <si>
    <t>Plastic part -carbody right rear pedal</t>
  </si>
  <si>
    <t>塑胶件-进料箱右扣位</t>
  </si>
  <si>
    <t>Plastic part -inlet room right snap</t>
  </si>
  <si>
    <t>塑胶件-平台</t>
  </si>
  <si>
    <t>Plastic part -platform</t>
  </si>
  <si>
    <t>18卡/160/40</t>
  </si>
  <si>
    <t>54-55</t>
  </si>
  <si>
    <t>塑胶件-左梯</t>
  </si>
  <si>
    <t>Plastic part -left ladder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</si>
  <si>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RPIRRI00170</t>
    </r>
  </si>
  <si>
    <t>PR202400170</t>
  </si>
  <si>
    <t>塑胶件-左梯前扶手</t>
  </si>
  <si>
    <t>Plastic part -left stairs front handrails</t>
  </si>
  <si>
    <t>塑胶件-左梯后扶手</t>
  </si>
  <si>
    <t>Plastic part -left stairs rear handrails</t>
  </si>
  <si>
    <t>塑胶件-梯扶手左前</t>
  </si>
  <si>
    <t>Plastic part -stairs handrails /left front</t>
  </si>
  <si>
    <t>塑胶件-梯扶手右</t>
  </si>
  <si>
    <t>Plastic part -stair handrails /right</t>
  </si>
  <si>
    <t>塑胶件-平台护栏</t>
  </si>
  <si>
    <t>Plastic part -pigpen</t>
  </si>
  <si>
    <t>塑胶件-梯扶手左内外</t>
  </si>
  <si>
    <t>Plastic part -handrail left inside out</t>
  </si>
  <si>
    <t>塑胶件-车尾警告臂左</t>
  </si>
  <si>
    <t>Plastic part -rear warning/left</t>
  </si>
  <si>
    <t>20卡/200</t>
  </si>
  <si>
    <t>塑胶件-车尾警告臂右</t>
  </si>
  <si>
    <t>Plastic part -rear warning/right</t>
  </si>
  <si>
    <t>塑胶件-后中警告灯</t>
  </si>
  <si>
    <t>Plastic part -rear central warning light</t>
  </si>
  <si>
    <t>塑胶件-后轮转向拉杆</t>
  </si>
  <si>
    <t>Plastic part -rear steering rod</t>
  </si>
  <si>
    <t>塑胶件-谷物仓</t>
  </si>
  <si>
    <t>Plastic part -granary</t>
  </si>
  <si>
    <t>18卡</t>
  </si>
  <si>
    <t>59-68</t>
  </si>
  <si>
    <t>塑胶件-驾驶室组件</t>
  </si>
  <si>
    <t>Plastic part - cab assembling component</t>
  </si>
  <si>
    <r>
      <rPr>
        <b/>
        <sz val="12"/>
        <color rgb="FF000000"/>
        <rFont val="等线"/>
        <charset val="134"/>
      </rPr>
      <t>20卡/36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21卡/36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22卡/36/36/36/21</t>
    </r>
  </si>
  <si>
    <t>69-74</t>
  </si>
  <si>
    <r>
      <rPr>
        <b/>
        <sz val="12"/>
        <color rgb="FF000000"/>
        <rFont val="等线"/>
        <charset val="134"/>
      </rPr>
      <t>1-5/36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6/20</t>
    </r>
  </si>
  <si>
    <t>塑胶件-车尾盖</t>
  </si>
  <si>
    <t>Plastic part -rear seat cover</t>
  </si>
  <si>
    <r>
      <rPr>
        <b/>
        <sz val="12"/>
        <color rgb="FF000000"/>
        <rFont val="等线"/>
        <charset val="134"/>
      </rPr>
      <t>20卡/100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23卡/100</t>
    </r>
  </si>
  <si>
    <t>75-76</t>
  </si>
  <si>
    <t>塑胶件-出料管组件</t>
  </si>
  <si>
    <t>Plastic part -discharge nozzle assembling component</t>
  </si>
  <si>
    <t>77-79</t>
  </si>
  <si>
    <r>
      <rPr>
        <b/>
        <sz val="12"/>
        <color rgb="FF000000"/>
        <rFont val="等线"/>
        <charset val="134"/>
      </rPr>
      <t>1-2/90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3/20</t>
    </r>
  </si>
  <si>
    <t>塑胶件-螺杆左</t>
  </si>
  <si>
    <t>Plastic part -left handed worm</t>
  </si>
  <si>
    <r>
      <rPr>
        <b/>
        <sz val="12"/>
        <color rgb="FF000000"/>
        <rFont val="等线"/>
        <charset val="134"/>
      </rPr>
      <t>20卡/100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21卡/100</t>
    </r>
  </si>
  <si>
    <t>80-81</t>
  </si>
  <si>
    <t>塑胶件-螺杆右</t>
  </si>
  <si>
    <t>Plastic part -right handed worm</t>
  </si>
  <si>
    <t>塑胶件-收集头左盖</t>
  </si>
  <si>
    <t>Plastic part -collector left hood</t>
  </si>
  <si>
    <t>塑胶件-收集头右盖</t>
  </si>
  <si>
    <t>Plastic part -collector right hood</t>
  </si>
  <si>
    <t>塑胶件-收集头左盖压片</t>
  </si>
  <si>
    <t>Plastic part -collection head left cover tablet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</si>
  <si>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RPIRRI00171</t>
    </r>
  </si>
  <si>
    <t>PR202400171</t>
  </si>
  <si>
    <t>塑胶件-收集头右盖压片</t>
  </si>
  <si>
    <t>Plastic part -collecting head right cover tablet</t>
  </si>
  <si>
    <t>塑胶件-主动齿A</t>
  </si>
  <si>
    <t>Plastic part -drive gear A</t>
  </si>
  <si>
    <t>塑胶件-主动齿B</t>
  </si>
  <si>
    <t>Plastic part -drive gearB</t>
  </si>
  <si>
    <t>塑胶件-从动齿A</t>
  </si>
  <si>
    <t>Plastic part -driven gear A</t>
  </si>
  <si>
    <t>塑胶件-从动齿B</t>
  </si>
  <si>
    <t>Plastic part -driven gear B</t>
  </si>
  <si>
    <t>塑胶件-齿轮</t>
  </si>
  <si>
    <t>Plastic part -gear</t>
  </si>
  <si>
    <t>塑胶件-卷齿支架滚筒</t>
  </si>
  <si>
    <t>Plastic part -roll bracket roller</t>
  </si>
  <si>
    <t>89-93</t>
  </si>
  <si>
    <t>塑胶件-支架滚筒</t>
  </si>
  <si>
    <t>Plastic part -bend pulley bracket</t>
  </si>
  <si>
    <t>塑胶件-呔尺转动轴</t>
  </si>
  <si>
    <t>Plastic part -tie gauge rotation axis</t>
  </si>
  <si>
    <t>塑胶件-呔尺转动轴盖</t>
  </si>
  <si>
    <t>Plastic part -tie ruler turns shaft cover</t>
  </si>
  <si>
    <t>塑胶件-车尾连接件</t>
  </si>
  <si>
    <t>Plastic part -rear connector</t>
  </si>
  <si>
    <t>塑胶件-出料管固定件</t>
  </si>
  <si>
    <t>Plastic part -discharge pipe fastener</t>
  </si>
  <si>
    <t>塑胶件-收割头左警灯组件</t>
  </si>
  <si>
    <t>Plastic part -reaping head left alarm light assembling component</t>
  </si>
  <si>
    <t>塑胶件-收割头右警灯组件</t>
  </si>
  <si>
    <t>Plastic part -reaping head right warning light assembling component</t>
  </si>
  <si>
    <t>塑胶件-收割头组件</t>
  </si>
  <si>
    <t>Plastic part -reaping head assembling component</t>
  </si>
  <si>
    <t>100-107</t>
  </si>
  <si>
    <t>塑胶件-左前轮组件</t>
  </si>
  <si>
    <r>
      <rPr>
        <b/>
        <sz val="12"/>
        <color rgb="FF000000"/>
        <rFont val="等线"/>
        <charset val="134"/>
      </rPr>
      <t>Plastic part -left front wheel assembling component</t>
    </r>
    <r>
      <rPr>
        <b/>
        <sz val="12"/>
        <color rgb="FF000000"/>
        <rFont val="等线"/>
        <charset val="134"/>
      </rPr>
      <t xml:space="preserve">
</t>
    </r>
  </si>
  <si>
    <t>108-113</t>
  </si>
  <si>
    <r>
      <rPr>
        <b/>
        <sz val="12"/>
        <color rgb="FF000000"/>
        <rFont val="等线"/>
        <charset val="134"/>
      </rPr>
      <t>1-5/72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6/40</t>
    </r>
  </si>
  <si>
    <t>塑胶件-右前轮组件</t>
  </si>
  <si>
    <r>
      <rPr>
        <b/>
        <sz val="12"/>
        <color rgb="FF000000"/>
        <rFont val="等线"/>
        <charset val="134"/>
      </rPr>
      <t>Plastic part - right front wheel assembling component</t>
    </r>
    <r>
      <rPr>
        <b/>
        <sz val="12"/>
        <color rgb="FF000000"/>
        <rFont val="等线"/>
        <charset val="134"/>
      </rPr>
      <t xml:space="preserve">
</t>
    </r>
  </si>
  <si>
    <t>114-119</t>
  </si>
  <si>
    <t>塑胶件-后轮组件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</si>
  <si>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Plastic part - rear wheel assembly</t>
    </r>
  </si>
  <si>
    <r>
      <rPr>
        <b/>
        <sz val="12"/>
        <color rgb="FF000000"/>
        <rFont val="等线"/>
        <charset val="134"/>
      </rPr>
      <t>17卡/27/27/27/27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21卡/17/27/27/27</t>
    </r>
  </si>
  <si>
    <t>120-127</t>
  </si>
  <si>
    <r>
      <rPr>
        <b/>
        <sz val="12"/>
        <color rgb="FF000000"/>
        <rFont val="等线"/>
        <charset val="134"/>
      </rPr>
      <t>1-7/27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8/11</t>
    </r>
  </si>
  <si>
    <t>塑胶件-前轮芯左连接件</t>
  </si>
  <si>
    <t>Plastic part - front wheel core left connector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</si>
  <si>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RPIRRI00172</t>
    </r>
  </si>
  <si>
    <t>PR202400172</t>
  </si>
  <si>
    <t>塑胶件-前轮芯右连接件</t>
  </si>
  <si>
    <t>Plastic part - front wheel core right connector</t>
  </si>
  <si>
    <t>裸机成品</t>
  </si>
  <si>
    <t>bare product</t>
  </si>
  <si>
    <t>155-156</t>
  </si>
  <si>
    <t>包装成品</t>
  </si>
  <si>
    <t>Packaging of finished products</t>
  </si>
  <si>
    <t>157-159</t>
  </si>
  <si>
    <t>签板胶件</t>
  </si>
  <si>
    <t>Sheet rubber</t>
  </si>
  <si>
    <t>11-12</t>
  </si>
  <si>
    <t>Plastic part - tie gauge rotation axis</t>
  </si>
  <si>
    <t>14卡</t>
  </si>
  <si>
    <t>塑胶件-右后轮组件</t>
  </si>
  <si>
    <t>Plastic part - right rear wheel assembly</t>
  </si>
  <si>
    <t>10卡</t>
  </si>
  <si>
    <t>15-16</t>
  </si>
  <si>
    <t>塑胶件-左后轮组件</t>
  </si>
  <si>
    <t>Plastic part -left rear wheel assembly</t>
  </si>
  <si>
    <t>17-18</t>
  </si>
  <si>
    <t>塑胶件-车身</t>
  </si>
  <si>
    <t>Plastic part - car body</t>
  </si>
  <si>
    <r>
      <rPr>
        <b/>
        <sz val="12"/>
        <color rgb="FF000000"/>
        <rFont val="等线"/>
        <charset val="134"/>
      </rPr>
      <t>9卡/36/20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14卡/36/36/36/36</t>
    </r>
  </si>
  <si>
    <t>19-24</t>
  </si>
  <si>
    <t>塑胶件-粮仓组件</t>
  </si>
  <si>
    <t>Plastic part -Granary assembly</t>
  </si>
  <si>
    <r>
      <rPr>
        <b/>
        <sz val="12"/>
        <color rgb="FF000000"/>
        <rFont val="等线"/>
        <charset val="134"/>
      </rPr>
      <t>12卡/24/24/24/24/24/24/24/24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16卡/6</t>
    </r>
  </si>
  <si>
    <t>25-33</t>
  </si>
  <si>
    <r>
      <rPr>
        <b/>
        <sz val="12"/>
        <color rgb="FF000000"/>
        <rFont val="等线"/>
        <charset val="134"/>
      </rPr>
      <t>1-8/24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9/6</t>
    </r>
  </si>
  <si>
    <t>塑胶件-后平台组件</t>
  </si>
  <si>
    <t>Plastic part -Rear platform assembly</t>
  </si>
  <si>
    <t>34-42</t>
  </si>
  <si>
    <r>
      <rPr>
        <b/>
        <sz val="12"/>
        <color rgb="FF000000"/>
        <rFont val="等线"/>
        <charset val="134"/>
      </rPr>
      <t>1-8/24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9/8</t>
    </r>
  </si>
  <si>
    <r>
      <rPr>
        <b/>
        <sz val="12"/>
        <color rgb="FF000000"/>
        <rFont val="等线"/>
        <charset val="134"/>
      </rPr>
      <t>11卡/20/20/20/20/20/20/20/20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16卡/17/17</t>
    </r>
  </si>
  <si>
    <t>43-52</t>
  </si>
  <si>
    <r>
      <rPr>
        <b/>
        <sz val="12"/>
        <color rgb="FF000000"/>
        <rFont val="等线"/>
        <charset val="134"/>
      </rPr>
      <t>1-8/20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9-10/17</t>
    </r>
  </si>
  <si>
    <t>塑胶件-收集头</t>
  </si>
  <si>
    <t>Plastic part - bone Collector</t>
  </si>
  <si>
    <t>13卡</t>
  </si>
  <si>
    <t>53-56</t>
  </si>
  <si>
    <t>9卡</t>
  </si>
  <si>
    <t>57-61</t>
  </si>
  <si>
    <t>塑胶件-螺旋钻上/下部组件</t>
  </si>
  <si>
    <t>Plastic part -auger upper/lower assembly</t>
  </si>
  <si>
    <t>62-63</t>
  </si>
  <si>
    <r>
      <rPr>
        <b/>
        <sz val="12"/>
        <color rgb="FF000000"/>
        <rFont val="等线"/>
        <charset val="134"/>
      </rPr>
      <t>9卡/33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12卡/33/33/33/24/33/12</t>
    </r>
  </si>
  <si>
    <t>64-70</t>
  </si>
  <si>
    <r>
      <rPr>
        <b/>
        <sz val="12"/>
        <color rgb="FF000000"/>
        <rFont val="等线"/>
        <charset val="134"/>
      </rPr>
      <t>1-5/33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6/24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7/12</t>
    </r>
  </si>
  <si>
    <t>塑胶件-左侧护板</t>
  </si>
  <si>
    <t>Plastic part -left side guard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</si>
  <si>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RPIRRI00173</t>
    </r>
  </si>
  <si>
    <t>PR202400173</t>
  </si>
  <si>
    <t>塑胶件-右侧护板</t>
  </si>
  <si>
    <t>Plastic part -right side guard</t>
  </si>
  <si>
    <t>塑胶件-小连接件</t>
  </si>
  <si>
    <t>Plastic part - small connector</t>
  </si>
  <si>
    <t>塑胶件-主动齿轮左</t>
  </si>
  <si>
    <t>Plastic part - drive gear left</t>
  </si>
  <si>
    <t>塑胶件-主动齿轮右</t>
  </si>
  <si>
    <t>Plastic part - drive gear right</t>
  </si>
  <si>
    <t>塑胶件-中间齿轮</t>
  </si>
  <si>
    <t>Plastic part - intermediate gear</t>
  </si>
  <si>
    <t>塑胶件-小齿轮左</t>
  </si>
  <si>
    <t>Plastic part - pinion left</t>
  </si>
  <si>
    <t>塑胶件-小齿轮右</t>
  </si>
  <si>
    <t>Plastic part - pinion right</t>
  </si>
  <si>
    <t>塑胶件-出料管定位件</t>
  </si>
  <si>
    <t>Plastic part -unloading auger positioning piece</t>
  </si>
  <si>
    <t>塑胶件-后轴前固定件</t>
  </si>
  <si>
    <t>Plastic part -rear axle front fastener</t>
  </si>
  <si>
    <t>塑胶件-后轴后固定件</t>
  </si>
  <si>
    <t>Plastic part -rear axle rear fastener</t>
  </si>
  <si>
    <t>塑胶件-茎散布机</t>
  </si>
  <si>
    <t>Plastic part -stem distributor</t>
  </si>
  <si>
    <t>塑胶件-喂料室连接件</t>
  </si>
  <si>
    <t>Plastic part -feeding chamber connector</t>
  </si>
  <si>
    <t>塑胶件-后轴套</t>
  </si>
  <si>
    <t>Plastic part -rear axle housing</t>
  </si>
  <si>
    <t>塑胶件-粮仓GPS装置</t>
  </si>
  <si>
    <t>Plastic part -extension GPS dome</t>
  </si>
  <si>
    <t>塑胶件-后轴</t>
  </si>
  <si>
    <t>Plastic part -backshaft</t>
  </si>
  <si>
    <t>塑胶件-左前指示臂</t>
  </si>
  <si>
    <t>Plastic part -left front indicator arm</t>
  </si>
  <si>
    <t>塑胶件-右前指示臂</t>
  </si>
  <si>
    <t>Plastic part -right front indicating arm</t>
  </si>
  <si>
    <t>塑胶件-指示镜左固定件</t>
  </si>
  <si>
    <t>Plastic part -indicator mirror left fastener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</si>
  <si>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RPIRRI00174</t>
    </r>
  </si>
  <si>
    <t>PR202400174</t>
  </si>
  <si>
    <t>塑胶件-指示镜右固定件</t>
  </si>
  <si>
    <t>Plastic part -indicator mirror right fastener</t>
  </si>
  <si>
    <t>塑胶件-后轮连接杆</t>
  </si>
  <si>
    <t>Plastic part -rear wheel connection rod</t>
  </si>
  <si>
    <t>塑胶件-驾驶室平台左侧前栏杆</t>
  </si>
  <si>
    <t>Plastic part -left side ladder front hand railing</t>
  </si>
  <si>
    <t>塑胶件-驾驶室平台左侧后栏杆</t>
  </si>
  <si>
    <t>Plastic part -left side ladder rear hand railing</t>
  </si>
  <si>
    <t>塑胶件-驾驶室平台右侧栏杆</t>
  </si>
  <si>
    <t>Plastic part -right side platform hand railing</t>
  </si>
  <si>
    <t>塑胶件-左阶梯前栏杆</t>
  </si>
  <si>
    <t>Plastic part -left side platform front hand railing</t>
  </si>
  <si>
    <t>塑胶件-左阶梯后栏杆</t>
  </si>
  <si>
    <t>Plastic part -left side platform rear hand railing</t>
  </si>
  <si>
    <t>塑胶件-驾驶室左镜</t>
  </si>
  <si>
    <t>Plastic part -cab left mirror</t>
  </si>
  <si>
    <t>塑胶件-驾驶室右镜</t>
  </si>
  <si>
    <t>Plastic part -cab right mirror</t>
  </si>
  <si>
    <t>塑胶件-后平台左扶手</t>
  </si>
  <si>
    <t>Plastic part -rear platform left armrest</t>
  </si>
  <si>
    <t>塑胶件-后平台右扶手</t>
  </si>
  <si>
    <t>Plastic part -rear platform right armrest</t>
  </si>
  <si>
    <r>
      <rPr>
        <b/>
        <sz val="12"/>
        <color rgb="FF000000"/>
        <rFont val="等线"/>
        <charset val="134"/>
      </rPr>
      <t>塑胶件-左阶梯</t>
    </r>
    <r>
      <rPr>
        <b/>
        <sz val="12"/>
        <color rgb="FF000000"/>
        <rFont val="等线"/>
        <charset val="134"/>
      </rPr>
      <t xml:space="preserve"> </t>
    </r>
  </si>
  <si>
    <t>Plastic part -left step assembly</t>
  </si>
  <si>
    <t>塑胶件-后平台后盖</t>
  </si>
  <si>
    <t>Plastic part -rear platform rear cover</t>
  </si>
  <si>
    <r>
      <rPr>
        <b/>
        <sz val="12"/>
        <color rgb="FF000000"/>
        <rFont val="等线"/>
        <charset val="134"/>
      </rPr>
      <t>8卡/100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14卡/100</t>
    </r>
  </si>
  <si>
    <t>91-92</t>
  </si>
  <si>
    <t>93-95</t>
  </si>
  <si>
    <r>
      <rPr>
        <b/>
        <sz val="12"/>
        <color rgb="FF000000"/>
        <rFont val="等线"/>
        <charset val="134"/>
      </rPr>
      <t>1-2/140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3/129</t>
    </r>
  </si>
  <si>
    <t>Plastic part -front wheel core left connector</t>
  </si>
  <si>
    <t>Plastic part -front wheel core right connector</t>
  </si>
  <si>
    <r>
      <rPr>
        <b/>
        <sz val="12"/>
        <color rgb="FF000000"/>
        <rFont val="等线"/>
        <charset val="134"/>
      </rPr>
      <t>9卡/140/131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14卡/70/70</t>
    </r>
  </si>
  <si>
    <t>98-101</t>
  </si>
  <si>
    <r>
      <rPr>
        <b/>
        <sz val="12"/>
        <color rgb="FF000000"/>
        <rFont val="等线"/>
        <charset val="134"/>
      </rPr>
      <t>1/140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2/131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3-4/70</t>
    </r>
  </si>
  <si>
    <r>
      <rPr>
        <b/>
        <sz val="12"/>
        <color rgb="FF000000"/>
        <rFont val="等线"/>
        <charset val="134"/>
      </rPr>
      <t>10卡/24/24/24/24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11卡/24/24/24/24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16卡/8</t>
    </r>
  </si>
  <si>
    <t>102-110</t>
  </si>
  <si>
    <t>塑胶件-后悬挂机构组件</t>
  </si>
  <si>
    <t>Plastic part -rear suspension mechanism assembly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</si>
  <si>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RPIRRI00175</t>
    </r>
  </si>
  <si>
    <t>PR202400175</t>
  </si>
  <si>
    <t>塑胶件-后阶梯组件</t>
  </si>
  <si>
    <t>Plastic part -rear step assembly</t>
  </si>
  <si>
    <t>塑胶件-喂料室组件</t>
  </si>
  <si>
    <t>Plastic part -feeding chamber assembly</t>
  </si>
  <si>
    <r>
      <rPr>
        <b/>
        <sz val="12"/>
        <color rgb="FF000000"/>
        <rFont val="等线"/>
        <charset val="134"/>
      </rPr>
      <t>9卡/63/63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10卡/63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14卡/17</t>
    </r>
  </si>
  <si>
    <t>113-116</t>
  </si>
  <si>
    <r>
      <rPr>
        <b/>
        <sz val="12"/>
        <color rgb="FF000000"/>
        <rFont val="等线"/>
        <charset val="134"/>
      </rPr>
      <t>1-3/63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4/11</t>
    </r>
  </si>
  <si>
    <t>裸机样板</t>
  </si>
  <si>
    <t>bare sample</t>
  </si>
  <si>
    <t>117-120</t>
  </si>
  <si>
    <t>包装样板</t>
  </si>
  <si>
    <t>packaging sample</t>
  </si>
  <si>
    <t>121-123</t>
  </si>
  <si>
    <t>胶件样板</t>
  </si>
  <si>
    <t>Plastic part sample</t>
  </si>
  <si>
    <t>1-3</t>
  </si>
  <si>
    <t>4-23</t>
  </si>
  <si>
    <r>
      <rPr>
        <b/>
        <sz val="12"/>
        <color rgb="FF000000"/>
        <rFont val="等线"/>
        <charset val="134"/>
      </rPr>
      <t>1-19/210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20/72</t>
    </r>
  </si>
  <si>
    <t>24-27</t>
  </si>
  <si>
    <r>
      <rPr>
        <b/>
        <sz val="12"/>
        <color rgb="FF000000"/>
        <rFont val="等线"/>
        <charset val="134"/>
      </rPr>
      <t>1-3/360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4/115</t>
    </r>
  </si>
  <si>
    <t>吸塑片</t>
  </si>
  <si>
    <t>Membrane sheet</t>
  </si>
  <si>
    <t>125*125*0.40mm透明PET片</t>
  </si>
  <si>
    <t>OPP胶带</t>
  </si>
  <si>
    <t>OPP packaging tape</t>
  </si>
  <si>
    <t>20(宽)*1000(长)*0.03(厚)mm</t>
  </si>
  <si>
    <t>20(宽)*250(长)*0.03(厚)mm</t>
  </si>
  <si>
    <t>超声模定位件</t>
  </si>
  <si>
    <t>Ultrasonic mold positioning part</t>
  </si>
  <si>
    <t>定位纸绳位置 无品牌</t>
  </si>
  <si>
    <t>螺丝2.6*6PB</t>
  </si>
  <si>
    <t>2.6*6PB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</si>
  <si>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RPIRRI00176</t>
    </r>
  </si>
  <si>
    <t>PR202400176</t>
  </si>
  <si>
    <t>螺丝2.6*8PB</t>
  </si>
  <si>
    <t>Screws 2.6*8PB</t>
  </si>
  <si>
    <t>2.6*8PB</t>
  </si>
  <si>
    <t>螺丝3.0*8PB</t>
  </si>
  <si>
    <t>Screws 3.0*8PB</t>
  </si>
  <si>
    <t>3.0*8PB</t>
  </si>
  <si>
    <t>螺丝3.0*12PB</t>
  </si>
  <si>
    <t>Screws 3.0*12PB</t>
  </si>
  <si>
    <t>3.0*12PB</t>
  </si>
  <si>
    <t>螺丝2.6*6PWB D=8</t>
  </si>
  <si>
    <t>Screws 2.6*6PWB D=8</t>
  </si>
  <si>
    <t>2.6*6PWB D=8</t>
  </si>
  <si>
    <t>螺丝2.6*8PWB D=8</t>
  </si>
  <si>
    <t>Screws 2.6*8PWB D=8</t>
  </si>
  <si>
    <t>2.6*8PWB D=8</t>
  </si>
  <si>
    <t>螺丝2.6*5PWB D=8</t>
  </si>
  <si>
    <t>Screws2.6*5PWB D=8</t>
  </si>
  <si>
    <t>2.6*5PWB D=8</t>
  </si>
  <si>
    <t>前轮轴</t>
  </si>
  <si>
    <t>Front wheel iron axle</t>
  </si>
  <si>
    <t>Φ4.0*196mm,两段菠萝花Ø4.1*15mm</t>
  </si>
  <si>
    <t>进料箱平头钉</t>
  </si>
  <si>
    <t>Feed box flat head nail</t>
  </si>
  <si>
    <t>Φ4.0*24.6mm,帽D=6.0*1,搓菠萝花6.0mm</t>
  </si>
  <si>
    <t>尾钩平头钉</t>
  </si>
  <si>
    <t>hobnail</t>
  </si>
  <si>
    <t>2.0X*7mm,菠萝花长4.5mm,帽D=7.3mm</t>
  </si>
  <si>
    <t>后轮转向拉杆铆钉</t>
  </si>
  <si>
    <t>Rear wheel steering tie rod rivets</t>
  </si>
  <si>
    <t>3.90*15.0mm,平头D=Ø6.0*1</t>
  </si>
  <si>
    <t>螺丝2.6*12PB</t>
  </si>
  <si>
    <t>Screws 2.6*12PB</t>
  </si>
  <si>
    <t>2.6*12PB</t>
  </si>
  <si>
    <t>screws 3.0*8PB</t>
  </si>
  <si>
    <t>screws 2.6*6PWB D=8</t>
  </si>
  <si>
    <t>screws 2.6*8PWB D=8</t>
  </si>
  <si>
    <t>Φ4.0*184MM，双花轴</t>
  </si>
  <si>
    <t>压簧2</t>
  </si>
  <si>
    <t>Compression spring 2</t>
  </si>
  <si>
    <t>Φ0.6*OD4.0*12.0L*7T</t>
  </si>
  <si>
    <t>压簧3</t>
  </si>
  <si>
    <t>Compression spring 3</t>
  </si>
  <si>
    <t>Φ0.4*OD3.4*9.4L*8T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</si>
  <si>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RPIRRI00177</t>
    </r>
  </si>
  <si>
    <t>PR202400177</t>
  </si>
  <si>
    <t>平头钉1</t>
  </si>
  <si>
    <t>hobnail 1</t>
  </si>
  <si>
    <t>Φ3*8.0，帽D=4.5*1.0mm</t>
  </si>
  <si>
    <t>平头钉2</t>
  </si>
  <si>
    <t>hobnail 2</t>
  </si>
  <si>
    <t>Φ4*7.2，帽D=6.0*1.0mm</t>
  </si>
  <si>
    <t>平头钉3</t>
  </si>
  <si>
    <t>hobnail 3</t>
  </si>
  <si>
    <t>Φ2*6.5，帽D=4.0*1.0mm</t>
  </si>
  <si>
    <t>传输球T钉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</si>
  <si>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Transfer ball T nail</t>
    </r>
  </si>
  <si>
    <t>直径2.5*9MM D=5*1.0MM</t>
  </si>
  <si>
    <t>31</t>
  </si>
  <si>
    <t>PP胶水-HN-8101</t>
  </si>
  <si>
    <t>PP glue-HN-8101</t>
  </si>
  <si>
    <t>HN-8101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</si>
  <si>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RPIRRI00178</t>
    </r>
  </si>
  <si>
    <t>PR202400178</t>
  </si>
  <si>
    <t>030F503996</t>
  </si>
  <si>
    <t>92120-01-Orange Salamander-橙色蝾螈</t>
  </si>
  <si>
    <t>1.515y</t>
  </si>
  <si>
    <t>51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</si>
  <si>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RPIRRI00179</t>
    </r>
  </si>
  <si>
    <t>PR202400179</t>
  </si>
  <si>
    <t>WHSU5510683</t>
  </si>
  <si>
    <t>030F502568</t>
  </si>
  <si>
    <t>12.34y</t>
  </si>
  <si>
    <t>92120-03-Pink Tie-Dye Salamander-粉色扎染蝾螈</t>
  </si>
  <si>
    <t>150</t>
  </si>
  <si>
    <t>8.585y</t>
  </si>
  <si>
    <t>151</t>
  </si>
  <si>
    <t>604#1186紫色强力线</t>
  </si>
  <si>
    <t>604#1186 purple strong thread</t>
  </si>
  <si>
    <t>8.686y</t>
  </si>
  <si>
    <t>92120-05-Rose red salamander-玫红蝾螈</t>
  </si>
  <si>
    <t>101</t>
  </si>
  <si>
    <t>604#1008 Pink strong thread</t>
  </si>
  <si>
    <t>Sticker</t>
  </si>
  <si>
    <t>254.5*70mm，强粘</t>
  </si>
  <si>
    <t>展开：62.8”(L) x 65.8”(W)，折后： 26”(L) x 17.5”(W) x 15”(H)</t>
  </si>
  <si>
    <t>129-138</t>
  </si>
  <si>
    <r>
      <rPr>
        <b/>
        <sz val="11"/>
        <color rgb="FF000000"/>
        <rFont val="等线"/>
        <charset val="134"/>
      </rPr>
      <t>1-5/20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6/3</t>
    </r>
  </si>
  <si>
    <t>Inner card</t>
  </si>
  <si>
    <t>45.9”(L) x 33.2”(W)</t>
  </si>
  <si>
    <t>139-142</t>
  </si>
  <si>
    <t>定制压缩包装机</t>
  </si>
  <si>
    <t>Custom compression packaging machine</t>
  </si>
  <si>
    <t>125气缸</t>
  </si>
  <si>
    <t>台</t>
  </si>
  <si>
    <t>深圳市新亿城机械设备有限公司</t>
  </si>
  <si>
    <t>13</t>
  </si>
  <si>
    <t>HSY-2025001</t>
  </si>
  <si>
    <t>A2025001</t>
  </si>
  <si>
    <t>030F503998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</si>
  <si>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Plastic part - collector head assembling component</t>
    </r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</si>
  <si>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RPIRRI00180</t>
    </r>
  </si>
  <si>
    <t>PR202400180</t>
  </si>
  <si>
    <t>显示屏</t>
  </si>
  <si>
    <t>display screen</t>
  </si>
  <si>
    <t>20*15.5*0.73</t>
  </si>
  <si>
    <t>电机</t>
  </si>
  <si>
    <t>electrical machinery</t>
  </si>
  <si>
    <t>7.5*3.5*3.2</t>
  </si>
  <si>
    <t>63"400G 10MM橙色小兔毛+53"38#银色 平布底电绣爱心+心形肚皮贴绣</t>
  </si>
  <si>
    <t>63"400G 10MM orange rabbit fur+53"38# silver flat cloth bottom electric embroidery love + heart-shaped belly sticker</t>
  </si>
  <si>
    <t>1.3.4</t>
  </si>
  <si>
    <t>1-8，,13-16，48-50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</si>
  <si>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RPIRRI00181</t>
    </r>
  </si>
  <si>
    <t>PR202400181</t>
  </si>
  <si>
    <t>左右后身63"400G 10MM橙色小兔毛</t>
  </si>
  <si>
    <t>LEFT AND RIGHT BACK 63"400G 10MM ORANGE RABBIT FUR</t>
  </si>
  <si>
    <t>19-30</t>
  </si>
  <si>
    <t>底裁片 63"400G 10MM橙色小兔毛</t>
  </si>
  <si>
    <t>BOTTOM PIECE 63"400G 10MM ORANGE RABBIT FUR</t>
  </si>
  <si>
    <t>31-34</t>
  </si>
  <si>
    <t>左右尾巴 63"400G 10MM橙色小兔毛</t>
  </si>
  <si>
    <t>LEFT AND RIGHT TAIL 63" 400G 10MM ORANGE RABBIT FUR</t>
  </si>
  <si>
    <t>内耳 63"550G15MM白色兔毛+54"#银色过油膜烫金布 边伦底</t>
  </si>
  <si>
    <t>Inner ear 63" 550G15MM white rabbit fur + 54" #Silver oil film hot stamping cloth edge lun bottom</t>
  </si>
  <si>
    <t>9-12，46,47</t>
  </si>
  <si>
    <t>外耳63"550G15MM白色兔毛</t>
  </si>
  <si>
    <t>OUTER EAR 63" 550G15MM WHITE RABBIT FUR</t>
  </si>
  <si>
    <t>38-43</t>
  </si>
  <si>
    <t>翅膀 53"银色巴黎之星布底</t>
  </si>
  <si>
    <r>
      <rPr>
        <b/>
        <sz val="12"/>
        <color rgb="FF000000"/>
        <rFont val="等线"/>
        <charset val="134"/>
      </rPr>
      <t>Wings 53" silver Star of Paris cloth</t>
    </r>
    <r>
      <rPr>
        <b/>
        <sz val="12"/>
        <color rgb="FF000000"/>
        <rFont val="等线"/>
        <charset val="134"/>
      </rPr>
      <t xml:space="preserve"> </t>
    </r>
  </si>
  <si>
    <t>头角 54"#银色过油膜烫金布 边伦底</t>
  </si>
  <si>
    <t>Head Angle 54"#Silver oil film hot stamping cloth Rim Bottom</t>
  </si>
  <si>
    <t>尾刺 63"550G15MM白色兔毛</t>
  </si>
  <si>
    <t>TAIL SPINE 63" 550G15MM WHITE RABBIT FUR</t>
  </si>
  <si>
    <t>37，44</t>
  </si>
  <si>
    <t>63"420G10MM粉紫扎染兔毛+53"粉紫渐变斜纹 前身电绣爱心+心形肚皮贴绣</t>
  </si>
  <si>
    <t>63"420G10MM Pink Purple Tie-Dye Rabbit Fur + 53" Pink Purple Gradient Twill Predecessor Electric Embroidery Heart + Heart-shaped Belly Patch Embroidery</t>
  </si>
  <si>
    <t>138-149，152-154</t>
  </si>
  <si>
    <t>左右后身 63"420G10MM粉紫扎染兔毛</t>
  </si>
  <si>
    <t>LEFT AND RIGHT BACK BODY 63" 420G10MM PINK PURPLE TIE-DYE RABBIT FUR</t>
  </si>
  <si>
    <t>116-131</t>
  </si>
  <si>
    <t>底 63"420G10MM粉紫扎染兔毛</t>
  </si>
  <si>
    <t>BOTTOM 63" 420G10MM PINK PURPLE TIE-DYE RABBIT FUR</t>
  </si>
  <si>
    <t>134-137</t>
  </si>
  <si>
    <t>左右尾巴 63"420G10MM粉紫扎染兔毛</t>
  </si>
  <si>
    <t>LEFT AND RIGHT TAIL 63" 420G10MM PINK PURPLE TIE-DYE RABBIT FUR</t>
  </si>
  <si>
    <t>耳朵 58"紫色烫点布+58"2MM海绵+60"40D 20针稀网纱底贴合</t>
  </si>
  <si>
    <t>Ear 58" purple hot spot cloth + 58" 2MM sponge + 60" 40D 20 needle thin mesh bottom fit</t>
  </si>
  <si>
    <t>104-115</t>
  </si>
  <si>
    <t>翅膀 53"粉蓝渐变巴黎之星布底</t>
  </si>
  <si>
    <t>Wings 53" powder blue gradient Star of Paris cloth base</t>
  </si>
  <si>
    <t>头角 53"粉紫渐变斜纹巴黎之星</t>
  </si>
  <si>
    <t>Head corner 53" pink purple gradient twill Paris Star plain cloth bottom</t>
  </si>
  <si>
    <t>20MM宽蓝色打折纱带</t>
  </si>
  <si>
    <t>20MM WIDE BLUE DISCOUNTED YARN TAPE</t>
  </si>
  <si>
    <t>0.525y</t>
  </si>
  <si>
    <t>155-158</t>
  </si>
  <si>
    <t>63"450G6MM玫红色兔毛+53"粉紫渐变斜纹前身电绣爱心+心形肚皮贴绣</t>
  </si>
  <si>
    <r>
      <rPr>
        <b/>
        <sz val="12"/>
        <color rgb="FF000000"/>
        <rFont val="等线"/>
        <charset val="134"/>
      </rPr>
      <t>63"450G6MM Rose Red Rabbit Fur + 53" Pink Purple Gradient Twill Predecessor Electric Embroidery Love + Heart-shaped Belly Patch Embroidery</t>
    </r>
    <r>
      <rPr>
        <b/>
        <sz val="12"/>
        <color rgb="FF000000"/>
        <rFont val="等线"/>
        <charset val="134"/>
      </rPr>
      <t xml:space="preserve"> </t>
    </r>
  </si>
  <si>
    <t>4.6.7</t>
  </si>
  <si>
    <t>52-60,95-100</t>
  </si>
  <si>
    <t>左右后身 63"450G6MM玫红色兔毛</t>
  </si>
  <si>
    <t>LEFT AND RIGHT BACK BODY 63" 450G6MM ROSE RED RABBIT FUR</t>
  </si>
  <si>
    <t>65-80</t>
  </si>
  <si>
    <t>底 63"450G6MM玫红色兔毛</t>
  </si>
  <si>
    <t>BOTTOM 63"450G6MM ROSE RED RABBIT FUR</t>
  </si>
  <si>
    <t>90-93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</si>
  <si>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RPIRRI00182</t>
    </r>
  </si>
  <si>
    <t>PR202400182</t>
  </si>
  <si>
    <t>左右尾巴 63"450G6MM玫红色兔毛</t>
  </si>
  <si>
    <t>LEFT AND RIGHT TAIL 63"450G6MM ROSE RED RABBIT FUR</t>
  </si>
  <si>
    <t>外耳 58"450g15mm紫色PV绒+60"40D 20针稀网纱贴合</t>
  </si>
  <si>
    <t>Outer ear 58"450g15mm purple PV velvet + 60"40D 20 needle dilute mesh fit</t>
  </si>
  <si>
    <t>86-89</t>
  </si>
  <si>
    <t>内耳 58"450g15mm紫色PV绒+60"40D 20针稀网纱贴合 58"#14玫红色过油膜烫点布</t>
  </si>
  <si>
    <t>Inner ear 58"450g15mm purple PV fleece+60"40D 20 needle dilute mesh fit 58"#14Rose red oil film hot spot clothom</t>
  </si>
  <si>
    <t>61-64</t>
  </si>
  <si>
    <t>翅膀 53"粉紫渐变巴黎之星布底</t>
  </si>
  <si>
    <t>Wings 53" pink purple gradient Star of Paris cloth base</t>
  </si>
  <si>
    <t>Head Corner 53" Pink Purple Gradient Twill Paris Star</t>
  </si>
  <si>
    <t>尾刺 58"450g15mm紫色PV绒+60"40D 20针稀网纱贴合</t>
  </si>
  <si>
    <t>Tail spine 58"450g15mm purple PV velvet + 60"40D 20 needle dilute mesh fit</t>
  </si>
  <si>
    <t>W85020</t>
  </si>
  <si>
    <t>变压器3.5V6W带AG13遥控器5条灯串线共90灯</t>
  </si>
  <si>
    <t>Transformer 3.5V6W with AG13 remote control 5 light strings line total 90 lights</t>
  </si>
  <si>
    <t>14</t>
  </si>
  <si>
    <t>2-21</t>
  </si>
  <si>
    <t>装饰用/无牌/无型号</t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</si>
  <si>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RPIRRI00183</t>
    </r>
  </si>
  <si>
    <t>PR202400183</t>
  </si>
  <si>
    <t>030F503997</t>
  </si>
  <si>
    <t>台球桌</t>
  </si>
  <si>
    <t>billiard table</t>
  </si>
  <si>
    <t>NK</t>
  </si>
  <si>
    <t>15</t>
  </si>
  <si>
    <t>22-23</t>
  </si>
  <si>
    <r>
      <rPr>
        <b/>
        <sz val="12"/>
        <color rgb="FF000000"/>
        <rFont val="等线"/>
        <charset val="134"/>
      </rPr>
      <t>打台球</t>
    </r>
    <r>
      <rPr>
        <b/>
        <sz val="12"/>
        <color rgb="FF000000"/>
        <rFont val="等线"/>
        <charset val="134"/>
      </rPr>
      <t xml:space="preserve">   </t>
    </r>
    <r>
      <rPr>
        <b/>
        <sz val="12"/>
        <color rgb="FF000000"/>
        <rFont val="等线"/>
        <charset val="134"/>
      </rPr>
      <t>NKG</t>
    </r>
  </si>
  <si>
    <r>
      <rPr>
        <b/>
        <sz val="12"/>
        <color rgb="FF000000"/>
        <rFont val="等线"/>
        <charset val="134"/>
      </rPr>
      <t xml:space="preserve"> </t>
    </r>
    <r>
      <rPr>
        <b/>
        <sz val="12"/>
        <color rgb="FF000000"/>
        <rFont val="等线"/>
        <charset val="134"/>
      </rPr>
      <t>YN00098</t>
    </r>
  </si>
  <si>
    <t>YNA00098</t>
  </si>
  <si>
    <t>030F503999</t>
  </si>
  <si>
    <t>压缩打包机</t>
  </si>
  <si>
    <t>automatic packing machine</t>
  </si>
  <si>
    <t>60T</t>
  </si>
  <si>
    <t>16</t>
  </si>
  <si>
    <t>24-26</t>
  </si>
  <si>
    <t>打包废纸皮</t>
  </si>
  <si>
    <t>打包带</t>
  </si>
  <si>
    <t>packing strap</t>
  </si>
  <si>
    <t>1000M</t>
  </si>
  <si>
    <t>卷</t>
  </si>
  <si>
    <t>17</t>
  </si>
  <si>
    <t>27-38</t>
  </si>
  <si>
    <t>捆扎纸皮</t>
  </si>
  <si>
    <t>自动麻将机</t>
  </si>
  <si>
    <t>Automatic mahjong machine</t>
  </si>
  <si>
    <t>雀友S90</t>
  </si>
  <si>
    <t>39-43</t>
  </si>
  <si>
    <t>打麻将 雀友</t>
  </si>
  <si>
    <t>耐压测试仪</t>
  </si>
  <si>
    <t>withstanding voltage tester</t>
  </si>
  <si>
    <t>CS2607A</t>
  </si>
  <si>
    <t>44</t>
  </si>
  <si>
    <t>检测高压</t>
  </si>
  <si>
    <t>序号</t>
  </si>
  <si>
    <t>类别</t>
  </si>
  <si>
    <t>金额</t>
  </si>
  <si>
    <t>水口料</t>
  </si>
  <si>
    <t>色粉</t>
  </si>
  <si>
    <t>化学品</t>
  </si>
  <si>
    <t>原料</t>
  </si>
  <si>
    <t>电子类</t>
  </si>
  <si>
    <t>塑胶</t>
  </si>
  <si>
    <t>搪胶</t>
  </si>
  <si>
    <t>五金</t>
  </si>
  <si>
    <t>电池</t>
  </si>
  <si>
    <t>吸塑</t>
  </si>
  <si>
    <t>胶袋</t>
  </si>
  <si>
    <t>利宝说明书</t>
  </si>
  <si>
    <t>彩盒/彩咭</t>
  </si>
  <si>
    <t>纸箱类</t>
  </si>
  <si>
    <t>车缝物料</t>
  </si>
  <si>
    <t>其他</t>
  </si>
  <si>
    <t>大陆送半成品</t>
  </si>
  <si>
    <t>工具</t>
  </si>
  <si>
    <t>机器设备</t>
  </si>
  <si>
    <t>生产夹具</t>
  </si>
  <si>
    <t>喷油模具</t>
  </si>
  <si>
    <t>注塑模具</t>
  </si>
  <si>
    <t>签办</t>
  </si>
  <si>
    <t>華登製品實業有限公司</t>
  </si>
  <si>
    <t>(ROYAL REGENT PRODUCTS INDUSTRIES LIMITED)</t>
  </si>
  <si>
    <t>购销合同
Purchase Contract</t>
  </si>
  <si>
    <t>买方:                                                                      The Buyers:</t>
  </si>
  <si>
    <t>合同编码：            No.:</t>
  </si>
  <si>
    <t>RPIRRI260276</t>
  </si>
  <si>
    <t>ROYAL REGENT PRODUCTS INDUSTRIES LIMITED</t>
  </si>
  <si>
    <t>九龍尖沙咀科学馆道1号康宏广场南座12楼07-08室</t>
  </si>
  <si>
    <t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t>
  </si>
  <si>
    <t>签定日期：           Date:</t>
  </si>
  <si>
    <t>卖方:                                                                        The Sellers:</t>
  </si>
  <si>
    <t>深圳市华胜益出口贸易有限公司</t>
  </si>
  <si>
    <t>SHENZHEN  HUASHENGYI  EXPORT  TRADING  LIMITED</t>
  </si>
  <si>
    <t xml:space="preserve"> </t>
  </si>
  <si>
    <t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Email: liuyan@hanson2.com    ATTN: Peng yuqiang</t>
  </si>
  <si>
    <t>签定地点：       Signed at:</t>
  </si>
  <si>
    <t>SHENZHEN</t>
  </si>
  <si>
    <t>The Consignee:</t>
  </si>
  <si>
    <t>PT. ROYAL REGENT INDONESIA</t>
  </si>
  <si>
    <t>KAWASAN INDUSTRI KENDAL, JL. WANAMARTA RAYA NO 33A &amp; 35, BRANGSONG, BRANGSONG, KAB. KENDAL, JAWA TENGAH, 51371, INDONESIA</t>
  </si>
  <si>
    <t>Tel.: 62 895-3269-82429  Email: exim@royalregentid.com，exim2@royalregentid.com，exim3@royalregentid.com</t>
  </si>
  <si>
    <t>Attention: Novi Azka Tiurlan Putri Marpaung</t>
  </si>
  <si>
    <t>经甲乙双方确认，根据下列条款订立本合同：</t>
  </si>
  <si>
    <t>The undersigned Sellers and Buyers have confirmed this contrasct in accordance with theterms and conditions stipulated below:</t>
  </si>
  <si>
    <t>型 号                                            Item No.</t>
  </si>
  <si>
    <t>品名描述                                                                                                                                                                         Names and Descriptions</t>
  </si>
  <si>
    <t>數量               Quantities</t>
  </si>
  <si>
    <t>單位                       Unit</t>
  </si>
  <si>
    <t>單價                   Unit Price</t>
  </si>
  <si>
    <t>金額                           Amount</t>
  </si>
  <si>
    <t>備註</t>
  </si>
  <si>
    <t>FOB IDSRG,Semarang</t>
  </si>
  <si>
    <t>交貨日期:</t>
  </si>
  <si>
    <t>BEFORE April.24,2026</t>
  </si>
  <si>
    <t>1.成交价格术语：Terms:</t>
  </si>
  <si>
    <t>2.运输起讫：</t>
  </si>
  <si>
    <t>FROM SHENZHEN,CHINA TO ID (从中国深圳到印尼)</t>
  </si>
  <si>
    <t>3.装运期：                               Shipment date:</t>
  </si>
  <si>
    <t>BEFORE May.1,2026</t>
  </si>
  <si>
    <t>运输方式：   
Transport:</t>
  </si>
  <si>
    <t>BY SEA</t>
  </si>
  <si>
    <t>4.付款条件：                                   Terms of payment:</t>
  </si>
  <si>
    <t>T/T</t>
  </si>
  <si>
    <t>5.本合同共 2 份，自双方代表签字（盖章）之日生效。</t>
  </si>
  <si>
    <t>This contract is in TWO copies, effective since being signed / sealed by both parties.</t>
  </si>
  <si>
    <t>买方:                          
The buyers:</t>
  </si>
  <si>
    <t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t>
  </si>
  <si>
    <t>卖方:                          
The Sellers:</t>
  </si>
  <si>
    <t>深圳市华胜益出口贸易有限公司                                                               
SHENZHEN  HUASHENGYI  EXPORT  TRADING  LIMITED</t>
  </si>
  <si>
    <t>签字：                       
Authorized signiture:</t>
  </si>
  <si>
    <t>签字：                
Authorized signiture:</t>
  </si>
  <si>
    <t>RPIRRI260277</t>
  </si>
  <si>
    <t>Dongguan Taiju Printing Co., Ltd.</t>
  </si>
  <si>
    <t>东莞市台聚印刷有限公司 东莞市清溪镇浮岗环卫街一号
No.1, Fugang Environmental Sanitation Street, Qingxi Dongguan City
TEL:13509004749       Email: taijuys@vip.163.com    ATTN: Zhao HongBin</t>
  </si>
  <si>
    <t>DONGGUAN</t>
  </si>
  <si>
    <t>CIF IDSRG,Semarang</t>
  </si>
  <si>
    <t>东莞市台聚印刷有限公司
Dongguan Taiju Printing Co., Ltd.</t>
  </si>
  <si>
    <t>RPIRRI260278</t>
  </si>
  <si>
    <t>Dong Guan Hanson Plastic Product Ltd.</t>
  </si>
  <si>
    <t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t>
  </si>
  <si>
    <t>东莞兴信塑胶制品有限公司
Dong Guan Hanson Plastic Product Ltd.</t>
  </si>
  <si>
    <t>RPIRRI260279</t>
  </si>
  <si>
    <t>HEYUAN CITY GANGZHENG HARDWARE MANUFACTURING CO., LTD</t>
  </si>
  <si>
    <t xml:space="preserve">广东省河源市东源县徐洞富民工业区
Xudong Fumin lndustrial Park, Dongyuan County, Heyuan City, Guangdong Province, China
Attention:Luo Lin Kun   TEL:0762-6782883  EMAIL:sanzheng002@163.com  </t>
  </si>
  <si>
    <t>HEYUAN</t>
  </si>
  <si>
    <t>河源市港正五金制造有限公司
HEYUAN CITY GANGZHENG HARDWARE MANUFACTURING CO., LTD</t>
  </si>
  <si>
    <t>RPIRRI260280</t>
  </si>
  <si>
    <t>RPIRRI260281</t>
  </si>
  <si>
    <t>RPIRRI260282</t>
  </si>
  <si>
    <t>RPIRRI260283</t>
  </si>
  <si>
    <t>RPIRRI260284</t>
  </si>
  <si>
    <t>Dongguan Hengxinchang Printing Co.,Ltd.</t>
  </si>
  <si>
    <t>中国广东省东莞市大朗镇犀牛陂村佛凹工业区
Foao Industrial Zone, Xiniubei Village, Dalang Town, Dongguan City,
Guangdong Province,China
TEL: 18929185488      Email: afeng@gthl.cn    ATTN:Mr Peng</t>
  </si>
  <si>
    <t>东莞市恒新昌彩印有限公司
Dongguan Hengxinchang Printing Co.,Ltd.</t>
  </si>
  <si>
    <t>RPIRRI260285</t>
  </si>
  <si>
    <t>东莞市华群印刷有限公司</t>
  </si>
  <si>
    <t>Dongguan Huaqun Printing Co.,Ltd.</t>
  </si>
  <si>
    <t>广东省东莞市虎门镇树安裕田北路4号
No.4 Yutian North Road,Shuan,Humen Town,Dongguan City,Guangdong
Tel.:13808800578  Email:liyong686@163.com  Attention:Mr Li</t>
  </si>
  <si>
    <t>东莞市华群印刷有限公司
Dongguan Huaqun Printing Co.,Ltd.</t>
  </si>
  <si>
    <t xml:space="preserve">Unit 07-08,12/F,Greenfield Tower,Concordia Plaza,No.1 Science Museum Road,Tsim Sha Tsui,Kowloon,Postal Code:999077,Hong Kong                                                                                             </t>
  </si>
  <si>
    <t xml:space="preserve">TEL: 00852-2425 0720   FAX: 00852-2424 3407   EMAIL: chloe@royalregenthk.com                                                                                                             </t>
  </si>
  <si>
    <t>商 业 发 票</t>
  </si>
  <si>
    <t>COMMERCIAL INVOICE</t>
  </si>
  <si>
    <t xml:space="preserve">买方:                         </t>
  </si>
  <si>
    <t>The Buyers: M/S.</t>
  </si>
  <si>
    <t>号码                         No.</t>
  </si>
  <si>
    <t>PR202600276</t>
  </si>
  <si>
    <t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t>
  </si>
  <si>
    <t>日期
Date</t>
  </si>
  <si>
    <t>Consignee：M/S.</t>
  </si>
  <si>
    <t>合同号
Contract No.</t>
  </si>
  <si>
    <t>Tax ID: 61.146.021.3-513.000 KAWASAN INDUSTRI KENDAL, JL. WANAMARTA RAYA NO 33A &amp; 35, BRANGSONG, BRANGSONG, KAB. KENDAL, JAWA TENGAH, 51371, INDONESIA</t>
  </si>
  <si>
    <t>运输方式：</t>
  </si>
  <si>
    <t>BY  SEA</t>
  </si>
  <si>
    <t>卖方:</t>
  </si>
  <si>
    <t>The Sellers: M/S.</t>
  </si>
  <si>
    <t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  Email: liuyan@hanson2.com    ATTN: Peng yuqiang</t>
  </si>
  <si>
    <t>装运口岸
From：</t>
  </si>
  <si>
    <t>SHENZHEN,CHINA(中国深圳)</t>
  </si>
  <si>
    <t xml:space="preserve">  目的地
    To：</t>
  </si>
  <si>
    <t>Indonesia(印度尼西亚)</t>
  </si>
  <si>
    <t>型 号
Item No.</t>
  </si>
  <si>
    <t>品名描述
Names and Descriptions</t>
  </si>
  <si>
    <t>HS Code</t>
  </si>
  <si>
    <t>数 量
Quantities</t>
  </si>
  <si>
    <t>单     价
Unit Price</t>
  </si>
  <si>
    <t>总    值
Amount</t>
  </si>
  <si>
    <t xml:space="preserve">TOTAL:  </t>
  </si>
  <si>
    <t>总值大写
Total Amount:</t>
  </si>
  <si>
    <t>Beneficiary name :Shenzhen Huashengyi Export Trading Limited
Account number :
15668277360001(USD)
15353466270052 (RMB)
15602776290037 (HKD)
Beneficiary Bank: Ping An Bank Co., Ltd
Swift code : SZDBCNBSXXX</t>
  </si>
  <si>
    <t>Beneficiary：SHENZHEN  HUASHENGYI  EXPORT  TRADING  LIMITED</t>
  </si>
  <si>
    <t>Add: Room 602, Longsheng Comprehensive Service Building, Longsheng Community, Dalang Street, Longhua District, Shenzhen City</t>
  </si>
  <si>
    <t>PR202600277</t>
  </si>
  <si>
    <t>PR202600278</t>
  </si>
  <si>
    <t>PR202600279</t>
  </si>
  <si>
    <t>PR202600280</t>
  </si>
  <si>
    <t>Unit 07-08,12/F,Greenfield Tower,Concordia Plaza,No.1 Science Museum Road,Tsim Sha Tsui,Kowloon,Postal Code:999077,Hong Kong</t>
  </si>
  <si>
    <t>TEL: 00852-2425 0720   FAX: 00852-2424 3407   EMAIL: chloe@royalregenthk.com</t>
  </si>
  <si>
    <t>买方:</t>
  </si>
  <si>
    <t>PR202600281</t>
  </si>
  <si>
    <t>PR202600282</t>
  </si>
  <si>
    <t>PR202600283</t>
  </si>
  <si>
    <t>PR202600284</t>
  </si>
  <si>
    <t>Beneficiary name :Dongguan shengcheng Import and Export Co., Ltd.
Account number :
8110914014201724067(USD)
8110901012301719910 (RMB)
8110913013901724078 (HKD)
Beneficiary Bank: CHINA CITIC BANK DONGGUAN BRANCH
Swift code : CIBKCNBJ523</t>
  </si>
  <si>
    <t>Beneficiary：Dongguan shengcheng Import and Export Co., Ltd.</t>
  </si>
  <si>
    <t>Add: Room 603, No. 39, HongLi Road Dongcheng, Dongcheng Street, Dongguan City, Guangdong province</t>
  </si>
  <si>
    <t>PR202600285</t>
  </si>
  <si>
    <t xml:space="preserve"> PACKING LIST</t>
  </si>
  <si>
    <t>1 .Shipper:</t>
  </si>
  <si>
    <t>2. Packing List Number</t>
  </si>
  <si>
    <t>3. Page</t>
  </si>
  <si>
    <t>ROYAL REGENT PRODUCTS INDUSTRIES LIMITED
Unit 07-08,12/F,Greenfield Tower,Concordia Plaza,No.1 Science Museum Road,Tsim Sha Tsui,Kowloon,Postal Code:999077,Hong Kong</t>
  </si>
  <si>
    <t>4. Packing List Date</t>
  </si>
  <si>
    <t xml:space="preserve">TEL: 00852-2425 0720   FAX: 00852-2424 3407   </t>
  </si>
  <si>
    <t>5.PO#</t>
  </si>
  <si>
    <t>6. OF#</t>
  </si>
  <si>
    <t xml:space="preserve">EMAIL: chloe@royalregenthk.com </t>
  </si>
  <si>
    <t>Attention: Ms Tang</t>
  </si>
  <si>
    <t>7. Consignee:</t>
  </si>
  <si>
    <t>8. Container</t>
  </si>
  <si>
    <t>9. Seal Number</t>
  </si>
  <si>
    <t>Tax ID: 61.146.021.3-513.000</t>
  </si>
  <si>
    <t>BMOU6019197</t>
  </si>
  <si>
    <t>EMCRZS9184</t>
  </si>
  <si>
    <t xml:space="preserve">KAWASAN INDUSTRI KENDAL, JL. WANAMARTA RAYA NO. 33A &amp; 35, </t>
  </si>
  <si>
    <t xml:space="preserve">BRANGSONG, BRANGSONG, KAB. KENDAL, JAWA TENGAH, 51371, </t>
  </si>
  <si>
    <t>INDONESIA</t>
  </si>
  <si>
    <t xml:space="preserve">Tel.: 62 895-3269-82429 </t>
  </si>
  <si>
    <t>Email: exim@royalregentid.com，exim2@royalregentid.com，exim3@royalregentid.com</t>
  </si>
  <si>
    <t>序号      serial number</t>
  </si>
  <si>
    <t>毛重                Gross Weight Kgs</t>
  </si>
  <si>
    <t>净重            
Net Weight Kgs</t>
  </si>
  <si>
    <t>立方数                    CBM</t>
  </si>
  <si>
    <t>中国HSCODE
（China）</t>
  </si>
  <si>
    <t>印尼HS CODE 
(Indonesia)</t>
  </si>
  <si>
    <t>套公式名称栏</t>
  </si>
  <si>
    <t>产品英文名称
English name of the product</t>
  </si>
  <si>
    <t>类别
kategori</t>
  </si>
  <si>
    <t>送货KG重量
Quantity</t>
  </si>
  <si>
    <t>送货数量
Product quantity</t>
  </si>
  <si>
    <t>采购单价（换成港币）
Purchase price</t>
  </si>
  <si>
    <t>图片
Picture</t>
  </si>
  <si>
    <t>报关出口公司</t>
  </si>
  <si>
    <t>提单抬头</t>
  </si>
  <si>
    <t>每箱数量</t>
  </si>
  <si>
    <t>卡板</t>
  </si>
  <si>
    <t>物料编码</t>
  </si>
  <si>
    <t>使用部门</t>
  </si>
  <si>
    <t>每箱重量</t>
  </si>
  <si>
    <t>单个毛重</t>
  </si>
  <si>
    <t>单个净重</t>
  </si>
  <si>
    <t>备注</t>
  </si>
  <si>
    <t>721262-V2</t>
  </si>
  <si>
    <t>玩具配件包装扣</t>
  </si>
  <si>
    <t>Plastic toy accessory packaging buckle</t>
  </si>
  <si>
    <t>111000</t>
  </si>
  <si>
    <t>RPIRRI260152</t>
  </si>
  <si>
    <t>PR202600152</t>
  </si>
  <si>
    <t>华登（河源）玩具制品有限公司</t>
  </si>
  <si>
    <t>E260420-06</t>
  </si>
  <si>
    <t>2100pcs*52箱
1800pcs*1箱</t>
  </si>
  <si>
    <t>2.24kg*52箱
1.95kg*1箱</t>
  </si>
  <si>
    <t>玩具配件绑片</t>
  </si>
  <si>
    <t>Plastic toy accessory binding pieces</t>
  </si>
  <si>
    <t>3500pcs</t>
  </si>
  <si>
    <t>商品编号</t>
  </si>
  <si>
    <t>商品名称</t>
  </si>
  <si>
    <t>货物品名及规格</t>
  </si>
  <si>
    <t>0.37KW减速电机</t>
  </si>
  <si>
    <t>1|0|电磁感应定律|工业生产用|台成|YSF-71MI-4</t>
  </si>
  <si>
    <t>0.55KW减速电机</t>
  </si>
  <si>
    <t>1|0|电磁感应定律|工业生产用|台成|YSF-80MI-4</t>
  </si>
  <si>
    <t>1 1/2"黑色婴儿魔术贴（勾面）</t>
  </si>
  <si>
    <t>0|0|织造方法：机织，起绒方式：绳绒|尼龙100%|幅宽：4-6</t>
  </si>
  <si>
    <t>1 1/2"黑色婴儿魔术贴（毛面）</t>
  </si>
  <si>
    <t>1"黑色涤纶带PANTONE Black C（100Y/卷）</t>
  </si>
  <si>
    <t>0|0|成卷|100%涤纶|</t>
  </si>
  <si>
    <t>1"绿色树叶花边3500C</t>
  </si>
  <si>
    <t>1.25"黑色半圆花边</t>
  </si>
  <si>
    <t>1.5"黑色魔术贴（勾）</t>
  </si>
  <si>
    <t>1.5"黑色魔术贴（毛）</t>
  </si>
  <si>
    <t>1.6CM白色背胶魔术贴</t>
  </si>
  <si>
    <t>1/2"黑色丝带PANTONE Black 6 C（50Y/卷）</t>
  </si>
  <si>
    <t>1/4"白色普通棉带（700Y/卷）</t>
  </si>
  <si>
    <t>1/4"白色丈根（100Y/卷）</t>
  </si>
  <si>
    <t>0|0|织造方法：机织，经编|涤纶100%|幅宽：63</t>
  </si>
  <si>
    <t>1/4"粉色丝带PANTONE 1905 C</t>
  </si>
  <si>
    <t>1/4"黑色涤纶带PANTONE Black 6 C（100Y/卷）</t>
  </si>
  <si>
    <t>1/4"黑色色丁丝带（25Y/卷）</t>
  </si>
  <si>
    <t>1/4"黑色丝带PANTONE Black 6 C（25Y/卷</t>
  </si>
  <si>
    <t>1/4"黑色丈根（100Y/卷）</t>
  </si>
  <si>
    <t>1/4"黄色色丁丝带PANTONE 144 C（25Y/卷）</t>
  </si>
  <si>
    <t>1/4"金色葱带（200Y/卷）</t>
  </si>
  <si>
    <t>1/4"蓝色丝带PANTONE 2146 C</t>
  </si>
  <si>
    <t>1/4"绿色丝带PANTONE 3500 C</t>
  </si>
  <si>
    <t>1/8"白色丈根</t>
  </si>
  <si>
    <t>1/8"黑色丈根（145Y/卷）</t>
  </si>
  <si>
    <t>0|0|成卷|涤纶+橡胶|</t>
  </si>
  <si>
    <t>2"白色魔术贴（勾）</t>
  </si>
  <si>
    <t>2"白色魔术贴（毛）</t>
  </si>
  <si>
    <t>2"黑色魔术贴（勾）</t>
  </si>
  <si>
    <t>2"黑色魔术贴（毛）</t>
  </si>
  <si>
    <t>2"黑色针织松紧</t>
  </si>
  <si>
    <t>2.6自动螺丝机</t>
  </si>
  <si>
    <t>1|0|工业装螺丝用|自动筛选出不合格的螺丝|ANSHUN|AS-900</t>
  </si>
  <si>
    <t>20155371-GEN发光飞碟彩卡</t>
  </si>
  <si>
    <t>0|0|瓦楞纸制|可折叠</t>
  </si>
  <si>
    <t>20156724 GEN 红色彩卡</t>
  </si>
  <si>
    <t>20156733 GML 黄色彩卡</t>
  </si>
  <si>
    <t>20156801 GEN 红色彩卡</t>
  </si>
  <si>
    <t>20156803 GEN彩卡</t>
  </si>
  <si>
    <t>20156882 GEN红色彩卡</t>
  </si>
  <si>
    <t>20156993 GML彩卡</t>
  </si>
  <si>
    <t>20157152-蓝色 GEN彩卡</t>
  </si>
  <si>
    <t>20157153-紫色 GEN彩卡</t>
  </si>
  <si>
    <t>20157154-红色 GEN彩卡</t>
  </si>
  <si>
    <t>20157155-黄色 GEN彩卡</t>
  </si>
  <si>
    <t>20157156-蓝色GEN彩卡</t>
  </si>
  <si>
    <t>20157157-红色GEN彩卡</t>
  </si>
  <si>
    <t>20157158-黄色GEN彩卡</t>
  </si>
  <si>
    <t>20159108 GEN蓝色彩卡</t>
  </si>
  <si>
    <t>20159109 GEN红色彩卡</t>
  </si>
  <si>
    <t>20159110 GEN黄色彩卡</t>
  </si>
  <si>
    <t>24v恒温水泵</t>
  </si>
  <si>
    <t>1|0|UV打印机|盛煌科|无型号</t>
  </si>
  <si>
    <t>24寸骷髅人头顶钻孔底模</t>
  </si>
  <si>
    <t>0|0|生产用|玩具塑胶件|无牌|无型号|塑胶制|使用型模,装配产品|成套</t>
  </si>
  <si>
    <t>24寸骷髅人左右钻孔底模</t>
  </si>
  <si>
    <t>24寸南瓜骷髅人头顶钻孔模</t>
  </si>
  <si>
    <t>2661胶头B1(210)</t>
  </si>
  <si>
    <t>0|0|装配玩具生产用|塑胶料制|无牌|无型号||</t>
  </si>
  <si>
    <t>3#2036C粉色尼龙拉链</t>
  </si>
  <si>
    <t>0|0|尼龙制|无品牌|无贱金属制咪牙齿</t>
  </si>
  <si>
    <t>3#2036C粉色塑胶拉链头</t>
  </si>
  <si>
    <t>0|0|塑胶制|无品牌|拉链头</t>
  </si>
  <si>
    <t>3.0自动螺丝机</t>
  </si>
  <si>
    <t>3/4"白色进口不透明魔术贴（勾面）</t>
  </si>
  <si>
    <t>3/4"白色进口不透明魔术贴（毛面）</t>
  </si>
  <si>
    <t>3/4"白色魔术贴（勾）</t>
  </si>
  <si>
    <t>3/4"白色魔术贴（毛）</t>
  </si>
  <si>
    <t>3/4"黑色魔术贴（勾）</t>
  </si>
  <si>
    <t>3/4"黑色魔术贴（毛）</t>
  </si>
  <si>
    <t>3/4"黑色婴儿魔术贴（勾面）</t>
  </si>
  <si>
    <t>3/4"黑色婴儿魔术贴（毛面）</t>
  </si>
  <si>
    <t>3/8"白色色丁丝带</t>
  </si>
  <si>
    <t>3/8"白色丈根（48Y/卷）</t>
  </si>
  <si>
    <t>3/8"黑色色丁丝带（25Y/卷）</t>
  </si>
  <si>
    <t>3/8"黑色丈根（48Y/卷）</t>
  </si>
  <si>
    <t>3/8"金色双耳曲边</t>
  </si>
  <si>
    <t>36寸骷髅人钻头顶底模</t>
  </si>
  <si>
    <t>36寸南瓜骷髅人头顶钻孔底模</t>
  </si>
  <si>
    <t>3K计重克称</t>
  </si>
  <si>
    <t>1|0|工业用|电子式称重|300g|0.1g|莞龙|无型号</t>
  </si>
  <si>
    <t>3MM透明切牙T骨1</t>
  </si>
  <si>
    <t>3MM透明切牙T骨2</t>
  </si>
  <si>
    <t>0|0|提供绝缘和分隔|片状|PET薄膜|4.5CM*0.26MM|10%-30%|无牌|无型号</t>
  </si>
  <si>
    <t>402#002线白色</t>
  </si>
  <si>
    <t>0|0|非零售用|100%涤纶|0.16千克每个|不上浆||S捻向</t>
  </si>
  <si>
    <t>402#003线黑色线</t>
  </si>
  <si>
    <t>402#055线红色</t>
  </si>
  <si>
    <t>402#099线金黄色</t>
  </si>
  <si>
    <t>402#118线橙色</t>
  </si>
  <si>
    <t>402#120线橙色</t>
  </si>
  <si>
    <t>0|0|非零售用|100%涤纶|0.16千克每个|不上浆|S捻向</t>
  </si>
  <si>
    <t>402#156线红色</t>
  </si>
  <si>
    <t>0|0|非零售用|100%涤纶|0.22千克每个|不上浆||S捻向</t>
  </si>
  <si>
    <t>402#338线绿色</t>
  </si>
  <si>
    <t>0|0|非零售用|100%涤纶|0.23千克每个|不上浆||S捻向</t>
  </si>
  <si>
    <t>403#002线白色</t>
  </si>
  <si>
    <t>403#003线黑色</t>
  </si>
  <si>
    <t>0|0|非零售用|100%涤纶|0.17千克每个|不上浆||S捻向</t>
  </si>
  <si>
    <t>403#012线粉红</t>
  </si>
  <si>
    <t>403#013线虾肉色</t>
  </si>
  <si>
    <t>0|0|非零售用|100%涤纶|0.18千克每个|不上浆||S捻向</t>
  </si>
  <si>
    <t>403#051线红色</t>
  </si>
  <si>
    <t>403#053线红色</t>
  </si>
  <si>
    <t>0|0|非零售用|100%涤纶|0.20千克每个|不上浆||S捻向</t>
  </si>
  <si>
    <t>403#054线红色</t>
  </si>
  <si>
    <t>403#055线红色</t>
  </si>
  <si>
    <t>403#064线玫红色</t>
  </si>
  <si>
    <t>403#089线黄色</t>
  </si>
  <si>
    <t>403#096线黄色</t>
  </si>
  <si>
    <t>403#099线金黄色</t>
  </si>
  <si>
    <t>403#116线浅橙</t>
  </si>
  <si>
    <t>403#118线橙色</t>
  </si>
  <si>
    <t>403#156线红色</t>
  </si>
  <si>
    <t>403#338线绿色</t>
  </si>
  <si>
    <t>403#510强力线蓝色</t>
  </si>
  <si>
    <t>403#646线杏色</t>
  </si>
  <si>
    <t>403#739线杏色</t>
  </si>
  <si>
    <t>58"110G白色针织布开36MM直纹捆条</t>
  </si>
  <si>
    <t>58"110G白色针织布开40MM直纹捆条</t>
  </si>
  <si>
    <t>58"110G黑色针织布开32MM直纹捆条</t>
  </si>
  <si>
    <t>58"110G黑色针织布开36MM直纹捆条</t>
  </si>
  <si>
    <t>58"110G黑色针织布开40MM直纹捆条</t>
  </si>
  <si>
    <t>58"黑色210T里布开38MM斜纹捆条</t>
  </si>
  <si>
    <t>58"玫瑰金210T里布2337C开32MM斜纹捆条</t>
  </si>
  <si>
    <t>58"烫金开15MM直纹捆条</t>
  </si>
  <si>
    <t>58"烫金开21MM直纹捆条</t>
  </si>
  <si>
    <t>0|0|固定产品|塑胶料制|无牌|无型号</t>
  </si>
  <si>
    <t>60/58”2036C粉色细纹过胶色丁切52MM直纹捆条</t>
  </si>
  <si>
    <t>60/58”7424C玫红190T过胶里布切23mm斜纹捆条</t>
  </si>
  <si>
    <t>60/58”7424C玫红190T过胶里布切36mm斜纹捆条</t>
  </si>
  <si>
    <t>604#002强力线白色</t>
  </si>
  <si>
    <t>604#003强力线黑色</t>
  </si>
  <si>
    <t>604#028强力线粉色</t>
  </si>
  <si>
    <t>604#055线红色</t>
  </si>
  <si>
    <t>604#092强力线黄色</t>
  </si>
  <si>
    <t>604#096强力线黄色</t>
  </si>
  <si>
    <t>604#510强力线蓝色</t>
  </si>
  <si>
    <t>604#531强力线深蓝色</t>
  </si>
  <si>
    <t>604#639强力线米黄色</t>
  </si>
  <si>
    <t>604#652强力线杏色</t>
  </si>
  <si>
    <t>604#737强力线浅黄色</t>
  </si>
  <si>
    <t>604#746强力线棕色</t>
  </si>
  <si>
    <t>604#778强力线浅棕色</t>
  </si>
  <si>
    <t>70度钨钢铣刀1</t>
  </si>
  <si>
    <r>
      <rPr>
        <b/>
        <sz val="11"/>
        <rFont val="等线"/>
        <charset val="134"/>
      </rPr>
      <t>1|0|金属加工用|各种硬质材料的雕刻和复杂形状的加工|</t>
    </r>
    <r>
      <rPr>
        <b/>
        <sz val="11"/>
        <color rgb="FFFF0000"/>
        <rFont val="等线"/>
        <charset val="134"/>
      </rPr>
      <t>控制方式：数控刀具</t>
    </r>
    <r>
      <rPr>
        <b/>
        <sz val="11"/>
        <rFont val="等线"/>
        <charset val="134"/>
      </rPr>
      <t>|否|K|无型号|K、无型号、原产中国</t>
    </r>
  </si>
  <si>
    <t>70度钨钢铣刀2</t>
  </si>
  <si>
    <t>7号碳性电池</t>
  </si>
  <si>
    <t>1|0|提供电源|二氧化锰|GP|7号碳性电池|1000毫安|不含汞</t>
  </si>
  <si>
    <t>A10&amp;A13-加厚工字形胶片加宽</t>
  </si>
  <si>
    <t>0|0|装配玩具生产用|塑胶料制|无牌|无型号</t>
  </si>
  <si>
    <t>A10-珍珠棉管</t>
  </si>
  <si>
    <t>0|0|聚乙烯|片状|是|泡沫塑料|填充材料、防护材料|270*350*2MM|无牌|无型号</t>
  </si>
  <si>
    <t>A30-工字形胶片</t>
  </si>
  <si>
    <t>AAA电池</t>
  </si>
  <si>
    <t>4|0|提供电源|二氧化锰|DURACELL|LR03|1.5V|无汞</t>
  </si>
  <si>
    <t>AA电池碳性电池</t>
  </si>
  <si>
    <t>0|0|提供电源|二氧化锰|无牌|7号碳性电池|1000毫安|不含汞</t>
  </si>
  <si>
    <t>AG13 LG44钮扣电池</t>
  </si>
  <si>
    <t>0|0|碱性锌原电池  
用途：提供电源∣|碱性锌锰成分∣圆柱型∣|无牌∣1.5v|无汞 AG13</t>
  </si>
  <si>
    <t>BATH-8HA-0525,FSC 说明书</t>
  </si>
  <si>
    <t>0|0|无商业价值</t>
  </si>
  <si>
    <t xml:space="preserve">BATH-8HA-0525,FSC 说明书 </t>
  </si>
  <si>
    <t>B料防老化橡皮筋</t>
  </si>
  <si>
    <t>0|0|条|3024|塑胶料制|是|无牌|无型号</t>
  </si>
  <si>
    <t>CDU盒</t>
  </si>
  <si>
    <t>DEG面板装配热烫夹具</t>
  </si>
  <si>
    <t>0|0|装配玩具用,非工业用|钢铁制|冲压</t>
  </si>
  <si>
    <t>EVA单贴</t>
  </si>
  <si>
    <t>0|0|装配玩具生产用|无牌</t>
  </si>
  <si>
    <t>EVA垫片</t>
  </si>
  <si>
    <t>EVA双面贴</t>
  </si>
  <si>
    <t>EVA贴</t>
  </si>
  <si>
    <t>GEN 说明书</t>
  </si>
  <si>
    <t>GPS定位打螺丝</t>
  </si>
  <si>
    <t>0|0|生产用|塑胶|无牌|无型号|五金+塑胶|使用型模，装配产品</t>
  </si>
  <si>
    <t>HD-M水帘柜</t>
  </si>
  <si>
    <t>0|0|工业用|不锈钢|冲压</t>
  </si>
  <si>
    <t>J00037发热片</t>
  </si>
  <si>
    <t>0|0|用途：用于吸塑模发热，加热|无牌|无型号||</t>
  </si>
  <si>
    <t>J00037吸塑模</t>
  </si>
  <si>
    <t>0|0|生产用|塑胶+胶水|成套|无牌|无型号||使用型模，装配产品</t>
  </si>
  <si>
    <t>J00061发热片</t>
  </si>
  <si>
    <t>J00061吸塑模</t>
  </si>
  <si>
    <t>J00070发热片</t>
  </si>
  <si>
    <t>J00070吸塑模</t>
  </si>
  <si>
    <t>JD装载机车轮气啤夹具(一次啤4个)</t>
  </si>
  <si>
    <t>0|0|装配玩具用,非工业用|钢铁制|冲压,五金配件</t>
  </si>
  <si>
    <t>K71胶头A3</t>
  </si>
  <si>
    <t>LED灯板</t>
  </si>
  <si>
    <t>0|0|玩具生产用|发音器零件|无牌||</t>
  </si>
  <si>
    <t>Logo 模具</t>
  </si>
  <si>
    <t>Logo底模</t>
  </si>
  <si>
    <t>NTL 狼崽彩盒</t>
  </si>
  <si>
    <t>NTL 狼崽内卡</t>
  </si>
  <si>
    <t>OPP带</t>
  </si>
  <si>
    <t>PB螺丝</t>
  </si>
  <si>
    <t>0|0|铁制|353MPa|无牌|1008|2.0mm-4.0mm</t>
  </si>
  <si>
    <t>PB螺丝2.6*6PB</t>
  </si>
  <si>
    <t>PB螺丝2.6*8PB</t>
  </si>
  <si>
    <t>PCBA电子板测试架</t>
  </si>
  <si>
    <t>PCBA电子板装配打螺丝底模</t>
  </si>
  <si>
    <t>PCB万能测试架</t>
  </si>
  <si>
    <t>0|0|生产用|检测出电路板的电气导通性能|测试和验证电子电路板功能|无牌|无型号</t>
  </si>
  <si>
    <t>PDQ盒-FSC</t>
  </si>
  <si>
    <t>0|0|纸制|印制|53*43*12</t>
  </si>
  <si>
    <t>PE 光身胶袋</t>
  </si>
  <si>
    <t>0|0|玩具包装生产用|PE料制|无牌|无型号||</t>
  </si>
  <si>
    <t>PET介子</t>
  </si>
  <si>
    <t>0|0|装配玩具生产用|塑料胶制|无牌|无型号</t>
  </si>
  <si>
    <t>PE胶袋</t>
  </si>
  <si>
    <t>PE印刷袋</t>
  </si>
  <si>
    <t>PPE胶袋</t>
  </si>
  <si>
    <t>0|0|玩具包装生产用|PPE料制|无牌|无型号||</t>
  </si>
  <si>
    <t>PVC胶板1</t>
  </si>
  <si>
    <t>0|0|工业用|透明、板材|pvc|915mm*1830mm*0.8mm|无牌|无型号</t>
  </si>
  <si>
    <t>PVC胶板2</t>
  </si>
  <si>
    <t>0|0|工业用|透明、板材|pvc|915mm*1830mm*2mm|无牌|无型号</t>
  </si>
  <si>
    <t>PVC胶板3</t>
  </si>
  <si>
    <t>0|0|工业用|透明、板材|pvc|1000mm*2000mm*3mm|无牌|无型号</t>
  </si>
  <si>
    <t>PVC塑胶粒</t>
  </si>
  <si>
    <t>0|0|本白不透明胶粒状|已塑化|聚氯乙烯PVC粉 63%、塑胶用复合稳定剂2%、润滑</t>
  </si>
  <si>
    <t>PVC新胶粒1</t>
  </si>
  <si>
    <t>0|0|本白不透明胶粒状|已塑化|聚氯乙烯PVC粉
63%、塑胶用复合稳定剂2%、润滑</t>
  </si>
  <si>
    <t>PVC新胶粒2</t>
  </si>
  <si>
    <t>PWB螺丝2.6*8PWB D=8</t>
  </si>
  <si>
    <t>Q235碳钢大铁板</t>
  </si>
  <si>
    <t>0|0|平板|非合金钢（碳钢）|热轧|未酸洗、未扎花纹、未包覆、未镀层、未涂层|铁99.7%、碳0.2%、猛0.1%|厚度8mm*宽度1200mm|235Mpa|Q235B</t>
  </si>
  <si>
    <t>TES温度测试仪</t>
  </si>
  <si>
    <t>1|0|测量高低温，检测表面温度，适合快速现场快速检测|可以直接读数|TES|TES1310</t>
  </si>
  <si>
    <t>TRY ME贴纸</t>
  </si>
  <si>
    <t>0|0|纸制|印制|规格：20mm*14.5mm</t>
  </si>
  <si>
    <t>TRY ME贴纸FSC</t>
  </si>
  <si>
    <t>0|0|纸制|印制|20mm*14.5mm</t>
  </si>
  <si>
    <t>TRY ME线</t>
  </si>
  <si>
    <t>0|0|轻触开关|≤1000伏|无牌|无型号</t>
  </si>
  <si>
    <t>Y54522帽子</t>
  </si>
  <si>
    <t>品牌类型：0 出口享惠情况:0 品牌：无牌 用途：生产玩具用 种类:帽子</t>
  </si>
  <si>
    <t>阿奇CDU</t>
  </si>
  <si>
    <t>0|0|纸制|印制|30.125"x18.79"</t>
  </si>
  <si>
    <t>阿奇吊牌</t>
  </si>
  <si>
    <t>0|0|纸制|印制|6.5"x2.25"</t>
  </si>
  <si>
    <t>1|0|塑料产品修边处理等|塑胶料制|安顺|无型号</t>
  </si>
  <si>
    <t>安全阀垫片</t>
  </si>
  <si>
    <t>0|0|预防磨损，包装保护|橡胶|无牌|无型号</t>
  </si>
  <si>
    <t>按制托盘吸塑</t>
  </si>
  <si>
    <t>白色平口头箍</t>
  </si>
  <si>
    <t>品牌类型：0 出口享惠情况:0 品牌：无牌 用途：生产玩具用 种类:白色平口头箍</t>
  </si>
  <si>
    <t>白色普通棉带</t>
  </si>
  <si>
    <t>0|0|700/匹|100%涤纶</t>
  </si>
  <si>
    <t>白色网袋</t>
  </si>
  <si>
    <t>加工贸易</t>
  </si>
  <si>
    <t>绑大身绳子底模夹具</t>
  </si>
  <si>
    <t>绑鱼绳子底模夹具</t>
  </si>
  <si>
    <t>宝石贴</t>
  </si>
  <si>
    <t>0|0|装配玩具生产用|人造水晶|无牌|无型号</t>
  </si>
  <si>
    <t>保护膜</t>
  </si>
  <si>
    <t>0|0|防护|片状透明|PET材质|L115mm*W52|无牌|无型号</t>
  </si>
  <si>
    <t>杯吸塑</t>
  </si>
  <si>
    <t>杯子试气保压测试夹具</t>
  </si>
  <si>
    <t>背部加强卡</t>
  </si>
  <si>
    <t>0|0|瓦楞纸制|可折叠||</t>
  </si>
  <si>
    <t>泵杆密封圈</t>
  </si>
  <si>
    <t>0|0|塑料和LED灯珠|提供照明|无牌</t>
  </si>
  <si>
    <t>标签</t>
  </si>
  <si>
    <t>0|0|纸制|印制|76x20</t>
  </si>
  <si>
    <t>冰淇淋三明治纸盒</t>
  </si>
  <si>
    <t>饼干 模具</t>
  </si>
  <si>
    <t>饼干底模</t>
  </si>
  <si>
    <t>不锈钢餐桌</t>
  </si>
  <si>
    <t>1|0|不锈钢架+面板|员工用餐用|无牌|规格：200cm* 135cm*76cm</t>
  </si>
  <si>
    <t>不锈钢浮球阀</t>
  </si>
  <si>
    <t>0|0|生产用|钢铁|冲压</t>
  </si>
  <si>
    <t>不锈钢工作台1</t>
  </si>
  <si>
    <t>0|0|不锈钢|是|无品牌|200*140*75CM|</t>
  </si>
  <si>
    <t>不锈钢工作台2</t>
  </si>
  <si>
    <t>0|0|不锈钢|是|无品牌|90*70*75|</t>
  </si>
  <si>
    <t>不锈钢焊条</t>
  </si>
  <si>
    <t>1|0|电弧焊|硬质合金|焊条|以焊剂为芯|宏旺达|HWD-308</t>
  </si>
  <si>
    <t>布袋</t>
  </si>
  <si>
    <t>0|0|小手布袋|纺织物|无牌|104125-01</t>
  </si>
  <si>
    <t>布缝钳</t>
  </si>
  <si>
    <t>0|0|工业用|不锈钢|无牌|无型号</t>
  </si>
  <si>
    <t>布基胶</t>
  </si>
  <si>
    <t>0|0|机织|橡胶|是|是|宽20mm*长50M</t>
  </si>
  <si>
    <t>布鲁伊超声模底模夹具</t>
  </si>
  <si>
    <t>布鲁伊超声模上模夹具</t>
  </si>
  <si>
    <t>裁片扫描仪</t>
  </si>
  <si>
    <t>1|0|咔咻激光|KDBY-6650</t>
  </si>
  <si>
    <t>彩盒FSC-客签板</t>
  </si>
  <si>
    <t>彩盒底部支撑卡-FSC</t>
  </si>
  <si>
    <t>0|0|纸制|印制|230mm*105mm</t>
  </si>
  <si>
    <t>0|0|纸制|加工程度：印刷|规格：310*230MM</t>
  </si>
  <si>
    <t>彩盒样板</t>
  </si>
  <si>
    <t>彩咭</t>
  </si>
  <si>
    <t>彩咭-FSC</t>
  </si>
  <si>
    <t>彩咭贴纸</t>
  </si>
  <si>
    <t>0|0|纸制|印制|110*228mm</t>
  </si>
  <si>
    <t>餐盘</t>
  </si>
  <si>
    <t>0|0|餐桌用|不锈钢|未搪瓷</t>
  </si>
  <si>
    <t>测试架夹具</t>
  </si>
  <si>
    <t>0|0|工业用|钢铁|机械加工</t>
  </si>
  <si>
    <t>产品厂贴贴纸</t>
  </si>
  <si>
    <t>0|0|纸制|印制|188*70mm，强粘</t>
  </si>
  <si>
    <t>产品定型卡</t>
  </si>
  <si>
    <t>超大边模</t>
  </si>
  <si>
    <t>超声波熔接机</t>
  </si>
  <si>
    <t>1|0|高频振动熔接|否|兄迪|YS-2026</t>
  </si>
  <si>
    <t>超声波主板</t>
  </si>
  <si>
    <t>0|0|工业用|无牌|无型号</t>
  </si>
  <si>
    <t>超声机振子夹具</t>
  </si>
  <si>
    <t>超声模具</t>
  </si>
  <si>
    <t>车床刀具</t>
  </si>
  <si>
    <t>1|0|金属加工用|合金钢|否|SP|MWLNR1616H08</t>
  </si>
  <si>
    <t>车床刀片</t>
  </si>
  <si>
    <t>1|0|金属加工用|合金钢|否|鹰啄|WNMG080404-MUS D112S</t>
  </si>
  <si>
    <t>车底板冲压夹具</t>
  </si>
  <si>
    <t>0|0|玩具生产用,非工业用|不锈钢制|冲压|</t>
  </si>
  <si>
    <t>车底电池片压型模</t>
  </si>
  <si>
    <t>车底加固咭</t>
  </si>
  <si>
    <t>车底装压六角螺母手啤模</t>
  </si>
  <si>
    <t>车顶灯热烫夹具</t>
  </si>
  <si>
    <t>车顶装配打螺丝底模</t>
  </si>
  <si>
    <t>车轮螺丝盖打胶水夹具</t>
  </si>
  <si>
    <t>车身底电池箱电池片压型摸</t>
  </si>
  <si>
    <t>车身配车底打螺丝底模</t>
  </si>
  <si>
    <t>车身配前铲臂窝钉冲压气啤夹具</t>
  </si>
  <si>
    <t>车头灯装配热烫夹具</t>
  </si>
  <si>
    <t>车头盖装配打螺丝底模</t>
  </si>
  <si>
    <t>车头鬼面罩装配热烫夹具</t>
  </si>
  <si>
    <t>车头内咭底-FSC</t>
  </si>
  <si>
    <t>0|0|纸板制</t>
  </si>
  <si>
    <t>车尾勾装配啤T钉夹具</t>
  </si>
  <si>
    <t>车尾支撑卡</t>
  </si>
  <si>
    <t>车厢轮子压铁轴夹具</t>
  </si>
  <si>
    <t>0|0|装配玩具工业用|钢铁|冲压</t>
  </si>
  <si>
    <t>车厢内咭-FSC</t>
  </si>
  <si>
    <t>车厢中间托咭</t>
  </si>
  <si>
    <t>车箱顶压咭</t>
  </si>
  <si>
    <t>车仔轮子压铁轴夹具</t>
  </si>
  <si>
    <t>车轴套筒啤T钉夹具</t>
  </si>
  <si>
    <t>城堡吸塑托</t>
  </si>
  <si>
    <t>城堡吸塑罩</t>
  </si>
  <si>
    <t>尺码夹</t>
  </si>
  <si>
    <t>0|0|尺码夹|无牌|无型号</t>
  </si>
  <si>
    <t>尺码粒</t>
  </si>
  <si>
    <t>0|0|塑胶件尺码夹|无牌</t>
  </si>
  <si>
    <t>齿轮打铁轴模具</t>
  </si>
  <si>
    <t>充电机</t>
  </si>
  <si>
    <t>0|0|工业用|600W|无牌|无型号</t>
  </si>
  <si>
    <t>储气罐</t>
  </si>
  <si>
    <t>0|0|压缩气体|无牌|无型号|Q345R钢</t>
  </si>
  <si>
    <t>伺服电剪</t>
  </si>
  <si>
    <t>1|0|工业用|JK-T5D|JACK</t>
  </si>
  <si>
    <t>打PCBA电子板/打驾驶室盖螺丝底模</t>
  </si>
  <si>
    <t>打pcb螺丝/打驾驶室顶螺丝底模</t>
  </si>
  <si>
    <t>打电池门螺丝底模</t>
  </si>
  <si>
    <t>大边模</t>
  </si>
  <si>
    <t>大号抛光头</t>
  </si>
  <si>
    <t>0|0|通用于气动打磨机|无品牌|无型号</t>
  </si>
  <si>
    <t>大夹模</t>
  </si>
  <si>
    <t>大夹子</t>
  </si>
  <si>
    <t>大剪刀</t>
  </si>
  <si>
    <t>1|0|工业裁缝用|合金钢|剑龙|无型号</t>
  </si>
  <si>
    <t>大毛笔</t>
  </si>
  <si>
    <t>0|0|工业用上颜色|木头、猪毛</t>
  </si>
  <si>
    <t>大面皮  超大边模</t>
  </si>
  <si>
    <t>大面皮 超大合叶模</t>
  </si>
  <si>
    <t>大溶胶枪</t>
  </si>
  <si>
    <t>1|0|电驱动|是|焊宝|RJQHAC100W-802</t>
  </si>
  <si>
    <t>大身打螺丝底模</t>
  </si>
  <si>
    <t>大身后超声模夹具</t>
  </si>
  <si>
    <t>大身前超声模夹具</t>
  </si>
  <si>
    <t>大吸塑片</t>
  </si>
  <si>
    <t>单面水洗标</t>
  </si>
  <si>
    <t>0|0|机织|100%涤纶|非刺绣||</t>
  </si>
  <si>
    <t>弹性胶钉1</t>
  </si>
  <si>
    <t>弹性胶钉110MM</t>
  </si>
  <si>
    <t>0|0|固定用|塑胶料制|无牌|无型号</t>
  </si>
  <si>
    <t>弹性胶钉115MM</t>
  </si>
  <si>
    <t>弹性胶钉190MM</t>
  </si>
  <si>
    <t>弹性胶钉2</t>
  </si>
  <si>
    <t>弹性胶钉3</t>
  </si>
  <si>
    <t>弹性胶钉30MM</t>
  </si>
  <si>
    <t>弹性胶钉4</t>
  </si>
  <si>
    <t>弹性胶钉45MM</t>
  </si>
  <si>
    <t>弹性胶钉60MM</t>
  </si>
  <si>
    <t>弹性胶钉80MM</t>
  </si>
  <si>
    <t>弹性胶钉90MM</t>
  </si>
  <si>
    <t>1|0|打胶钉|一马|YM-ZD120</t>
  </si>
  <si>
    <t>弹性胶针75MM</t>
  </si>
  <si>
    <t>刀模垫</t>
  </si>
  <si>
    <t>0|0|EVA+橡胶|橙色|是|非泡沫塑料|工业用|93*93*1|无牌|无型号</t>
  </si>
  <si>
    <t>0|0|生产用|塑料胶制|无牌|无型号|塑胶|使用型模，装配产品</t>
  </si>
  <si>
    <t>底座与底盖打螺丝模具</t>
  </si>
  <si>
    <t>点灯板</t>
  </si>
  <si>
    <t>0|0|适用于焊接机|无牌|无型号</t>
  </si>
  <si>
    <t>点数机</t>
  </si>
  <si>
    <t>点数机支架</t>
  </si>
  <si>
    <t>0|0|不锈钢</t>
  </si>
  <si>
    <t>电表</t>
  </si>
  <si>
    <t>1|0|电能计量|信号处理与数据计算|HOLLEY|DT862</t>
  </si>
  <si>
    <t>电池盖打介子底模</t>
  </si>
  <si>
    <t>电池盖打介子片底模</t>
  </si>
  <si>
    <t>电池盖打螺丝模具</t>
  </si>
  <si>
    <t>0|0|提供照明|无牌</t>
  </si>
  <si>
    <t>电池片装配啤压夹具</t>
  </si>
  <si>
    <t>电池箱电池片压型模</t>
  </si>
  <si>
    <t>电池箱密封圈</t>
  </si>
  <si>
    <t>0|0|密封防护，保护电池|橡胶|无牌|无型号</t>
  </si>
  <si>
    <t>电池箱热压双螺母模具</t>
  </si>
  <si>
    <t>电池箱压电池片内反模具</t>
  </si>
  <si>
    <t>电池箱装压六角螺母手啤模</t>
  </si>
  <si>
    <t>电动叉车</t>
  </si>
  <si>
    <t>1|0|工业搬运用|电动|龙工|CBD|190mm|2000KG</t>
  </si>
  <si>
    <t>电焊机</t>
  </si>
  <si>
    <t>1|0|电焊机|手提式|瑞凌|ARC315D</t>
  </si>
  <si>
    <t>电焊钳</t>
  </si>
  <si>
    <t>0|0|通用于电焊机|无品牌|无型号</t>
  </si>
  <si>
    <t>电焊条</t>
  </si>
  <si>
    <t>1|0|电弧焊|硬质合金|焊条|以焊剂为芯|湘江|结422</t>
  </si>
  <si>
    <t>电剪</t>
  </si>
  <si>
    <t>1|0|织物剪切|杰克|JK-T5D</t>
  </si>
  <si>
    <t>电缆</t>
  </si>
  <si>
    <t>0|0|工业用|同轴、无接头|无牌|无型号</t>
  </si>
  <si>
    <t>电流互感器1</t>
  </si>
  <si>
    <t>1|0|5VA|否|KRTU7|LMZJ1-0.5 800/5A</t>
  </si>
  <si>
    <t>电流互感器2</t>
  </si>
  <si>
    <t>1|0|5VA|否|LMDO|LMZJ1-0.5 400/5A</t>
  </si>
  <si>
    <t>电流互感器3</t>
  </si>
  <si>
    <t>1|0|5VA|否|LMDO|LMZJ1-0.5 300/5A</t>
  </si>
  <si>
    <t>电流互感器4</t>
  </si>
  <si>
    <t>1|0|5VA|否|LMDO|LMZJ1-0.5 200/5A</t>
  </si>
  <si>
    <t>电脑花样机3520GP</t>
  </si>
  <si>
    <t>1|0|工业用|是|兄迪|RR-A9-3520GP</t>
  </si>
  <si>
    <t>电脑花样机6040GK</t>
  </si>
  <si>
    <t>1|0|工业用|是|兄迪|RR-A8-6040GK</t>
  </si>
  <si>
    <t>电批</t>
  </si>
  <si>
    <t>0|0|电动机驱动|是|无牌|AS-101A</t>
  </si>
  <si>
    <t>电批头1</t>
  </si>
  <si>
    <t>1|0|通用于电批机|OEIS|M5*31*30*120</t>
  </si>
  <si>
    <t>电批头2</t>
  </si>
  <si>
    <t>1|0|通用于电批机|OEIS|M5*31*30*50</t>
  </si>
  <si>
    <t>电批头3</t>
  </si>
  <si>
    <t>1|0|通用于电批机|OEIS|M5*41*30*100</t>
  </si>
  <si>
    <t>电批头4</t>
  </si>
  <si>
    <t>1|0|通用于电批机|OEIS|M5*41*30*50</t>
  </si>
  <si>
    <t>电子板</t>
  </si>
  <si>
    <t>电子秤</t>
  </si>
  <si>
    <t>1|0|工业用|电子式称重|300KG|衡之宝|FHI</t>
  </si>
  <si>
    <t>吊卡FSC</t>
  </si>
  <si>
    <t>吊磨机</t>
  </si>
  <si>
    <t>1|0|电动|是|胜虎|S1J-ZZ-6</t>
  </si>
  <si>
    <t>吊磨机内外线</t>
  </si>
  <si>
    <t>0|0|通用于电动吊磨机|无牌|无型号</t>
  </si>
  <si>
    <t>吊牌-FSC</t>
  </si>
  <si>
    <t>顶盖吸塑</t>
  </si>
  <si>
    <t>订书钉</t>
  </si>
  <si>
    <t>编码错误</t>
  </si>
  <si>
    <t>断布机</t>
  </si>
  <si>
    <t>1|0|工业用织物裁切|三田|ST-B11N</t>
  </si>
  <si>
    <t>断布机刀片</t>
  </si>
  <si>
    <t>1|0|适用于三田品牌断布机|三田|2631-T/ZJ</t>
  </si>
  <si>
    <t>断布机砂轮</t>
  </si>
  <si>
    <t>1|0|磨光用|刚玉+不锈钢|是|三田</t>
  </si>
  <si>
    <t>对折吸塑</t>
  </si>
  <si>
    <t>发热芯</t>
  </si>
  <si>
    <t>1|0|适用于长寿牌热风枪|长寿|无型号</t>
  </si>
  <si>
    <t>发声枪UV打印底模</t>
  </si>
  <si>
    <t>发音玩具半成品</t>
  </si>
  <si>
    <t>方块夹模</t>
  </si>
  <si>
    <t>方向盘打螺丝底模</t>
  </si>
  <si>
    <t>防尘眼镜</t>
  </si>
  <si>
    <t>0|0|电焊防护|平光|无品牌|无型号</t>
  </si>
  <si>
    <t>防渗漏托盘</t>
  </si>
  <si>
    <t>0|0|工业用|塑胶|吸塑成型</t>
  </si>
  <si>
    <t>防伪贴纸</t>
  </si>
  <si>
    <t>0|0|纸制|印制|直径0.5mm</t>
  </si>
  <si>
    <t>飞机孔挂咭-FSC</t>
  </si>
  <si>
    <t>0|0|纸制|印制|53*29*18</t>
  </si>
  <si>
    <t>菲林片</t>
  </si>
  <si>
    <t>1|0|排版|聚酯胶片|成卷|非一次成像|未曝光
|406mm*60米|爱尔发牌|3FGP|5.2平</t>
  </si>
  <si>
    <t>风扇打螺丝底模</t>
  </si>
  <si>
    <t>封口机</t>
  </si>
  <si>
    <t>1|0|工业包装用|多奇|PSF-650*1</t>
  </si>
  <si>
    <t>扶手冲压夹具</t>
  </si>
  <si>
    <t>扶手杆底模</t>
  </si>
  <si>
    <t>0|0|玩具生产用|塑胶|无牌|无型号|塑胶+胶水|使用型模，装配产品</t>
  </si>
  <si>
    <t>负压风机</t>
  </si>
  <si>
    <t>1|0|工业用|排风扇|0.55KW|Huiyou|HY-1060</t>
  </si>
  <si>
    <t>负压检测夹具</t>
  </si>
  <si>
    <t>干湿摩测试布</t>
  </si>
  <si>
    <t>0|0|机织|棉|5*5cm</t>
  </si>
  <si>
    <t>干湿摩对色卡</t>
  </si>
  <si>
    <t>1|0|纺织氧化测试|塑料料制|AATCC|105/A02-1993  105/A03-2019</t>
  </si>
  <si>
    <t>干燥机</t>
  </si>
  <si>
    <t>1|0|工业用|不锈钢|ECOAIR|ECD0120</t>
  </si>
  <si>
    <t xml:space="preserve">干燥机料斗 </t>
  </si>
  <si>
    <t>0|0|工业用|塑料|无牌|无型号</t>
  </si>
  <si>
    <t>钢板飞模工作台</t>
  </si>
  <si>
    <t>高温胶带</t>
  </si>
  <si>
    <t>0|0|隔热|带|是|是|铁氟龙|45*50|无牌|无型号</t>
  </si>
  <si>
    <t>高温墨管</t>
  </si>
  <si>
    <t>高周波热压机</t>
  </si>
  <si>
    <t>0|0|工业用塑胶熔接|无牌|无型号</t>
  </si>
  <si>
    <t>高周波上模</t>
  </si>
  <si>
    <t>高周波下模</t>
  </si>
  <si>
    <t>隔离网</t>
  </si>
  <si>
    <t>0|0|仓库与车间隔离用|钢铁制|隔离网</t>
  </si>
  <si>
    <t>隔离网门</t>
  </si>
  <si>
    <t>0|0|仓库与车间隔离用|钢铁制|隔离网门</t>
  </si>
  <si>
    <t>工业缝纫机</t>
  </si>
  <si>
    <t>1|0|工业用|是|兄迪|br-430D-DS</t>
  </si>
  <si>
    <t>工业内循环高落差玩具 UV打印机</t>
  </si>
  <si>
    <t>1|0|玩具表面图案印刷|原理：印刷|盛煌科|SHK-2513</t>
  </si>
  <si>
    <t>工业吸尘器</t>
  </si>
  <si>
    <t>工作台</t>
  </si>
  <si>
    <t>0|0|铁制|办公室用|无牌|无型号</t>
  </si>
  <si>
    <t>公仔固定咭</t>
  </si>
  <si>
    <t>公仔吸塑</t>
  </si>
  <si>
    <t>固定板支架</t>
  </si>
  <si>
    <t>0|0|通用于工业机械手|无牌|无型号</t>
  </si>
  <si>
    <t>固定咭</t>
  </si>
  <si>
    <t>固定尼龙轮</t>
  </si>
  <si>
    <t>1|0|机动车用|铁和尼龙|100mm|75mm|GLOBE|无型号</t>
  </si>
  <si>
    <t>固定吸塑</t>
  </si>
  <si>
    <t>管道问题块吸塑托</t>
  </si>
  <si>
    <t>硅胶大杯防水圈1</t>
  </si>
  <si>
    <t>0|0|装配玩具生产用|PPE塑料胶制|无牌|无型号</t>
  </si>
  <si>
    <t>硅胶管</t>
  </si>
  <si>
    <t>硅胶转轴防水圈2</t>
  </si>
  <si>
    <t>硅胶转轴防水圈3</t>
  </si>
  <si>
    <t>柜脚</t>
  </si>
  <si>
    <t>0|0|工业用|钢铁|冲压</t>
  </si>
  <si>
    <t>过滤器</t>
  </si>
  <si>
    <t>焊把线</t>
  </si>
  <si>
    <t>合金打磨头</t>
  </si>
  <si>
    <t>0|0|工业用铣削|无牌|BMS-300</t>
  </si>
  <si>
    <t>合金抛光头</t>
  </si>
  <si>
    <t>0|0|通用于气动打磨机|无品牌|φ3*6</t>
  </si>
  <si>
    <t>合页</t>
  </si>
  <si>
    <t>0|0|工业用|不锈钢制|无品牌|无型号</t>
  </si>
  <si>
    <t>合页吸塑模</t>
  </si>
  <si>
    <t>黑色加密手机绳 1.5MM</t>
  </si>
  <si>
    <t>0|0|装饰用|100涤纶</t>
  </si>
  <si>
    <t>黑色柯根纱花朵</t>
  </si>
  <si>
    <t>黑色螺丝</t>
  </si>
  <si>
    <t>黑色头箍</t>
  </si>
  <si>
    <t>品牌类型：0 出口享惠情况:0 品牌：无品牌 用途：生产玩具用 种类:黑色头箍</t>
  </si>
  <si>
    <t>横式高车机针</t>
  </si>
  <si>
    <t>1|0|通用于工业缝纫机|ORGAN|DP×17</t>
  </si>
  <si>
    <t>横支撑卡</t>
  </si>
  <si>
    <t>红色心形宝石</t>
  </si>
  <si>
    <t>品牌类型：0 出口享惠情况:0 品牌：无牌 用途：生产玩具用 种类:红色心形宝石</t>
  </si>
  <si>
    <t>后车身装配打螺丝底模</t>
  </si>
  <si>
    <t>后铰和后铰固定支架装配啤铁轴夹具</t>
  </si>
  <si>
    <t>后履带轮架啤铁轴夹具</t>
  </si>
  <si>
    <t>后沙板车灯、后沙板扶手打胶水夹具</t>
  </si>
  <si>
    <t>后沙板盖底座连杆打螺丝底模</t>
  </si>
  <si>
    <t>后沙板盖底座与车身组装打螺丝底模</t>
  </si>
  <si>
    <t>后沙板盖底座组装打螺丝底模</t>
  </si>
  <si>
    <t>后沙板油箱盖打胶水夹具</t>
  </si>
  <si>
    <t>壶吸塑</t>
  </si>
  <si>
    <t>花朵底模</t>
  </si>
  <si>
    <t>0|0|压制出立体印花纹路|可塑性强的材料|无牌|无型号|塑胶料制|压力作用实现花纹成型</t>
  </si>
  <si>
    <t>花朵钢板</t>
  </si>
  <si>
    <t>花朵夹模</t>
  </si>
  <si>
    <t>花朵周转吸塑</t>
  </si>
  <si>
    <t>花样车免按辅助压脚</t>
  </si>
  <si>
    <t>0|0|通用于工业缝纫机|钢铁|冲压</t>
  </si>
  <si>
    <t>回转气缸</t>
  </si>
  <si>
    <t>1|0|气动|工业用|SMC|MSQB10A</t>
  </si>
  <si>
    <t>活动尼龙轮</t>
  </si>
  <si>
    <t>货架</t>
  </si>
  <si>
    <t>0|0|存放货物|铁制|工业用</t>
  </si>
  <si>
    <t>机电马达</t>
  </si>
  <si>
    <t>0|0|玩具生产用|30瓦|60*69*60.5mm|无牌|无型号</t>
  </si>
  <si>
    <t>机身贴纸FSC</t>
  </si>
  <si>
    <t>0|0|纸制|印制|190.84*17.25MM</t>
  </si>
  <si>
    <t>机尾贴纸FSC</t>
  </si>
  <si>
    <t>0|0|纸制|印制|14.42*16.57mm</t>
  </si>
  <si>
    <t>咭卡签板</t>
  </si>
  <si>
    <t>0|0|纸制|印制|规格：265MM*300MM</t>
  </si>
  <si>
    <t>唧筒支架与唧筒装配啤铆钉夹具</t>
  </si>
  <si>
    <t>激光打标机</t>
  </si>
  <si>
    <t>1|0|雕刻日期码|加工方式：刻蚀打标|KASU|KMF-5</t>
  </si>
  <si>
    <t>激光模板机</t>
  </si>
  <si>
    <t>1|0|工业用|自动|JOOKE|RR-13095-SS-XH-L3</t>
  </si>
  <si>
    <t>激光切割机</t>
  </si>
  <si>
    <t>1|0|切割布料|激光切割|KASU|K1390-F1</t>
  </si>
  <si>
    <t>集尘器</t>
  </si>
  <si>
    <t>0|0|工业用|无不锈钢外壳|无不锈钢外壳|风机吸尘|无牌|无型号|300W</t>
  </si>
  <si>
    <t>计数电子秤</t>
  </si>
  <si>
    <t>1|0|工业用|电子式称重|30KG|感量：0.1g|衡之宝|无型号</t>
  </si>
  <si>
    <t>计数器</t>
  </si>
  <si>
    <t>0|0|生产工具|无牌|无型号</t>
  </si>
  <si>
    <t>计算按制 total 模具</t>
  </si>
  <si>
    <t>计算按制 total底模</t>
  </si>
  <si>
    <t>计算按制 模具</t>
  </si>
  <si>
    <t>计算按制 上模模盖</t>
  </si>
  <si>
    <t>计算按制底模</t>
  </si>
  <si>
    <t>加大蓝狗右脚模</t>
  </si>
  <si>
    <t>加大蓝狗左脚模</t>
  </si>
  <si>
    <t>加热棒</t>
  </si>
  <si>
    <t>夹具固定铁块</t>
  </si>
  <si>
    <t>佳比+猫型美人鱼彩盒</t>
  </si>
  <si>
    <t>佳比+猫型美人鱼内卡+加固卡</t>
  </si>
  <si>
    <t>佳比+猫鱼组合装塑胶成品</t>
  </si>
  <si>
    <t>佳比浮块</t>
  </si>
  <si>
    <t>0|0|泡沫浮块|无牌</t>
  </si>
  <si>
    <t>佳比吸塑</t>
  </si>
  <si>
    <t>假电池测试架夹具</t>
  </si>
  <si>
    <t>价格贴纸</t>
  </si>
  <si>
    <t>0|0|纸制|印制|1"(L)x0.75"(W)</t>
  </si>
  <si>
    <t>驾驶盘打螺丝底模</t>
  </si>
  <si>
    <t>驾驶室顶板装配螺母热烫夹具</t>
  </si>
  <si>
    <t>驾驶室顶打螺丝底模</t>
  </si>
  <si>
    <t>驾驶室顶配PCBA电路板打螺丝底模</t>
  </si>
  <si>
    <t>驾驶室配车身打螺丝底模</t>
  </si>
  <si>
    <t>尖嘴钳</t>
  </si>
  <si>
    <t>0|0|工业用工具|合金钢|无牌|无型号</t>
  </si>
  <si>
    <t>检针机</t>
  </si>
  <si>
    <t>1|0|工业用|电磁吸附|检测产品是否有金属物|连新牌|JZQ-7300-6016</t>
  </si>
  <si>
    <t>剪钳</t>
  </si>
  <si>
    <t>1|0|剪塑料水口|合金钢|FEIBAO|F01-115</t>
  </si>
  <si>
    <t>0|0|提供电源|碱性锌锰成分|圆柱形|无牌|碱性锌原电池|1.5v|不含汞</t>
  </si>
  <si>
    <t>胶水</t>
  </si>
  <si>
    <t>0|0|塑料制品粘接|塑胶|无牌|HN-8401|五金+塑胶|聚合转变为固定聚合物</t>
  </si>
  <si>
    <t>胶水1</t>
  </si>
  <si>
    <t>0|0|塑料制品粘接|塑胶|无牌|HN-5012|五金+塑胶|聚合转变为固定聚合物</t>
  </si>
  <si>
    <t>胶头吸塑罩</t>
  </si>
  <si>
    <t>0|0|工业用|PVC|无牌|无型号</t>
  </si>
  <si>
    <t>胶针</t>
  </si>
  <si>
    <t>胶针介子</t>
  </si>
  <si>
    <t>胶纸</t>
  </si>
  <si>
    <t>0|0|胶纸|浸渍|成卷矩形|300克|LOUIS JAPE牌|无型号</t>
  </si>
  <si>
    <t>角磨机</t>
  </si>
  <si>
    <t>1|0|工业用|合金钢制|是|东成|S1M-FF09-100S</t>
  </si>
  <si>
    <t>脚轮</t>
  </si>
  <si>
    <t>0|0|通用于工业缝纫机|无牌|无型号</t>
  </si>
  <si>
    <t>搅拌机塑胶成品</t>
  </si>
  <si>
    <t>介子螺丝</t>
  </si>
  <si>
    <t>金色开关按制移印模具</t>
  </si>
  <si>
    <t>警灯背面贴纸</t>
  </si>
  <si>
    <t>0|0|纸制|印制|15.0*3.0mm，强粘、过胶膜</t>
  </si>
  <si>
    <t>警灯正面贴纸</t>
  </si>
  <si>
    <t>0|0|纸制|印制|12.0*2.0，强粘、过胶膜</t>
  </si>
  <si>
    <t>静电膜空白贴纸</t>
  </si>
  <si>
    <t>0|0|纸制|印制|61*25mm</t>
  </si>
  <si>
    <t>镜片贴纸</t>
  </si>
  <si>
    <t>0|0|纸制|印制|85*167mm</t>
  </si>
  <si>
    <t>锯片</t>
  </si>
  <si>
    <t>0|0|加工金属|合金钢制|无牌|无型号</t>
  </si>
  <si>
    <t>聚苯乙烯</t>
  </si>
  <si>
    <t>聚丙烯树脂</t>
  </si>
  <si>
    <r>
      <rPr>
        <b/>
        <sz val="11"/>
        <color rgb="FFFF0000"/>
        <rFont val="等线"/>
        <charset val="134"/>
      </rPr>
      <t>4|0|半透明颗粒|聚丙烯99%，润滑剂1%|新料|正品|SINOPEC牌</t>
    </r>
    <r>
      <rPr>
        <b/>
        <sz val="11"/>
        <rFont val="等线"/>
        <charset val="134"/>
      </rPr>
      <t>|K8003|</t>
    </r>
    <r>
      <rPr>
        <b/>
        <sz val="11"/>
        <color rgb="FFFF0000"/>
        <rFont val="等线"/>
        <charset val="134"/>
      </rPr>
      <t>20250415|通用级，PP树脂|</t>
    </r>
  </si>
  <si>
    <t>开窗彩盒-FSC</t>
  </si>
  <si>
    <t>开关帽</t>
  </si>
  <si>
    <t>0|0|保护开关|塑胶料制|无牌|无型号</t>
  </si>
  <si>
    <t>冚车机针</t>
  </si>
  <si>
    <t>1|0|通用于工业缝纫机|ORGAN|UY×128 GAS</t>
  </si>
  <si>
    <t>拷贝纸</t>
  </si>
  <si>
    <t>0|0|纸制|印制|530mm*370mm</t>
  </si>
  <si>
    <t>可调缩皱压脚</t>
  </si>
  <si>
    <t>1|0|通用于工业缝纫机|钢铁|冲压</t>
  </si>
  <si>
    <t>可移贴纸</t>
  </si>
  <si>
    <t>0|0|纸制|印制|82.5*179mm</t>
  </si>
  <si>
    <t>空压机</t>
  </si>
  <si>
    <t>1|0|工业用|ECOAIR|YTJ75-8</t>
  </si>
  <si>
    <t>控制面板</t>
  </si>
  <si>
    <t>0|0|用以超声波塑焊机|通过触摸屏设定参数反馈到控制单元|小于1000伏|无牌|无型号||</t>
  </si>
  <si>
    <t>扣式锌锰电池</t>
  </si>
  <si>
    <t>0|0|提供电源|碱性锌锰|圆形|无牌|无型号|1.5v|无汞</t>
  </si>
  <si>
    <t>拉伸膜</t>
  </si>
  <si>
    <t>喇叭</t>
  </si>
  <si>
    <t>喇叭装配打螺丝底模</t>
  </si>
  <si>
    <t>蓝莓纸盒</t>
  </si>
  <si>
    <t>0|0|纸制|印制|77.8*20.5*88.6mm</t>
  </si>
  <si>
    <t>蓝色丝带</t>
  </si>
  <si>
    <t>狼仔吸塑</t>
  </si>
  <si>
    <t>老虎钳</t>
  </si>
  <si>
    <t>1|0|工具|合金钢|FEIBAO|F01-106P</t>
  </si>
  <si>
    <t>立式高车机针</t>
  </si>
  <si>
    <t>1|0|通用于工业缝纫机|SCHMETZ|TV×3 SUK</t>
  </si>
  <si>
    <t>利宝</t>
  </si>
  <si>
    <t>0|0|纸制|印制|80*50mm</t>
  </si>
  <si>
    <t>栗宝宝吸塑底托</t>
  </si>
  <si>
    <t>联测触屏可程式恒温恒湿箱</t>
  </si>
  <si>
    <t>1|0|高温，低温，潮湿，干燥等环境|电阻加热|联测仪器|Sintoyq-1000L</t>
  </si>
  <si>
    <t>两用扳手套装</t>
  </si>
  <si>
    <t>1|0|合金钢|固定的|艾威博尔|355023</t>
  </si>
  <si>
    <t>流水线</t>
  </si>
  <si>
    <t>0|0|工业生产用|皮带输送线|带式|无牌|无型号</t>
  </si>
  <si>
    <t>螺母</t>
  </si>
  <si>
    <t>0|0|铁制|无牌|47712A|47713A|47714A|47716A|</t>
  </si>
  <si>
    <t>螺丝</t>
  </si>
  <si>
    <t>铝箔袋</t>
  </si>
  <si>
    <t>0|0|玩具包装生产用|PE和铝箔|无牌|无型号</t>
  </si>
  <si>
    <t>履带轮架L啤铁轴夹具</t>
  </si>
  <si>
    <t>履带轮架L小车轮啤T钉轴夹具</t>
  </si>
  <si>
    <t>履带轮架R啤铁轴夹具</t>
  </si>
  <si>
    <t>履带轮架R小车轮啤T钉轴夹具</t>
  </si>
  <si>
    <t>履带轮架配件打胶水夹具</t>
  </si>
  <si>
    <t>马达打齿牙上下模具</t>
  </si>
  <si>
    <t>马里奥塑底</t>
  </si>
  <si>
    <t>马里奥塑罩</t>
  </si>
  <si>
    <t>马里奥吸塑底托</t>
  </si>
  <si>
    <t>马里奥周转吸塑</t>
  </si>
  <si>
    <t>马仔衣架</t>
  </si>
  <si>
    <t>0|0|塑料马仔衣架|无牌|无型号</t>
  </si>
  <si>
    <t xml:space="preserve">慢速粉碎机 </t>
  </si>
  <si>
    <t>0|0|工业用粉碎塑料|无牌|3P</t>
  </si>
  <si>
    <t>盲盒 FSC</t>
  </si>
  <si>
    <t>0|0|纸制|印制|38*38*15</t>
  </si>
  <si>
    <t>毛笔</t>
  </si>
  <si>
    <t>毛绒半成品-印蝴蝶绣花章</t>
  </si>
  <si>
    <t>毛绒半成品-印甲虫绣花章</t>
  </si>
  <si>
    <t>毛绒半成品-印蚂蚁绣花章</t>
  </si>
  <si>
    <t>毛绒半成品-印毛毛虫绣花章</t>
  </si>
  <si>
    <t>毛绒半成品-印蜜峰绣花章</t>
  </si>
  <si>
    <t>毛绒裁片</t>
  </si>
  <si>
    <t>毛绒蓝色海草</t>
  </si>
  <si>
    <t>0|0|毛绒玩具类|无牌|93767</t>
  </si>
  <si>
    <t>毛绒蓝色水布球</t>
  </si>
  <si>
    <t>毛绒绿色水布球</t>
  </si>
  <si>
    <t>毛绒紫色海草</t>
  </si>
  <si>
    <t>帽子点胶机</t>
  </si>
  <si>
    <t>帽子点胶机底模</t>
  </si>
  <si>
    <t>迷你夹具</t>
  </si>
  <si>
    <t>0|0|通用于工业机械手|无牌|ERG-15#</t>
  </si>
  <si>
    <t>密封圈</t>
  </si>
  <si>
    <t>0|0|密封防护|橡胶|无牌|无型号</t>
  </si>
  <si>
    <t>面皮底模</t>
  </si>
  <si>
    <t>模板机</t>
  </si>
  <si>
    <t>1|0|工业用|自动|JOOKE|RR-13095-SS-XH</t>
  </si>
  <si>
    <t xml:space="preserve">模具黄弹簧 </t>
  </si>
  <si>
    <t>0|0|工业用|钢铁</t>
  </si>
  <si>
    <t xml:space="preserve">模具托针 </t>
  </si>
  <si>
    <t>0|0|工业用|钢材|锻造</t>
  </si>
  <si>
    <t>磨菇吸塑底托</t>
  </si>
  <si>
    <t>磨菇周转吸塑</t>
  </si>
  <si>
    <t>磨砂抛光头</t>
  </si>
  <si>
    <t>奶牛吸塑托</t>
  </si>
  <si>
    <t>耐高温胶纸</t>
  </si>
  <si>
    <t>0|0|生产用|带状|成卷|单面自粘|100%PET|10*0.1mm|非半导体晶圆制造用|无牌|无型号</t>
  </si>
  <si>
    <t>1|0|测量高压|测试高压|是|长盛|CS2670A</t>
  </si>
  <si>
    <t>男公仔吸塑罩</t>
  </si>
  <si>
    <t>0|0|纸质|印制|37.3"(L) x 17.2"(W)</t>
  </si>
  <si>
    <t>内咭-FSC</t>
  </si>
  <si>
    <t>0|0|纸制|长方形|265MM*290MM</t>
  </si>
  <si>
    <t>内咭底加固咭-FSC</t>
  </si>
  <si>
    <t>内六角螺丝1</t>
  </si>
  <si>
    <t>1|0|碳钢|1200Mpa|JC|M12-1.75*100|M12</t>
  </si>
  <si>
    <t>能量色散X荧光光谱仪</t>
  </si>
  <si>
    <t>1|0|RoHS检测/成分鉴定|检验成分/测镀层/环保检测|玩具|广州金谷|EDX-360</t>
  </si>
  <si>
    <t>牛隔咭-FSC</t>
  </si>
  <si>
    <t>牛固定咭-FSC</t>
  </si>
  <si>
    <t>牛奶瓶贴纸</t>
  </si>
  <si>
    <t>0|0|纸制|印制|33*71mm</t>
  </si>
  <si>
    <t>扭力测试仪</t>
  </si>
  <si>
    <t>1|0|校准与检测工具|电批和风批|H1OS|HP-50</t>
  </si>
  <si>
    <t>农场车套装成品</t>
  </si>
  <si>
    <t>农场车套装塑胶成品1</t>
  </si>
  <si>
    <t>农场车套装塑胶成品2</t>
  </si>
  <si>
    <t>女公仔吸塑罩</t>
  </si>
  <si>
    <t>女孩公仔压冒子定型夹具</t>
  </si>
  <si>
    <t>1|0|打印日期码|喷墨式|欧格达|S680-PLUS</t>
  </si>
  <si>
    <t>喷砂机</t>
  </si>
  <si>
    <t>1|0|金刚砂|工业用|AOBAITE|CL-250</t>
  </si>
  <si>
    <t>喷头</t>
  </si>
  <si>
    <t>喷头疏通产品</t>
  </si>
  <si>
    <t>披水口刀</t>
  </si>
  <si>
    <t>0|0|工业用|塑料+铁|否|无牌|无型号</t>
  </si>
  <si>
    <t>皮卡车绑咭-FSC</t>
  </si>
  <si>
    <t>皮卡车车窗前热烫夹具</t>
  </si>
  <si>
    <t>皮卡车车窗左右热烫夹具</t>
  </si>
  <si>
    <t>皮卡车车轮冲轮皮刀片</t>
  </si>
  <si>
    <t>皮卡车车轮冲轮皮夹具</t>
  </si>
  <si>
    <t>皮卡车车轮装轮胎夹具</t>
  </si>
  <si>
    <t>皮卡车车头盖、前网格热烫夹具</t>
  </si>
  <si>
    <t>皮卡车车头盖打螺丝底模</t>
  </si>
  <si>
    <t>皮卡车打PCBA、按制、控制底板、喇叭压盖打螺丝底模</t>
  </si>
  <si>
    <t>皮卡车打电池箱底模</t>
  </si>
  <si>
    <t>皮卡车底模</t>
  </si>
  <si>
    <t>皮卡车底托-FSC</t>
  </si>
  <si>
    <t>皮卡车电池盖打介子底模</t>
  </si>
  <si>
    <t>皮卡车电池箱螺母热烫夹具</t>
  </si>
  <si>
    <t>皮卡车电池箱压电池片夹具</t>
  </si>
  <si>
    <t>皮卡车钢板</t>
  </si>
  <si>
    <t>皮卡车后档板、挡板内胆打螺丝底模</t>
  </si>
  <si>
    <t>皮卡车后轮气压机</t>
  </si>
  <si>
    <t>皮卡车配车底打螺丝底模</t>
  </si>
  <si>
    <t>皮卡车配前转向打螺丝底模</t>
  </si>
  <si>
    <t>皮卡车前轮压倒扣钉夹具</t>
  </si>
  <si>
    <t>皮卡车前轮转向热烫夹具</t>
  </si>
  <si>
    <t>皮卡车转向轴压方向盘夹具</t>
  </si>
  <si>
    <t>皮卡车转向轴压丝母塞夹具</t>
  </si>
  <si>
    <t>皮卡车座椅、内饰打螺丝底模</t>
  </si>
  <si>
    <t>啤杯士压簧夹具</t>
  </si>
  <si>
    <t>啤直齿铁轴夹具</t>
  </si>
  <si>
    <t>平板拖车车底打螺丝底模</t>
  </si>
  <si>
    <t>平板拖车车胎冲轮皮夹具</t>
  </si>
  <si>
    <t>平板拖车车芯装轮胎夹具</t>
  </si>
  <si>
    <t>平板拖车后车轮气压机</t>
  </si>
  <si>
    <t>平板拖车千斤顶把手压四方轴夹具</t>
  </si>
  <si>
    <t>平板拖车千斤顶轮压四方轴夹具</t>
  </si>
  <si>
    <t>平板拖车上侧门冲压夹具</t>
  </si>
  <si>
    <t>平板拖车左右侧门冲压夹具</t>
  </si>
  <si>
    <t>平车单边压脚（右单边）</t>
  </si>
  <si>
    <t>平车单边压脚（左单边）</t>
  </si>
  <si>
    <t>平车高低压脚（右高）</t>
  </si>
  <si>
    <t>平车高低压脚（左高）</t>
  </si>
  <si>
    <t>平车滚轮压脚(麻花轮）</t>
  </si>
  <si>
    <t>平车滚轮压脚（橡胶轮）</t>
  </si>
  <si>
    <t>平车上拉链压脚（右宽）</t>
  </si>
  <si>
    <t>平车上拉链压脚（左宽）</t>
  </si>
  <si>
    <t>平车松紧带压脚</t>
  </si>
  <si>
    <t>平车牙签压脚</t>
  </si>
  <si>
    <t>平卡</t>
  </si>
  <si>
    <t>平面加强卡</t>
  </si>
  <si>
    <t>平面钳</t>
  </si>
  <si>
    <t>弹力胶钉45MM</t>
  </si>
  <si>
    <t>弹力胶钉75MM</t>
  </si>
  <si>
    <t>普通双面拷贝纸</t>
  </si>
  <si>
    <t>0|0|纸制|长方形|L250*W250MM</t>
  </si>
  <si>
    <t>气动剪刀支架</t>
  </si>
  <si>
    <t>0|0|工业注塑机用|无可锻性铸铁</t>
  </si>
  <si>
    <t>气动剪钳</t>
  </si>
  <si>
    <t>1|0|气动|手提式|VLS|SN10 FN3AL</t>
  </si>
  <si>
    <t>气动压后轮夹具</t>
  </si>
  <si>
    <t>0|0|生产用|五金+塑胶|使用型模，装配产品</t>
  </si>
  <si>
    <t>气动压前轮夹具</t>
  </si>
  <si>
    <t>气啤机</t>
  </si>
  <si>
    <t>1|0|冲压|气动锻压|气动|力争鑫|LZX-202-1000.8mpa</t>
  </si>
  <si>
    <t>签板</t>
  </si>
  <si>
    <t>前铲臂配车身打螺丝底模</t>
  </si>
  <si>
    <t>前铲配前铲臂窝钉冲压气啤夹具</t>
  </si>
  <si>
    <t>前车身与车头盖后铰啤铁轴夹具</t>
  </si>
  <si>
    <t>前车身与车头盖前铰啤铁轴夹具</t>
  </si>
  <si>
    <t>前车身与右油箱装配打螺丝底模</t>
  </si>
  <si>
    <t>前挡打螺丝底模</t>
  </si>
  <si>
    <t>前铰上板、前铰下板和前铰固定支架装配啤铁轴夹具</t>
  </si>
  <si>
    <t>前履带轮架啤铁轴夹具</t>
  </si>
  <si>
    <t>前支撑啤卡</t>
  </si>
  <si>
    <t>枪嘴密封圈</t>
  </si>
  <si>
    <t>切槽刀杆</t>
  </si>
  <si>
    <t>3|0|通用于车床|Carpfite|MGEHR1212-2</t>
  </si>
  <si>
    <t>切槽刀片</t>
  </si>
  <si>
    <t>1|0|金属加工用|合金钢|否|KORLOY|NC3020</t>
  </si>
  <si>
    <t>切带机</t>
  </si>
  <si>
    <t>1|0|工业用|brerodqr|无型号</t>
  </si>
  <si>
    <t>切割机</t>
  </si>
  <si>
    <t>1|0|工业用|合金钢制|是|东成|J1G-FF02-355</t>
  </si>
  <si>
    <t>清洗喷头装置</t>
  </si>
  <si>
    <t>驱动板</t>
  </si>
  <si>
    <t>全自动纸箱爆破机</t>
  </si>
  <si>
    <t>1|0|耐破测量/自动加压/自动检测|纸板/卡纸耐破强度|联测仪器|SINTOYQ-360</t>
  </si>
  <si>
    <t>热收缩包装机</t>
  </si>
  <si>
    <t>0|0|包装或打包用|无牌|BS6540M-PE</t>
  </si>
  <si>
    <t>热塑性弹性体1</t>
  </si>
  <si>
    <t>1|0|透明颗粒状|聚乙烯辛烯共聚物&gt;90%，润滑
剂&lt;10%|20251201|无中文品牌，
Qain Shine牌|型号：I955VN-B1321</t>
  </si>
  <si>
    <t>热塑性弹性体</t>
  </si>
  <si>
    <t>1|0|半透明颗粒|苯乙烯-乙烯/丁烯-苯乙烯嵌 
段共聚物20~45%，软化油45~65%，聚丙烯
10~25%，抗氧剂0.1%，稳定剂0.06%
|20251015|HS/海塑|HS510-65H03</t>
  </si>
  <si>
    <t>热转印花膜</t>
  </si>
  <si>
    <t>0|0|釉转印</t>
  </si>
  <si>
    <t>软墨-C蓝色</t>
  </si>
  <si>
    <t>4|0|用途：配套UV打印机使用，达到即打即干效果||成分含量：树脂、活性稀释剂/感光性单体、着色剂、添加剂等组成||IHJ牌|||</t>
  </si>
  <si>
    <t>软墨-K黑色</t>
  </si>
  <si>
    <t>软墨-Lc浅蓝</t>
  </si>
  <si>
    <t>软墨-Lm浅红</t>
  </si>
  <si>
    <t>软墨-M红色</t>
  </si>
  <si>
    <t>软墨-V光油</t>
  </si>
  <si>
    <t>软墨-W白色</t>
  </si>
  <si>
    <t>软墨-Y黄色</t>
  </si>
  <si>
    <t>三层半边鬼头说明书</t>
  </si>
  <si>
    <t>三角形贴纸</t>
  </si>
  <si>
    <t>0|0|纸制|印制|24.53*21.6mm，强粘</t>
  </si>
  <si>
    <t>扇形胶针10mm</t>
  </si>
  <si>
    <t>扇形胶针15mm</t>
  </si>
  <si>
    <t>扇形胶针8mm</t>
  </si>
  <si>
    <t>绳子</t>
  </si>
  <si>
    <t>食物盒</t>
  </si>
  <si>
    <t>收藏卡-FSC</t>
  </si>
  <si>
    <t>0|0|纸制|印制|41*28*10</t>
  </si>
  <si>
    <t>收割机成品签板</t>
  </si>
  <si>
    <t>收割机出料管打螺丝底模</t>
  </si>
  <si>
    <t>收割机驾驶室顶签板</t>
  </si>
  <si>
    <t>收割机料斗配驾驶室打螺丝底模</t>
  </si>
  <si>
    <t>收割机塑胶成品</t>
  </si>
  <si>
    <t>收割机头出料管签板</t>
  </si>
  <si>
    <t>收割机头窝钉冲压模</t>
  </si>
  <si>
    <t>收割机头支撑啤卡</t>
  </si>
  <si>
    <t>收割机右车身签板</t>
  </si>
  <si>
    <t>收割机左车身签板</t>
  </si>
  <si>
    <t>收割机左右身打螺丝底模</t>
  </si>
  <si>
    <t>收割机座椅配方向盘打螺丝底模</t>
  </si>
  <si>
    <t>收缩袋</t>
  </si>
  <si>
    <t>0|0|玩具包装生产用|塑料料制|无牌|无型号||</t>
  </si>
  <si>
    <t>手柄</t>
  </si>
  <si>
    <t>手持式热吹风</t>
  </si>
  <si>
    <t>1|0|电驱动|是|长寿|CS-700B</t>
  </si>
  <si>
    <t>手动台面胶纸机</t>
  </si>
  <si>
    <t>1|0|粘胶纸|卓鑫兴|无型号</t>
  </si>
  <si>
    <t>手拉液压叉车</t>
  </si>
  <si>
    <t>1|0|搬运货物|靠人力|兄迪|无型号|200MM|3000KG</t>
  </si>
  <si>
    <t>输出齿啤光轴夹具</t>
  </si>
  <si>
    <t>竖支撑卡</t>
  </si>
  <si>
    <t>双层齿啤光轴夹具</t>
  </si>
  <si>
    <t>双面布标1</t>
  </si>
  <si>
    <t>双面布标2</t>
  </si>
  <si>
    <t>双针车机针</t>
  </si>
  <si>
    <t>1|0|通用于工业缝纫机|ORGAN|DP×5</t>
  </si>
  <si>
    <t>双轴承修边刀</t>
  </si>
  <si>
    <t>0|0|木器加工用|不锈钢制|无牌|无型号</t>
  </si>
  <si>
    <t>水管套装塑胶成品</t>
  </si>
  <si>
    <t>水箱打螺丝底模</t>
  </si>
  <si>
    <t>瞬间胶</t>
  </si>
  <si>
    <t>0|0|塑料制品粘接||20G/支，50支/盒，100支(2盒）||氰基丙烯酸酯100%|东丽牌|型号：DL-87M</t>
  </si>
  <si>
    <t>0|0|玩具用，无商业价值|</t>
  </si>
  <si>
    <t>说明书FSC</t>
  </si>
  <si>
    <t>说明书签板</t>
  </si>
  <si>
    <t>四角边封箱机</t>
  </si>
  <si>
    <t>1|0|工业封纸箱用|宝石兴|BSX800-9L</t>
  </si>
  <si>
    <t>塑胶PVC前幅丝印</t>
  </si>
  <si>
    <t>塑胶白色PVC扣*2</t>
  </si>
  <si>
    <t>塑胶红色心形宝石</t>
  </si>
  <si>
    <t>品牌类型：0 出口享惠情况:0 品牌：无牌 用途：生产玩具用 种类:心形宝石</t>
  </si>
  <si>
    <t>塑胶件</t>
  </si>
  <si>
    <t>0|0|塑胶玩具配件|无牌</t>
  </si>
  <si>
    <t>塑胶玩具</t>
  </si>
  <si>
    <t>0|0|杯子|无牌/无中文名称|货号：L27870C1||</t>
  </si>
  <si>
    <t>塑胶玩具配件</t>
  </si>
  <si>
    <t>塑料可调缩皱压脚</t>
  </si>
  <si>
    <t>1|0|通用于工业缝纫机|塑胶|注塑</t>
  </si>
  <si>
    <t>塑料压脚</t>
  </si>
  <si>
    <t>锁按制底模</t>
  </si>
  <si>
    <t>锁边车机针</t>
  </si>
  <si>
    <t>1|0|通用于工业缝纫机|ORGAN|DC×1</t>
  </si>
  <si>
    <t>锁匙 模具</t>
  </si>
  <si>
    <t>锁匙底模</t>
  </si>
  <si>
    <t>台球杆</t>
  </si>
  <si>
    <t>台式钻床</t>
  </si>
  <si>
    <t>0|0|工业用|铁|是|无牌|无型号</t>
  </si>
  <si>
    <t>台湾圣耐尔气动打磨机</t>
  </si>
  <si>
    <t>1|0|金属加工用|打磨|铁、铝合金|雨川|YC-380A</t>
  </si>
  <si>
    <t>碳性电池</t>
  </si>
  <si>
    <t>搪胶件</t>
  </si>
  <si>
    <t>天天CDU</t>
  </si>
  <si>
    <t>天天吊牌</t>
  </si>
  <si>
    <t>填充卡</t>
  </si>
  <si>
    <t>条码贴纸</t>
  </si>
  <si>
    <t>0|0|纸制|印制|规格：41*13mm</t>
  </si>
  <si>
    <t>贴贴纸夹具</t>
  </si>
  <si>
    <t>0|0|纸制|印制|134.4*28mm</t>
  </si>
  <si>
    <t>贴纸-FSC</t>
  </si>
  <si>
    <t>0|0|纸制|印制|76.5mm*32.5mm</t>
  </si>
  <si>
    <t>铁焊条</t>
  </si>
  <si>
    <t>1|0|电弧焊|硬质合金|焊条|以焊剂为芯|申嘉焊材|SS·Z308</t>
  </si>
  <si>
    <t>通风面板装配打胶水夹具</t>
  </si>
  <si>
    <t>通心粉纸盒</t>
  </si>
  <si>
    <t>同步带</t>
  </si>
  <si>
    <t>头与大身固定夹具</t>
  </si>
  <si>
    <t>头与帽子固定夹具</t>
  </si>
  <si>
    <t>透明PET垫片</t>
  </si>
  <si>
    <t>0|1|装配玩具生产用|塑胶料制|无牌|无型号||</t>
  </si>
  <si>
    <t>透明面罩</t>
  </si>
  <si>
    <t>拖车绑咭-FSC</t>
  </si>
  <si>
    <t>椭圆PETG镜片</t>
  </si>
  <si>
    <t>外钢针</t>
  </si>
  <si>
    <t>碗仔密封圈</t>
  </si>
  <si>
    <t>万能测试架</t>
  </si>
  <si>
    <t>0|0|测试架|无牌</t>
  </si>
  <si>
    <t>网袋</t>
  </si>
  <si>
    <t>0|0|玩具装配用|PP+PE|无牌|无型号</t>
  </si>
  <si>
    <t>网格双面胶</t>
  </si>
  <si>
    <t>0|0|工业用|带|成卷|单面字粘|PET基材+胶粘剂|宽30mm*长50m|无牌|无型号</t>
  </si>
  <si>
    <t>围卡</t>
  </si>
  <si>
    <t>位移气动剪刀支架</t>
  </si>
  <si>
    <t>温度传感器k型</t>
  </si>
  <si>
    <t>温控器</t>
  </si>
  <si>
    <t>纹身机塑胶成品</t>
  </si>
  <si>
    <t>纹身机网板</t>
  </si>
  <si>
    <t>纹身贴纸1-女孩形</t>
  </si>
  <si>
    <t>0|0|纸制|印制|20.3*12.7cm</t>
  </si>
  <si>
    <t>纹身贴纸2-闪电形</t>
  </si>
  <si>
    <t>纹身贴纸3-雪花形</t>
  </si>
  <si>
    <t>问答方块吸塑底托</t>
  </si>
  <si>
    <t>0|3|装配玩具生产用|塑胶料制|无牌|无型号</t>
  </si>
  <si>
    <t>问答块超声上下模</t>
  </si>
  <si>
    <t>问答块周转吸塑</t>
  </si>
  <si>
    <t>钨钢铣刀</t>
  </si>
  <si>
    <t>无纺布</t>
  </si>
  <si>
    <t>0|0|织造方法：机织，经编|涤纶100%|幅宽：63英寸</t>
  </si>
  <si>
    <t>五金配件</t>
  </si>
  <si>
    <t>吸料机</t>
  </si>
  <si>
    <t>0|0|电动|无牌|PQ-900L</t>
  </si>
  <si>
    <t>吸塑底</t>
  </si>
  <si>
    <t>吸塑底托</t>
  </si>
  <si>
    <t>吸塑-顶托</t>
  </si>
  <si>
    <t>吸塑隔离块</t>
  </si>
  <si>
    <t>吸塑咭</t>
  </si>
  <si>
    <t>吸塑卡-FSC</t>
  </si>
  <si>
    <t>吸塑面</t>
  </si>
  <si>
    <t>吸塑面罩</t>
  </si>
  <si>
    <t>吸塑-钱币胶片</t>
  </si>
  <si>
    <t>吸塑托</t>
  </si>
  <si>
    <t>吸塑-吸塑底</t>
  </si>
  <si>
    <t>吸塑-吸塑面</t>
  </si>
  <si>
    <t>吸塑罩</t>
  </si>
  <si>
    <t>纤维棉</t>
  </si>
  <si>
    <t>0|0|加工程度：未梳理|成分：原生0.9D*32硅PP||</t>
  </si>
  <si>
    <t>显示屏打螺丝底模</t>
  </si>
  <si>
    <t>限位感应器r轴</t>
  </si>
  <si>
    <t>线路板打螺丝一排模具</t>
  </si>
  <si>
    <t>线头剪</t>
  </si>
  <si>
    <t>1|0|工业裁缝用|合金钢|万恒|WH303</t>
  </si>
  <si>
    <t>橡筋托吸塑</t>
  </si>
  <si>
    <t>橡筋压脚</t>
  </si>
  <si>
    <t>消毒柜</t>
  </si>
  <si>
    <t>1|0|餐具消毒用|康宝牌|1630mm||</t>
  </si>
  <si>
    <t>小号尖嘴钳</t>
  </si>
  <si>
    <t>1|0|工具|合金钢|FEIBAO|F01-205</t>
  </si>
  <si>
    <t>小号抛光头</t>
  </si>
  <si>
    <t>0|0|通用于气动打磨机|无品牌|BMS-300</t>
  </si>
  <si>
    <t>小夹子</t>
  </si>
  <si>
    <t>小胶针枪</t>
  </si>
  <si>
    <t>0|0|锂电驱动|是|无牌|A3802</t>
  </si>
  <si>
    <t>小毛笔</t>
  </si>
  <si>
    <t>小面皮 超大自动机模</t>
  </si>
  <si>
    <t>小面皮 中边模</t>
  </si>
  <si>
    <t>小溶胶枪</t>
  </si>
  <si>
    <t>1|0|电驱动|是|焊宝|HL-E20</t>
  </si>
  <si>
    <t>小吸塑片</t>
  </si>
  <si>
    <t>小鱼超声摸</t>
  </si>
  <si>
    <t>循环泵</t>
  </si>
  <si>
    <t>压风叶上下模具</t>
  </si>
  <si>
    <t>压力阀门</t>
  </si>
  <si>
    <t>1|0|工业用|FF|A28H-16</t>
  </si>
  <si>
    <t>压铁轴入风叶盖上下模具</t>
  </si>
  <si>
    <t>压线卡</t>
  </si>
  <si>
    <t>牙箱盖打螺丝模具</t>
  </si>
  <si>
    <t>牙箱盖内打铁轴模具</t>
  </si>
  <si>
    <t>牙箱啤T钉夹具</t>
  </si>
  <si>
    <t>牙箱偏心轮啤T钉夹具（右）</t>
  </si>
  <si>
    <t>牙箱偏心轮啤T钉夹具（左）</t>
  </si>
  <si>
    <t>羊毛抛光球1</t>
  </si>
  <si>
    <t>1|0|适配大多数主流品牌的手持电动工具|Jolirapiu|无型号</t>
  </si>
  <si>
    <t>羊毛抛光球2</t>
  </si>
  <si>
    <t>样板</t>
  </si>
  <si>
    <t>遥控灯电子板</t>
  </si>
  <si>
    <t>液晶显示屏</t>
  </si>
  <si>
    <t>0|0|生产用|利用电源，实现图像显示|无牌|无型号|70300TRP，LCD尺寸: 57.5x23/21x2.8mm</t>
  </si>
  <si>
    <t>一字型封箱机</t>
  </si>
  <si>
    <t>1|0|工业封纸箱用|宝石兴|BSX800-1</t>
  </si>
  <si>
    <t>衣架</t>
  </si>
  <si>
    <t>0|0|塑胶件S472衣架|无牌</t>
  </si>
  <si>
    <t>移印底模</t>
  </si>
  <si>
    <t>移印钢板</t>
  </si>
  <si>
    <t>0|0|非工业用|钢铁制|冲压</t>
  </si>
  <si>
    <t>印蝴蝶绣花章</t>
  </si>
  <si>
    <t>印甲虫绣花章</t>
  </si>
  <si>
    <t>印蚂蚁绣花章</t>
  </si>
  <si>
    <t>印毛毛虫绣花章</t>
  </si>
  <si>
    <t>印蜜峰绣花章</t>
  </si>
  <si>
    <t>硬墨-C蓝色</t>
  </si>
  <si>
    <t>硬墨-K黑色</t>
  </si>
  <si>
    <t>硬墨-Lc浅蓝</t>
  </si>
  <si>
    <t>硬墨-Lm浅红</t>
  </si>
  <si>
    <t>硬墨-M红色</t>
  </si>
  <si>
    <t>硬墨-V光油</t>
  </si>
  <si>
    <t>硬墨-W白色</t>
  </si>
  <si>
    <t>硬墨-Y黄色</t>
  </si>
  <si>
    <t>硬墨-清洗液</t>
  </si>
  <si>
    <t>泳游圈面超声模夹具</t>
  </si>
  <si>
    <t>油箱平台与左油箱装配打胶水保压夹具（1出4）</t>
  </si>
  <si>
    <t>油箱平台与左油箱装配打胶水夹具</t>
  </si>
  <si>
    <t>油性拷贝纸</t>
  </si>
  <si>
    <t>0|0|纸制|印制|55*36cm</t>
  </si>
  <si>
    <t>0|0|纸制|长方形|L1194*889MM</t>
  </si>
  <si>
    <t>油性雪梨纸530*370MM</t>
  </si>
  <si>
    <t>0|0|纸制|长方形|560MM*270MM</t>
  </si>
  <si>
    <t>游泳马里奥 大合叶模</t>
  </si>
  <si>
    <t>游泳马里奥 大夹模</t>
  </si>
  <si>
    <t>游泳马里奥 中边模</t>
  </si>
  <si>
    <t>游泳马里奥 中合叶模</t>
  </si>
  <si>
    <t>右车轮打螺丝底模</t>
  </si>
  <si>
    <t>右脚超声模</t>
  </si>
  <si>
    <t>右脚打介子螺丝底模</t>
  </si>
  <si>
    <t>右手超声摸</t>
  </si>
  <si>
    <t>右烟囱啤T钉夹具</t>
  </si>
  <si>
    <t>右烟囱与右油箱装配打螺丝底模</t>
  </si>
  <si>
    <t>右烟囱装配打螺丝</t>
  </si>
  <si>
    <t>右油箱盖热烫底模</t>
  </si>
  <si>
    <t>与泳游圈底超声模夹具</t>
  </si>
  <si>
    <t>圆柄钳</t>
  </si>
  <si>
    <t>圆卡-FSC</t>
  </si>
  <si>
    <t>圆轮后轮签板</t>
  </si>
  <si>
    <t>圆轮前轮签板</t>
  </si>
  <si>
    <t>圆形LOGO贴纸</t>
  </si>
  <si>
    <t>0|0|纸制|印制|30mm*30mm</t>
  </si>
  <si>
    <t>圆形PETG镜片</t>
  </si>
  <si>
    <t>圆形杯超声上下模</t>
  </si>
  <si>
    <t>越野车车底打PCB底模</t>
  </si>
  <si>
    <t>越野车车底压电池片夹具</t>
  </si>
  <si>
    <t>越野车车顶打车顶架螺丝底模</t>
  </si>
  <si>
    <t>越野车车斗、车斗护栏打螺丝底模</t>
  </si>
  <si>
    <t>越野车车架打座椅 、滤气管螺丝底模</t>
  </si>
  <si>
    <t>越野车车轮冲轮皮夹具（后）</t>
  </si>
  <si>
    <t>越野车车轮冲轮皮夹具（前）</t>
  </si>
  <si>
    <t>越野车车轮装轮胎夹具（后）</t>
  </si>
  <si>
    <t>越野车车轮装轮胎夹具（前）</t>
  </si>
  <si>
    <t>越野车车头、车架打车顶架螺丝底模</t>
  </si>
  <si>
    <t>越野车车头打仪表台螺丝底模</t>
  </si>
  <si>
    <t>越野车打车底盘螺丝底模</t>
  </si>
  <si>
    <t>越野车底模</t>
  </si>
  <si>
    <t>越野车电池盖打介子底模</t>
  </si>
  <si>
    <t>越野车钢板</t>
  </si>
  <si>
    <t>越野车后轮冲压夹具</t>
  </si>
  <si>
    <t>越野车螺母塞热烫夹具</t>
  </si>
  <si>
    <t>越野车头连杆打喇叭、喇叭压盖螺丝底模</t>
  </si>
  <si>
    <t>越野车尾箱压搓花轴夹具</t>
  </si>
  <si>
    <t>越野车吸塑托</t>
  </si>
  <si>
    <t xml:space="preserve">越野车右前轮转向打螺丝底模
</t>
  </si>
  <si>
    <t>越野车转向轴压方向盘夹具</t>
  </si>
  <si>
    <t xml:space="preserve">越野车左前轮转向打螺丝底模
</t>
  </si>
  <si>
    <t>云朵超声上下模</t>
  </si>
  <si>
    <t>扎带</t>
  </si>
  <si>
    <t>珍珠棉</t>
  </si>
  <si>
    <t>0|0|聚乙烯|片状|是|泡沫塑料|填充材料、防护材料|400*300MM，厚度1.0mm|无牌|无型号</t>
  </si>
  <si>
    <t>真空吸盘</t>
  </si>
  <si>
    <t>支撑啤卡</t>
  </si>
  <si>
    <t>直柄焊枪</t>
  </si>
  <si>
    <t>1|0|工业用|合金钢制|是|ANSHUN|936A</t>
  </si>
  <si>
    <t>纸咭</t>
  </si>
  <si>
    <t>纸绳1.2MM</t>
  </si>
  <si>
    <t>0|0|纸制|长条型|1.2mm</t>
  </si>
  <si>
    <t>纸绳1.5MM</t>
  </si>
  <si>
    <t>0|0|材质：纸制|长条形|成卷7000米||</t>
  </si>
  <si>
    <t>纸绳1.6MM</t>
  </si>
  <si>
    <t>0|0|纸制|长条型|1.6mm</t>
  </si>
  <si>
    <t>纸绳1MM</t>
  </si>
  <si>
    <t>0|0|纸制|长条型|1mm</t>
  </si>
  <si>
    <t>纸绳2.0MM</t>
  </si>
  <si>
    <t>0|0|纸制|长条型|2.0mm</t>
  </si>
  <si>
    <t>纸绳3.0MM</t>
  </si>
  <si>
    <t>0|0|材质：纸制|长条形|成卷42000米||</t>
  </si>
  <si>
    <t>纸绳-3.0MM</t>
  </si>
  <si>
    <t>0|0|纸制|长条型|3.0MM</t>
  </si>
  <si>
    <t>纸箱内支撑卡</t>
  </si>
  <si>
    <t>0|0|纸制|印制|490mm*168mm</t>
  </si>
  <si>
    <t>中边模</t>
  </si>
  <si>
    <t>中夹模</t>
  </si>
  <si>
    <t>中间加强卡</t>
  </si>
  <si>
    <t>终端扫码器</t>
  </si>
  <si>
    <t>0|0|无牌|无型号</t>
  </si>
  <si>
    <t>周转托盘吸塑</t>
  </si>
  <si>
    <t>注塑机模具</t>
  </si>
  <si>
    <t>0|0|制造塑胶制品|塑胶类|无品牌|MK-KIT8-101132/101133-1|材质：钢材|将材料注入模具，模具自动成型，然后产出成型的产品</t>
  </si>
  <si>
    <t>注塑机配件</t>
  </si>
  <si>
    <t>0|0|工业用，用于注塑机|无牌|无型号</t>
  </si>
  <si>
    <t xml:space="preserve">注塑机圆形发热圈 </t>
  </si>
  <si>
    <t>转移膜－金色</t>
  </si>
  <si>
    <t>转移膜－银色</t>
  </si>
  <si>
    <t>转移膜－紫色渐变色</t>
  </si>
  <si>
    <t>装配发条夹具</t>
  </si>
  <si>
    <t>装载机车底签板</t>
  </si>
  <si>
    <t>装载机车电池盖打螺丝底模</t>
  </si>
  <si>
    <t>装载机车轮气啤机夹具(一次啤4个)</t>
  </si>
  <si>
    <t>装载机车轮气啤夹具(一次啤4个)</t>
  </si>
  <si>
    <t>装载机车轮签板</t>
  </si>
  <si>
    <t>装载机车身签板</t>
  </si>
  <si>
    <t>装载机成品签板</t>
  </si>
  <si>
    <t>装载机发动机盖签板</t>
  </si>
  <si>
    <t>装载机驾驶室签板</t>
  </si>
  <si>
    <t>装载机前铲臂配左、右座窝钉手啤模</t>
  </si>
  <si>
    <t>装载机前铲臂签板</t>
  </si>
  <si>
    <t>装载机前铲配前铲臂窝钉冲压气啤夹具</t>
  </si>
  <si>
    <t>子板</t>
  </si>
  <si>
    <t>子母扣5寸</t>
  </si>
  <si>
    <t>子母扣绳圆头</t>
  </si>
  <si>
    <t>0|0|固定产品|塑料胶制|无牌|无型号</t>
  </si>
  <si>
    <t>自动焊枪</t>
  </si>
  <si>
    <t>1|0|工业用|塑胶|是|黄花高洁|DN-P80C</t>
  </si>
  <si>
    <t>自动化气动剪</t>
  </si>
  <si>
    <t>1|0|气动|手提式|VLS|LF-30</t>
  </si>
  <si>
    <t>0|0|铁、塑料|松乐</t>
  </si>
  <si>
    <t>自动台面胶纸机</t>
  </si>
  <si>
    <t>0|0|工业用|无牌|ZCUT-2</t>
  </si>
  <si>
    <t>钻头</t>
  </si>
  <si>
    <t>0|0|工业用金属加工|合金钢制|是|无牌|无型号</t>
  </si>
  <si>
    <t>左侧楼梯装配打螺丝</t>
  </si>
  <si>
    <t>左车轮打螺丝底模</t>
  </si>
  <si>
    <t>左脚超声模</t>
  </si>
  <si>
    <t>左脚打介子螺丝底模</t>
  </si>
  <si>
    <t>左前车身与工具箱装配热烫夹具</t>
  </si>
  <si>
    <t>左前车身与小配件装配打螺丝底模</t>
  </si>
  <si>
    <t>左前车身装配打螺丝底模</t>
  </si>
  <si>
    <t>左手超声模</t>
  </si>
  <si>
    <t>左烟囱小管热烫夹具</t>
  </si>
  <si>
    <t>左烟囱与油箱平台装配打螺丝底模</t>
  </si>
  <si>
    <t>左烟囱装配打螺丝底模</t>
  </si>
  <si>
    <t>左右挡板装配打胶水夹具</t>
  </si>
  <si>
    <t>左右前车身装配打螺丝底模</t>
  </si>
  <si>
    <t>左右枢轴身装唧杆啤铆钉夹具</t>
  </si>
  <si>
    <t>左右枢轴身装配打螺丝底模</t>
  </si>
  <si>
    <t>座位打螺丝底模</t>
  </si>
  <si>
    <t>座椅冲压夹具</t>
  </si>
  <si>
    <t>TEL : 0760-86120185</t>
  </si>
  <si>
    <t xml:space="preserve">INVOICE </t>
  </si>
  <si>
    <t>合同号</t>
  </si>
  <si>
    <t xml:space="preserve">Date: </t>
  </si>
  <si>
    <t>清溪柜</t>
  </si>
  <si>
    <t>唛头</t>
  </si>
  <si>
    <t>数量</t>
  </si>
  <si>
    <t>数量单位</t>
  </si>
  <si>
    <t xml:space="preserve">单价/RMB </t>
  </si>
  <si>
    <t>总价/RMB</t>
  </si>
  <si>
    <t>毛重</t>
  </si>
  <si>
    <t>净重</t>
  </si>
  <si>
    <t>件数</t>
  </si>
  <si>
    <t>件数单位</t>
  </si>
  <si>
    <t>箱</t>
  </si>
  <si>
    <t>深圳市科创德科技有限公司</t>
  </si>
  <si>
    <t>Authorized Signature(s):</t>
  </si>
  <si>
    <t>销 售 合 同</t>
  </si>
  <si>
    <t>SALES CONTRACT</t>
  </si>
  <si>
    <t>卖 方:</t>
  </si>
  <si>
    <t>合同编号  S/C No :</t>
  </si>
  <si>
    <t>Seller  :</t>
  </si>
  <si>
    <t>广东省深圳市龙华区大浪街道龙胜社区龙胜综合服务大楼602</t>
  </si>
  <si>
    <t>签订日期   DATE :</t>
  </si>
  <si>
    <t>买 方:</t>
  </si>
  <si>
    <t>PT ROYAL REGENT INDONESIA</t>
  </si>
  <si>
    <t>Buyer  :</t>
  </si>
  <si>
    <t>兹经买卖双方同意所列条款达成以下交易：</t>
  </si>
  <si>
    <t>This contract is made by and between the BUYER and SELLER, in accordance with the terms and conditions stipulated below:</t>
  </si>
  <si>
    <t>1. 序号</t>
  </si>
  <si>
    <t>2. 商品编号</t>
  </si>
  <si>
    <t>3. 品名及规格/型号</t>
  </si>
  <si>
    <t>4. 数量</t>
  </si>
  <si>
    <t>5.单位</t>
  </si>
  <si>
    <t>6. 单价及价格条款</t>
  </si>
  <si>
    <t>7. 金额</t>
  </si>
  <si>
    <t>Art No.</t>
  </si>
  <si>
    <t>Commodity &amp; Specification</t>
  </si>
  <si>
    <t xml:space="preserve">QTY </t>
  </si>
  <si>
    <t xml:space="preserve"> Unit</t>
  </si>
  <si>
    <t>Unit Price / Trade Terms</t>
  </si>
  <si>
    <t>Amount</t>
  </si>
  <si>
    <t>FOB DONG GUAN</t>
  </si>
  <si>
    <t xml:space="preserve">    Total Value</t>
  </si>
  <si>
    <t>7. 包装</t>
  </si>
  <si>
    <t>8. 装运期及运输方式</t>
  </si>
  <si>
    <t>via Truck</t>
  </si>
  <si>
    <t>9 装运港及目的地</t>
  </si>
  <si>
    <t>10. 付款方式</t>
  </si>
  <si>
    <t>T/C pay, 60 days after invoice date.</t>
  </si>
  <si>
    <t>11. 备注</t>
  </si>
  <si>
    <t>未尽事宜，经双方协商解决。</t>
  </si>
  <si>
    <t xml:space="preserve">      Remarks</t>
  </si>
  <si>
    <t>E.&amp;.O.E</t>
  </si>
  <si>
    <t>The Buyer</t>
  </si>
  <si>
    <t>The Seller</t>
  </si>
  <si>
    <t>精駿企業有限公司</t>
  </si>
  <si>
    <t>ZHONG SHAN JUN TAI IMPORT&amp;EXPORT TRADING Co., LTD.</t>
  </si>
  <si>
    <t>Authorized Signature(s)</t>
  </si>
  <si>
    <t>装    箱    单</t>
  </si>
  <si>
    <t>PACKING LIST</t>
  </si>
  <si>
    <t>日 期:</t>
  </si>
  <si>
    <t>客       户</t>
  </si>
  <si>
    <t>发票编号:</t>
  </si>
  <si>
    <t>To Messrers：PT ROYAL REGENT INDONESIA</t>
  </si>
  <si>
    <t>船       名</t>
  </si>
  <si>
    <t xml:space="preserve">           至</t>
  </si>
  <si>
    <t>付    款    条    件</t>
  </si>
  <si>
    <t>Shipped by：________________   From</t>
  </si>
  <si>
    <t xml:space="preserve">            to </t>
  </si>
  <si>
    <t>Terms of Payment:__FOB_______</t>
  </si>
  <si>
    <t>项号</t>
  </si>
  <si>
    <t>货物名称及规格</t>
  </si>
  <si>
    <t>总箱数</t>
  </si>
  <si>
    <t>总数量</t>
  </si>
  <si>
    <t>总毛重</t>
  </si>
  <si>
    <t>总净重</t>
  </si>
  <si>
    <t>Ctn.No.</t>
  </si>
  <si>
    <t>Description</t>
  </si>
  <si>
    <t>Ge.Crate</t>
  </si>
  <si>
    <t>Ge.Quantity</t>
  </si>
  <si>
    <t>G.W.(KG)</t>
  </si>
  <si>
    <t xml:space="preserve">  N.W.(KG)</t>
  </si>
  <si>
    <t>Crate</t>
  </si>
  <si>
    <t>Total</t>
  </si>
  <si>
    <t>中华人民共和国海关出口货物报关单</t>
  </si>
  <si>
    <t>商检号：</t>
  </si>
  <si>
    <t>海关编号</t>
  </si>
  <si>
    <t>出口口岸</t>
  </si>
  <si>
    <t>备案号</t>
  </si>
  <si>
    <t>出口日期</t>
  </si>
  <si>
    <t>申报日期</t>
  </si>
  <si>
    <t>蛇口海关</t>
  </si>
  <si>
    <t>经营单位</t>
  </si>
  <si>
    <t>(91440300MAD2R7KL8L)</t>
  </si>
  <si>
    <t>运输方式</t>
  </si>
  <si>
    <t>运输工具名称</t>
  </si>
  <si>
    <t>提运单号</t>
  </si>
  <si>
    <t>发货单位</t>
  </si>
  <si>
    <t>贸易方式</t>
  </si>
  <si>
    <t>征免性质</t>
  </si>
  <si>
    <t>结汇方式</t>
  </si>
  <si>
    <t>一般贸易</t>
  </si>
  <si>
    <t>一般征税</t>
  </si>
  <si>
    <t>先出后结</t>
  </si>
  <si>
    <t>许可证号</t>
  </si>
  <si>
    <t>运抵国</t>
  </si>
  <si>
    <t>指运港</t>
  </si>
  <si>
    <t>境内货源地</t>
  </si>
  <si>
    <t>印度尼西亚</t>
  </si>
  <si>
    <t>深圳其他</t>
  </si>
  <si>
    <t>批准文号</t>
  </si>
  <si>
    <t>成交方式</t>
  </si>
  <si>
    <t>运费</t>
  </si>
  <si>
    <t>杂费</t>
  </si>
  <si>
    <t>FOB</t>
  </si>
  <si>
    <t>合同协议号</t>
  </si>
  <si>
    <t>包装种类</t>
  </si>
  <si>
    <t>袋/箱</t>
  </si>
  <si>
    <t>集装箱号</t>
  </si>
  <si>
    <t>随附单据</t>
  </si>
  <si>
    <t>生产厂家</t>
  </si>
  <si>
    <t>标记唛码及备注</t>
  </si>
  <si>
    <t>100%国料【申请退税】包装:袋/箱</t>
  </si>
  <si>
    <t>商品编码</t>
  </si>
  <si>
    <t>商品名称、规格型号</t>
  </si>
  <si>
    <t>数量及单位</t>
  </si>
  <si>
    <t>原产国</t>
  </si>
  <si>
    <t>最终目的国</t>
  </si>
  <si>
    <t>单价</t>
  </si>
  <si>
    <t>总价</t>
  </si>
  <si>
    <t>币制</t>
  </si>
  <si>
    <t>征免</t>
  </si>
  <si>
    <t>中国</t>
  </si>
  <si>
    <t>USD</t>
  </si>
  <si>
    <t>照章征税</t>
  </si>
  <si>
    <t>税费征收情况</t>
  </si>
  <si>
    <t>录入员                录入单位</t>
  </si>
  <si>
    <t>兹声明以上申报无讹并承担法律责任</t>
  </si>
  <si>
    <t>海关审单批注及放行日期（盖章）</t>
  </si>
  <si>
    <t>报关员</t>
  </si>
  <si>
    <t>审单</t>
  </si>
  <si>
    <t>审价</t>
  </si>
  <si>
    <t>申报单位（盖章）</t>
  </si>
  <si>
    <t>征税</t>
  </si>
  <si>
    <t>统计</t>
  </si>
  <si>
    <t>单位地址</t>
  </si>
  <si>
    <t>查验</t>
  </si>
  <si>
    <t>放行</t>
  </si>
  <si>
    <t>邮编</t>
  </si>
  <si>
    <t>电话</t>
  </si>
  <si>
    <t>填制日期</t>
  </si>
  <si>
    <t>订舱号：</t>
  </si>
  <si>
    <t>柜号：</t>
  </si>
  <si>
    <t>MAGU2543655</t>
  </si>
  <si>
    <t>封条：</t>
  </si>
  <si>
    <t>CN4690610</t>
  </si>
  <si>
    <t>柜重：</t>
  </si>
  <si>
    <t>柜型：</t>
  </si>
  <si>
    <t>20GP</t>
  </si>
  <si>
    <t>司机：</t>
  </si>
  <si>
    <t>陈志伟</t>
  </si>
  <si>
    <t>电话：</t>
  </si>
  <si>
    <t>车牌：</t>
  </si>
  <si>
    <t>粤BFS571</t>
  </si>
  <si>
    <t>原单位</t>
  </si>
  <si>
    <t>填表单位</t>
  </si>
  <si>
    <t>千克</t>
  </si>
  <si>
    <t>吨</t>
  </si>
  <si>
    <t>GRM</t>
  </si>
  <si>
    <t>克</t>
  </si>
  <si>
    <t>个</t>
  </si>
  <si>
    <t>套</t>
  </si>
  <si>
    <t>PRS</t>
  </si>
  <si>
    <t>双</t>
  </si>
  <si>
    <t>DZN</t>
  </si>
  <si>
    <t>打</t>
  </si>
  <si>
    <t>BOX</t>
  </si>
  <si>
    <t>CTN</t>
  </si>
  <si>
    <t>BAG</t>
  </si>
  <si>
    <t>袋</t>
  </si>
  <si>
    <t>PKG</t>
  </si>
  <si>
    <t>件</t>
  </si>
  <si>
    <t>ROL</t>
  </si>
  <si>
    <t>MTR</t>
  </si>
  <si>
    <t>米</t>
  </si>
  <si>
    <t>MTK</t>
  </si>
  <si>
    <t>平方米</t>
  </si>
  <si>
    <t>MTQ</t>
  </si>
  <si>
    <t>立方米</t>
  </si>
  <si>
    <t>LTR</t>
  </si>
  <si>
    <t>升</t>
  </si>
  <si>
    <t>NMB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</si>
</sst>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2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[$HK$-C04]#,##0.000_);[Red]\([$HK$-C04]#,##0.000\)"/>
    <numFmt numFmtId="179" formatCode="[$HK$-C04]#,##0.00_);[Red]\([$HK$-C04]#,##0.00\)"/>
    <numFmt numFmtId="180" formatCode="[$HK$-C04]#,##0;\-[$HK$-C04]#,##0"/>
    <numFmt numFmtId="181" formatCode="0.000_ "/>
    <numFmt numFmtId="182" formatCode="0.0_ "/>
    <numFmt numFmtId="183" formatCode="0.00_ "/>
    <numFmt numFmtId="184" formatCode="0_ "/>
    <numFmt numFmtId="185" formatCode="General\ &quot;KG&quot;"/>
    <numFmt numFmtId="186" formatCode="mmm/dd/yyyy"/>
    <numFmt numFmtId="187" formatCode="&quot;US$&quot;#,##0.00_);[Red]\(&quot;US$&quot;#,##0.00\)"/>
    <numFmt numFmtId="188" formatCode="0.00_);[Red]\(0.00\)"/>
    <numFmt numFmtId="189" formatCode="0.0000_ "/>
    <numFmt numFmtId="190" formatCode="#,##0.00_ "/>
    <numFmt numFmtId="191" formatCode="yyyy/m/d;@"/>
    <numFmt numFmtId="192" formatCode="0.000000_ "/>
    <numFmt numFmtId="193" formatCode="[$HK$-C04]#,##0.0;\-[$HK$-C04]#,##0.0"/>
    <numFmt numFmtId="194" formatCode="[$HK$-C04]#,##0.00;\-[$HK$-C04]#,##0.00"/>
    <numFmt numFmtId="195" formatCode="&quot;US$&quot;#,##0.00;\-&quot;US$&quot;#,##0.00"/>
    <numFmt numFmtId="196" formatCode="&quot;US$&quot;#,##0.0000_);[Red]\(&quot;US$&quot;#,##0.0000\)"/>
    <numFmt numFmtId="197" formatCode="dd/mm/yyyy"/>
    <numFmt numFmtId="198" formatCode="&quot;￥&quot;#,##0.00;[Red]&quot;￥&quot;#,##0.00"/>
    <numFmt numFmtId="199" formatCode="&quot;US$&quot;#,##0.000_);[Red]\(&quot;US$&quot;#,##0.000\)"/>
    <numFmt numFmtId="200" formatCode="0_);[Red]\(0\)"/>
    <numFmt numFmtId="201" formatCode="0.00_)"/>
    <numFmt numFmtId="202" formatCode="______@"/>
    <numFmt numFmtId="203" formatCode="__@"/>
    <numFmt numFmtId="204" formatCode="____@"/>
    <numFmt numFmtId="205" formatCode="________@"/>
    <numFmt numFmtId="206" formatCode="&quot;US$&quot;#,##0.000;\-&quot;US$&quot;#,##0.000"/>
    <numFmt numFmtId="207" formatCode="&quot;US$&quot;#,##0.0000;\-&quot;US$&quot;#,##0.0000"/>
    <numFmt numFmtId="208" formatCode="[DBNum2][$RMB]General;[Red][DBNum2][$RMB]General"/>
    <numFmt numFmtId="209" formatCode="yyyy&quot;年&quot;m&quot;月&quot;d&quot;日&quot;;@"/>
    <numFmt numFmtId="210" formatCode="_-&quot;$&quot;* #,##0.00_ ;_-&quot;$&quot;* \-#,##0.00\ ;_-&quot;$&quot;* &quot;-&quot;??_ ;_-@_ "/>
    <numFmt numFmtId="211" formatCode="[$USD]\ #,##0.00;[$USD]\ \-#,##0.00"/>
    <numFmt numFmtId="212" formatCode="_ * #,##0.0_ ;_ * \-#,##0.0_ ;_ * &quot;-&quot;??_ ;_ @_ "/>
    <numFmt numFmtId="213" formatCode="#,##0.00000000_ "/>
  </numFmts>
  <fonts count="14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sz val="11"/>
      <name val="Arial Narrow"/>
      <charset val="134"/>
    </font>
    <font>
      <sz val="9"/>
      <name val="Arial Narrow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10"/>
      <name val="Helv"/>
      <charset val="134"/>
    </font>
    <font>
      <b/>
      <sz val="16"/>
      <name val="Arial Narrow"/>
      <charset val="134"/>
    </font>
    <font>
      <sz val="9"/>
      <name val="宋体"/>
      <charset val="134"/>
    </font>
    <font>
      <b/>
      <sz val="10"/>
      <name val="宋体"/>
      <charset val="134"/>
    </font>
    <font>
      <sz val="10.5"/>
      <color indexed="62"/>
      <name val="Calibri"/>
      <charset val="134"/>
    </font>
    <font>
      <sz val="10.5"/>
      <color indexed="62"/>
      <name val="宋体"/>
      <charset val="134"/>
    </font>
    <font>
      <b/>
      <sz val="18"/>
      <name val="Arial Narrow"/>
      <charset val="134"/>
    </font>
    <font>
      <b/>
      <sz val="13.5"/>
      <color indexed="39"/>
      <name val="PMingLiU"/>
      <charset val="134"/>
    </font>
    <font>
      <sz val="14"/>
      <name val="Arial Narrow"/>
      <charset val="134"/>
    </font>
    <font>
      <sz val="10"/>
      <name val="Arial Narrow"/>
      <charset val="134"/>
    </font>
    <font>
      <sz val="11"/>
      <name val="宋体"/>
      <charset val="134"/>
    </font>
    <font>
      <sz val="11"/>
      <name val="Times New Roman"/>
      <charset val="134"/>
    </font>
    <font>
      <sz val="10"/>
      <name val="宋体"/>
      <charset val="134"/>
    </font>
    <font>
      <b/>
      <sz val="26"/>
      <name val="宋体"/>
      <charset val="134"/>
    </font>
    <font>
      <b/>
      <u/>
      <sz val="18"/>
      <name val="Times New Roman"/>
      <charset val="134"/>
    </font>
    <font>
      <b/>
      <sz val="12"/>
      <name val="新宋体"/>
      <charset val="134"/>
    </font>
    <font>
      <b/>
      <sz val="10"/>
      <name val="新宋体"/>
      <charset val="134"/>
    </font>
    <font>
      <b/>
      <sz val="20"/>
      <name val="新宋体"/>
      <charset val="134"/>
    </font>
    <font>
      <b/>
      <sz val="13"/>
      <name val="新宋体"/>
      <charset val="134"/>
    </font>
    <font>
      <b/>
      <sz val="18"/>
      <name val="新宋体"/>
      <charset val="134"/>
    </font>
    <font>
      <b/>
      <sz val="9"/>
      <name val="新宋体"/>
      <charset val="134"/>
    </font>
    <font>
      <b/>
      <sz val="14"/>
      <name val="新宋体"/>
      <charset val="134"/>
    </font>
    <font>
      <b/>
      <sz val="10.5"/>
      <name val="新宋体"/>
      <charset val="134"/>
    </font>
    <font>
      <b/>
      <i/>
      <sz val="10"/>
      <name val="新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等线"/>
      <charset val="134"/>
    </font>
    <font>
      <b/>
      <sz val="12"/>
      <name val="等线"/>
      <charset val="134"/>
    </font>
    <font>
      <b/>
      <sz val="12"/>
      <name val="黑体"/>
      <charset val="134"/>
    </font>
    <font>
      <b/>
      <sz val="12"/>
      <color rgb="FFFF0000"/>
      <name val="等线"/>
      <charset val="134"/>
    </font>
    <font>
      <b/>
      <sz val="12"/>
      <color theme="1"/>
      <name val="宋体"/>
      <charset val="134"/>
    </font>
    <font>
      <b/>
      <sz val="11"/>
      <color rgb="FFFF0000"/>
      <name val="等线"/>
      <charset val="134"/>
    </font>
    <font>
      <b/>
      <sz val="10"/>
      <color rgb="FFFF0000"/>
      <name val="等线"/>
      <charset val="134"/>
    </font>
    <font>
      <b/>
      <i/>
      <sz val="12"/>
      <name val="宋体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b/>
      <sz val="11"/>
      <color rgb="FF000000"/>
      <name val="等线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2"/>
      <color rgb="FF000000"/>
      <name val="等线"/>
      <charset val="134"/>
    </font>
    <font>
      <b/>
      <sz val="16"/>
      <color rgb="FF5307B2"/>
      <name val="等线"/>
      <charset val="134"/>
    </font>
    <font>
      <b/>
      <sz val="16"/>
      <name val="等线"/>
      <charset val="134"/>
    </font>
    <font>
      <b/>
      <sz val="11"/>
      <name val="微软雅黑"/>
      <charset val="134"/>
    </font>
    <font>
      <sz val="12"/>
      <color rgb="FF000000"/>
      <name val="等线"/>
      <charset val="134"/>
    </font>
    <font>
      <sz val="12"/>
      <color theme="1"/>
      <name val="等线"/>
      <charset val="134"/>
    </font>
    <font>
      <b/>
      <sz val="16"/>
      <color theme="1"/>
      <name val="等线"/>
      <charset val="134"/>
    </font>
    <font>
      <sz val="11"/>
      <color rgb="FF000000"/>
      <name val="等线"/>
      <charset val="134"/>
    </font>
    <font>
      <b/>
      <sz val="20"/>
      <color theme="1"/>
      <name val="等线"/>
      <charset val="134"/>
    </font>
    <font>
      <sz val="11"/>
      <color theme="1"/>
      <name val="等线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等线"/>
      <charset val="0"/>
    </font>
    <font>
      <b/>
      <sz val="14"/>
      <name val="等线"/>
      <charset val="0"/>
    </font>
    <font>
      <b/>
      <sz val="16"/>
      <name val="等线"/>
      <charset val="0"/>
    </font>
    <font>
      <b/>
      <sz val="13"/>
      <name val="等线"/>
      <charset val="134"/>
    </font>
    <font>
      <b/>
      <sz val="8"/>
      <name val="等线"/>
      <charset val="134"/>
    </font>
    <font>
      <b/>
      <sz val="10"/>
      <name val="等线"/>
      <charset val="134"/>
    </font>
    <font>
      <b/>
      <sz val="6"/>
      <name val="等线"/>
      <charset val="134"/>
    </font>
    <font>
      <b/>
      <sz val="9"/>
      <name val="等线"/>
      <charset val="134"/>
    </font>
    <font>
      <b/>
      <sz val="10"/>
      <name val="等线"/>
      <charset val="0"/>
    </font>
    <font>
      <b/>
      <sz val="14"/>
      <color theme="1"/>
      <name val="等线"/>
      <charset val="134"/>
    </font>
    <font>
      <sz val="13"/>
      <color theme="1"/>
      <name val="宋体"/>
      <charset val="134"/>
      <scheme val="minor"/>
    </font>
    <font>
      <b/>
      <sz val="24"/>
      <name val="等线"/>
      <charset val="204"/>
    </font>
    <font>
      <b/>
      <sz val="18"/>
      <name val="等线"/>
      <charset val="134"/>
    </font>
    <font>
      <b/>
      <sz val="14"/>
      <name val="等线"/>
      <charset val="134"/>
    </font>
    <font>
      <b/>
      <sz val="20"/>
      <name val="等线"/>
      <charset val="134"/>
    </font>
    <font>
      <b/>
      <sz val="17"/>
      <name val="等线"/>
      <charset val="134"/>
    </font>
    <font>
      <b/>
      <sz val="14"/>
      <color rgb="FF000000"/>
      <name val="等线"/>
      <charset val="204"/>
    </font>
    <font>
      <b/>
      <sz val="14"/>
      <name val="等线"/>
      <charset val="204"/>
    </font>
    <font>
      <sz val="13"/>
      <name val="宋体"/>
      <charset val="134"/>
      <scheme val="minor"/>
    </font>
    <font>
      <sz val="14"/>
      <name val="宋体"/>
      <charset val="134"/>
      <scheme val="minor"/>
    </font>
    <font>
      <b/>
      <sz val="11"/>
      <name val="等线"/>
      <charset val="204"/>
    </font>
    <font>
      <b/>
      <sz val="11"/>
      <color rgb="FF000000"/>
      <name val="等线"/>
      <charset val="204"/>
    </font>
    <font>
      <b/>
      <sz val="14"/>
      <color rgb="FF000000"/>
      <name val="等线"/>
      <charset val="134"/>
    </font>
    <font>
      <b/>
      <sz val="13"/>
      <name val="等线"/>
      <charset val="204"/>
    </font>
    <font>
      <b/>
      <sz val="24"/>
      <name val="等线"/>
      <charset val="134"/>
    </font>
    <font>
      <b/>
      <sz val="12"/>
      <name val="等线"/>
      <charset val="0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color rgb="FF000000"/>
      <name val="宋体"/>
      <charset val="134"/>
    </font>
    <font>
      <b/>
      <sz val="11.05"/>
      <color rgb="FF000000"/>
      <name val="Arial"/>
      <charset val="134"/>
    </font>
    <font>
      <b/>
      <sz val="14"/>
      <color indexed="8"/>
      <name val="等线"/>
      <charset val="134"/>
    </font>
    <font>
      <b/>
      <sz val="12"/>
      <color indexed="8"/>
      <name val="等线"/>
      <charset val="134"/>
    </font>
    <font>
      <sz val="12"/>
      <color theme="1"/>
      <name val="宋体"/>
      <charset val="134"/>
      <scheme val="minor"/>
    </font>
    <font>
      <b/>
      <sz val="13"/>
      <color rgb="FF000000"/>
      <name val="等线"/>
      <charset val="134"/>
    </font>
    <font>
      <sz val="11"/>
      <color rgb="FF000000"/>
      <name val="Calibri"/>
      <charset val="134"/>
    </font>
    <font>
      <b/>
      <sz val="18"/>
      <color rgb="FF000000"/>
      <name val="等线"/>
      <charset val="134"/>
    </font>
    <font>
      <b/>
      <sz val="12"/>
      <color rgb="FF000000"/>
      <name val="Calibri"/>
      <charset val="134"/>
    </font>
    <font>
      <b/>
      <sz val="12"/>
      <color rgb="FF5307B2"/>
      <name val="等线"/>
      <charset val="134"/>
    </font>
    <font>
      <b/>
      <strike/>
      <sz val="12"/>
      <color rgb="FFFF0000"/>
      <name val="等线"/>
      <charset val="134"/>
    </font>
    <font>
      <sz val="12"/>
      <color rgb="FF000000"/>
      <name val="宋体"/>
      <charset val="134"/>
      <scheme val="minor"/>
    </font>
    <font>
      <b/>
      <sz val="20"/>
      <color rgb="FF000000"/>
      <name val="等线"/>
      <charset val="134"/>
    </font>
    <font>
      <sz val="11"/>
      <color rgb="FF000000"/>
      <name val="宋体"/>
      <charset val="134"/>
      <scheme val="minor"/>
    </font>
    <font>
      <b/>
      <sz val="10"/>
      <color rgb="FF000000"/>
      <name val="等线"/>
      <charset val="134"/>
    </font>
    <font>
      <b/>
      <sz val="26"/>
      <color rgb="FF000000"/>
      <name val="等线"/>
      <charset val="134"/>
    </font>
    <font>
      <sz val="10"/>
      <color rgb="FF000000"/>
      <name val="宋体"/>
      <charset val="134"/>
      <scheme val="minor"/>
    </font>
    <font>
      <b/>
      <sz val="16"/>
      <color rgb="FFFF0000"/>
      <name val="等线"/>
      <charset val="134"/>
    </font>
    <font>
      <b/>
      <sz val="22"/>
      <color rgb="FF000000"/>
      <name val="汉仪书宋二KW"/>
      <charset val="134"/>
    </font>
    <font>
      <b/>
      <sz val="22"/>
      <color rgb="FF000000"/>
      <name val="等线"/>
      <charset val="134"/>
    </font>
    <font>
      <b/>
      <sz val="22"/>
      <color theme="1"/>
      <name val="等线"/>
      <charset val="134"/>
    </font>
    <font>
      <b/>
      <sz val="10"/>
      <color rgb="FF000000"/>
      <name val="宋体"/>
      <charset val="134"/>
      <scheme val="minor"/>
    </font>
    <font>
      <b/>
      <sz val="18"/>
      <color rgb="FFFF0000"/>
      <name val="等线"/>
      <charset val="134"/>
    </font>
    <font>
      <sz val="20"/>
      <color theme="1"/>
      <name val="等线"/>
      <charset val="134"/>
    </font>
    <font>
      <b/>
      <sz val="18"/>
      <color theme="1"/>
      <name val="等线"/>
      <charset val="134"/>
    </font>
    <font>
      <b/>
      <sz val="10"/>
      <color rgb="FF000000"/>
      <name val="黑体"/>
      <charset val="134"/>
    </font>
    <font>
      <b/>
      <sz val="24"/>
      <color theme="1"/>
      <name val="等线"/>
      <charset val="134"/>
    </font>
    <font>
      <b/>
      <sz val="26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新細明體"/>
      <charset val="134"/>
    </font>
    <font>
      <sz val="12"/>
      <name val="新細明體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b/>
      <sz val="11"/>
      <color rgb="FF000000"/>
      <name val="宋体"/>
      <charset val="134"/>
      <scheme val="minor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B18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0" fillId="14" borderId="108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109" applyNumberFormat="0" applyFill="0" applyAlignment="0" applyProtection="0">
      <alignment vertical="center"/>
    </xf>
    <xf numFmtId="0" fontId="121" fillId="0" borderId="109" applyNumberFormat="0" applyFill="0" applyAlignment="0" applyProtection="0">
      <alignment vertical="center"/>
    </xf>
    <xf numFmtId="0" fontId="122" fillId="0" borderId="110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15" borderId="111" applyNumberFormat="0" applyAlignment="0" applyProtection="0">
      <alignment vertical="center"/>
    </xf>
    <xf numFmtId="0" fontId="124" fillId="16" borderId="112" applyNumberFormat="0" applyAlignment="0" applyProtection="0">
      <alignment vertical="center"/>
    </xf>
    <xf numFmtId="0" fontId="125" fillId="16" borderId="111" applyNumberFormat="0" applyAlignment="0" applyProtection="0">
      <alignment vertical="center"/>
    </xf>
    <xf numFmtId="0" fontId="126" fillId="17" borderId="113" applyNumberFormat="0" applyAlignment="0" applyProtection="0">
      <alignment vertical="center"/>
    </xf>
    <xf numFmtId="0" fontId="127" fillId="0" borderId="114" applyNumberFormat="0" applyFill="0" applyAlignment="0" applyProtection="0">
      <alignment vertical="center"/>
    </xf>
    <xf numFmtId="0" fontId="128" fillId="0" borderId="115" applyNumberFormat="0" applyFill="0" applyAlignment="0" applyProtection="0">
      <alignment vertical="center"/>
    </xf>
    <xf numFmtId="0" fontId="129" fillId="18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2" fillId="21" borderId="0" applyNumberFormat="0" applyBorder="0" applyAlignment="0" applyProtection="0">
      <alignment vertical="center"/>
    </xf>
    <xf numFmtId="0" fontId="133" fillId="22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5" borderId="0" applyNumberFormat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29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2" fillId="33" borderId="0" applyNumberFormat="0" applyBorder="0" applyAlignment="0" applyProtection="0">
      <alignment vertical="center"/>
    </xf>
    <xf numFmtId="0" fontId="133" fillId="34" borderId="0" applyNumberFormat="0" applyBorder="0" applyAlignment="0" applyProtection="0">
      <alignment vertical="center"/>
    </xf>
    <xf numFmtId="0" fontId="133" fillId="35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3" fillId="38" borderId="0" applyNumberFormat="0" applyBorder="0" applyAlignment="0" applyProtection="0">
      <alignment vertical="center"/>
    </xf>
    <xf numFmtId="0" fontId="133" fillId="39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3" fillId="42" borderId="0" applyNumberFormat="0" applyBorder="0" applyAlignment="0" applyProtection="0">
      <alignment vertical="center"/>
    </xf>
    <xf numFmtId="0" fontId="133" fillId="43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" fillId="0" borderId="0">
      <alignment vertical="center"/>
    </xf>
    <xf numFmtId="178" fontId="8" fillId="0" borderId="0">
      <alignment vertical="center"/>
    </xf>
    <xf numFmtId="0" fontId="1" fillId="0" borderId="0"/>
    <xf numFmtId="0" fontId="1" fillId="0" borderId="0"/>
    <xf numFmtId="0" fontId="134" fillId="0" borderId="0"/>
    <xf numFmtId="0" fontId="10" fillId="0" borderId="0">
      <alignment vertical="center"/>
    </xf>
    <xf numFmtId="0" fontId="8" fillId="0" borderId="0">
      <alignment vertical="center"/>
    </xf>
    <xf numFmtId="179" fontId="135" fillId="0" borderId="0"/>
    <xf numFmtId="0" fontId="1" fillId="0" borderId="0"/>
    <xf numFmtId="0" fontId="8" fillId="0" borderId="0"/>
    <xf numFmtId="0" fontId="136" fillId="0" borderId="0"/>
    <xf numFmtId="180" fontId="137" fillId="0" borderId="0">
      <alignment vertical="top"/>
    </xf>
    <xf numFmtId="0" fontId="138" fillId="0" borderId="0"/>
    <xf numFmtId="0" fontId="0" fillId="0" borderId="0">
      <alignment vertical="center"/>
    </xf>
    <xf numFmtId="0" fontId="138" fillId="0" borderId="0"/>
    <xf numFmtId="0" fontId="1" fillId="0" borderId="0"/>
    <xf numFmtId="0" fontId="8" fillId="0" borderId="0"/>
    <xf numFmtId="0" fontId="1" fillId="0" borderId="0">
      <alignment vertical="center"/>
    </xf>
    <xf numFmtId="0" fontId="138" fillId="0" borderId="0"/>
    <xf numFmtId="0" fontId="1" fillId="0" borderId="0"/>
  </cellStyleXfs>
  <cellXfs count="126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65" applyFont="1" applyAlignment="1">
      <alignment horizontal="center" vertical="center"/>
    </xf>
    <xf numFmtId="0" fontId="5" fillId="0" borderId="0" xfId="65" applyFont="1" applyAlignment="1">
      <alignment horizontal="center" vertical="center"/>
    </xf>
    <xf numFmtId="0" fontId="6" fillId="0" borderId="0" xfId="65" applyFont="1" applyAlignment="1">
      <alignment horizontal="center" vertical="center"/>
    </xf>
    <xf numFmtId="0" fontId="5" fillId="0" borderId="0" xfId="65" applyFont="1" applyAlignment="1">
      <alignment horizontal="left" vertical="center"/>
    </xf>
    <xf numFmtId="0" fontId="7" fillId="0" borderId="0" xfId="65" applyFont="1" applyAlignment="1">
      <alignment horizontal="center" vertical="center"/>
    </xf>
    <xf numFmtId="181" fontId="6" fillId="0" borderId="0" xfId="65" applyNumberFormat="1" applyFont="1" applyAlignment="1">
      <alignment horizontal="center" vertical="center"/>
    </xf>
    <xf numFmtId="0" fontId="3" fillId="0" borderId="0" xfId="65" applyFont="1" applyAlignment="1">
      <alignment horizontal="center" vertical="center" wrapText="1"/>
    </xf>
    <xf numFmtId="181" fontId="4" fillId="0" borderId="0" xfId="65" applyNumberFormat="1" applyFont="1" applyAlignment="1">
      <alignment horizontal="center" vertical="center"/>
    </xf>
    <xf numFmtId="0" fontId="6" fillId="0" borderId="2" xfId="65" applyFont="1" applyBorder="1" applyAlignment="1">
      <alignment horizontal="center" vertical="center"/>
    </xf>
    <xf numFmtId="0" fontId="1" fillId="0" borderId="2" xfId="0" applyFont="1" applyFill="1" applyBorder="1" applyAlignment="1"/>
    <xf numFmtId="0" fontId="8" fillId="0" borderId="2" xfId="65" applyBorder="1" applyAlignment="1">
      <alignment horizontal="right" vertical="center"/>
    </xf>
    <xf numFmtId="181" fontId="6" fillId="0" borderId="2" xfId="65" applyNumberFormat="1" applyFont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protection locked="0"/>
    </xf>
    <xf numFmtId="0" fontId="8" fillId="0" borderId="2" xfId="65" applyBorder="1" applyAlignment="1">
      <alignment horizontal="center" vertical="center"/>
    </xf>
    <xf numFmtId="0" fontId="9" fillId="0" borderId="2" xfId="65" applyFont="1" applyBorder="1" applyAlignment="1" applyProtection="1">
      <alignment horizontal="center" vertical="center"/>
      <protection locked="0"/>
    </xf>
    <xf numFmtId="0" fontId="10" fillId="0" borderId="3" xfId="65" applyFont="1" applyBorder="1" applyAlignment="1">
      <alignment horizontal="left" vertical="center"/>
    </xf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0" fillId="0" borderId="6" xfId="65" applyFont="1" applyBorder="1" applyAlignment="1">
      <alignment horizontal="left" vertical="center"/>
    </xf>
    <xf numFmtId="181" fontId="1" fillId="0" borderId="4" xfId="0" applyNumberFormat="1" applyFont="1" applyFill="1" applyBorder="1" applyAlignment="1"/>
    <xf numFmtId="0" fontId="10" fillId="0" borderId="4" xfId="65" applyFont="1" applyBorder="1" applyAlignment="1">
      <alignment horizontal="left" vertical="center"/>
    </xf>
    <xf numFmtId="0" fontId="10" fillId="0" borderId="7" xfId="65" applyFont="1" applyBorder="1" applyAlignment="1">
      <alignment horizontal="left" vertical="center"/>
    </xf>
    <xf numFmtId="14" fontId="10" fillId="0" borderId="8" xfId="65" applyNumberFormat="1" applyFont="1" applyBorder="1" applyAlignment="1">
      <alignment horizontal="left" vertical="center"/>
    </xf>
    <xf numFmtId="0" fontId="1" fillId="0" borderId="9" xfId="0" applyFont="1" applyFill="1" applyBorder="1" applyAlignment="1"/>
    <xf numFmtId="0" fontId="1" fillId="0" borderId="10" xfId="65" applyFont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 applyProtection="1">
      <protection locked="0"/>
    </xf>
    <xf numFmtId="0" fontId="1" fillId="0" borderId="12" xfId="0" applyFont="1" applyFill="1" applyBorder="1" applyAlignment="1" applyProtection="1">
      <protection locked="0"/>
    </xf>
    <xf numFmtId="0" fontId="6" fillId="0" borderId="13" xfId="66" applyFont="1" applyBorder="1" applyAlignment="1">
      <alignment horizontal="center" vertical="center"/>
    </xf>
    <xf numFmtId="181" fontId="1" fillId="0" borderId="11" xfId="0" applyNumberFormat="1" applyFont="1" applyFill="1" applyBorder="1" applyAlignment="1"/>
    <xf numFmtId="0" fontId="1" fillId="0" borderId="11" xfId="0" applyFont="1" applyFill="1" applyBorder="1" applyAlignment="1"/>
    <xf numFmtId="0" fontId="6" fillId="0" borderId="11" xfId="66" applyFont="1" applyBorder="1" applyAlignment="1">
      <alignment horizontal="center" vertical="center"/>
    </xf>
    <xf numFmtId="14" fontId="6" fillId="0" borderId="14" xfId="65" applyNumberFormat="1" applyFont="1" applyBorder="1" applyAlignment="1">
      <alignment horizontal="center" vertical="center"/>
    </xf>
    <xf numFmtId="0" fontId="1" fillId="0" borderId="12" xfId="0" applyFont="1" applyFill="1" applyBorder="1" applyAlignment="1"/>
    <xf numFmtId="14" fontId="6" fillId="0" borderId="15" xfId="65" applyNumberFormat="1" applyFont="1" applyBorder="1" applyAlignment="1">
      <alignment horizontal="center" vertical="center"/>
    </xf>
    <xf numFmtId="0" fontId="1" fillId="0" borderId="16" xfId="0" applyFont="1" applyFill="1" applyBorder="1" applyAlignment="1"/>
    <xf numFmtId="0" fontId="10" fillId="0" borderId="17" xfId="65" applyFont="1" applyBorder="1" applyAlignment="1">
      <alignment horizontal="left" vertical="center"/>
    </xf>
    <xf numFmtId="0" fontId="1" fillId="0" borderId="18" xfId="0" applyFont="1" applyFill="1" applyBorder="1" applyAlignment="1"/>
    <xf numFmtId="0" fontId="8" fillId="0" borderId="19" xfId="65" applyBorder="1" applyAlignment="1">
      <alignment horizontal="center" vertical="center"/>
    </xf>
    <xf numFmtId="0" fontId="1" fillId="0" borderId="19" xfId="0" applyFont="1" applyFill="1" applyBorder="1" applyAlignment="1"/>
    <xf numFmtId="0" fontId="10" fillId="0" borderId="20" xfId="65" applyFont="1" applyBorder="1" applyAlignment="1">
      <alignment horizontal="left" vertical="center"/>
    </xf>
    <xf numFmtId="181" fontId="1" fillId="0" borderId="19" xfId="0" applyNumberFormat="1" applyFont="1" applyFill="1" applyBorder="1" applyAlignment="1"/>
    <xf numFmtId="14" fontId="10" fillId="0" borderId="21" xfId="65" applyNumberFormat="1" applyFont="1" applyBorder="1" applyAlignment="1">
      <alignment horizontal="left" vertical="center"/>
    </xf>
    <xf numFmtId="0" fontId="1" fillId="0" borderId="22" xfId="0" applyFont="1" applyFill="1" applyBorder="1" applyAlignment="1"/>
    <xf numFmtId="0" fontId="1" fillId="0" borderId="10" xfId="65" applyFont="1" applyBorder="1" applyAlignment="1">
      <alignment horizontal="center" vertical="center"/>
    </xf>
    <xf numFmtId="0" fontId="1" fillId="0" borderId="14" xfId="65" applyFont="1" applyBorder="1" applyAlignment="1" applyProtection="1">
      <alignment horizontal="center" vertical="center"/>
      <protection locked="0"/>
    </xf>
    <xf numFmtId="181" fontId="1" fillId="0" borderId="12" xfId="0" applyNumberFormat="1" applyFont="1" applyFill="1" applyBorder="1" applyAlignment="1" applyProtection="1">
      <protection locked="0"/>
    </xf>
    <xf numFmtId="0" fontId="11" fillId="0" borderId="14" xfId="65" applyFont="1" applyBorder="1" applyAlignment="1">
      <alignment horizontal="left" vertical="center"/>
    </xf>
    <xf numFmtId="0" fontId="7" fillId="0" borderId="13" xfId="65" applyFont="1" applyBorder="1" applyAlignment="1">
      <alignment horizontal="center" vertical="center"/>
    </xf>
    <xf numFmtId="0" fontId="3" fillId="2" borderId="16" xfId="65" applyFont="1" applyFill="1" applyBorder="1" applyAlignment="1" applyProtection="1">
      <alignment horizontal="center" vertical="center" shrinkToFit="1"/>
      <protection locked="0"/>
    </xf>
    <xf numFmtId="0" fontId="1" fillId="0" borderId="16" xfId="0" applyFont="1" applyFill="1" applyBorder="1" applyAlignment="1" applyProtection="1">
      <protection locked="0"/>
    </xf>
    <xf numFmtId="0" fontId="1" fillId="0" borderId="0" xfId="65" applyFont="1" applyAlignment="1">
      <alignment horizontal="center" vertical="center"/>
    </xf>
    <xf numFmtId="0" fontId="10" fillId="0" borderId="23" xfId="65" applyFont="1" applyBorder="1" applyAlignment="1">
      <alignment horizontal="left" vertical="center"/>
    </xf>
    <xf numFmtId="181" fontId="1" fillId="0" borderId="18" xfId="0" applyNumberFormat="1" applyFont="1" applyFill="1" applyBorder="1" applyAlignment="1"/>
    <xf numFmtId="0" fontId="10" fillId="0" borderId="18" xfId="65" applyFont="1" applyBorder="1" applyAlignment="1">
      <alignment horizontal="left" vertical="center"/>
    </xf>
    <xf numFmtId="0" fontId="10" fillId="0" borderId="21" xfId="65" applyFont="1" applyBorder="1" applyAlignment="1">
      <alignment horizontal="left" vertical="center"/>
    </xf>
    <xf numFmtId="0" fontId="1" fillId="0" borderId="13" xfId="65" applyFont="1" applyBorder="1" applyAlignment="1" applyProtection="1">
      <alignment horizontal="center" vertical="center"/>
      <protection locked="0"/>
    </xf>
    <xf numFmtId="181" fontId="1" fillId="0" borderId="11" xfId="0" applyNumberFormat="1" applyFont="1" applyFill="1" applyBorder="1" applyAlignment="1" applyProtection="1">
      <protection locked="0"/>
    </xf>
    <xf numFmtId="0" fontId="1" fillId="0" borderId="11" xfId="65" applyFont="1" applyBorder="1" applyAlignment="1" applyProtection="1">
      <alignment horizontal="center" vertical="center"/>
      <protection locked="0"/>
    </xf>
    <xf numFmtId="0" fontId="1" fillId="0" borderId="14" xfId="65" applyFont="1" applyBorder="1" applyAlignment="1">
      <alignment horizontal="center" vertical="center"/>
    </xf>
    <xf numFmtId="0" fontId="1" fillId="0" borderId="15" xfId="65" applyFont="1" applyBorder="1" applyAlignment="1">
      <alignment horizontal="left" vertical="center"/>
    </xf>
    <xf numFmtId="0" fontId="10" fillId="0" borderId="24" xfId="65" applyFont="1" applyBorder="1" applyAlignment="1">
      <alignment horizontal="left" vertical="center"/>
    </xf>
    <xf numFmtId="0" fontId="6" fillId="0" borderId="10" xfId="65" applyFont="1" applyBorder="1" applyAlignment="1" applyProtection="1">
      <alignment horizontal="center" vertical="center"/>
      <protection locked="0"/>
    </xf>
    <xf numFmtId="0" fontId="11" fillId="2" borderId="14" xfId="65" applyFont="1" applyFill="1" applyBorder="1" applyAlignment="1" applyProtection="1">
      <alignment horizontal="center" vertical="center"/>
      <protection locked="0"/>
    </xf>
    <xf numFmtId="0" fontId="11" fillId="2" borderId="15" xfId="65" applyFont="1" applyFill="1" applyBorder="1" applyAlignment="1">
      <alignment horizontal="center" vertical="center"/>
    </xf>
    <xf numFmtId="0" fontId="10" fillId="0" borderId="20" xfId="65" applyFont="1" applyBorder="1" applyAlignment="1">
      <alignment horizontal="left" vertical="center" wrapText="1"/>
    </xf>
    <xf numFmtId="0" fontId="10" fillId="0" borderId="19" xfId="65" applyFont="1" applyBorder="1" applyAlignment="1">
      <alignment horizontal="left" vertical="center"/>
    </xf>
    <xf numFmtId="0" fontId="12" fillId="0" borderId="0" xfId="0" applyFont="1" applyFill="1" applyAlignment="1"/>
    <xf numFmtId="0" fontId="7" fillId="0" borderId="10" xfId="65" applyFont="1" applyBorder="1" applyAlignment="1" applyProtection="1">
      <alignment horizontal="center" vertical="center"/>
      <protection locked="0"/>
    </xf>
    <xf numFmtId="0" fontId="6" fillId="0" borderId="14" xfId="65" applyFont="1" applyBorder="1" applyAlignment="1" applyProtection="1">
      <alignment horizontal="center" vertical="center"/>
      <protection locked="0"/>
    </xf>
    <xf numFmtId="0" fontId="7" fillId="0" borderId="14" xfId="65" applyFont="1" applyBorder="1" applyAlignment="1" applyProtection="1">
      <alignment horizontal="center" vertical="center"/>
      <protection locked="0"/>
    </xf>
    <xf numFmtId="0" fontId="7" fillId="0" borderId="11" xfId="65" applyFont="1" applyBorder="1" applyAlignment="1" applyProtection="1">
      <alignment horizontal="center" vertical="center"/>
      <protection locked="0"/>
    </xf>
    <xf numFmtId="0" fontId="7" fillId="0" borderId="12" xfId="65" applyFont="1" applyBorder="1" applyAlignment="1" applyProtection="1">
      <alignment horizontal="center" vertical="center"/>
      <protection locked="0"/>
    </xf>
    <xf numFmtId="0" fontId="7" fillId="0" borderId="15" xfId="65" applyFont="1" applyBorder="1" applyAlignment="1" applyProtection="1">
      <alignment horizontal="center" vertical="center"/>
      <protection locked="0"/>
    </xf>
    <xf numFmtId="0" fontId="13" fillId="0" borderId="0" xfId="0" applyFont="1" applyFill="1" applyAlignment="1"/>
    <xf numFmtId="181" fontId="10" fillId="0" borderId="23" xfId="65" applyNumberFormat="1" applyFont="1" applyBorder="1" applyAlignment="1">
      <alignment horizontal="left" vertical="center"/>
    </xf>
    <xf numFmtId="0" fontId="10" fillId="0" borderId="19" xfId="65" applyFont="1" applyBorder="1" applyAlignment="1">
      <alignment horizontal="center" vertical="center"/>
    </xf>
    <xf numFmtId="1" fontId="6" fillId="0" borderId="14" xfId="65" applyNumberFormat="1" applyFont="1" applyBorder="1" applyAlignment="1">
      <alignment horizontal="center" vertical="center"/>
    </xf>
    <xf numFmtId="181" fontId="10" fillId="0" borderId="14" xfId="65" applyNumberFormat="1" applyFont="1" applyBorder="1" applyAlignment="1" applyProtection="1">
      <alignment horizontal="left" vertical="center"/>
      <protection locked="0"/>
    </xf>
    <xf numFmtId="2" fontId="6" fillId="0" borderId="14" xfId="65" applyNumberFormat="1" applyFont="1" applyBorder="1" applyAlignment="1">
      <alignment horizontal="center" vertical="center"/>
    </xf>
    <xf numFmtId="2" fontId="6" fillId="0" borderId="15" xfId="65" applyNumberFormat="1" applyFont="1" applyBorder="1" applyAlignment="1">
      <alignment horizontal="center" vertical="center"/>
    </xf>
    <xf numFmtId="0" fontId="10" fillId="0" borderId="22" xfId="65" applyFont="1" applyBorder="1" applyAlignment="1">
      <alignment horizontal="left" vertical="center"/>
    </xf>
    <xf numFmtId="0" fontId="14" fillId="2" borderId="25" xfId="65" applyFont="1" applyFill="1" applyBorder="1" applyAlignment="1" applyProtection="1">
      <alignment horizontal="center" vertical="center" wrapText="1"/>
      <protection locked="0"/>
    </xf>
    <xf numFmtId="0" fontId="6" fillId="0" borderId="2" xfId="65" applyFont="1" applyBorder="1" applyAlignment="1" applyProtection="1">
      <alignment horizontal="center" vertical="center"/>
      <protection locked="0"/>
    </xf>
    <xf numFmtId="181" fontId="1" fillId="0" borderId="2" xfId="0" applyNumberFormat="1" applyFont="1" applyFill="1" applyBorder="1" applyAlignment="1" applyProtection="1">
      <protection locked="0"/>
    </xf>
    <xf numFmtId="0" fontId="6" fillId="0" borderId="26" xfId="65" applyFont="1" applyBorder="1" applyAlignment="1" applyProtection="1">
      <alignment horizontal="center" vertical="center"/>
      <protection locked="0"/>
    </xf>
    <xf numFmtId="0" fontId="1" fillId="0" borderId="26" xfId="0" applyFont="1" applyFill="1" applyBorder="1" applyAlignment="1" applyProtection="1">
      <protection locked="0"/>
    </xf>
    <xf numFmtId="0" fontId="15" fillId="0" borderId="0" xfId="0" applyFont="1" applyFill="1" applyAlignment="1"/>
    <xf numFmtId="0" fontId="10" fillId="0" borderId="27" xfId="65" applyFont="1" applyBorder="1" applyAlignment="1">
      <alignment horizontal="left" vertical="center"/>
    </xf>
    <xf numFmtId="0" fontId="1" fillId="0" borderId="28" xfId="0" applyFont="1" applyFill="1" applyBorder="1" applyAlignment="1"/>
    <xf numFmtId="0" fontId="16" fillId="2" borderId="29" xfId="65" applyFont="1" applyFill="1" applyBorder="1" applyAlignment="1">
      <alignment horizontal="center" vertical="center"/>
    </xf>
    <xf numFmtId="0" fontId="6" fillId="0" borderId="0" xfId="65" applyFont="1" applyAlignment="1">
      <alignment vertical="center" wrapText="1"/>
    </xf>
    <xf numFmtId="181" fontId="6" fillId="0" borderId="0" xfId="65" applyNumberFormat="1" applyFont="1" applyAlignment="1">
      <alignment vertical="center" wrapText="1"/>
    </xf>
    <xf numFmtId="0" fontId="6" fillId="0" borderId="4" xfId="65" applyFont="1" applyBorder="1" applyAlignment="1">
      <alignment vertical="center" wrapText="1"/>
    </xf>
    <xf numFmtId="0" fontId="6" fillId="0" borderId="9" xfId="65" applyFont="1" applyBorder="1" applyAlignment="1">
      <alignment vertical="center" wrapText="1"/>
    </xf>
    <xf numFmtId="0" fontId="6" fillId="0" borderId="30" xfId="65" applyFont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protection locked="0"/>
    </xf>
    <xf numFmtId="0" fontId="6" fillId="0" borderId="0" xfId="65" applyFont="1" applyAlignment="1" applyProtection="1">
      <alignment vertical="center" wrapText="1"/>
      <protection locked="0"/>
    </xf>
    <xf numFmtId="0" fontId="11" fillId="0" borderId="0" xfId="65" applyFont="1" applyAlignment="1">
      <alignment horizontal="center" vertical="center" wrapText="1"/>
    </xf>
    <xf numFmtId="181" fontId="11" fillId="0" borderId="0" xfId="65" applyNumberFormat="1" applyFont="1" applyAlignment="1">
      <alignment horizontal="center" vertical="center" wrapText="1"/>
    </xf>
    <xf numFmtId="0" fontId="11" fillId="0" borderId="0" xfId="65" applyFont="1" applyAlignment="1">
      <alignment vertical="center" wrapText="1"/>
    </xf>
    <xf numFmtId="0" fontId="11" fillId="0" borderId="26" xfId="65" applyFont="1" applyBorder="1" applyAlignment="1">
      <alignment horizontal="center" vertical="center" wrapText="1"/>
    </xf>
    <xf numFmtId="0" fontId="1" fillId="0" borderId="31" xfId="0" applyFont="1" applyFill="1" applyBorder="1" applyAlignment="1"/>
    <xf numFmtId="0" fontId="6" fillId="0" borderId="25" xfId="65" applyFont="1" applyBorder="1" applyAlignment="1" applyProtection="1">
      <alignment vertical="center" wrapText="1"/>
      <protection locked="0"/>
    </xf>
    <xf numFmtId="0" fontId="6" fillId="0" borderId="2" xfId="65" applyFont="1" applyBorder="1" applyAlignment="1" applyProtection="1">
      <alignment vertical="center" wrapText="1"/>
      <protection locked="0"/>
    </xf>
    <xf numFmtId="0" fontId="11" fillId="0" borderId="2" xfId="65" applyFont="1" applyBorder="1" applyAlignment="1">
      <alignment vertical="center" wrapText="1"/>
    </xf>
    <xf numFmtId="181" fontId="11" fillId="0" borderId="2" xfId="65" applyNumberFormat="1" applyFont="1" applyBorder="1" applyAlignment="1">
      <alignment vertical="center" wrapText="1"/>
    </xf>
    <xf numFmtId="0" fontId="1" fillId="0" borderId="26" xfId="0" applyFont="1" applyFill="1" applyBorder="1" applyAlignment="1"/>
    <xf numFmtId="0" fontId="10" fillId="0" borderId="27" xfId="65" applyFont="1" applyBorder="1" applyAlignment="1">
      <alignment horizontal="center" vertical="center"/>
    </xf>
    <xf numFmtId="0" fontId="10" fillId="0" borderId="29" xfId="65" applyFont="1" applyBorder="1" applyAlignment="1">
      <alignment horizontal="center" vertical="center"/>
    </xf>
    <xf numFmtId="181" fontId="10" fillId="0" borderId="32" xfId="65" applyNumberFormat="1" applyFont="1" applyBorder="1" applyAlignment="1">
      <alignment horizontal="center" vertical="center"/>
    </xf>
    <xf numFmtId="0" fontId="1" fillId="0" borderId="33" xfId="0" applyFont="1" applyFill="1" applyBorder="1" applyAlignment="1"/>
    <xf numFmtId="0" fontId="10" fillId="0" borderId="34" xfId="65" applyFont="1" applyBorder="1" applyAlignment="1">
      <alignment horizontal="center" vertical="center"/>
    </xf>
    <xf numFmtId="0" fontId="10" fillId="0" borderId="35" xfId="65" applyFont="1" applyBorder="1" applyAlignment="1">
      <alignment horizontal="center" vertical="center"/>
    </xf>
    <xf numFmtId="0" fontId="1" fillId="0" borderId="34" xfId="0" applyFont="1" applyFill="1" applyBorder="1" applyAlignment="1"/>
    <xf numFmtId="0" fontId="10" fillId="0" borderId="36" xfId="65" applyFont="1" applyBorder="1" applyAlignment="1">
      <alignment horizontal="center" vertical="center"/>
    </xf>
    <xf numFmtId="0" fontId="1" fillId="0" borderId="36" xfId="0" applyFont="1" applyFill="1" applyBorder="1" applyAlignment="1"/>
    <xf numFmtId="0" fontId="10" fillId="0" borderId="37" xfId="65" applyFont="1" applyBorder="1" applyAlignment="1">
      <alignment vertical="center"/>
    </xf>
    <xf numFmtId="0" fontId="10" fillId="0" borderId="38" xfId="65" applyFont="1" applyBorder="1" applyAlignment="1">
      <alignment horizontal="center" vertical="center"/>
    </xf>
    <xf numFmtId="0" fontId="10" fillId="0" borderId="1" xfId="65" applyFont="1" applyBorder="1" applyAlignment="1">
      <alignment horizontal="center" vertical="center"/>
    </xf>
    <xf numFmtId="0" fontId="6" fillId="0" borderId="39" xfId="65" applyFont="1" applyBorder="1" applyAlignment="1" applyProtection="1">
      <alignment horizontal="center" vertical="center"/>
      <protection locked="0"/>
    </xf>
    <xf numFmtId="0" fontId="7" fillId="0" borderId="1" xfId="65" applyFont="1" applyBorder="1" applyAlignment="1">
      <alignment horizontal="center" vertical="center" shrinkToFit="1"/>
    </xf>
    <xf numFmtId="0" fontId="1" fillId="0" borderId="40" xfId="0" applyFont="1" applyFill="1" applyBorder="1" applyAlignment="1"/>
    <xf numFmtId="0" fontId="17" fillId="0" borderId="41" xfId="65" applyFont="1" applyBorder="1" applyAlignment="1">
      <alignment horizontal="center" vertical="center" wrapText="1" shrinkToFit="1"/>
    </xf>
    <xf numFmtId="0" fontId="17" fillId="0" borderId="1" xfId="65" applyFont="1" applyBorder="1" applyAlignment="1">
      <alignment horizontal="left" vertical="center" wrapText="1" shrinkToFit="1"/>
    </xf>
    <xf numFmtId="181" fontId="6" fillId="0" borderId="42" xfId="65" applyNumberFormat="1" applyFont="1" applyBorder="1" applyAlignment="1" applyProtection="1">
      <alignment horizontal="center" vertical="center"/>
      <protection locked="0"/>
    </xf>
    <xf numFmtId="182" fontId="6" fillId="0" borderId="42" xfId="65" applyNumberFormat="1" applyFont="1" applyBorder="1" applyAlignment="1" applyProtection="1">
      <alignment horizontal="center" vertical="center"/>
      <protection locked="0"/>
    </xf>
    <xf numFmtId="0" fontId="1" fillId="0" borderId="43" xfId="65" applyFont="1" applyBorder="1" applyAlignment="1" applyProtection="1">
      <alignment horizontal="center" vertical="center"/>
      <protection locked="0"/>
    </xf>
    <xf numFmtId="0" fontId="1" fillId="0" borderId="44" xfId="65" applyFont="1" applyBorder="1" applyAlignment="1" applyProtection="1">
      <alignment horizontal="center" vertical="center"/>
      <protection locked="0"/>
    </xf>
    <xf numFmtId="0" fontId="1" fillId="0" borderId="42" xfId="0" applyFont="1" applyFill="1" applyBorder="1" applyAlignment="1" applyProtection="1">
      <protection locked="0"/>
    </xf>
    <xf numFmtId="0" fontId="7" fillId="0" borderId="44" xfId="65" applyFont="1" applyBorder="1" applyAlignment="1" applyProtection="1">
      <alignment horizontal="center" vertical="center" shrinkToFit="1"/>
      <protection locked="0"/>
    </xf>
    <xf numFmtId="0" fontId="7" fillId="0" borderId="44" xfId="65" applyFont="1" applyBorder="1" applyAlignment="1">
      <alignment horizontal="center" vertical="center" shrinkToFit="1"/>
    </xf>
    <xf numFmtId="0" fontId="7" fillId="0" borderId="44" xfId="65" applyFont="1" applyBorder="1" applyAlignment="1">
      <alignment horizontal="center" vertical="center"/>
    </xf>
    <xf numFmtId="0" fontId="1" fillId="0" borderId="43" xfId="65" applyFont="1" applyBorder="1" applyAlignment="1">
      <alignment horizontal="center" vertical="center"/>
    </xf>
    <xf numFmtId="0" fontId="8" fillId="0" borderId="41" xfId="65" applyBorder="1" applyAlignment="1">
      <alignment horizontal="center" vertical="center" wrapText="1" shrinkToFit="1"/>
    </xf>
    <xf numFmtId="0" fontId="8" fillId="0" borderId="1" xfId="65" applyBorder="1" applyAlignment="1">
      <alignment horizontal="center" vertical="center" wrapText="1" shrinkToFit="1"/>
    </xf>
    <xf numFmtId="0" fontId="7" fillId="0" borderId="1" xfId="65" applyFont="1" applyBorder="1" applyAlignment="1">
      <alignment horizontal="center" vertical="center"/>
    </xf>
    <xf numFmtId="0" fontId="8" fillId="0" borderId="42" xfId="65" applyBorder="1" applyAlignment="1">
      <alignment horizontal="left" vertical="center" wrapText="1" shrinkToFit="1"/>
    </xf>
    <xf numFmtId="0" fontId="1" fillId="0" borderId="41" xfId="0" applyFont="1" applyFill="1" applyBorder="1" applyAlignment="1"/>
    <xf numFmtId="0" fontId="1" fillId="0" borderId="42" xfId="0" applyFont="1" applyFill="1" applyBorder="1" applyAlignment="1"/>
    <xf numFmtId="181" fontId="6" fillId="0" borderId="44" xfId="65" applyNumberFormat="1" applyFont="1" applyBorder="1" applyAlignment="1" applyProtection="1">
      <alignment horizontal="right" vertical="center"/>
      <protection locked="0"/>
    </xf>
    <xf numFmtId="183" fontId="7" fillId="0" borderId="44" xfId="65" applyNumberFormat="1" applyFont="1" applyBorder="1" applyAlignment="1" applyProtection="1">
      <alignment horizontal="center" vertical="center" shrinkToFit="1"/>
      <protection locked="0"/>
    </xf>
    <xf numFmtId="183" fontId="7" fillId="0" borderId="44" xfId="65" applyNumberFormat="1" applyFont="1" applyBorder="1" applyAlignment="1">
      <alignment vertical="center" shrinkToFit="1"/>
    </xf>
    <xf numFmtId="0" fontId="7" fillId="0" borderId="44" xfId="65" applyFont="1" applyBorder="1" applyAlignment="1">
      <alignment horizontal="left" vertical="center"/>
    </xf>
    <xf numFmtId="0" fontId="1" fillId="0" borderId="43" xfId="65" applyFont="1" applyBorder="1" applyAlignment="1">
      <alignment horizontal="left" vertical="center"/>
    </xf>
    <xf numFmtId="0" fontId="18" fillId="0" borderId="23" xfId="65" applyFont="1" applyBorder="1" applyAlignment="1" applyProtection="1">
      <alignment horizontal="left" vertical="top"/>
      <protection locked="0"/>
    </xf>
    <xf numFmtId="0" fontId="19" fillId="0" borderId="18" xfId="65" applyFont="1" applyBorder="1" applyAlignment="1" applyProtection="1">
      <alignment horizontal="left" vertical="top"/>
      <protection locked="0"/>
    </xf>
    <xf numFmtId="181" fontId="19" fillId="0" borderId="18" xfId="65" applyNumberFormat="1" applyFont="1" applyBorder="1" applyAlignment="1" applyProtection="1">
      <alignment horizontal="left" vertical="top"/>
      <protection locked="0"/>
    </xf>
    <xf numFmtId="0" fontId="19" fillId="0" borderId="18" xfId="65" applyFont="1" applyBorder="1" applyAlignment="1" applyProtection="1">
      <alignment horizontal="center" vertical="top"/>
      <protection locked="0"/>
    </xf>
    <xf numFmtId="0" fontId="1" fillId="0" borderId="18" xfId="0" applyFont="1" applyFill="1" applyBorder="1" applyAlignment="1" applyProtection="1">
      <protection locked="0"/>
    </xf>
    <xf numFmtId="183" fontId="19" fillId="0" borderId="18" xfId="65" applyNumberFormat="1" applyFont="1" applyBorder="1" applyAlignment="1" applyProtection="1">
      <alignment horizontal="center" vertical="top"/>
      <protection locked="0"/>
    </xf>
    <xf numFmtId="0" fontId="19" fillId="0" borderId="19" xfId="65" applyFont="1" applyBorder="1" applyAlignment="1" applyProtection="1">
      <alignment horizontal="left" vertical="top"/>
      <protection locked="0"/>
    </xf>
    <xf numFmtId="0" fontId="18" fillId="0" borderId="45" xfId="65" applyFont="1" applyBorder="1" applyAlignment="1" applyProtection="1">
      <alignment horizontal="left" vertical="top"/>
      <protection locked="0"/>
    </xf>
    <xf numFmtId="0" fontId="19" fillId="0" borderId="0" xfId="65" applyFont="1" applyAlignment="1" applyProtection="1">
      <alignment horizontal="left" vertical="top"/>
      <protection locked="0"/>
    </xf>
    <xf numFmtId="181" fontId="19" fillId="0" borderId="0" xfId="65" applyNumberFormat="1" applyFont="1" applyAlignment="1" applyProtection="1">
      <alignment horizontal="left" vertical="top"/>
      <protection locked="0"/>
    </xf>
    <xf numFmtId="0" fontId="19" fillId="0" borderId="46" xfId="65" applyFont="1" applyBorder="1" applyAlignment="1" applyProtection="1">
      <alignment horizontal="left" vertical="top"/>
      <protection locked="0"/>
    </xf>
    <xf numFmtId="0" fontId="19" fillId="0" borderId="13" xfId="65" applyFont="1" applyBorder="1" applyAlignment="1" applyProtection="1">
      <alignment horizontal="left" vertical="top"/>
      <protection locked="0"/>
    </xf>
    <xf numFmtId="0" fontId="19" fillId="0" borderId="11" xfId="65" applyFont="1" applyBorder="1" applyAlignment="1" applyProtection="1">
      <alignment horizontal="left" vertical="top"/>
      <protection locked="0"/>
    </xf>
    <xf numFmtId="181" fontId="19" fillId="0" borderId="11" xfId="65" applyNumberFormat="1" applyFont="1" applyBorder="1" applyAlignment="1" applyProtection="1">
      <alignment horizontal="left" vertical="top"/>
      <protection locked="0"/>
    </xf>
    <xf numFmtId="0" fontId="19" fillId="0" borderId="12" xfId="65" applyFont="1" applyBorder="1" applyAlignment="1" applyProtection="1">
      <alignment horizontal="left" vertical="top"/>
      <protection locked="0"/>
    </xf>
    <xf numFmtId="0" fontId="18" fillId="0" borderId="23" xfId="65" applyFont="1" applyBorder="1" applyAlignment="1">
      <alignment horizontal="left" vertical="center"/>
    </xf>
    <xf numFmtId="0" fontId="18" fillId="0" borderId="18" xfId="65" applyFont="1" applyBorder="1" applyAlignment="1">
      <alignment horizontal="left" vertical="center"/>
    </xf>
    <xf numFmtId="0" fontId="18" fillId="0" borderId="19" xfId="65" applyFont="1" applyBorder="1" applyAlignment="1">
      <alignment horizontal="left" vertical="center"/>
    </xf>
    <xf numFmtId="0" fontId="18" fillId="0" borderId="20" xfId="65" applyFont="1" applyBorder="1" applyAlignment="1">
      <alignment horizontal="center" vertical="center" wrapText="1"/>
    </xf>
    <xf numFmtId="0" fontId="19" fillId="0" borderId="13" xfId="65" applyFont="1" applyBorder="1" applyAlignment="1" applyProtection="1">
      <alignment horizontal="center" vertical="center"/>
      <protection locked="0"/>
    </xf>
    <xf numFmtId="0" fontId="19" fillId="0" borderId="11" xfId="65" applyFont="1" applyBorder="1" applyAlignment="1">
      <alignment horizontal="center" vertical="center"/>
    </xf>
    <xf numFmtId="184" fontId="19" fillId="0" borderId="11" xfId="65" applyNumberFormat="1" applyFont="1" applyBorder="1" applyAlignment="1">
      <alignment horizontal="center" vertical="center" wrapText="1"/>
    </xf>
    <xf numFmtId="184" fontId="19" fillId="0" borderId="12" xfId="65" applyNumberFormat="1" applyFont="1" applyBorder="1" applyAlignment="1">
      <alignment horizontal="center" vertical="center" wrapText="1"/>
    </xf>
    <xf numFmtId="184" fontId="19" fillId="0" borderId="0" xfId="65" applyNumberFormat="1" applyFont="1" applyAlignment="1">
      <alignment horizontal="center" vertical="center" wrapText="1"/>
    </xf>
    <xf numFmtId="181" fontId="19" fillId="0" borderId="0" xfId="65" applyNumberFormat="1" applyFont="1" applyAlignment="1" applyProtection="1">
      <alignment horizontal="right" vertical="center"/>
      <protection locked="0"/>
    </xf>
    <xf numFmtId="0" fontId="19" fillId="0" borderId="0" xfId="65" applyFont="1" applyAlignment="1" applyProtection="1">
      <alignment horizontal="center" vertical="center" wrapText="1"/>
      <protection locked="0"/>
    </xf>
    <xf numFmtId="0" fontId="19" fillId="0" borderId="46" xfId="65" applyFont="1" applyBorder="1" applyAlignment="1" applyProtection="1">
      <alignment horizontal="center" vertical="center" wrapText="1"/>
      <protection locked="0"/>
    </xf>
    <xf numFmtId="0" fontId="18" fillId="0" borderId="0" xfId="65" applyFont="1" applyAlignment="1">
      <alignment horizontal="center" vertical="center"/>
    </xf>
    <xf numFmtId="0" fontId="18" fillId="0" borderId="0" xfId="65" applyFont="1" applyAlignment="1">
      <alignment horizontal="left" vertical="center"/>
    </xf>
    <xf numFmtId="2" fontId="18" fillId="0" borderId="46" xfId="65" applyNumberFormat="1" applyFont="1" applyBorder="1" applyAlignment="1">
      <alignment vertical="center"/>
    </xf>
    <xf numFmtId="0" fontId="18" fillId="0" borderId="45" xfId="65" applyFont="1" applyBorder="1" applyAlignment="1" applyProtection="1">
      <alignment vertical="center"/>
      <protection locked="0"/>
    </xf>
    <xf numFmtId="0" fontId="19" fillId="0" borderId="0" xfId="65" applyFont="1" applyAlignment="1">
      <alignment horizontal="center" vertical="center"/>
    </xf>
    <xf numFmtId="0" fontId="18" fillId="0" borderId="45" xfId="65" applyFont="1" applyBorder="1" applyAlignment="1" applyProtection="1">
      <alignment horizontal="center" vertical="center" wrapText="1"/>
      <protection locked="0"/>
    </xf>
    <xf numFmtId="0" fontId="18" fillId="0" borderId="0" xfId="0" applyFont="1" applyFill="1" applyAlignment="1">
      <alignment horizontal="center" vertical="center"/>
    </xf>
    <xf numFmtId="0" fontId="18" fillId="0" borderId="46" xfId="65" applyFont="1" applyBorder="1" applyAlignment="1">
      <alignment horizontal="left" vertical="center"/>
    </xf>
    <xf numFmtId="0" fontId="19" fillId="0" borderId="45" xfId="65" applyFont="1" applyBorder="1" applyAlignment="1" applyProtection="1">
      <alignment horizontal="center" vertical="center"/>
      <protection locked="0"/>
    </xf>
    <xf numFmtId="184" fontId="18" fillId="0" borderId="0" xfId="65" applyNumberFormat="1" applyFont="1" applyAlignment="1">
      <alignment horizontal="center" vertical="center" wrapText="1"/>
    </xf>
    <xf numFmtId="0" fontId="18" fillId="0" borderId="13" xfId="65" applyFont="1" applyBorder="1" applyAlignment="1">
      <alignment horizontal="center" vertical="center"/>
    </xf>
    <xf numFmtId="0" fontId="18" fillId="0" borderId="11" xfId="65" applyFont="1" applyBorder="1" applyAlignment="1">
      <alignment horizontal="center" vertical="center"/>
    </xf>
    <xf numFmtId="0" fontId="18" fillId="0" borderId="11" xfId="65" applyFont="1" applyBorder="1" applyAlignment="1">
      <alignment horizontal="left" vertical="center"/>
    </xf>
    <xf numFmtId="0" fontId="18" fillId="0" borderId="12" xfId="65" applyFont="1" applyBorder="1" applyAlignment="1" applyProtection="1">
      <alignment vertical="center"/>
      <protection locked="0"/>
    </xf>
    <xf numFmtId="181" fontId="19" fillId="0" borderId="0" xfId="65" applyNumberFormat="1" applyFont="1" applyAlignment="1" applyProtection="1">
      <alignment horizontal="center" vertical="center" wrapText="1"/>
      <protection locked="0"/>
    </xf>
    <xf numFmtId="0" fontId="18" fillId="0" borderId="23" xfId="65" applyFont="1" applyBorder="1" applyAlignment="1" applyProtection="1">
      <alignment horizontal="center" vertical="center" wrapText="1"/>
      <protection locked="0"/>
    </xf>
    <xf numFmtId="0" fontId="18" fillId="0" borderId="46" xfId="65" applyFont="1" applyBorder="1" applyAlignment="1">
      <alignment horizontal="center" vertical="center"/>
    </xf>
    <xf numFmtId="0" fontId="18" fillId="0" borderId="13" xfId="65" applyFont="1" applyBorder="1" applyAlignment="1" applyProtection="1">
      <alignment horizontal="center" vertical="center"/>
      <protection locked="0"/>
    </xf>
    <xf numFmtId="184" fontId="18" fillId="0" borderId="11" xfId="65" applyNumberFormat="1" applyFont="1" applyBorder="1" applyAlignment="1">
      <alignment horizontal="center" vertical="center" wrapText="1"/>
    </xf>
    <xf numFmtId="181" fontId="18" fillId="0" borderId="11" xfId="65" applyNumberFormat="1" applyFont="1" applyBorder="1" applyAlignment="1" applyProtection="1">
      <alignment horizontal="center" vertical="center" wrapText="1"/>
      <protection locked="0"/>
    </xf>
    <xf numFmtId="0" fontId="19" fillId="0" borderId="11" xfId="65" applyFont="1" applyBorder="1" applyAlignment="1" applyProtection="1">
      <alignment horizontal="center" vertical="center" wrapText="1"/>
      <protection locked="0"/>
    </xf>
    <xf numFmtId="0" fontId="19" fillId="0" borderId="12" xfId="65" applyFont="1" applyBorder="1" applyAlignment="1" applyProtection="1">
      <alignment horizontal="center" vertical="center" wrapText="1"/>
      <protection locked="0"/>
    </xf>
    <xf numFmtId="0" fontId="18" fillId="0" borderId="11" xfId="65" applyFont="1" applyBorder="1" applyAlignment="1">
      <alignment vertical="center"/>
    </xf>
    <xf numFmtId="0" fontId="18" fillId="0" borderId="12" xfId="65" applyFont="1" applyBorder="1" applyAlignment="1">
      <alignment vertical="center"/>
    </xf>
    <xf numFmtId="0" fontId="20" fillId="0" borderId="0" xfId="64" applyFont="1" applyAlignment="1">
      <alignment horizontal="center" vertical="center"/>
    </xf>
    <xf numFmtId="0" fontId="20" fillId="0" borderId="0" xfId="64" applyFont="1"/>
    <xf numFmtId="0" fontId="1" fillId="0" borderId="0" xfId="64"/>
    <xf numFmtId="0" fontId="21" fillId="0" borderId="0" xfId="64" applyFont="1" applyAlignment="1">
      <alignment horizontal="center"/>
    </xf>
    <xf numFmtId="0" fontId="22" fillId="0" borderId="0" xfId="64" applyFont="1" applyAlignment="1">
      <alignment horizontal="center"/>
    </xf>
    <xf numFmtId="14" fontId="1" fillId="0" borderId="0" xfId="64" applyNumberFormat="1" applyAlignment="1">
      <alignment horizontal="center"/>
    </xf>
    <xf numFmtId="0" fontId="20" fillId="0" borderId="0" xfId="64" applyFont="1" applyAlignment="1">
      <alignment horizontal="left"/>
    </xf>
    <xf numFmtId="0" fontId="1" fillId="0" borderId="0" xfId="64" applyAlignment="1">
      <alignment horizontal="left"/>
    </xf>
    <xf numFmtId="0" fontId="1" fillId="0" borderId="20" xfId="64" applyBorder="1" applyAlignment="1">
      <alignment horizontal="center"/>
    </xf>
    <xf numFmtId="0" fontId="1" fillId="0" borderId="23" xfId="64" applyBorder="1" applyAlignment="1">
      <alignment horizontal="center"/>
    </xf>
    <xf numFmtId="0" fontId="1" fillId="0" borderId="14" xfId="64" applyBorder="1" applyAlignment="1">
      <alignment horizontal="center"/>
    </xf>
    <xf numFmtId="0" fontId="1" fillId="0" borderId="13" xfId="64" applyBorder="1" applyAlignment="1">
      <alignment horizontal="center"/>
    </xf>
    <xf numFmtId="0" fontId="1" fillId="0" borderId="1" xfId="64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0" fillId="0" borderId="1" xfId="64" applyFont="1" applyBorder="1" applyAlignment="1">
      <alignment horizontal="left" vertical="center" wrapText="1"/>
    </xf>
    <xf numFmtId="0" fontId="20" fillId="0" borderId="23" xfId="64" applyFont="1" applyBorder="1" applyAlignment="1">
      <alignment horizontal="center" vertical="center"/>
    </xf>
    <xf numFmtId="0" fontId="20" fillId="0" borderId="40" xfId="64" applyFont="1" applyBorder="1" applyAlignment="1">
      <alignment horizontal="center" vertical="center" wrapText="1"/>
    </xf>
    <xf numFmtId="0" fontId="20" fillId="0" borderId="1" xfId="64" applyFont="1" applyBorder="1" applyAlignment="1">
      <alignment horizontal="center" vertical="center"/>
    </xf>
    <xf numFmtId="185" fontId="20" fillId="0" borderId="47" xfId="64" applyNumberFormat="1" applyFont="1" applyBorder="1" applyAlignment="1">
      <alignment horizontal="center" vertical="center"/>
    </xf>
    <xf numFmtId="185" fontId="20" fillId="0" borderId="1" xfId="64" applyNumberFormat="1" applyFont="1" applyBorder="1" applyAlignment="1">
      <alignment horizontal="center" vertical="center"/>
    </xf>
    <xf numFmtId="0" fontId="20" fillId="0" borderId="1" xfId="64" applyFont="1" applyBorder="1" applyAlignment="1">
      <alignment horizontal="center" vertical="center" wrapText="1"/>
    </xf>
    <xf numFmtId="0" fontId="20" fillId="0" borderId="23" xfId="64" applyFont="1" applyBorder="1" applyAlignment="1">
      <alignment vertical="center" wrapText="1"/>
    </xf>
    <xf numFmtId="0" fontId="20" fillId="0" borderId="18" xfId="64" applyFont="1" applyBorder="1" applyAlignment="1">
      <alignment horizontal="center" vertical="center"/>
    </xf>
    <xf numFmtId="0" fontId="20" fillId="0" borderId="19" xfId="64" applyFont="1" applyBorder="1" applyAlignment="1">
      <alignment vertical="center"/>
    </xf>
    <xf numFmtId="0" fontId="20" fillId="0" borderId="23" xfId="64" applyFont="1" applyBorder="1" applyAlignment="1">
      <alignment vertical="center"/>
    </xf>
    <xf numFmtId="185" fontId="20" fillId="0" borderId="23" xfId="64" applyNumberFormat="1" applyFont="1" applyBorder="1" applyAlignment="1">
      <alignment vertical="center"/>
    </xf>
    <xf numFmtId="185" fontId="20" fillId="0" borderId="20" xfId="64" applyNumberFormat="1" applyFont="1" applyBorder="1" applyAlignment="1">
      <alignment vertical="center"/>
    </xf>
    <xf numFmtId="0" fontId="1" fillId="0" borderId="23" xfId="64" applyBorder="1"/>
    <xf numFmtId="0" fontId="1" fillId="0" borderId="18" xfId="64" applyBorder="1"/>
    <xf numFmtId="0" fontId="1" fillId="0" borderId="19" xfId="64" applyBorder="1"/>
    <xf numFmtId="182" fontId="1" fillId="0" borderId="23" xfId="64" applyNumberFormat="1" applyBorder="1"/>
    <xf numFmtId="185" fontId="1" fillId="0" borderId="23" xfId="64" applyNumberFormat="1" applyBorder="1"/>
    <xf numFmtId="185" fontId="1" fillId="0" borderId="20" xfId="64" applyNumberFormat="1" applyBorder="1"/>
    <xf numFmtId="0" fontId="1" fillId="0" borderId="13" xfId="64" applyBorder="1"/>
    <xf numFmtId="0" fontId="1" fillId="0" borderId="11" xfId="64" applyBorder="1"/>
    <xf numFmtId="0" fontId="1" fillId="0" borderId="12" xfId="64" applyBorder="1"/>
    <xf numFmtId="0" fontId="1" fillId="0" borderId="14" xfId="64" applyBorder="1"/>
    <xf numFmtId="0" fontId="24" fillId="0" borderId="0" xfId="58" applyFont="1" applyAlignment="1">
      <alignment vertical="center" wrapText="1"/>
    </xf>
    <xf numFmtId="0" fontId="24" fillId="0" borderId="0" xfId="58" applyFont="1" applyAlignment="1">
      <alignment vertical="center"/>
    </xf>
    <xf numFmtId="0" fontId="24" fillId="0" borderId="0" xfId="58" applyNumberFormat="1" applyFont="1" applyAlignment="1">
      <alignment vertical="center"/>
    </xf>
    <xf numFmtId="0" fontId="25" fillId="0" borderId="0" xfId="58" applyFont="1" applyAlignment="1">
      <alignment horizontal="center"/>
    </xf>
    <xf numFmtId="0" fontId="25" fillId="0" borderId="0" xfId="58" applyNumberFormat="1" applyFont="1" applyAlignment="1">
      <alignment horizontal="center"/>
    </xf>
    <xf numFmtId="0" fontId="26" fillId="0" borderId="0" xfId="58" applyFont="1" applyAlignment="1">
      <alignment horizontal="center" vertical="top"/>
    </xf>
    <xf numFmtId="0" fontId="26" fillId="0" borderId="0" xfId="58" applyNumberFormat="1" applyFont="1" applyAlignment="1">
      <alignment horizontal="center" vertical="top"/>
    </xf>
    <xf numFmtId="0" fontId="27" fillId="0" borderId="0" xfId="58" applyFont="1" applyAlignment="1">
      <alignment horizontal="center" vertical="center"/>
    </xf>
    <xf numFmtId="0" fontId="27" fillId="0" borderId="0" xfId="58" applyNumberFormat="1" applyFont="1" applyAlignment="1">
      <alignment horizontal="center" vertical="center"/>
    </xf>
    <xf numFmtId="0" fontId="24" fillId="0" borderId="48" xfId="58" applyFont="1" applyBorder="1" applyAlignment="1">
      <alignment horizontal="right" vertical="center"/>
    </xf>
    <xf numFmtId="0" fontId="24" fillId="0" borderId="49" xfId="58" applyFont="1" applyBorder="1" applyAlignment="1">
      <alignment horizontal="left" vertical="center" wrapText="1"/>
    </xf>
    <xf numFmtId="0" fontId="23" fillId="0" borderId="4" xfId="0" applyFont="1" applyFill="1" applyBorder="1" applyAlignment="1"/>
    <xf numFmtId="0" fontId="23" fillId="0" borderId="9" xfId="0" applyFont="1" applyFill="1" applyBorder="1" applyAlignment="1"/>
    <xf numFmtId="0" fontId="24" fillId="0" borderId="50" xfId="58" applyFont="1" applyBorder="1" applyAlignment="1">
      <alignment horizontal="center" vertical="center"/>
    </xf>
    <xf numFmtId="0" fontId="23" fillId="0" borderId="51" xfId="0" applyFont="1" applyFill="1" applyBorder="1" applyAlignment="1"/>
    <xf numFmtId="0" fontId="24" fillId="0" borderId="52" xfId="58" applyNumberFormat="1" applyFont="1" applyBorder="1" applyAlignment="1">
      <alignment horizontal="center" vertical="center"/>
    </xf>
    <xf numFmtId="0" fontId="24" fillId="0" borderId="53" xfId="58" applyFont="1" applyBorder="1" applyAlignment="1">
      <alignment horizontal="right" vertical="center"/>
    </xf>
    <xf numFmtId="0" fontId="24" fillId="0" borderId="54" xfId="58" applyFont="1" applyBorder="1" applyAlignment="1">
      <alignment horizontal="left" vertical="center" wrapText="1"/>
    </xf>
    <xf numFmtId="0" fontId="23" fillId="0" borderId="31" xfId="0" applyFont="1" applyFill="1" applyBorder="1" applyAlignment="1"/>
    <xf numFmtId="0" fontId="23" fillId="0" borderId="55" xfId="0" applyFont="1" applyFill="1" applyBorder="1" applyAlignment="1"/>
    <xf numFmtId="0" fontId="23" fillId="0" borderId="56" xfId="0" applyFont="1" applyFill="1" applyBorder="1" applyAlignment="1"/>
    <xf numFmtId="0" fontId="23" fillId="0" borderId="57" xfId="0" applyNumberFormat="1" applyFont="1" applyFill="1" applyBorder="1" applyAlignment="1"/>
    <xf numFmtId="0" fontId="24" fillId="0" borderId="58" xfId="58" applyFont="1" applyBorder="1" applyAlignment="1">
      <alignment horizontal="center" vertical="center"/>
    </xf>
    <xf numFmtId="0" fontId="23" fillId="0" borderId="59" xfId="0" applyFont="1" applyFill="1" applyBorder="1" applyAlignment="1"/>
    <xf numFmtId="0" fontId="24" fillId="0" borderId="60" xfId="58" applyNumberFormat="1" applyFont="1" applyBorder="1" applyAlignment="1">
      <alignment horizontal="center" vertical="center"/>
    </xf>
    <xf numFmtId="0" fontId="24" fillId="0" borderId="61" xfId="58" applyFont="1" applyBorder="1" applyAlignment="1">
      <alignment horizontal="right" vertical="center"/>
    </xf>
    <xf numFmtId="0" fontId="24" fillId="0" borderId="62" xfId="58" applyFont="1" applyBorder="1" applyAlignment="1">
      <alignment horizontal="left" vertical="center" wrapText="1"/>
    </xf>
    <xf numFmtId="0" fontId="23" fillId="0" borderId="2" xfId="0" applyFont="1" applyFill="1" applyBorder="1" applyAlignment="1"/>
    <xf numFmtId="0" fontId="23" fillId="0" borderId="26" xfId="0" applyFont="1" applyFill="1" applyBorder="1" applyAlignment="1"/>
    <xf numFmtId="0" fontId="24" fillId="0" borderId="49" xfId="58" applyFont="1" applyBorder="1" applyAlignment="1">
      <alignment horizontal="left" vertical="center"/>
    </xf>
    <xf numFmtId="0" fontId="24" fillId="0" borderId="63" xfId="58" applyFont="1" applyBorder="1" applyAlignment="1">
      <alignment horizontal="center" vertical="center"/>
    </xf>
    <xf numFmtId="0" fontId="23" fillId="0" borderId="4" xfId="0" applyNumberFormat="1" applyFont="1" applyFill="1" applyBorder="1" applyAlignment="1"/>
    <xf numFmtId="0" fontId="23" fillId="0" borderId="25" xfId="0" applyFont="1" applyFill="1" applyBorder="1" applyAlignment="1"/>
    <xf numFmtId="0" fontId="23" fillId="0" borderId="2" xfId="0" applyNumberFormat="1" applyFont="1" applyFill="1" applyBorder="1" applyAlignment="1"/>
    <xf numFmtId="0" fontId="24" fillId="0" borderId="0" xfId="58" applyFont="1" applyAlignment="1">
      <alignment horizontal="left" vertical="center"/>
    </xf>
    <xf numFmtId="0" fontId="24" fillId="0" borderId="0" xfId="58" applyNumberFormat="1" applyFont="1" applyAlignment="1">
      <alignment horizontal="left" vertical="center"/>
    </xf>
    <xf numFmtId="0" fontId="24" fillId="0" borderId="64" xfId="58" applyFont="1" applyBorder="1" applyAlignment="1">
      <alignment horizontal="left" vertical="center"/>
    </xf>
    <xf numFmtId="0" fontId="24" fillId="0" borderId="65" xfId="58" applyFont="1" applyBorder="1" applyAlignment="1">
      <alignment horizontal="left" vertical="center"/>
    </xf>
    <xf numFmtId="0" fontId="24" fillId="0" borderId="1" xfId="58" applyFont="1" applyBorder="1" applyAlignment="1">
      <alignment vertical="center" wrapText="1"/>
    </xf>
    <xf numFmtId="0" fontId="24" fillId="0" borderId="1" xfId="58" applyFont="1" applyBorder="1" applyAlignment="1">
      <alignment horizontal="center" vertical="center" wrapText="1"/>
    </xf>
    <xf numFmtId="0" fontId="23" fillId="0" borderId="1" xfId="0" applyFont="1" applyFill="1" applyBorder="1" applyAlignment="1"/>
    <xf numFmtId="0" fontId="24" fillId="0" borderId="1" xfId="58" applyNumberFormat="1" applyFont="1" applyBorder="1" applyAlignment="1">
      <alignment horizontal="center" vertical="center" wrapText="1"/>
    </xf>
    <xf numFmtId="0" fontId="24" fillId="0" borderId="1" xfId="58" applyFont="1" applyBorder="1" applyAlignment="1">
      <alignment horizontal="center" vertical="center"/>
    </xf>
    <xf numFmtId="0" fontId="24" fillId="0" borderId="1" xfId="58" applyNumberFormat="1" applyFont="1" applyBorder="1" applyAlignment="1">
      <alignment horizontal="center" vertical="center"/>
    </xf>
    <xf numFmtId="0" fontId="23" fillId="0" borderId="0" xfId="58" applyFont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24" fillId="0" borderId="1" xfId="58" applyFont="1" applyBorder="1" applyAlignment="1">
      <alignment horizontal="left" vertical="center" wrapText="1"/>
    </xf>
    <xf numFmtId="1" fontId="24" fillId="0" borderId="1" xfId="58" applyNumberFormat="1" applyFont="1" applyBorder="1" applyAlignment="1">
      <alignment horizontal="center" vertical="center"/>
    </xf>
    <xf numFmtId="0" fontId="24" fillId="0" borderId="25" xfId="58" applyFont="1" applyBorder="1" applyAlignment="1">
      <alignment horizontal="center" vertical="center"/>
    </xf>
    <xf numFmtId="0" fontId="24" fillId="0" borderId="65" xfId="58" applyFont="1" applyBorder="1" applyAlignment="1">
      <alignment horizontal="center" vertical="center"/>
    </xf>
    <xf numFmtId="0" fontId="24" fillId="0" borderId="25" xfId="58" applyFont="1" applyBorder="1" applyAlignment="1">
      <alignment horizontal="left" vertical="center" wrapText="1"/>
    </xf>
    <xf numFmtId="0" fontId="24" fillId="0" borderId="65" xfId="58" applyFont="1" applyBorder="1" applyAlignment="1">
      <alignment horizontal="left" vertical="center" wrapText="1"/>
    </xf>
    <xf numFmtId="1" fontId="24" fillId="0" borderId="26" xfId="58" applyNumberFormat="1" applyFont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 wrapText="1"/>
    </xf>
    <xf numFmtId="0" fontId="24" fillId="0" borderId="65" xfId="58" applyNumberFormat="1" applyFont="1" applyBorder="1" applyAlignment="1">
      <alignment horizontal="center" vertical="center"/>
    </xf>
    <xf numFmtId="0" fontId="24" fillId="0" borderId="66" xfId="58" applyFont="1" applyBorder="1" applyAlignment="1">
      <alignment horizontal="center" vertical="center"/>
    </xf>
    <xf numFmtId="0" fontId="24" fillId="0" borderId="66" xfId="58" applyFont="1" applyBorder="1" applyAlignment="1">
      <alignment horizontal="left" vertical="center" wrapText="1"/>
    </xf>
    <xf numFmtId="0" fontId="24" fillId="0" borderId="63" xfId="58" applyFont="1" applyBorder="1" applyAlignment="1">
      <alignment horizontal="left" vertical="center" wrapText="1"/>
    </xf>
    <xf numFmtId="1" fontId="24" fillId="0" borderId="67" xfId="58" applyNumberFormat="1" applyFont="1" applyBorder="1" applyAlignment="1">
      <alignment horizontal="center" vertical="center"/>
    </xf>
    <xf numFmtId="0" fontId="23" fillId="0" borderId="67" xfId="0" applyFont="1" applyFill="1" applyBorder="1" applyAlignment="1"/>
    <xf numFmtId="0" fontId="24" fillId="0" borderId="63" xfId="58" applyNumberFormat="1" applyFont="1" applyBorder="1" applyAlignment="1">
      <alignment horizontal="center" vertical="center"/>
    </xf>
    <xf numFmtId="0" fontId="24" fillId="0" borderId="63" xfId="58" applyFont="1" applyBorder="1" applyAlignment="1">
      <alignment horizontal="center" vertical="center" wrapText="1"/>
    </xf>
    <xf numFmtId="1" fontId="24" fillId="0" borderId="68" xfId="58" applyNumberFormat="1" applyFont="1" applyBorder="1" applyAlignment="1">
      <alignment vertical="center"/>
    </xf>
    <xf numFmtId="1" fontId="24" fillId="0" borderId="67" xfId="58" applyNumberFormat="1" applyFont="1" applyBorder="1" applyAlignment="1">
      <alignment vertical="center"/>
    </xf>
    <xf numFmtId="0" fontId="28" fillId="0" borderId="30" xfId="58" applyFont="1" applyBorder="1" applyAlignment="1">
      <alignment horizontal="left" vertical="center" wrapText="1"/>
    </xf>
    <xf numFmtId="0" fontId="28" fillId="0" borderId="69" xfId="58" applyFont="1" applyBorder="1" applyAlignment="1">
      <alignment vertical="center" wrapText="1"/>
    </xf>
    <xf numFmtId="1" fontId="28" fillId="0" borderId="69" xfId="58" applyNumberFormat="1" applyFont="1" applyBorder="1" applyAlignment="1">
      <alignment vertical="center" wrapText="1"/>
    </xf>
    <xf numFmtId="0" fontId="28" fillId="0" borderId="0" xfId="58" applyFont="1" applyAlignment="1">
      <alignment vertical="center" wrapText="1"/>
    </xf>
    <xf numFmtId="0" fontId="28" fillId="0" borderId="70" xfId="58" applyNumberFormat="1" applyFont="1" applyBorder="1" applyAlignment="1">
      <alignment horizontal="center" vertical="center" wrapText="1"/>
    </xf>
    <xf numFmtId="0" fontId="23" fillId="0" borderId="70" xfId="0" applyFont="1" applyFill="1" applyBorder="1" applyAlignment="1"/>
    <xf numFmtId="0" fontId="28" fillId="0" borderId="71" xfId="58" applyFont="1" applyBorder="1" applyAlignment="1">
      <alignment horizontal="left" vertical="center" wrapText="1"/>
    </xf>
    <xf numFmtId="0" fontId="23" fillId="0" borderId="72" xfId="0" applyFont="1" applyFill="1" applyBorder="1" applyAlignment="1"/>
    <xf numFmtId="0" fontId="28" fillId="0" borderId="73" xfId="58" applyFont="1" applyBorder="1" applyAlignment="1">
      <alignment horizontal="left" vertical="center" wrapText="1"/>
    </xf>
    <xf numFmtId="0" fontId="23" fillId="0" borderId="72" xfId="0" applyNumberFormat="1" applyFont="1" applyFill="1" applyBorder="1" applyAlignment="1"/>
    <xf numFmtId="0" fontId="23" fillId="0" borderId="73" xfId="0" applyFont="1" applyFill="1" applyBorder="1" applyAlignment="1"/>
    <xf numFmtId="0" fontId="28" fillId="0" borderId="71" xfId="58" applyFont="1" applyBorder="1" applyAlignment="1">
      <alignment horizontal="justify" vertical="center" wrapText="1"/>
    </xf>
    <xf numFmtId="0" fontId="28" fillId="0" borderId="74" xfId="58" applyFont="1" applyBorder="1" applyAlignment="1">
      <alignment vertical="center" wrapText="1"/>
    </xf>
    <xf numFmtId="0" fontId="28" fillId="0" borderId="74" xfId="58" applyNumberFormat="1" applyFont="1" applyBorder="1" applyAlignment="1">
      <alignment vertical="center" wrapText="1"/>
    </xf>
    <xf numFmtId="0" fontId="28" fillId="0" borderId="75" xfId="58" applyFont="1" applyBorder="1" applyAlignment="1">
      <alignment vertical="center" wrapText="1"/>
    </xf>
    <xf numFmtId="0" fontId="28" fillId="0" borderId="73" xfId="58" applyFont="1" applyBorder="1" applyAlignment="1">
      <alignment horizontal="left" vertical="center"/>
    </xf>
    <xf numFmtId="0" fontId="28" fillId="0" borderId="31" xfId="58" applyFont="1" applyBorder="1" applyAlignment="1">
      <alignment horizontal="left" vertical="center" wrapText="1"/>
    </xf>
    <xf numFmtId="0" fontId="28" fillId="0" borderId="31" xfId="58" applyNumberFormat="1" applyFont="1" applyBorder="1" applyAlignment="1">
      <alignment horizontal="left" vertical="center" wrapText="1"/>
    </xf>
    <xf numFmtId="0" fontId="28" fillId="0" borderId="25" xfId="58" applyFont="1" applyBorder="1" applyAlignment="1">
      <alignment horizontal="left" vertical="center" wrapText="1"/>
    </xf>
    <xf numFmtId="0" fontId="28" fillId="0" borderId="26" xfId="58" applyFont="1" applyBorder="1" applyAlignment="1">
      <alignment horizontal="left" vertical="center" wrapText="1"/>
    </xf>
    <xf numFmtId="0" fontId="29" fillId="0" borderId="4" xfId="58" applyFont="1" applyBorder="1" applyAlignment="1">
      <alignment horizontal="center" vertical="center"/>
    </xf>
    <xf numFmtId="0" fontId="28" fillId="0" borderId="76" xfId="58" applyFont="1" applyBorder="1" applyAlignment="1">
      <alignment horizontal="center" vertical="center" wrapText="1"/>
    </xf>
    <xf numFmtId="0" fontId="23" fillId="0" borderId="69" xfId="0" applyFont="1" applyFill="1" applyBorder="1" applyAlignment="1"/>
    <xf numFmtId="0" fontId="23" fillId="0" borderId="69" xfId="0" applyNumberFormat="1" applyFont="1" applyFill="1" applyBorder="1" applyAlignment="1"/>
    <xf numFmtId="0" fontId="30" fillId="0" borderId="77" xfId="58" applyFont="1" applyBorder="1" applyAlignment="1">
      <alignment horizontal="center" vertical="center" wrapText="1"/>
    </xf>
    <xf numFmtId="0" fontId="30" fillId="0" borderId="78" xfId="58" applyFont="1" applyBorder="1" applyAlignment="1">
      <alignment horizontal="center" vertical="center" wrapText="1"/>
    </xf>
    <xf numFmtId="0" fontId="30" fillId="0" borderId="78" xfId="58" applyNumberFormat="1" applyFont="1" applyBorder="1" applyAlignment="1">
      <alignment horizontal="center" vertical="center" wrapText="1"/>
    </xf>
    <xf numFmtId="0" fontId="31" fillId="0" borderId="30" xfId="58" applyFont="1" applyBorder="1" applyAlignment="1">
      <alignment horizontal="center" vertical="center"/>
    </xf>
    <xf numFmtId="0" fontId="24" fillId="0" borderId="79" xfId="58" applyFont="1" applyBorder="1" applyAlignment="1">
      <alignment horizontal="center" vertical="center"/>
    </xf>
    <xf numFmtId="0" fontId="23" fillId="0" borderId="80" xfId="0" applyNumberFormat="1" applyFont="1" applyFill="1" applyBorder="1" applyAlignment="1"/>
    <xf numFmtId="0" fontId="23" fillId="0" borderId="79" xfId="0" applyFont="1" applyFill="1" applyBorder="1" applyAlignment="1"/>
    <xf numFmtId="0" fontId="24" fillId="0" borderId="25" xfId="58" applyFont="1" applyBorder="1" applyAlignment="1">
      <alignment vertical="center"/>
    </xf>
    <xf numFmtId="0" fontId="24" fillId="0" borderId="2" xfId="58" applyFont="1" applyBorder="1" applyAlignment="1">
      <alignment vertical="center"/>
    </xf>
    <xf numFmtId="0" fontId="24" fillId="0" borderId="2" xfId="58" applyNumberFormat="1" applyFont="1" applyBorder="1" applyAlignment="1">
      <alignment vertical="center"/>
    </xf>
    <xf numFmtId="0" fontId="24" fillId="0" borderId="26" xfId="58" applyFont="1" applyBorder="1" applyAlignment="1">
      <alignment vertical="center"/>
    </xf>
    <xf numFmtId="0" fontId="32" fillId="0" borderId="0" xfId="58" applyFont="1" applyAlignment="1">
      <alignment horizontal="center" vertical="center"/>
    </xf>
    <xf numFmtId="0" fontId="32" fillId="0" borderId="0" xfId="58" applyFont="1" applyAlignment="1">
      <alignment horizontal="center" vertical="center" wrapText="1"/>
    </xf>
    <xf numFmtId="0" fontId="32" fillId="0" borderId="0" xfId="58" applyFont="1" applyFill="1" applyAlignment="1">
      <alignment horizontal="center" vertical="center" wrapText="1"/>
    </xf>
    <xf numFmtId="0" fontId="32" fillId="3" borderId="0" xfId="58" applyFont="1" applyFill="1" applyAlignment="1">
      <alignment horizontal="center" vertical="center" wrapText="1"/>
    </xf>
    <xf numFmtId="184" fontId="32" fillId="0" borderId="0" xfId="58" applyNumberFormat="1" applyFont="1" applyAlignment="1">
      <alignment horizontal="center" vertical="center"/>
    </xf>
    <xf numFmtId="0" fontId="11" fillId="0" borderId="0" xfId="58" applyFont="1" applyAlignment="1">
      <alignment horizontal="center" vertical="center" wrapText="1"/>
    </xf>
    <xf numFmtId="0" fontId="32" fillId="2" borderId="0" xfId="58" applyFont="1" applyFill="1" applyAlignment="1">
      <alignment horizontal="center" vertical="center"/>
    </xf>
    <xf numFmtId="183" fontId="32" fillId="2" borderId="0" xfId="58" applyNumberFormat="1" applyFont="1" applyFill="1" applyAlignment="1">
      <alignment horizontal="center" vertical="center"/>
    </xf>
    <xf numFmtId="0" fontId="32" fillId="0" borderId="0" xfId="58" applyFont="1" applyFill="1" applyAlignment="1">
      <alignment horizontal="center" vertical="center"/>
    </xf>
    <xf numFmtId="0" fontId="33" fillId="0" borderId="0" xfId="58" applyFont="1" applyFill="1" applyAlignment="1">
      <alignment horizontal="center" vertical="center"/>
    </xf>
    <xf numFmtId="183" fontId="33" fillId="2" borderId="0" xfId="58" applyNumberFormat="1" applyFont="1" applyFill="1" applyAlignment="1">
      <alignment horizontal="center" vertical="center"/>
    </xf>
    <xf numFmtId="186" fontId="32" fillId="2" borderId="0" xfId="58" applyNumberFormat="1" applyFont="1" applyFill="1" applyAlignment="1">
      <alignment horizontal="center" vertical="center"/>
    </xf>
    <xf numFmtId="0" fontId="32" fillId="0" borderId="1" xfId="61" applyFont="1" applyBorder="1" applyAlignment="1">
      <alignment horizontal="center" vertical="center"/>
    </xf>
    <xf numFmtId="184" fontId="32" fillId="0" borderId="1" xfId="58" applyNumberFormat="1" applyFont="1" applyBorder="1" applyAlignment="1">
      <alignment horizontal="center" vertical="center"/>
    </xf>
    <xf numFmtId="0" fontId="32" fillId="0" borderId="1" xfId="58" applyFont="1" applyBorder="1" applyAlignment="1">
      <alignment horizontal="center" vertical="center"/>
    </xf>
    <xf numFmtId="0" fontId="11" fillId="0" borderId="1" xfId="61" applyFont="1" applyBorder="1" applyAlignment="1">
      <alignment horizontal="center" vertical="center" wrapText="1"/>
    </xf>
    <xf numFmtId="0" fontId="32" fillId="2" borderId="1" xfId="58" applyFont="1" applyFill="1" applyBorder="1" applyAlignment="1">
      <alignment horizontal="center" vertical="center"/>
    </xf>
    <xf numFmtId="0" fontId="32" fillId="2" borderId="1" xfId="58" applyFont="1" applyFill="1" applyBorder="1" applyAlignment="1">
      <alignment horizontal="center" vertical="center" wrapText="1"/>
    </xf>
    <xf numFmtId="183" fontId="32" fillId="2" borderId="1" xfId="58" applyNumberFormat="1" applyFont="1" applyFill="1" applyBorder="1" applyAlignment="1">
      <alignment horizontal="center" vertical="center"/>
    </xf>
    <xf numFmtId="0" fontId="32" fillId="0" borderId="1" xfId="58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2" fillId="0" borderId="1" xfId="58" applyFont="1" applyBorder="1" applyAlignment="1">
      <alignment horizontal="center" vertical="center" wrapText="1"/>
    </xf>
    <xf numFmtId="184" fontId="34" fillId="0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4" fontId="35" fillId="2" borderId="1" xfId="62" applyNumberFormat="1" applyFont="1" applyFill="1" applyBorder="1" applyAlignment="1">
      <alignment horizontal="center" vertical="center"/>
    </xf>
    <xf numFmtId="187" fontId="35" fillId="2" borderId="1" xfId="0" applyNumberFormat="1" applyFont="1" applyFill="1" applyBorder="1" applyAlignment="1">
      <alignment horizontal="center" vertical="center" wrapText="1"/>
    </xf>
    <xf numFmtId="187" fontId="32" fillId="2" borderId="1" xfId="0" applyNumberFormat="1" applyFont="1" applyFill="1" applyBorder="1" applyAlignment="1">
      <alignment horizontal="center" vertical="center"/>
    </xf>
    <xf numFmtId="183" fontId="35" fillId="2" borderId="1" xfId="0" applyNumberFormat="1" applyFont="1" applyFill="1" applyBorder="1" applyAlignment="1">
      <alignment horizontal="center" vertical="center" wrapText="1"/>
    </xf>
    <xf numFmtId="183" fontId="35" fillId="2" borderId="40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183" fontId="35" fillId="2" borderId="0" xfId="0" applyNumberFormat="1" applyFont="1" applyFill="1" applyAlignment="1">
      <alignment horizontal="center" vertical="center" wrapText="1"/>
    </xf>
    <xf numFmtId="1" fontId="32" fillId="0" borderId="0" xfId="58" applyNumberFormat="1" applyFont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184" fontId="37" fillId="2" borderId="1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183" fontId="33" fillId="2" borderId="1" xfId="0" applyNumberFormat="1" applyFont="1" applyFill="1" applyBorder="1" applyAlignment="1">
      <alignment horizontal="center" vertical="center"/>
    </xf>
    <xf numFmtId="188" fontId="32" fillId="2" borderId="1" xfId="63" applyNumberFormat="1" applyFont="1" applyFill="1" applyBorder="1" applyAlignment="1" applyProtection="1">
      <alignment horizontal="center" vertical="center"/>
      <protection locked="0"/>
    </xf>
    <xf numFmtId="183" fontId="33" fillId="0" borderId="1" xfId="0" applyNumberFormat="1" applyFont="1" applyFill="1" applyBorder="1" applyAlignment="1">
      <alignment horizontal="center" vertical="center"/>
    </xf>
    <xf numFmtId="183" fontId="33" fillId="2" borderId="0" xfId="0" applyNumberFormat="1" applyFont="1" applyFill="1" applyAlignment="1">
      <alignment horizontal="center" vertical="center"/>
    </xf>
    <xf numFmtId="184" fontId="38" fillId="0" borderId="1" xfId="0" applyNumberFormat="1" applyFont="1" applyFill="1" applyBorder="1" applyAlignment="1">
      <alignment horizontal="center" vertical="center"/>
    </xf>
    <xf numFmtId="184" fontId="34" fillId="2" borderId="1" xfId="0" applyNumberFormat="1" applyFont="1" applyFill="1" applyBorder="1" applyAlignment="1">
      <alignment horizontal="center" vertical="center"/>
    </xf>
    <xf numFmtId="0" fontId="32" fillId="0" borderId="1" xfId="58" applyFont="1" applyFill="1" applyBorder="1" applyAlignment="1">
      <alignment horizontal="center" vertical="center" wrapText="1"/>
    </xf>
    <xf numFmtId="1" fontId="32" fillId="0" borderId="0" xfId="58" applyNumberFormat="1" applyFont="1" applyFill="1" applyAlignment="1">
      <alignment horizontal="center" vertical="center"/>
    </xf>
    <xf numFmtId="0" fontId="32" fillId="3" borderId="0" xfId="58" applyFont="1" applyFill="1" applyAlignment="1">
      <alignment horizontal="center" vertical="center"/>
    </xf>
    <xf numFmtId="0" fontId="32" fillId="3" borderId="1" xfId="58" applyFont="1" applyFill="1" applyBorder="1" applyAlignment="1">
      <alignment horizontal="center" vertical="center" wrapText="1"/>
    </xf>
    <xf numFmtId="184" fontId="38" fillId="3" borderId="1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4" fontId="35" fillId="3" borderId="1" xfId="62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187" fontId="35" fillId="3" borderId="1" xfId="0" applyNumberFormat="1" applyFont="1" applyFill="1" applyBorder="1" applyAlignment="1">
      <alignment horizontal="center" vertical="center" wrapText="1"/>
    </xf>
    <xf numFmtId="187" fontId="32" fillId="3" borderId="1" xfId="0" applyNumberFormat="1" applyFont="1" applyFill="1" applyBorder="1" applyAlignment="1">
      <alignment horizontal="center" vertical="center"/>
    </xf>
    <xf numFmtId="183" fontId="35" fillId="3" borderId="1" xfId="0" applyNumberFormat="1" applyFont="1" applyFill="1" applyBorder="1" applyAlignment="1">
      <alignment horizontal="center" vertical="center" wrapText="1"/>
    </xf>
    <xf numFmtId="183" fontId="35" fillId="3" borderId="40" xfId="0" applyNumberFormat="1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183" fontId="35" fillId="3" borderId="0" xfId="0" applyNumberFormat="1" applyFont="1" applyFill="1" applyAlignment="1">
      <alignment horizontal="center" vertical="center" wrapText="1"/>
    </xf>
    <xf numFmtId="1" fontId="32" fillId="3" borderId="0" xfId="58" applyNumberFormat="1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183" fontId="33" fillId="2" borderId="40" xfId="0" applyNumberFormat="1" applyFont="1" applyFill="1" applyBorder="1" applyAlignment="1">
      <alignment horizontal="center" vertical="center"/>
    </xf>
    <xf numFmtId="0" fontId="33" fillId="2" borderId="1" xfId="58" applyFont="1" applyFill="1" applyBorder="1" applyAlignment="1">
      <alignment horizontal="center" vertical="center" wrapText="1"/>
    </xf>
    <xf numFmtId="184" fontId="39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188" fontId="33" fillId="2" borderId="1" xfId="63" applyNumberFormat="1" applyFont="1" applyFill="1" applyBorder="1" applyAlignment="1" applyProtection="1">
      <alignment horizontal="center" vertical="center"/>
      <protection locked="0"/>
    </xf>
    <xf numFmtId="0" fontId="41" fillId="2" borderId="81" xfId="58" applyFont="1" applyFill="1" applyBorder="1" applyAlignment="1">
      <alignment horizontal="center" vertical="center"/>
    </xf>
    <xf numFmtId="0" fontId="32" fillId="2" borderId="81" xfId="0" applyFont="1" applyFill="1" applyBorder="1" applyAlignment="1">
      <alignment horizontal="center" vertical="center"/>
    </xf>
    <xf numFmtId="0" fontId="32" fillId="2" borderId="81" xfId="58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42" fillId="0" borderId="0" xfId="0" applyFont="1" applyFill="1" applyAlignment="1">
      <alignment horizontal="left" vertical="center"/>
    </xf>
    <xf numFmtId="0" fontId="43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center" wrapText="1"/>
    </xf>
    <xf numFmtId="183" fontId="43" fillId="0" borderId="0" xfId="0" applyNumberFormat="1" applyFont="1" applyFill="1" applyBorder="1" applyAlignment="1">
      <alignment horizontal="left" vertical="center" wrapText="1"/>
    </xf>
    <xf numFmtId="0" fontId="43" fillId="0" borderId="0" xfId="58" applyFont="1" applyFill="1" applyBorder="1" applyAlignment="1">
      <alignment horizontal="left" vertical="center" wrapText="1"/>
    </xf>
    <xf numFmtId="0" fontId="43" fillId="0" borderId="0" xfId="5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left" vertical="center" wrapText="1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 wrapText="1"/>
    </xf>
    <xf numFmtId="0" fontId="39" fillId="0" borderId="0" xfId="67" applyNumberFormat="1" applyFont="1" applyFill="1" applyBorder="1" applyAlignment="1" applyProtection="1">
      <alignment horizontal="left" vertical="center" wrapText="1"/>
      <protection locked="0"/>
    </xf>
    <xf numFmtId="0" fontId="43" fillId="0" borderId="0" xfId="67" applyNumberFormat="1" applyFont="1" applyFill="1" applyBorder="1" applyAlignment="1" applyProtection="1">
      <alignment horizontal="left" vertical="center" wrapText="1"/>
      <protection locked="0"/>
    </xf>
    <xf numFmtId="0" fontId="39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43" fillId="0" borderId="0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 wrapText="1"/>
    </xf>
    <xf numFmtId="0" fontId="45" fillId="0" borderId="0" xfId="0" applyFont="1" applyFill="1" applyBorder="1">
      <alignment vertical="center"/>
    </xf>
    <xf numFmtId="0" fontId="46" fillId="0" borderId="0" xfId="0" applyFont="1" applyFill="1" applyBorder="1">
      <alignment vertical="center"/>
    </xf>
    <xf numFmtId="0" fontId="46" fillId="0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46" fillId="0" borderId="0" xfId="0" applyFont="1">
      <alignment vertical="center"/>
    </xf>
    <xf numFmtId="183" fontId="35" fillId="0" borderId="0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7" fillId="0" borderId="47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189" fontId="35" fillId="2" borderId="40" xfId="0" applyNumberFormat="1" applyFont="1" applyFill="1" applyBorder="1" applyAlignment="1">
      <alignment horizontal="center" vertical="center" wrapText="1"/>
    </xf>
    <xf numFmtId="49" fontId="35" fillId="5" borderId="1" xfId="0" applyNumberFormat="1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183" fontId="35" fillId="0" borderId="1" xfId="0" applyNumberFormat="1" applyFont="1" applyFill="1" applyBorder="1" applyAlignment="1">
      <alignment horizontal="center" vertical="center" wrapText="1"/>
    </xf>
    <xf numFmtId="189" fontId="35" fillId="0" borderId="1" xfId="0" applyNumberFormat="1" applyFont="1" applyFill="1" applyBorder="1" applyAlignment="1">
      <alignment horizontal="center" vertical="center" wrapText="1"/>
    </xf>
    <xf numFmtId="190" fontId="35" fillId="0" borderId="1" xfId="0" applyNumberFormat="1" applyFont="1" applyFill="1" applyBorder="1" applyAlignment="1">
      <alignment horizontal="center" vertical="center" wrapText="1"/>
    </xf>
    <xf numFmtId="181" fontId="35" fillId="0" borderId="1" xfId="0" applyNumberFormat="1" applyFont="1" applyFill="1" applyBorder="1" applyAlignment="1">
      <alignment horizontal="center" vertical="center" wrapText="1"/>
    </xf>
    <xf numFmtId="191" fontId="35" fillId="0" borderId="1" xfId="0" applyNumberFormat="1" applyFont="1" applyFill="1" applyBorder="1" applyAlignment="1">
      <alignment horizontal="center" vertical="center" wrapText="1"/>
    </xf>
    <xf numFmtId="192" fontId="35" fillId="0" borderId="1" xfId="0" applyNumberFormat="1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/>
    </xf>
    <xf numFmtId="49" fontId="35" fillId="0" borderId="1" xfId="0" applyNumberFormat="1" applyFont="1" applyFill="1" applyBorder="1" applyAlignment="1">
      <alignment horizontal="center" vertical="center" wrapText="1"/>
    </xf>
    <xf numFmtId="0" fontId="48" fillId="0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184" fontId="34" fillId="0" borderId="1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5" fillId="0" borderId="82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5" fillId="0" borderId="83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183" fontId="35" fillId="0" borderId="12" xfId="0" applyNumberFormat="1" applyFont="1" applyFill="1" applyBorder="1" applyAlignment="1">
      <alignment horizontal="center" vertical="center" wrapText="1"/>
    </xf>
    <xf numFmtId="193" fontId="35" fillId="0" borderId="14" xfId="0" applyNumberFormat="1" applyFont="1" applyFill="1" applyBorder="1" applyAlignment="1">
      <alignment horizontal="center" vertical="center" wrapText="1"/>
    </xf>
    <xf numFmtId="194" fontId="35" fillId="0" borderId="14" xfId="0" applyNumberFormat="1" applyFont="1" applyFill="1" applyBorder="1" applyAlignment="1">
      <alignment horizontal="center" vertical="center"/>
    </xf>
    <xf numFmtId="183" fontId="35" fillId="0" borderId="14" xfId="0" applyNumberFormat="1" applyFont="1" applyFill="1" applyBorder="1" applyAlignment="1">
      <alignment horizontal="center" vertical="center"/>
    </xf>
    <xf numFmtId="183" fontId="35" fillId="0" borderId="84" xfId="0" applyNumberFormat="1" applyFont="1" applyFill="1" applyBorder="1" applyAlignment="1">
      <alignment horizontal="center" vertical="center"/>
    </xf>
    <xf numFmtId="181" fontId="35" fillId="0" borderId="85" xfId="0" applyNumberFormat="1" applyFont="1" applyFill="1" applyBorder="1" applyAlignment="1">
      <alignment horizontal="center" vertical="center"/>
    </xf>
    <xf numFmtId="0" fontId="50" fillId="0" borderId="1" xfId="54" applyFont="1" applyFill="1" applyBorder="1" applyAlignment="1">
      <alignment horizontal="center" vertical="center" wrapText="1"/>
    </xf>
    <xf numFmtId="191" fontId="35" fillId="0" borderId="1" xfId="0" applyNumberFormat="1" applyFont="1" applyFill="1" applyBorder="1" applyAlignment="1">
      <alignment horizontal="center" vertical="center"/>
    </xf>
    <xf numFmtId="195" fontId="35" fillId="0" borderId="1" xfId="0" applyNumberFormat="1" applyFont="1" applyFill="1" applyBorder="1" applyAlignment="1">
      <alignment horizontal="center" vertical="center" wrapText="1"/>
    </xf>
    <xf numFmtId="196" fontId="47" fillId="0" borderId="1" xfId="0" applyNumberFormat="1" applyFont="1" applyFill="1" applyBorder="1" applyAlignment="1">
      <alignment horizontal="center" vertical="center"/>
    </xf>
    <xf numFmtId="195" fontId="47" fillId="0" borderId="1" xfId="0" applyNumberFormat="1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vertical="center"/>
    </xf>
    <xf numFmtId="197" fontId="47" fillId="0" borderId="1" xfId="0" applyNumberFormat="1" applyFont="1" applyFill="1" applyBorder="1" applyAlignment="1">
      <alignment vertical="center"/>
    </xf>
    <xf numFmtId="0" fontId="51" fillId="0" borderId="1" xfId="0" applyFont="1" applyFill="1" applyBorder="1" applyAlignment="1">
      <alignment vertical="center"/>
    </xf>
    <xf numFmtId="198" fontId="34" fillId="0" borderId="1" xfId="0" applyNumberFormat="1" applyFont="1" applyFill="1" applyBorder="1" applyAlignment="1">
      <alignment vertical="center"/>
    </xf>
    <xf numFmtId="0" fontId="52" fillId="0" borderId="1" xfId="0" applyFont="1" applyFill="1" applyBorder="1" applyAlignment="1">
      <alignment vertical="center"/>
    </xf>
    <xf numFmtId="199" fontId="35" fillId="0" borderId="1" xfId="0" applyNumberFormat="1" applyFont="1" applyFill="1" applyBorder="1" applyAlignment="1">
      <alignment horizontal="center" vertical="center" wrapText="1"/>
    </xf>
    <xf numFmtId="195" fontId="34" fillId="0" borderId="1" xfId="0" applyNumberFormat="1" applyFont="1" applyFill="1" applyBorder="1" applyAlignment="1">
      <alignment horizontal="center" vertical="center"/>
    </xf>
    <xf numFmtId="0" fontId="53" fillId="0" borderId="20" xfId="0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 shrinkToFit="1"/>
    </xf>
    <xf numFmtId="0" fontId="34" fillId="0" borderId="14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45" fillId="0" borderId="1" xfId="0" applyFont="1" applyFill="1" applyBorder="1">
      <alignment vertical="center"/>
    </xf>
    <xf numFmtId="0" fontId="45" fillId="0" borderId="1" xfId="0" applyFont="1" applyFill="1" applyBorder="1" applyAlignment="1">
      <alignment vertical="center" wrapText="1"/>
    </xf>
    <xf numFmtId="0" fontId="42" fillId="0" borderId="1" xfId="0" applyFont="1" applyFill="1" applyBorder="1" applyAlignment="1">
      <alignment horizontal="center" vertical="center"/>
    </xf>
    <xf numFmtId="188" fontId="34" fillId="0" borderId="1" xfId="52" applyNumberFormat="1" applyFont="1" applyFill="1" applyBorder="1" applyAlignment="1">
      <alignment horizontal="center" vertical="center"/>
    </xf>
    <xf numFmtId="200" fontId="34" fillId="0" borderId="1" xfId="52" applyNumberFormat="1" applyFont="1" applyFill="1" applyBorder="1" applyAlignment="1">
      <alignment horizontal="center" vertical="center"/>
    </xf>
    <xf numFmtId="193" fontId="47" fillId="0" borderId="1" xfId="0" applyNumberFormat="1" applyFont="1" applyFill="1" applyBorder="1" applyAlignment="1">
      <alignment horizontal="center" vertical="center" wrapText="1"/>
    </xf>
    <xf numFmtId="194" fontId="47" fillId="0" borderId="1" xfId="0" applyNumberFormat="1" applyFont="1" applyFill="1" applyBorder="1" applyAlignment="1">
      <alignment horizontal="center" vertical="center"/>
    </xf>
    <xf numFmtId="201" fontId="18" fillId="0" borderId="1" xfId="0" applyNumberFormat="1" applyFont="1" applyFill="1" applyBorder="1" applyAlignment="1">
      <alignment horizontal="center" vertical="center"/>
    </xf>
    <xf numFmtId="181" fontId="35" fillId="0" borderId="1" xfId="0" applyNumberFormat="1" applyFont="1" applyFill="1" applyBorder="1" applyAlignment="1">
      <alignment horizontal="center" vertical="center"/>
    </xf>
    <xf numFmtId="195" fontId="47" fillId="0" borderId="86" xfId="0" applyNumberFormat="1" applyFont="1" applyFill="1" applyBorder="1" applyAlignment="1">
      <alignment horizontal="center" vertical="center"/>
    </xf>
    <xf numFmtId="191" fontId="35" fillId="0" borderId="20" xfId="0" applyNumberFormat="1" applyFont="1" applyFill="1" applyBorder="1" applyAlignment="1">
      <alignment horizontal="center" vertical="center" wrapText="1"/>
    </xf>
    <xf numFmtId="195" fontId="34" fillId="0" borderId="86" xfId="0" applyNumberFormat="1" applyFont="1" applyFill="1" applyBorder="1" applyAlignment="1">
      <alignment horizontal="center" vertical="center"/>
    </xf>
    <xf numFmtId="0" fontId="48" fillId="0" borderId="86" xfId="0" applyFont="1" applyFill="1" applyBorder="1" applyAlignment="1">
      <alignment horizontal="center" vertical="center" wrapText="1"/>
    </xf>
    <xf numFmtId="0" fontId="53" fillId="0" borderId="86" xfId="0" applyFont="1" applyFill="1" applyBorder="1" applyAlignment="1">
      <alignment horizontal="center" vertical="center" wrapText="1"/>
    </xf>
    <xf numFmtId="183" fontId="35" fillId="0" borderId="47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94" fontId="47" fillId="0" borderId="40" xfId="0" applyNumberFormat="1" applyFont="1" applyFill="1" applyBorder="1" applyAlignment="1">
      <alignment horizontal="center" vertical="center"/>
    </xf>
    <xf numFmtId="183" fontId="34" fillId="0" borderId="1" xfId="0" applyNumberFormat="1" applyFont="1" applyFill="1" applyBorder="1" applyAlignment="1">
      <alignment horizontal="center" vertical="center"/>
    </xf>
    <xf numFmtId="187" fontId="47" fillId="0" borderId="86" xfId="0" applyNumberFormat="1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197" fontId="47" fillId="0" borderId="1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198" fontId="55" fillId="0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191" fontId="47" fillId="0" borderId="20" xfId="0" applyNumberFormat="1" applyFont="1" applyFill="1" applyBorder="1" applyAlignment="1">
      <alignment horizontal="center" vertical="center" wrapText="1"/>
    </xf>
    <xf numFmtId="0" fontId="47" fillId="0" borderId="20" xfId="0" applyFont="1" applyFill="1" applyBorder="1" applyAlignment="1">
      <alignment horizontal="center" vertical="center" wrapText="1"/>
    </xf>
    <xf numFmtId="195" fontId="35" fillId="0" borderId="1" xfId="0" applyNumberFormat="1" applyFont="1" applyFill="1" applyBorder="1" applyAlignment="1">
      <alignment horizontal="center" vertical="center"/>
    </xf>
    <xf numFmtId="195" fontId="35" fillId="0" borderId="86" xfId="0" applyNumberFormat="1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57" fillId="0" borderId="0" xfId="0" applyFont="1" applyFill="1">
      <alignment vertical="center"/>
    </xf>
    <xf numFmtId="0" fontId="58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0" fillId="6" borderId="0" xfId="0" applyFill="1">
      <alignment vertical="center"/>
    </xf>
    <xf numFmtId="0" fontId="59" fillId="7" borderId="87" xfId="0" applyNumberFormat="1" applyFont="1" applyFill="1" applyBorder="1" applyAlignment="1" applyProtection="1">
      <alignment horizontal="center"/>
      <protection hidden="1"/>
    </xf>
    <xf numFmtId="0" fontId="59" fillId="7" borderId="4" xfId="0" applyNumberFormat="1" applyFont="1" applyFill="1" applyBorder="1" applyAlignment="1" applyProtection="1">
      <alignment horizontal="center"/>
      <protection hidden="1"/>
    </xf>
    <xf numFmtId="0" fontId="59" fillId="7" borderId="9" xfId="0" applyNumberFormat="1" applyFont="1" applyFill="1" applyBorder="1" applyAlignment="1" applyProtection="1">
      <alignment horizontal="center"/>
      <protection hidden="1"/>
    </xf>
    <xf numFmtId="0" fontId="35" fillId="7" borderId="30" xfId="0" applyFont="1" applyFill="1" applyBorder="1" applyAlignment="1" applyProtection="1">
      <alignment horizontal="center" wrapText="1"/>
      <protection hidden="1"/>
    </xf>
    <xf numFmtId="0" fontId="35" fillId="7" borderId="0" xfId="0" applyFont="1" applyFill="1" applyAlignment="1" applyProtection="1">
      <alignment horizontal="center" wrapText="1"/>
      <protection hidden="1"/>
    </xf>
    <xf numFmtId="0" fontId="35" fillId="7" borderId="31" xfId="0" applyFont="1" applyFill="1" applyBorder="1" applyAlignment="1" applyProtection="1">
      <alignment horizontal="center" wrapText="1"/>
      <protection hidden="1"/>
    </xf>
    <xf numFmtId="0" fontId="60" fillId="7" borderId="30" xfId="0" applyNumberFormat="1" applyFont="1" applyFill="1" applyBorder="1" applyAlignment="1" applyProtection="1">
      <alignment vertical="center"/>
      <protection hidden="1"/>
    </xf>
    <xf numFmtId="0" fontId="60" fillId="7" borderId="0" xfId="0" applyNumberFormat="1" applyFont="1" applyFill="1" applyBorder="1" applyAlignment="1" applyProtection="1">
      <alignment vertical="center"/>
      <protection hidden="1"/>
    </xf>
    <xf numFmtId="0" fontId="60" fillId="7" borderId="31" xfId="0" applyNumberFormat="1" applyFont="1" applyFill="1" applyBorder="1" applyAlignment="1" applyProtection="1">
      <alignment horizontal="center" vertical="center"/>
      <protection hidden="1"/>
    </xf>
    <xf numFmtId="0" fontId="61" fillId="7" borderId="30" xfId="0" applyNumberFormat="1" applyFont="1" applyFill="1" applyBorder="1" applyAlignment="1">
      <alignment horizontal="center" vertical="center"/>
    </xf>
    <xf numFmtId="0" fontId="61" fillId="7" borderId="0" xfId="0" applyNumberFormat="1" applyFont="1" applyFill="1" applyAlignment="1">
      <alignment horizontal="center" vertical="center"/>
    </xf>
    <xf numFmtId="0" fontId="61" fillId="7" borderId="31" xfId="0" applyNumberFormat="1" applyFont="1" applyFill="1" applyBorder="1" applyAlignment="1">
      <alignment horizontal="center" vertical="center"/>
    </xf>
    <xf numFmtId="0" fontId="62" fillId="7" borderId="87" xfId="0" applyNumberFormat="1" applyFont="1" applyFill="1" applyBorder="1" applyAlignment="1" applyProtection="1">
      <alignment vertical="center"/>
      <protection hidden="1"/>
    </xf>
    <xf numFmtId="0" fontId="62" fillId="7" borderId="4" xfId="0" applyNumberFormat="1" applyFont="1" applyFill="1" applyBorder="1" applyAlignment="1" applyProtection="1">
      <alignment vertical="center"/>
      <protection hidden="1"/>
    </xf>
    <xf numFmtId="0" fontId="63" fillId="7" borderId="6" xfId="0" applyFont="1" applyFill="1" applyBorder="1" applyAlignment="1" applyProtection="1">
      <protection hidden="1"/>
    </xf>
    <xf numFmtId="0" fontId="63" fillId="7" borderId="4" xfId="0" applyFont="1" applyFill="1" applyBorder="1" applyAlignment="1" applyProtection="1">
      <protection hidden="1"/>
    </xf>
    <xf numFmtId="0" fontId="63" fillId="7" borderId="4" xfId="0" applyNumberFormat="1" applyFont="1" applyFill="1" applyBorder="1" applyAlignment="1" applyProtection="1">
      <protection hidden="1"/>
    </xf>
    <xf numFmtId="183" fontId="63" fillId="7" borderId="9" xfId="0" applyNumberFormat="1" applyFont="1" applyFill="1" applyBorder="1" applyAlignment="1" applyProtection="1">
      <alignment horizontal="center" vertical="center"/>
      <protection hidden="1"/>
    </xf>
    <xf numFmtId="0" fontId="62" fillId="0" borderId="30" xfId="0" applyNumberFormat="1" applyFont="1" applyFill="1" applyBorder="1" applyAlignment="1" applyProtection="1">
      <alignment horizontal="left" vertical="top" wrapText="1"/>
      <protection locked="0"/>
    </xf>
    <xf numFmtId="0" fontId="62" fillId="0" borderId="0" xfId="0" applyNumberFormat="1" applyFont="1" applyFill="1" applyAlignment="1" applyProtection="1">
      <alignment horizontal="left" vertical="top" wrapText="1"/>
      <protection locked="0"/>
    </xf>
    <xf numFmtId="0" fontId="62" fillId="0" borderId="13" xfId="0" applyNumberFormat="1" applyFont="1" applyFill="1" applyBorder="1" applyAlignment="1" applyProtection="1">
      <alignment horizontal="left"/>
      <protection locked="0"/>
    </xf>
    <xf numFmtId="0" fontId="62" fillId="0" borderId="11" xfId="0" applyNumberFormat="1" applyFont="1" applyFill="1" applyBorder="1" applyAlignment="1" applyProtection="1">
      <alignment horizontal="left"/>
      <protection locked="0"/>
    </xf>
    <xf numFmtId="0" fontId="63" fillId="0" borderId="47" xfId="0" applyNumberFormat="1" applyFont="1" applyFill="1" applyBorder="1" applyAlignment="1" applyProtection="1">
      <alignment horizontal="left"/>
      <protection locked="0"/>
    </xf>
    <xf numFmtId="0" fontId="63" fillId="0" borderId="41" xfId="0" applyNumberFormat="1" applyFont="1" applyFill="1" applyBorder="1" applyAlignment="1" applyProtection="1">
      <alignment horizontal="left"/>
      <protection locked="0"/>
    </xf>
    <xf numFmtId="183" fontId="63" fillId="0" borderId="88" xfId="0" applyNumberFormat="1" applyFont="1" applyFill="1" applyBorder="1" applyAlignment="1" applyProtection="1">
      <alignment horizontal="center" vertical="center"/>
      <protection locked="0"/>
    </xf>
    <xf numFmtId="0" fontId="63" fillId="7" borderId="23" xfId="0" applyFont="1" applyFill="1" applyBorder="1" applyAlignment="1" applyProtection="1">
      <alignment horizontal="left"/>
      <protection hidden="1"/>
    </xf>
    <xf numFmtId="0" fontId="63" fillId="7" borderId="18" xfId="0" applyNumberFormat="1" applyFont="1" applyFill="1" applyBorder="1" applyAlignment="1" applyProtection="1">
      <alignment horizontal="left"/>
      <protection hidden="1"/>
    </xf>
    <xf numFmtId="0" fontId="63" fillId="7" borderId="19" xfId="0" applyNumberFormat="1" applyFont="1" applyFill="1" applyBorder="1" applyAlignment="1" applyProtection="1">
      <protection hidden="1"/>
    </xf>
    <xf numFmtId="0" fontId="63" fillId="7" borderId="18" xfId="0" applyNumberFormat="1" applyFont="1" applyFill="1" applyBorder="1" applyAlignment="1" applyProtection="1">
      <protection hidden="1"/>
    </xf>
    <xf numFmtId="183" fontId="63" fillId="7" borderId="22" xfId="0" applyNumberFormat="1" applyFont="1" applyFill="1" applyBorder="1" applyAlignment="1" applyProtection="1">
      <alignment horizontal="center" vertical="center"/>
      <protection hidden="1"/>
    </xf>
    <xf numFmtId="191" fontId="62" fillId="8" borderId="13" xfId="0" applyNumberFormat="1" applyFont="1" applyFill="1" applyBorder="1" applyAlignment="1" applyProtection="1">
      <alignment horizontal="left" vertical="top"/>
      <protection locked="0"/>
    </xf>
    <xf numFmtId="191" fontId="62" fillId="8" borderId="11" xfId="0" applyNumberFormat="1" applyFont="1" applyFill="1" applyBorder="1" applyAlignment="1" applyProtection="1">
      <alignment horizontal="left" vertical="top"/>
      <protection locked="0"/>
    </xf>
    <xf numFmtId="191" fontId="62" fillId="8" borderId="12" xfId="0" applyNumberFormat="1" applyFont="1" applyFill="1" applyBorder="1" applyAlignment="1" applyProtection="1">
      <alignment horizontal="left" vertical="top"/>
      <protection locked="0"/>
    </xf>
    <xf numFmtId="0" fontId="63" fillId="0" borderId="11" xfId="0" applyNumberFormat="1" applyFont="1" applyFill="1" applyBorder="1" applyAlignment="1" applyProtection="1">
      <alignment horizontal="left"/>
      <protection locked="0"/>
    </xf>
    <xf numFmtId="0" fontId="64" fillId="0" borderId="11" xfId="0" applyNumberFormat="1" applyFont="1" applyFill="1" applyBorder="1" applyAlignment="1" applyProtection="1">
      <alignment horizontal="left"/>
      <protection locked="0"/>
    </xf>
    <xf numFmtId="183" fontId="65" fillId="0" borderId="16" xfId="0" applyNumberFormat="1" applyFont="1" applyFill="1" applyBorder="1" applyAlignment="1">
      <alignment horizontal="center" vertical="center"/>
    </xf>
    <xf numFmtId="0" fontId="62" fillId="0" borderId="30" xfId="0" applyNumberFormat="1" applyFont="1" applyFill="1" applyBorder="1" applyAlignment="1" applyProtection="1">
      <alignment vertical="center"/>
      <protection locked="0"/>
    </xf>
    <xf numFmtId="0" fontId="62" fillId="0" borderId="0" xfId="0" applyNumberFormat="1" applyFont="1" applyFill="1" applyAlignment="1" applyProtection="1">
      <alignment vertical="center"/>
      <protection locked="0"/>
    </xf>
    <xf numFmtId="0" fontId="62" fillId="0" borderId="0" xfId="0" applyNumberFormat="1" applyFont="1" applyFill="1" applyBorder="1" applyAlignment="1" applyProtection="1">
      <protection locked="0"/>
    </xf>
    <xf numFmtId="0" fontId="63" fillId="7" borderId="23" xfId="0" applyNumberFormat="1" applyFont="1" applyFill="1" applyBorder="1" applyAlignment="1" applyProtection="1">
      <alignment horizontal="left"/>
      <protection hidden="1"/>
    </xf>
    <xf numFmtId="0" fontId="63" fillId="7" borderId="18" xfId="0" applyNumberFormat="1" applyFont="1" applyFill="1" applyBorder="1" applyAlignment="1" applyProtection="1">
      <alignment horizontal="center"/>
      <protection hidden="1"/>
    </xf>
    <xf numFmtId="0" fontId="63" fillId="7" borderId="23" xfId="0" applyNumberFormat="1" applyFont="1" applyFill="1" applyBorder="1" applyAlignment="1" applyProtection="1">
      <protection hidden="1"/>
    </xf>
    <xf numFmtId="0" fontId="63" fillId="7" borderId="0" xfId="0" applyNumberFormat="1" applyFont="1" applyFill="1" applyBorder="1" applyAlignment="1" applyProtection="1">
      <protection hidden="1"/>
    </xf>
    <xf numFmtId="183" fontId="63" fillId="7" borderId="31" xfId="0" applyNumberFormat="1" applyFont="1" applyFill="1" applyBorder="1" applyAlignment="1" applyProtection="1">
      <alignment horizontal="center" vertical="center"/>
      <protection hidden="1"/>
    </xf>
    <xf numFmtId="0" fontId="62" fillId="0" borderId="14" xfId="0" applyNumberFormat="1" applyFont="1" applyFill="1" applyBorder="1" applyAlignment="1" applyProtection="1">
      <alignment horizontal="left" vertical="top"/>
      <protection locked="0"/>
    </xf>
    <xf numFmtId="0" fontId="63" fillId="0" borderId="0" xfId="0" applyNumberFormat="1" applyFont="1" applyFill="1" applyAlignment="1" applyProtection="1">
      <alignment horizontal="center"/>
      <protection locked="0"/>
    </xf>
    <xf numFmtId="183" fontId="63" fillId="0" borderId="31" xfId="0" applyNumberFormat="1" applyFont="1" applyFill="1" applyBorder="1" applyAlignment="1" applyProtection="1">
      <alignment horizontal="center" vertical="center"/>
      <protection locked="0"/>
    </xf>
    <xf numFmtId="0" fontId="62" fillId="0" borderId="89" xfId="0" applyNumberFormat="1" applyFont="1" applyFill="1" applyBorder="1" applyAlignment="1" applyProtection="1">
      <protection locked="0"/>
    </xf>
    <xf numFmtId="0" fontId="62" fillId="0" borderId="11" xfId="0" applyNumberFormat="1" applyFont="1" applyFill="1" applyBorder="1" applyAlignment="1" applyProtection="1">
      <protection locked="0"/>
    </xf>
    <xf numFmtId="0" fontId="62" fillId="0" borderId="1" xfId="0" applyNumberFormat="1" applyFont="1" applyFill="1" applyBorder="1" applyAlignment="1" applyProtection="1">
      <alignment horizontal="left" vertical="top"/>
      <protection locked="0"/>
    </xf>
    <xf numFmtId="0" fontId="62" fillId="7" borderId="30" xfId="0" applyNumberFormat="1" applyFont="1" applyFill="1" applyBorder="1" applyAlignment="1" applyProtection="1">
      <protection hidden="1"/>
    </xf>
    <xf numFmtId="0" fontId="62" fillId="7" borderId="0" xfId="0" applyNumberFormat="1" applyFont="1" applyFill="1" applyAlignment="1" applyProtection="1">
      <protection hidden="1"/>
    </xf>
    <xf numFmtId="0" fontId="62" fillId="7" borderId="0" xfId="0" applyNumberFormat="1" applyFont="1" applyFill="1" applyBorder="1" applyAlignment="1" applyProtection="1">
      <protection hidden="1"/>
    </xf>
    <xf numFmtId="0" fontId="63" fillId="0" borderId="11" xfId="0" applyNumberFormat="1" applyFont="1" applyFill="1" applyBorder="1" applyAlignment="1" applyProtection="1">
      <alignment horizontal="center"/>
      <protection locked="0"/>
    </xf>
    <xf numFmtId="183" fontId="63" fillId="0" borderId="16" xfId="0" applyNumberFormat="1" applyFont="1" applyFill="1" applyBorder="1" applyAlignment="1" applyProtection="1">
      <alignment horizontal="center" vertical="center"/>
      <protection locked="0"/>
    </xf>
    <xf numFmtId="0" fontId="62" fillId="0" borderId="30" xfId="0" applyNumberFormat="1" applyFont="1" applyFill="1" applyBorder="1" applyAlignment="1" applyProtection="1">
      <protection locked="0"/>
    </xf>
    <xf numFmtId="0" fontId="62" fillId="0" borderId="0" xfId="0" applyNumberFormat="1" applyFont="1" applyFill="1" applyAlignment="1" applyProtection="1">
      <protection locked="0"/>
    </xf>
    <xf numFmtId="0" fontId="62" fillId="0" borderId="0" xfId="0" applyNumberFormat="1" applyFont="1" applyFill="1" applyBorder="1" applyAlignment="1" applyProtection="1"/>
    <xf numFmtId="0" fontId="62" fillId="0" borderId="45" xfId="0" applyNumberFormat="1" applyFont="1" applyFill="1" applyBorder="1" applyAlignment="1" applyProtection="1">
      <alignment horizontal="left" vertical="top"/>
      <protection locked="0"/>
    </xf>
    <xf numFmtId="0" fontId="62" fillId="0" borderId="0" xfId="0" applyNumberFormat="1" applyFont="1" applyFill="1" applyAlignment="1" applyProtection="1">
      <alignment horizontal="left" vertical="top"/>
      <protection locked="0"/>
    </xf>
    <xf numFmtId="0" fontId="62" fillId="0" borderId="46" xfId="0" applyNumberFormat="1" applyFont="1" applyFill="1" applyBorder="1" applyAlignment="1" applyProtection="1">
      <alignment horizontal="left" vertical="top"/>
      <protection locked="0"/>
    </xf>
    <xf numFmtId="183" fontId="62" fillId="0" borderId="31" xfId="0" applyNumberFormat="1" applyFont="1" applyFill="1" applyBorder="1" applyAlignment="1" applyProtection="1">
      <alignment horizontal="center" vertical="center"/>
      <protection locked="0"/>
    </xf>
    <xf numFmtId="0" fontId="62" fillId="0" borderId="30" xfId="0" applyNumberFormat="1" applyFont="1" applyFill="1" applyBorder="1" applyAlignment="1" applyProtection="1"/>
    <xf numFmtId="0" fontId="62" fillId="0" borderId="0" xfId="0" applyNumberFormat="1" applyFont="1" applyFill="1" applyAlignment="1" applyProtection="1"/>
    <xf numFmtId="0" fontId="62" fillId="0" borderId="0" xfId="0" applyNumberFormat="1" applyFont="1" applyFill="1" applyAlignment="1" applyProtection="1">
      <alignment wrapText="1"/>
    </xf>
    <xf numFmtId="0" fontId="62" fillId="0" borderId="30" xfId="0" applyFont="1" applyBorder="1" applyAlignment="1">
      <alignment vertical="center"/>
    </xf>
    <xf numFmtId="0" fontId="62" fillId="0" borderId="0" xfId="0" applyFont="1" applyAlignment="1">
      <alignment vertical="center"/>
    </xf>
    <xf numFmtId="0" fontId="62" fillId="0" borderId="13" xfId="0" applyNumberFormat="1" applyFont="1" applyFill="1" applyBorder="1" applyAlignment="1" applyProtection="1">
      <alignment horizontal="left" vertical="top"/>
      <protection locked="0"/>
    </xf>
    <xf numFmtId="0" fontId="62" fillId="0" borderId="11" xfId="0" applyNumberFormat="1" applyFont="1" applyFill="1" applyBorder="1" applyAlignment="1" applyProtection="1">
      <alignment horizontal="left" vertical="top"/>
      <protection locked="0"/>
    </xf>
    <xf numFmtId="0" fontId="62" fillId="0" borderId="12" xfId="0" applyNumberFormat="1" applyFont="1" applyFill="1" applyBorder="1" applyAlignment="1" applyProtection="1">
      <alignment horizontal="left" vertical="top"/>
      <protection locked="0"/>
    </xf>
    <xf numFmtId="183" fontId="62" fillId="0" borderId="16" xfId="0" applyNumberFormat="1" applyFont="1" applyFill="1" applyBorder="1" applyAlignment="1" applyProtection="1">
      <alignment horizontal="center" vertical="center"/>
      <protection locked="0"/>
    </xf>
    <xf numFmtId="0" fontId="65" fillId="7" borderId="18" xfId="0" applyNumberFormat="1" applyFont="1" applyFill="1" applyBorder="1" applyAlignment="1"/>
    <xf numFmtId="183" fontId="65" fillId="7" borderId="22" xfId="0" applyNumberFormat="1" applyFont="1" applyFill="1" applyBorder="1" applyAlignment="1" applyProtection="1">
      <alignment horizontal="center" vertical="center"/>
      <protection hidden="1"/>
    </xf>
    <xf numFmtId="0" fontId="35" fillId="0" borderId="30" xfId="0" applyNumberFormat="1" applyFont="1" applyFill="1" applyBorder="1" applyAlignment="1" applyProtection="1">
      <alignment vertical="top"/>
    </xf>
    <xf numFmtId="0" fontId="35" fillId="0" borderId="0" xfId="0" applyNumberFormat="1" applyFont="1" applyFill="1" applyBorder="1" applyAlignment="1" applyProtection="1">
      <alignment vertical="top"/>
    </xf>
    <xf numFmtId="0" fontId="35" fillId="0" borderId="0" xfId="0" applyNumberFormat="1" applyFont="1" applyFill="1" applyBorder="1" applyAlignment="1" applyProtection="1"/>
    <xf numFmtId="11" fontId="66" fillId="0" borderId="45" xfId="0" applyNumberFormat="1" applyFont="1" applyFill="1" applyBorder="1" applyAlignment="1" applyProtection="1">
      <alignment horizontal="left"/>
      <protection locked="0"/>
    </xf>
    <xf numFmtId="0" fontId="66" fillId="0" borderId="0" xfId="0" applyNumberFormat="1" applyFont="1" applyFill="1" applyBorder="1" applyAlignment="1" applyProtection="1">
      <alignment horizontal="left"/>
      <protection locked="0"/>
    </xf>
    <xf numFmtId="183" fontId="66" fillId="0" borderId="31" xfId="0" applyNumberFormat="1" applyFont="1" applyFill="1" applyBorder="1" applyAlignment="1" applyProtection="1">
      <alignment horizontal="center" vertical="center"/>
      <protection locked="0"/>
    </xf>
    <xf numFmtId="0" fontId="67" fillId="7" borderId="3" xfId="0" applyNumberFormat="1" applyFont="1" applyFill="1" applyBorder="1" applyAlignment="1" applyProtection="1">
      <alignment horizontal="center" vertical="center" wrapText="1"/>
      <protection hidden="1"/>
    </xf>
    <xf numFmtId="0" fontId="6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67" fillId="7" borderId="7" xfId="0" applyNumberFormat="1" applyFont="1" applyFill="1" applyBorder="1" applyAlignment="1" applyProtection="1">
      <alignment horizontal="center" vertical="center" wrapText="1"/>
      <protection hidden="1"/>
    </xf>
    <xf numFmtId="0" fontId="67" fillId="7" borderId="5" xfId="0" applyNumberFormat="1" applyFont="1" applyFill="1" applyBorder="1" applyAlignment="1" applyProtection="1">
      <alignment horizontal="center" vertical="center" wrapText="1"/>
      <protection hidden="1"/>
    </xf>
    <xf numFmtId="183" fontId="67" fillId="7" borderId="7" xfId="0" applyNumberFormat="1" applyFont="1" applyFill="1" applyBorder="1" applyAlignment="1" applyProtection="1">
      <alignment horizontal="center" vertical="center" wrapText="1"/>
      <protection hidden="1"/>
    </xf>
    <xf numFmtId="183" fontId="67" fillId="7" borderId="6" xfId="0" applyNumberFormat="1" applyFont="1" applyFill="1" applyBorder="1" applyAlignment="1" applyProtection="1">
      <alignment horizontal="center" vertical="center" wrapText="1"/>
      <protection hidden="1"/>
    </xf>
    <xf numFmtId="183" fontId="67" fillId="7" borderId="8" xfId="0" applyNumberFormat="1" applyFont="1" applyFill="1" applyBorder="1" applyAlignment="1" applyProtection="1">
      <alignment horizontal="center" vertical="center" wrapText="1"/>
      <protection hidden="1"/>
    </xf>
    <xf numFmtId="0" fontId="68" fillId="0" borderId="90" xfId="0" applyFont="1" applyBorder="1" applyAlignment="1">
      <alignment horizontal="center" vertical="center"/>
    </xf>
    <xf numFmtId="0" fontId="60" fillId="0" borderId="0" xfId="0" applyNumberFormat="1" applyFont="1" applyFill="1" applyBorder="1" applyAlignment="1">
      <alignment horizontal="center" vertical="center" wrapText="1"/>
    </xf>
    <xf numFmtId="0" fontId="68" fillId="0" borderId="86" xfId="0" applyFont="1" applyFill="1" applyBorder="1" applyAlignment="1">
      <alignment horizontal="center" vertical="center" wrapText="1"/>
    </xf>
    <xf numFmtId="0" fontId="60" fillId="0" borderId="86" xfId="0" applyNumberFormat="1" applyFont="1" applyFill="1" applyBorder="1" applyAlignment="1">
      <alignment horizontal="center" vertical="center"/>
    </xf>
    <xf numFmtId="183" fontId="60" fillId="0" borderId="86" xfId="0" applyNumberFormat="1" applyFont="1" applyFill="1" applyBorder="1" applyAlignment="1" applyProtection="1">
      <alignment horizontal="center" vertical="center"/>
    </xf>
    <xf numFmtId="183" fontId="60" fillId="0" borderId="45" xfId="0" applyNumberFormat="1" applyFont="1" applyFill="1" applyBorder="1" applyAlignment="1">
      <alignment horizontal="center" vertical="center"/>
    </xf>
    <xf numFmtId="183" fontId="60" fillId="0" borderId="91" xfId="0" applyNumberFormat="1" applyFont="1" applyFill="1" applyBorder="1" applyAlignment="1">
      <alignment horizontal="center" vertical="center"/>
    </xf>
    <xf numFmtId="0" fontId="68" fillId="0" borderId="90" xfId="0" applyFont="1" applyBorder="1">
      <alignment vertical="center"/>
    </xf>
    <xf numFmtId="0" fontId="60" fillId="0" borderId="0" xfId="0" applyNumberFormat="1" applyFont="1" applyFill="1" applyBorder="1" applyAlignment="1" applyProtection="1">
      <alignment horizontal="center"/>
      <protection locked="0"/>
    </xf>
    <xf numFmtId="0" fontId="60" fillId="7" borderId="45" xfId="0" applyNumberFormat="1" applyFont="1" applyFill="1" applyBorder="1" applyAlignment="1" applyProtection="1">
      <alignment horizontal="center"/>
      <protection hidden="1"/>
    </xf>
    <xf numFmtId="0" fontId="60" fillId="7" borderId="86" xfId="0" applyNumberFormat="1" applyFont="1" applyFill="1" applyBorder="1" applyAlignment="1" applyProtection="1">
      <alignment horizontal="center"/>
      <protection hidden="1"/>
    </xf>
    <xf numFmtId="183" fontId="60" fillId="7" borderId="45" xfId="0" applyNumberFormat="1" applyFont="1" applyFill="1" applyBorder="1" applyAlignment="1" applyProtection="1">
      <alignment horizontal="center"/>
      <protection hidden="1"/>
    </xf>
    <xf numFmtId="183" fontId="60" fillId="7" borderId="91" xfId="0" applyNumberFormat="1" applyFont="1" applyFill="1" applyBorder="1" applyAlignment="1" applyProtection="1">
      <alignment horizontal="center"/>
      <protection hidden="1"/>
    </xf>
    <xf numFmtId="0" fontId="68" fillId="0" borderId="92" xfId="0" applyFont="1" applyBorder="1">
      <alignment vertical="center"/>
    </xf>
    <xf numFmtId="0" fontId="60" fillId="0" borderId="2" xfId="0" applyNumberFormat="1" applyFont="1" applyFill="1" applyBorder="1" applyAlignment="1" applyProtection="1">
      <alignment horizontal="center"/>
      <protection locked="0"/>
    </xf>
    <xf numFmtId="0" fontId="60" fillId="0" borderId="93" xfId="0" applyNumberFormat="1" applyFont="1" applyFill="1" applyBorder="1" applyAlignment="1" applyProtection="1">
      <alignment horizontal="center"/>
      <protection locked="0"/>
    </xf>
    <xf numFmtId="0" fontId="60" fillId="7" borderId="93" xfId="0" applyNumberFormat="1" applyFont="1" applyFill="1" applyBorder="1" applyAlignment="1" applyProtection="1">
      <alignment horizontal="left"/>
      <protection hidden="1"/>
    </xf>
    <xf numFmtId="0" fontId="60" fillId="7" borderId="94" xfId="0" applyNumberFormat="1" applyFont="1" applyFill="1" applyBorder="1" applyAlignment="1" applyProtection="1">
      <alignment horizontal="center"/>
      <protection hidden="1"/>
    </xf>
    <xf numFmtId="0" fontId="59" fillId="6" borderId="30" xfId="0" applyNumberFormat="1" applyFont="1" applyFill="1" applyBorder="1" applyAlignment="1" applyProtection="1">
      <alignment horizontal="center"/>
      <protection hidden="1"/>
    </xf>
    <xf numFmtId="0" fontId="59" fillId="6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left" vertical="top"/>
    </xf>
    <xf numFmtId="0" fontId="69" fillId="0" borderId="0" xfId="0" applyFont="1">
      <alignment vertical="center"/>
    </xf>
    <xf numFmtId="0" fontId="0" fillId="0" borderId="0" xfId="0" applyAlignment="1">
      <alignment vertical="center"/>
    </xf>
    <xf numFmtId="0" fontId="70" fillId="0" borderId="0" xfId="0" applyFont="1" applyFill="1" applyAlignment="1">
      <alignment vertical="center" wrapText="1"/>
    </xf>
    <xf numFmtId="0" fontId="70" fillId="0" borderId="0" xfId="0" applyFont="1" applyFill="1" applyAlignment="1">
      <alignment horizontal="center" vertical="center" wrapText="1"/>
    </xf>
    <xf numFmtId="202" fontId="71" fillId="0" borderId="0" xfId="0" applyNumberFormat="1" applyFont="1" applyFill="1" applyAlignment="1">
      <alignment vertical="top" wrapText="1"/>
    </xf>
    <xf numFmtId="202" fontId="71" fillId="0" borderId="0" xfId="0" applyNumberFormat="1" applyFont="1" applyFill="1" applyAlignment="1">
      <alignment horizontal="center" vertical="top" wrapText="1"/>
    </xf>
    <xf numFmtId="202" fontId="72" fillId="0" borderId="0" xfId="0" applyNumberFormat="1" applyFont="1" applyFill="1" applyAlignment="1">
      <alignment vertical="top" wrapText="1"/>
    </xf>
    <xf numFmtId="202" fontId="72" fillId="0" borderId="0" xfId="0" applyNumberFormat="1" applyFont="1" applyFill="1" applyAlignment="1">
      <alignment horizontal="center" vertical="top" wrapText="1"/>
    </xf>
    <xf numFmtId="0" fontId="73" fillId="0" borderId="0" xfId="0" applyFont="1" applyFill="1" applyAlignment="1">
      <alignment vertical="center" wrapText="1"/>
    </xf>
    <xf numFmtId="0" fontId="73" fillId="0" borderId="0" xfId="0" applyFont="1" applyFill="1" applyAlignment="1">
      <alignment horizontal="center" vertical="center" wrapText="1"/>
    </xf>
    <xf numFmtId="0" fontId="74" fillId="0" borderId="0" xfId="0" applyFont="1" applyFill="1" applyAlignment="1">
      <alignment vertical="center" wrapText="1"/>
    </xf>
    <xf numFmtId="0" fontId="74" fillId="0" borderId="0" xfId="0" applyFont="1" applyFill="1" applyAlignment="1">
      <alignment horizontal="center" vertical="center" wrapText="1"/>
    </xf>
    <xf numFmtId="0" fontId="75" fillId="0" borderId="0" xfId="0" applyFont="1" applyFill="1" applyAlignment="1">
      <alignment vertical="center" wrapText="1"/>
    </xf>
    <xf numFmtId="0" fontId="75" fillId="0" borderId="0" xfId="0" applyFont="1" applyFill="1" applyAlignment="1">
      <alignment horizontal="center" vertical="center" wrapText="1"/>
    </xf>
    <xf numFmtId="0" fontId="72" fillId="0" borderId="0" xfId="0" applyFont="1" applyFill="1" applyAlignment="1">
      <alignment vertical="top" wrapText="1"/>
    </xf>
    <xf numFmtId="0" fontId="72" fillId="0" borderId="0" xfId="0" applyFont="1" applyFill="1" applyAlignment="1">
      <alignment horizontal="left" vertical="top" wrapText="1"/>
    </xf>
    <xf numFmtId="203" fontId="43" fillId="0" borderId="0" xfId="0" applyNumberFormat="1" applyFont="1" applyFill="1" applyBorder="1" applyAlignment="1">
      <alignment horizontal="left" vertical="top" wrapText="1" indent="1"/>
    </xf>
    <xf numFmtId="0" fontId="72" fillId="0" borderId="0" xfId="0" applyFont="1" applyFill="1" applyAlignment="1">
      <alignment vertical="center" wrapText="1"/>
    </xf>
    <xf numFmtId="0" fontId="72" fillId="0" borderId="0" xfId="0" applyFont="1" applyFill="1" applyAlignment="1">
      <alignment horizontal="left" vertical="center" wrapText="1"/>
    </xf>
    <xf numFmtId="204" fontId="62" fillId="0" borderId="0" xfId="0" applyNumberFormat="1" applyFont="1" applyFill="1" applyAlignment="1">
      <alignment horizontal="center" vertical="center" wrapText="1"/>
    </xf>
    <xf numFmtId="0" fontId="72" fillId="0" borderId="0" xfId="0" applyFont="1" applyFill="1" applyAlignment="1">
      <alignment horizontal="center" vertical="center"/>
    </xf>
    <xf numFmtId="0" fontId="72" fillId="0" borderId="0" xfId="0" applyFont="1" applyFill="1" applyAlignment="1">
      <alignment wrapText="1"/>
    </xf>
    <xf numFmtId="0" fontId="72" fillId="0" borderId="0" xfId="0" applyFont="1" applyFill="1" applyAlignment="1">
      <alignment horizontal="left" wrapText="1"/>
    </xf>
    <xf numFmtId="0" fontId="72" fillId="0" borderId="11" xfId="0" applyFont="1" applyFill="1" applyBorder="1" applyAlignment="1">
      <alignment vertical="center"/>
    </xf>
    <xf numFmtId="0" fontId="62" fillId="0" borderId="0" xfId="0" applyFont="1" applyFill="1" applyAlignment="1">
      <alignment horizontal="center" vertical="center" wrapText="1"/>
    </xf>
    <xf numFmtId="191" fontId="76" fillId="0" borderId="11" xfId="0" applyNumberFormat="1" applyFont="1" applyFill="1" applyBorder="1" applyAlignment="1">
      <alignment horizontal="center" vertical="center" wrapText="1"/>
    </xf>
    <xf numFmtId="58" fontId="76" fillId="0" borderId="0" xfId="0" applyNumberFormat="1" applyFont="1" applyFill="1" applyBorder="1" applyAlignment="1">
      <alignment horizontal="center" vertical="center" wrapText="1"/>
    </xf>
    <xf numFmtId="0" fontId="62" fillId="0" borderId="0" xfId="0" applyFont="1" applyFill="1" applyAlignment="1">
      <alignment horizontal="center" wrapText="1"/>
    </xf>
    <xf numFmtId="0" fontId="77" fillId="0" borderId="0" xfId="0" applyFont="1" applyAlignment="1">
      <alignment horizontal="center" vertical="center"/>
    </xf>
    <xf numFmtId="0" fontId="78" fillId="0" borderId="0" xfId="0" applyFont="1">
      <alignment vertical="center"/>
    </xf>
    <xf numFmtId="0" fontId="72" fillId="0" borderId="0" xfId="0" applyFont="1" applyFill="1" applyAlignment="1">
      <alignment horizontal="center" vertical="center" wrapText="1"/>
    </xf>
    <xf numFmtId="0" fontId="72" fillId="0" borderId="0" xfId="0" applyFont="1" applyFill="1" applyAlignment="1">
      <alignment vertical="center"/>
    </xf>
    <xf numFmtId="0" fontId="72" fillId="0" borderId="0" xfId="0" applyFont="1" applyFill="1" applyBorder="1" applyAlignment="1">
      <alignment vertical="center"/>
    </xf>
    <xf numFmtId="0" fontId="76" fillId="0" borderId="0" xfId="0" applyFont="1" applyFill="1" applyBorder="1" applyAlignment="1">
      <alignment horizontal="left" vertical="top" wrapText="1"/>
    </xf>
    <xf numFmtId="184" fontId="76" fillId="0" borderId="0" xfId="0" applyNumberFormat="1" applyFont="1" applyFill="1" applyBorder="1" applyAlignment="1">
      <alignment horizontal="left" vertical="top" wrapText="1"/>
    </xf>
    <xf numFmtId="0" fontId="72" fillId="0" borderId="11" xfId="0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vertical="top" wrapText="1"/>
    </xf>
    <xf numFmtId="0" fontId="43" fillId="0" borderId="0" xfId="0" applyFont="1" applyFill="1" applyBorder="1" applyAlignment="1">
      <alignment horizontal="center" wrapText="1"/>
    </xf>
    <xf numFmtId="0" fontId="43" fillId="0" borderId="0" xfId="0" applyFont="1" applyFill="1" applyBorder="1" applyAlignment="1">
      <alignment horizontal="left" wrapText="1"/>
    </xf>
    <xf numFmtId="0" fontId="68" fillId="0" borderId="0" xfId="0" applyFont="1" applyAlignment="1">
      <alignment vertical="center"/>
    </xf>
    <xf numFmtId="0" fontId="72" fillId="0" borderId="0" xfId="0" applyFont="1" applyFill="1" applyBorder="1" applyAlignment="1">
      <alignment horizontal="left" vertical="top" wrapText="1"/>
    </xf>
    <xf numFmtId="184" fontId="72" fillId="0" borderId="0" xfId="0" applyNumberFormat="1" applyFont="1" applyFill="1" applyBorder="1" applyAlignment="1">
      <alignment horizontal="left" vertical="top" wrapText="1"/>
    </xf>
    <xf numFmtId="0" fontId="43" fillId="0" borderId="0" xfId="0" applyFont="1" applyFill="1" applyBorder="1" applyAlignment="1">
      <alignment horizontal="left" vertical="top" wrapText="1"/>
    </xf>
    <xf numFmtId="0" fontId="79" fillId="0" borderId="0" xfId="0" applyFont="1" applyFill="1" applyBorder="1" applyAlignment="1">
      <alignment horizontal="left" vertical="top" wrapText="1"/>
    </xf>
    <xf numFmtId="0" fontId="79" fillId="0" borderId="0" xfId="0" applyFont="1" applyFill="1" applyBorder="1" applyAlignment="1">
      <alignment vertical="top" wrapText="1"/>
    </xf>
    <xf numFmtId="184" fontId="79" fillId="0" borderId="0" xfId="0" applyNumberFormat="1" applyFont="1" applyFill="1" applyBorder="1" applyAlignment="1">
      <alignment horizontal="left" vertical="top" wrapText="1"/>
    </xf>
    <xf numFmtId="0" fontId="35" fillId="0" borderId="1" xfId="0" applyFont="1" applyFill="1" applyBorder="1" applyAlignment="1">
      <alignment horizontal="center" wrapText="1"/>
    </xf>
    <xf numFmtId="0" fontId="43" fillId="0" borderId="47" xfId="0" applyFont="1" applyFill="1" applyBorder="1" applyAlignment="1">
      <alignment horizontal="center" vertical="center" wrapText="1"/>
    </xf>
    <xf numFmtId="0" fontId="43" fillId="0" borderId="41" xfId="0" applyFont="1" applyFill="1" applyBorder="1" applyAlignment="1">
      <alignment horizontal="center" vertical="center" wrapText="1"/>
    </xf>
    <xf numFmtId="0" fontId="43" fillId="0" borderId="40" xfId="0" applyFont="1" applyFill="1" applyBorder="1" applyAlignment="1">
      <alignment horizontal="center" vertical="center" wrapText="1"/>
    </xf>
    <xf numFmtId="184" fontId="35" fillId="0" borderId="1" xfId="0" applyNumberFormat="1" applyFont="1" applyFill="1" applyBorder="1" applyAlignment="1">
      <alignment horizontal="center" wrapText="1"/>
    </xf>
    <xf numFmtId="0" fontId="35" fillId="0" borderId="47" xfId="0" applyFont="1" applyFill="1" applyBorder="1" applyAlignment="1">
      <alignment horizontal="center" vertical="center" wrapText="1"/>
    </xf>
    <xf numFmtId="0" fontId="35" fillId="0" borderId="40" xfId="0" applyFont="1" applyFill="1" applyBorder="1" applyAlignment="1">
      <alignment horizontal="center" vertical="center" wrapText="1"/>
    </xf>
    <xf numFmtId="0" fontId="80" fillId="0" borderId="1" xfId="0" applyFont="1" applyFill="1" applyBorder="1" applyAlignment="1">
      <alignment horizontal="left" vertical="top" wrapText="1"/>
    </xf>
    <xf numFmtId="0" fontId="80" fillId="0" borderId="1" xfId="0" applyFont="1" applyFill="1" applyBorder="1" applyAlignment="1">
      <alignment vertical="top" wrapText="1"/>
    </xf>
    <xf numFmtId="205" fontId="81" fillId="0" borderId="47" xfId="0" applyNumberFormat="1" applyFont="1" applyFill="1" applyBorder="1" applyAlignment="1">
      <alignment horizontal="center" vertical="center" wrapText="1"/>
    </xf>
    <xf numFmtId="205" fontId="81" fillId="0" borderId="40" xfId="0" applyNumberFormat="1" applyFont="1" applyFill="1" applyBorder="1" applyAlignment="1">
      <alignment horizontal="center" vertical="center" wrapText="1"/>
    </xf>
    <xf numFmtId="0" fontId="75" fillId="0" borderId="1" xfId="0" applyFont="1" applyFill="1" applyBorder="1" applyAlignment="1">
      <alignment horizontal="center" vertical="center" wrapText="1"/>
    </xf>
    <xf numFmtId="188" fontId="72" fillId="0" borderId="1" xfId="57" applyNumberFormat="1" applyFont="1" applyFill="1" applyBorder="1" applyAlignment="1">
      <alignment horizontal="center" vertical="center" wrapText="1"/>
    </xf>
    <xf numFmtId="200" fontId="72" fillId="0" borderId="1" xfId="57" applyNumberFormat="1" applyFont="1" applyFill="1" applyBorder="1" applyAlignment="1">
      <alignment horizontal="center" vertical="center" wrapText="1"/>
    </xf>
    <xf numFmtId="0" fontId="72" fillId="0" borderId="1" xfId="57" applyNumberFormat="1" applyFont="1" applyFill="1" applyBorder="1" applyAlignment="1">
      <alignment horizontal="center" vertical="center" wrapText="1"/>
    </xf>
    <xf numFmtId="195" fontId="72" fillId="0" borderId="1" xfId="57" applyNumberFormat="1" applyFont="1" applyFill="1" applyBorder="1" applyAlignment="1">
      <alignment horizontal="center" vertical="center" wrapText="1"/>
    </xf>
    <xf numFmtId="195" fontId="75" fillId="0" borderId="1" xfId="0" applyNumberFormat="1" applyFont="1" applyFill="1" applyBorder="1" applyAlignment="1">
      <alignment horizontal="center" vertical="center" wrapText="1"/>
    </xf>
    <xf numFmtId="206" fontId="72" fillId="0" borderId="1" xfId="57" applyNumberFormat="1" applyFont="1" applyFill="1" applyBorder="1" applyAlignment="1">
      <alignment horizontal="center" vertical="center" wrapText="1"/>
    </xf>
    <xf numFmtId="207" fontId="72" fillId="0" borderId="1" xfId="57" applyNumberFormat="1" applyFont="1" applyFill="1" applyBorder="1" applyAlignment="1">
      <alignment horizontal="center" vertical="center" wrapText="1"/>
    </xf>
    <xf numFmtId="0" fontId="75" fillId="0" borderId="1" xfId="0" applyFont="1" applyFill="1" applyBorder="1" applyAlignment="1">
      <alignment horizontal="left" vertical="top" wrapText="1"/>
    </xf>
    <xf numFmtId="0" fontId="75" fillId="0" borderId="1" xfId="0" applyFont="1" applyFill="1" applyBorder="1" applyAlignment="1">
      <alignment vertical="top" wrapText="1"/>
    </xf>
    <xf numFmtId="195" fontId="72" fillId="0" borderId="47" xfId="0" applyNumberFormat="1" applyFont="1" applyFill="1" applyBorder="1" applyAlignment="1">
      <alignment horizontal="center" vertical="center" wrapText="1"/>
    </xf>
    <xf numFmtId="195" fontId="72" fillId="0" borderId="40" xfId="0" applyNumberFormat="1" applyFont="1" applyFill="1" applyBorder="1" applyAlignment="1">
      <alignment horizontal="center" vertical="center" wrapText="1"/>
    </xf>
    <xf numFmtId="0" fontId="72" fillId="0" borderId="1" xfId="0" applyFont="1" applyFill="1" applyBorder="1" applyAlignment="1">
      <alignment horizontal="center" vertical="center" wrapText="1"/>
    </xf>
    <xf numFmtId="208" fontId="76" fillId="0" borderId="47" xfId="0" applyNumberFormat="1" applyFont="1" applyFill="1" applyBorder="1" applyAlignment="1">
      <alignment horizontal="center" vertical="center" wrapText="1"/>
    </xf>
    <xf numFmtId="208" fontId="76" fillId="0" borderId="41" xfId="0" applyNumberFormat="1" applyFont="1" applyFill="1" applyBorder="1" applyAlignment="1">
      <alignment horizontal="center" vertical="center" wrapText="1"/>
    </xf>
    <xf numFmtId="208" fontId="76" fillId="0" borderId="40" xfId="0" applyNumberFormat="1" applyFont="1" applyFill="1" applyBorder="1" applyAlignment="1">
      <alignment horizontal="center" vertical="center" wrapText="1"/>
    </xf>
    <xf numFmtId="208" fontId="76" fillId="0" borderId="1" xfId="0" applyNumberFormat="1" applyFont="1" applyFill="1" applyBorder="1" applyAlignment="1">
      <alignment horizontal="left" vertical="center" wrapText="1"/>
    </xf>
    <xf numFmtId="0" fontId="62" fillId="0" borderId="0" xfId="0" applyFont="1" applyFill="1" applyAlignment="1">
      <alignment vertical="center" wrapText="1"/>
    </xf>
    <xf numFmtId="0" fontId="62" fillId="0" borderId="0" xfId="0" applyFont="1" applyFill="1" applyAlignment="1">
      <alignment horizontal="left" vertical="center" wrapText="1"/>
    </xf>
    <xf numFmtId="0" fontId="82" fillId="0" borderId="0" xfId="0" applyFont="1" applyFill="1" applyAlignment="1">
      <alignment horizontal="left" vertical="center" wrapText="1"/>
    </xf>
    <xf numFmtId="203" fontId="82" fillId="0" borderId="0" xfId="0" applyNumberFormat="1" applyFont="1" applyFill="1" applyAlignment="1">
      <alignment horizontal="left" vertical="top" wrapText="1"/>
    </xf>
    <xf numFmtId="195" fontId="76" fillId="0" borderId="1" xfId="0" applyNumberFormat="1" applyFont="1" applyFill="1" applyBorder="1" applyAlignment="1">
      <alignment horizontal="left" vertical="center" wrapText="1"/>
    </xf>
    <xf numFmtId="0" fontId="83" fillId="0" borderId="0" xfId="57" applyFont="1" applyFill="1" applyBorder="1" applyAlignment="1">
      <alignment horizontal="center"/>
    </xf>
    <xf numFmtId="0" fontId="72" fillId="0" borderId="0" xfId="57" applyFont="1" applyFill="1" applyBorder="1" applyAlignment="1">
      <alignment horizontal="center" vertical="center"/>
    </xf>
    <xf numFmtId="0" fontId="49" fillId="0" borderId="0" xfId="57" applyFont="1" applyFill="1" applyAlignment="1">
      <alignment horizontal="center" vertical="center" wrapText="1"/>
    </xf>
    <xf numFmtId="0" fontId="84" fillId="0" borderId="0" xfId="57" applyFont="1" applyFill="1" applyBorder="1" applyAlignment="1">
      <alignment horizontal="right"/>
    </xf>
    <xf numFmtId="0" fontId="35" fillId="0" borderId="0" xfId="57" applyFont="1" applyFill="1" applyBorder="1" applyAlignment="1">
      <alignment horizontal="center"/>
    </xf>
    <xf numFmtId="0" fontId="35" fillId="0" borderId="0" xfId="0" applyFont="1" applyFill="1" applyBorder="1" applyAlignment="1">
      <alignment vertical="center"/>
    </xf>
    <xf numFmtId="0" fontId="35" fillId="0" borderId="0" xfId="57" applyFont="1" applyFill="1" applyBorder="1" applyAlignment="1">
      <alignment horizontal="right"/>
    </xf>
    <xf numFmtId="209" fontId="35" fillId="0" borderId="0" xfId="57" applyNumberFormat="1" applyFont="1" applyFill="1" applyBorder="1" applyAlignment="1">
      <alignment horizontal="center"/>
    </xf>
    <xf numFmtId="0" fontId="68" fillId="0" borderId="0" xfId="0" applyFont="1" applyFill="1" applyAlignment="1">
      <alignment horizontal="center" vertical="center" wrapText="1"/>
    </xf>
    <xf numFmtId="0" fontId="68" fillId="0" borderId="0" xfId="0" applyFont="1" applyFill="1" applyBorder="1" applyAlignment="1">
      <alignment vertical="center"/>
    </xf>
    <xf numFmtId="0" fontId="85" fillId="0" borderId="0" xfId="0" applyFont="1" applyFill="1">
      <alignment vertical="center"/>
    </xf>
    <xf numFmtId="0" fontId="35" fillId="0" borderId="0" xfId="57" applyFont="1" applyFill="1" applyAlignment="1">
      <alignment horizontal="center" vertical="center" wrapText="1"/>
    </xf>
    <xf numFmtId="0" fontId="68" fillId="0" borderId="0" xfId="0" applyFont="1" applyFill="1" applyBorder="1" applyAlignment="1">
      <alignment horizontal="center" vertical="center" wrapText="1"/>
    </xf>
    <xf numFmtId="0" fontId="68" fillId="0" borderId="0" xfId="0" applyFont="1" applyFill="1" applyAlignment="1">
      <alignment vertical="center"/>
    </xf>
    <xf numFmtId="0" fontId="35" fillId="0" borderId="0" xfId="57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4" fillId="0" borderId="0" xfId="57" applyFont="1" applyFill="1" applyAlignment="1">
      <alignment horizontal="center" vertical="center" wrapText="1"/>
    </xf>
    <xf numFmtId="191" fontId="72" fillId="0" borderId="0" xfId="0" applyNumberFormat="1" applyFont="1" applyFill="1" applyAlignment="1">
      <alignment horizontal="center" vertical="center"/>
    </xf>
    <xf numFmtId="191" fontId="72" fillId="0" borderId="11" xfId="0" applyNumberFormat="1" applyFont="1" applyFill="1" applyBorder="1" applyAlignment="1">
      <alignment horizontal="center" vertical="center"/>
    </xf>
    <xf numFmtId="0" fontId="84" fillId="0" borderId="0" xfId="57" applyFont="1" applyFill="1" applyBorder="1" applyAlignment="1">
      <alignment horizontal="center" vertical="center" wrapText="1"/>
    </xf>
    <xf numFmtId="0" fontId="86" fillId="0" borderId="0" xfId="0" applyFont="1" applyFill="1">
      <alignment vertical="center"/>
    </xf>
    <xf numFmtId="0" fontId="72" fillId="0" borderId="11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 wrapText="1"/>
    </xf>
    <xf numFmtId="0" fontId="60" fillId="0" borderId="0" xfId="57" applyFont="1" applyFill="1" applyBorder="1" applyAlignment="1">
      <alignment horizontal="right" wrapText="1"/>
    </xf>
    <xf numFmtId="0" fontId="35" fillId="0" borderId="0" xfId="0" applyFont="1" applyFill="1" applyBorder="1" applyAlignment="1">
      <alignment horizontal="center" vertical="center"/>
    </xf>
    <xf numFmtId="0" fontId="87" fillId="0" borderId="0" xfId="0" applyFont="1" applyFill="1" applyAlignment="1">
      <alignment vertical="center"/>
    </xf>
    <xf numFmtId="0" fontId="34" fillId="0" borderId="0" xfId="0" applyFont="1" applyFill="1" applyBorder="1" applyAlignment="1">
      <alignment horizontal="left" vertical="center"/>
    </xf>
    <xf numFmtId="0" fontId="88" fillId="0" borderId="0" xfId="0" applyFont="1" applyFill="1" applyAlignment="1">
      <alignment horizontal="left" vertical="center" wrapText="1"/>
    </xf>
    <xf numFmtId="0" fontId="88" fillId="0" borderId="0" xfId="0" applyFont="1" applyFill="1" applyAlignment="1">
      <alignment vertical="center"/>
    </xf>
    <xf numFmtId="0" fontId="35" fillId="0" borderId="0" xfId="57" applyFont="1" applyFill="1" applyBorder="1" applyAlignment="1"/>
    <xf numFmtId="188" fontId="35" fillId="0" borderId="0" xfId="57" applyNumberFormat="1" applyFont="1" applyFill="1" applyBorder="1" applyAlignment="1"/>
    <xf numFmtId="0" fontId="72" fillId="0" borderId="1" xfId="57" applyFont="1" applyFill="1" applyBorder="1" applyAlignment="1">
      <alignment horizontal="center" wrapText="1"/>
    </xf>
    <xf numFmtId="188" fontId="72" fillId="0" borderId="1" xfId="57" applyNumberFormat="1" applyFont="1" applyFill="1" applyBorder="1" applyAlignment="1">
      <alignment horizontal="center" wrapText="1"/>
    </xf>
    <xf numFmtId="210" fontId="72" fillId="0" borderId="1" xfId="57" applyNumberFormat="1" applyFont="1" applyFill="1" applyBorder="1" applyAlignment="1">
      <alignment horizontal="center" wrapText="1"/>
    </xf>
    <xf numFmtId="210" fontId="72" fillId="0" borderId="1" xfId="57" applyNumberFormat="1" applyFont="1" applyFill="1" applyBorder="1" applyAlignment="1">
      <alignment horizontal="center" vertical="center" wrapText="1"/>
    </xf>
    <xf numFmtId="0" fontId="72" fillId="0" borderId="1" xfId="57" applyFont="1" applyFill="1" applyBorder="1" applyAlignment="1">
      <alignment horizontal="center" vertical="center" wrapText="1"/>
    </xf>
    <xf numFmtId="0" fontId="72" fillId="0" borderId="1" xfId="57" applyFont="1" applyFill="1" applyBorder="1" applyAlignment="1">
      <alignment horizontal="center"/>
    </xf>
    <xf numFmtId="0" fontId="72" fillId="0" borderId="1" xfId="57" applyFont="1" applyFill="1" applyBorder="1" applyAlignment="1"/>
    <xf numFmtId="0" fontId="72" fillId="0" borderId="1" xfId="0" applyFont="1" applyFill="1" applyBorder="1" applyAlignment="1">
      <alignment vertical="center"/>
    </xf>
    <xf numFmtId="195" fontId="89" fillId="0" borderId="1" xfId="57" applyNumberFormat="1" applyFont="1" applyFill="1" applyBorder="1" applyAlignment="1">
      <alignment horizontal="center" vertical="center"/>
    </xf>
    <xf numFmtId="0" fontId="35" fillId="0" borderId="0" xfId="57" applyFont="1" applyFill="1" applyAlignment="1"/>
    <xf numFmtId="211" fontId="35" fillId="0" borderId="0" xfId="57" applyNumberFormat="1" applyFont="1" applyFill="1" applyBorder="1" applyAlignment="1"/>
    <xf numFmtId="211" fontId="90" fillId="0" borderId="0" xfId="57" applyNumberFormat="1" applyFont="1" applyFill="1" applyBorder="1" applyAlignment="1">
      <alignment horizontal="center" vertical="center"/>
    </xf>
    <xf numFmtId="0" fontId="62" fillId="0" borderId="0" xfId="57" applyFont="1" applyFill="1" applyBorder="1" applyAlignment="1">
      <alignment vertical="center"/>
    </xf>
    <xf numFmtId="209" fontId="62" fillId="0" borderId="0" xfId="57" applyNumberFormat="1" applyFont="1" applyFill="1" applyAlignment="1">
      <alignment horizontal="left"/>
    </xf>
    <xf numFmtId="209" fontId="62" fillId="0" borderId="0" xfId="57" applyNumberFormat="1" applyFont="1" applyFill="1" applyBorder="1" applyAlignment="1"/>
    <xf numFmtId="183" fontId="62" fillId="0" borderId="0" xfId="57" applyNumberFormat="1" applyFont="1" applyFill="1" applyBorder="1" applyAlignment="1"/>
    <xf numFmtId="0" fontId="62" fillId="0" borderId="0" xfId="57" applyFont="1" applyFill="1" applyAlignment="1">
      <alignment vertical="center" wrapText="1"/>
    </xf>
    <xf numFmtId="0" fontId="62" fillId="0" borderId="0" xfId="57" applyFont="1" applyFill="1" applyAlignment="1">
      <alignment horizontal="left" vertical="center"/>
    </xf>
    <xf numFmtId="0" fontId="62" fillId="0" borderId="0" xfId="57" applyFont="1" applyFill="1" applyAlignment="1"/>
    <xf numFmtId="0" fontId="62" fillId="0" borderId="0" xfId="57" applyFont="1" applyFill="1" applyAlignment="1">
      <alignment vertical="center"/>
    </xf>
    <xf numFmtId="0" fontId="62" fillId="0" borderId="0" xfId="57" applyFont="1" applyFill="1" applyAlignment="1">
      <alignment horizontal="left"/>
    </xf>
    <xf numFmtId="0" fontId="35" fillId="0" borderId="0" xfId="57" applyFont="1" applyFill="1" applyAlignment="1">
      <alignment horizontal="left"/>
    </xf>
    <xf numFmtId="0" fontId="62" fillId="0" borderId="0" xfId="57" applyFont="1" applyFill="1" applyAlignment="1">
      <alignment horizontal="center" vertical="center" wrapText="1"/>
    </xf>
    <xf numFmtId="0" fontId="62" fillId="0" borderId="0" xfId="57" applyFont="1" applyFill="1" applyAlignment="1">
      <alignment horizontal="center" vertical="center"/>
    </xf>
    <xf numFmtId="0" fontId="62" fillId="0" borderId="0" xfId="57" applyFont="1" applyFill="1" applyAlignment="1">
      <alignment horizontal="left" vertical="center" wrapText="1"/>
    </xf>
    <xf numFmtId="0" fontId="35" fillId="0" borderId="0" xfId="57" applyFont="1" applyFill="1" applyBorder="1" applyAlignment="1">
      <alignment vertical="center"/>
    </xf>
    <xf numFmtId="0" fontId="87" fillId="0" borderId="0" xfId="0" applyFont="1" applyFill="1" applyAlignment="1">
      <alignment vertical="center" wrapText="1"/>
    </xf>
    <xf numFmtId="0" fontId="34" fillId="0" borderId="0" xfId="0" applyFont="1" applyFill="1" applyAlignment="1">
      <alignment vertical="center" wrapText="1"/>
    </xf>
    <xf numFmtId="0" fontId="34" fillId="0" borderId="0" xfId="0" applyFont="1" applyFill="1" applyBorder="1" applyAlignment="1">
      <alignment horizontal="left" vertical="center" wrapText="1"/>
    </xf>
    <xf numFmtId="0" fontId="47" fillId="0" borderId="0" xfId="0" applyFont="1" applyFill="1" applyAlignment="1">
      <alignment horizontal="left" vertical="center" wrapText="1"/>
    </xf>
    <xf numFmtId="0" fontId="47" fillId="0" borderId="0" xfId="0" applyFont="1" applyFill="1" applyAlignment="1">
      <alignment horizontal="left" vertical="center"/>
    </xf>
    <xf numFmtId="0" fontId="35" fillId="0" borderId="0" xfId="0" applyFont="1" applyFill="1" applyBorder="1" applyAlignment="1">
      <alignment vertical="center" wrapText="1"/>
    </xf>
    <xf numFmtId="0" fontId="87" fillId="0" borderId="0" xfId="0" applyFont="1" applyFill="1" applyAlignment="1">
      <alignment horizontal="left" vertical="center" wrapText="1"/>
    </xf>
    <xf numFmtId="0" fontId="91" fillId="0" borderId="0" xfId="0" applyFont="1" applyFill="1">
      <alignment vertical="center"/>
    </xf>
    <xf numFmtId="0" fontId="35" fillId="0" borderId="0" xfId="0" applyFont="1" applyFill="1" applyAlignment="1">
      <alignment horizontal="center" vertical="center" wrapText="1"/>
    </xf>
    <xf numFmtId="0" fontId="92" fillId="0" borderId="0" xfId="0" applyFont="1" applyFill="1" applyAlignment="1">
      <alignment horizontal="left" vertical="center" wrapText="1"/>
    </xf>
    <xf numFmtId="0" fontId="92" fillId="0" borderId="0" xfId="0" applyFont="1" applyFill="1" applyAlignment="1">
      <alignment horizontal="left" vertical="center"/>
    </xf>
    <xf numFmtId="212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49" fontId="35" fillId="9" borderId="1" xfId="0" applyNumberFormat="1" applyFont="1" applyFill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184" fontId="35" fillId="0" borderId="1" xfId="0" applyNumberFormat="1" applyFont="1" applyFill="1" applyBorder="1" applyAlignment="1">
      <alignment horizontal="center" vertical="center" wrapText="1"/>
    </xf>
    <xf numFmtId="0" fontId="47" fillId="2" borderId="82" xfId="0" applyFont="1" applyFill="1" applyBorder="1" applyAlignment="1">
      <alignment horizontal="center" vertical="center" wrapText="1"/>
    </xf>
    <xf numFmtId="0" fontId="47" fillId="2" borderId="95" xfId="0" applyFont="1" applyFill="1" applyBorder="1" applyAlignment="1">
      <alignment horizontal="center" vertical="center"/>
    </xf>
    <xf numFmtId="0" fontId="34" fillId="2" borderId="95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0" fontId="47" fillId="2" borderId="82" xfId="0" applyNumberFormat="1" applyFont="1" applyFill="1" applyBorder="1" applyAlignment="1">
      <alignment horizontal="center" vertical="center"/>
    </xf>
    <xf numFmtId="0" fontId="47" fillId="10" borderId="82" xfId="0" applyFont="1" applyFill="1" applyBorder="1" applyAlignment="1">
      <alignment horizontal="center" vertical="center" wrapText="1"/>
    </xf>
    <xf numFmtId="0" fontId="47" fillId="10" borderId="82" xfId="0" applyFont="1" applyFill="1" applyBorder="1" applyAlignment="1">
      <alignment horizontal="center" vertical="center"/>
    </xf>
    <xf numFmtId="0" fontId="47" fillId="10" borderId="83" xfId="0" applyFont="1" applyFill="1" applyBorder="1" applyAlignment="1">
      <alignment horizontal="center" vertical="center" wrapText="1"/>
    </xf>
    <xf numFmtId="0" fontId="93" fillId="10" borderId="82" xfId="0" applyFont="1" applyFill="1" applyBorder="1">
      <alignment vertical="center"/>
    </xf>
    <xf numFmtId="0" fontId="47" fillId="10" borderId="96" xfId="0" applyFont="1" applyFill="1" applyBorder="1" applyAlignment="1">
      <alignment horizontal="center" vertical="center"/>
    </xf>
    <xf numFmtId="184" fontId="47" fillId="10" borderId="82" xfId="0" applyNumberFormat="1" applyFont="1" applyFill="1" applyBorder="1" applyAlignment="1">
      <alignment horizontal="center" vertical="center"/>
    </xf>
    <xf numFmtId="191" fontId="47" fillId="10" borderId="82" xfId="0" applyNumberFormat="1" applyFont="1" applyFill="1" applyBorder="1" applyAlignment="1">
      <alignment horizontal="center" vertical="center" wrapText="1"/>
    </xf>
    <xf numFmtId="194" fontId="47" fillId="10" borderId="82" xfId="0" applyNumberFormat="1" applyFont="1" applyFill="1" applyBorder="1" applyAlignment="1">
      <alignment horizontal="center" vertical="center" wrapText="1"/>
    </xf>
    <xf numFmtId="194" fontId="47" fillId="10" borderId="82" xfId="0" applyNumberFormat="1" applyFont="1" applyFill="1" applyBorder="1" applyAlignment="1">
      <alignment horizontal="center" vertical="center"/>
    </xf>
    <xf numFmtId="183" fontId="47" fillId="10" borderId="82" xfId="0" applyNumberFormat="1" applyFont="1" applyFill="1" applyBorder="1" applyAlignment="1">
      <alignment horizontal="center" vertical="center"/>
    </xf>
    <xf numFmtId="49" fontId="47" fillId="10" borderId="82" xfId="0" applyNumberFormat="1" applyFont="1" applyFill="1" applyBorder="1" applyAlignment="1">
      <alignment horizontal="center" vertical="center"/>
    </xf>
    <xf numFmtId="49" fontId="47" fillId="10" borderId="84" xfId="0" applyNumberFormat="1" applyFont="1" applyFill="1" applyBorder="1" applyAlignment="1">
      <alignment horizontal="center" vertical="center"/>
    </xf>
    <xf numFmtId="0" fontId="47" fillId="10" borderId="84" xfId="0" applyFont="1" applyFill="1" applyBorder="1" applyAlignment="1">
      <alignment horizontal="center" vertical="center" wrapText="1"/>
    </xf>
    <xf numFmtId="0" fontId="47" fillId="10" borderId="84" xfId="0" applyFont="1" applyFill="1" applyBorder="1" applyAlignment="1">
      <alignment horizontal="center" vertical="center"/>
    </xf>
    <xf numFmtId="192" fontId="47" fillId="10" borderId="82" xfId="0" applyNumberFormat="1" applyFont="1" applyFill="1" applyBorder="1" applyAlignment="1">
      <alignment horizontal="center" vertical="center" wrapText="1"/>
    </xf>
    <xf numFmtId="181" fontId="47" fillId="10" borderId="82" xfId="0" applyNumberFormat="1" applyFont="1" applyFill="1" applyBorder="1" applyAlignment="1">
      <alignment horizontal="center" vertical="center"/>
    </xf>
    <xf numFmtId="0" fontId="47" fillId="10" borderId="82" xfId="0" applyNumberFormat="1" applyFont="1" applyFill="1" applyBorder="1" applyAlignment="1">
      <alignment horizontal="center" vertical="center"/>
    </xf>
    <xf numFmtId="191" fontId="47" fillId="10" borderId="82" xfId="0" applyNumberFormat="1" applyFont="1" applyFill="1" applyBorder="1" applyAlignment="1">
      <alignment horizontal="center" vertical="center"/>
    </xf>
    <xf numFmtId="197" fontId="47" fillId="10" borderId="82" xfId="0" applyNumberFormat="1" applyFont="1" applyFill="1" applyBorder="1" applyAlignment="1">
      <alignment horizontal="center" vertical="center"/>
    </xf>
    <xf numFmtId="8" fontId="94" fillId="10" borderId="83" xfId="0" applyNumberFormat="1" applyFont="1" applyFill="1" applyBorder="1" applyAlignment="1">
      <alignment horizontal="center" vertical="center" wrapText="1"/>
    </xf>
    <xf numFmtId="0" fontId="0" fillId="11" borderId="82" xfId="0" applyFill="1" applyBorder="1">
      <alignment vertical="center"/>
    </xf>
    <xf numFmtId="0" fontId="81" fillId="11" borderId="82" xfId="0" applyNumberFormat="1" applyFont="1" applyFill="1" applyBorder="1" applyAlignment="1">
      <alignment horizontal="center" vertical="center" wrapText="1"/>
    </xf>
    <xf numFmtId="0" fontId="37" fillId="2" borderId="82" xfId="0" applyFont="1" applyFill="1" applyBorder="1" applyAlignment="1">
      <alignment horizontal="center" vertical="center" wrapText="1"/>
    </xf>
    <xf numFmtId="0" fontId="37" fillId="2" borderId="82" xfId="0" applyFont="1" applyFill="1" applyBorder="1" applyAlignment="1">
      <alignment horizontal="center" vertical="center"/>
    </xf>
    <xf numFmtId="0" fontId="37" fillId="2" borderId="83" xfId="0" applyFont="1" applyFill="1" applyBorder="1" applyAlignment="1">
      <alignment horizontal="center" vertical="center" wrapText="1"/>
    </xf>
    <xf numFmtId="0" fontId="93" fillId="2" borderId="82" xfId="0" applyFont="1" applyFill="1" applyBorder="1">
      <alignment vertical="center"/>
    </xf>
    <xf numFmtId="0" fontId="37" fillId="2" borderId="96" xfId="0" applyFont="1" applyFill="1" applyBorder="1" applyAlignment="1">
      <alignment horizontal="center" vertical="center"/>
    </xf>
    <xf numFmtId="183" fontId="37" fillId="2" borderId="84" xfId="0" applyNumberFormat="1" applyFont="1" applyFill="1" applyBorder="1" applyAlignment="1">
      <alignment horizontal="center" vertical="center"/>
    </xf>
    <xf numFmtId="0" fontId="37" fillId="2" borderId="84" xfId="0" applyFont="1" applyFill="1" applyBorder="1" applyAlignment="1">
      <alignment horizontal="center" vertical="center" wrapText="1"/>
    </xf>
    <xf numFmtId="0" fontId="37" fillId="2" borderId="84" xfId="0" applyFont="1" applyFill="1" applyBorder="1" applyAlignment="1">
      <alignment horizontal="center" vertical="center"/>
    </xf>
    <xf numFmtId="191" fontId="37" fillId="2" borderId="84" xfId="0" applyNumberFormat="1" applyFont="1" applyFill="1" applyBorder="1" applyAlignment="1">
      <alignment horizontal="center" vertical="center" wrapText="1"/>
    </xf>
    <xf numFmtId="183" fontId="37" fillId="2" borderId="84" xfId="0" applyNumberFormat="1" applyFont="1" applyFill="1" applyBorder="1" applyAlignment="1">
      <alignment horizontal="center" vertical="center" wrapText="1"/>
    </xf>
    <xf numFmtId="184" fontId="37" fillId="2" borderId="82" xfId="0" applyNumberFormat="1" applyFont="1" applyFill="1" applyBorder="1" applyAlignment="1">
      <alignment horizontal="center" vertical="center" wrapText="1"/>
    </xf>
    <xf numFmtId="0" fontId="37" fillId="2" borderId="97" xfId="0" applyFont="1" applyFill="1" applyBorder="1" applyAlignment="1">
      <alignment horizontal="center" vertical="center" wrapText="1"/>
    </xf>
    <xf numFmtId="181" fontId="37" fillId="2" borderId="84" xfId="0" applyNumberFormat="1" applyFont="1" applyFill="1" applyBorder="1" applyAlignment="1">
      <alignment horizontal="center" vertical="center"/>
    </xf>
    <xf numFmtId="0" fontId="95" fillId="2" borderId="96" xfId="0" applyFont="1" applyFill="1" applyBorder="1" applyAlignment="1">
      <alignment horizontal="center" vertical="center"/>
    </xf>
    <xf numFmtId="0" fontId="93" fillId="2" borderId="82" xfId="0" applyFont="1" applyFill="1" applyBorder="1" applyAlignment="1">
      <alignment horizontal="center" vertical="center"/>
    </xf>
    <xf numFmtId="0" fontId="93" fillId="2" borderId="83" xfId="0" applyFont="1" applyFill="1" applyBorder="1">
      <alignment vertical="center"/>
    </xf>
    <xf numFmtId="0" fontId="0" fillId="2" borderId="82" xfId="0" applyFill="1" applyBorder="1">
      <alignment vertical="center"/>
    </xf>
    <xf numFmtId="0" fontId="0" fillId="2" borderId="82" xfId="0" applyNumberFormat="1" applyFill="1" applyBorder="1">
      <alignment vertical="center"/>
    </xf>
    <xf numFmtId="0" fontId="96" fillId="2" borderId="82" xfId="0" applyFont="1" applyFill="1" applyBorder="1" applyAlignment="1">
      <alignment horizontal="center" vertical="center"/>
    </xf>
    <xf numFmtId="0" fontId="96" fillId="2" borderId="82" xfId="0" applyFont="1" applyFill="1" applyBorder="1" applyAlignment="1">
      <alignment horizontal="center" vertical="center" wrapText="1"/>
    </xf>
    <xf numFmtId="0" fontId="96" fillId="2" borderId="83" xfId="0" applyFont="1" applyFill="1" applyBorder="1" applyAlignment="1">
      <alignment horizontal="center" vertical="center" wrapText="1"/>
    </xf>
    <xf numFmtId="0" fontId="96" fillId="2" borderId="96" xfId="0" applyFont="1" applyFill="1" applyBorder="1" applyAlignment="1">
      <alignment horizontal="center" vertical="center" wrapText="1"/>
    </xf>
    <xf numFmtId="183" fontId="96" fillId="2" borderId="82" xfId="0" applyNumberFormat="1" applyFont="1" applyFill="1" applyBorder="1" applyAlignment="1">
      <alignment horizontal="center" vertical="center" wrapText="1"/>
    </xf>
    <xf numFmtId="191" fontId="96" fillId="2" borderId="82" xfId="0" applyNumberFormat="1" applyFont="1" applyFill="1" applyBorder="1" applyAlignment="1">
      <alignment horizontal="center" vertical="center" wrapText="1"/>
    </xf>
    <xf numFmtId="183" fontId="96" fillId="2" borderId="82" xfId="0" applyNumberFormat="1" applyFont="1" applyFill="1" applyBorder="1" applyAlignment="1">
      <alignment horizontal="center" vertical="center"/>
    </xf>
    <xf numFmtId="184" fontId="96" fillId="2" borderId="82" xfId="0" applyNumberFormat="1" applyFont="1" applyFill="1" applyBorder="1" applyAlignment="1">
      <alignment horizontal="center" vertical="center" wrapText="1"/>
    </xf>
    <xf numFmtId="49" fontId="96" fillId="2" borderId="82" xfId="0" applyNumberFormat="1" applyFont="1" applyFill="1" applyBorder="1" applyAlignment="1">
      <alignment horizontal="center" vertical="center" wrapText="1"/>
    </xf>
    <xf numFmtId="0" fontId="96" fillId="2" borderId="82" xfId="0" applyFont="1" applyFill="1" applyBorder="1" applyAlignment="1">
      <alignment vertical="center" wrapText="1"/>
    </xf>
    <xf numFmtId="191" fontId="96" fillId="2" borderId="82" xfId="0" applyNumberFormat="1" applyFont="1" applyFill="1" applyBorder="1" applyAlignment="1">
      <alignment vertical="center" wrapText="1"/>
    </xf>
    <xf numFmtId="10" fontId="96" fillId="2" borderId="82" xfId="0" applyNumberFormat="1" applyFont="1" applyFill="1" applyBorder="1" applyAlignment="1">
      <alignment horizontal="center" vertical="center"/>
    </xf>
    <xf numFmtId="0" fontId="97" fillId="2" borderId="82" xfId="0" applyFont="1" applyFill="1" applyBorder="1" applyAlignment="1">
      <alignment horizontal="center" vertical="center"/>
    </xf>
    <xf numFmtId="0" fontId="37" fillId="2" borderId="96" xfId="0" applyFont="1" applyFill="1" applyBorder="1" applyAlignment="1">
      <alignment horizontal="center" vertical="center" wrapText="1"/>
    </xf>
    <xf numFmtId="183" fontId="37" fillId="2" borderId="82" xfId="0" applyNumberFormat="1" applyFont="1" applyFill="1" applyBorder="1" applyAlignment="1">
      <alignment horizontal="center" vertical="center" wrapText="1"/>
    </xf>
    <xf numFmtId="184" fontId="37" fillId="2" borderId="96" xfId="0" applyNumberFormat="1" applyFont="1" applyFill="1" applyBorder="1" applyAlignment="1">
      <alignment horizontal="center" vertical="center" wrapText="1"/>
    </xf>
    <xf numFmtId="49" fontId="37" fillId="2" borderId="82" xfId="0" applyNumberFormat="1" applyFont="1" applyFill="1" applyBorder="1" applyAlignment="1">
      <alignment horizontal="center" vertical="center" wrapText="1"/>
    </xf>
    <xf numFmtId="181" fontId="37" fillId="2" borderId="82" xfId="0" applyNumberFormat="1" applyFont="1" applyFill="1" applyBorder="1" applyAlignment="1">
      <alignment horizontal="center" vertical="center" wrapText="1"/>
    </xf>
    <xf numFmtId="0" fontId="37" fillId="2" borderId="82" xfId="0" applyFont="1" applyFill="1" applyBorder="1" applyAlignment="1">
      <alignment vertical="center" wrapText="1"/>
    </xf>
    <xf numFmtId="191" fontId="37" fillId="2" borderId="82" xfId="0" applyNumberFormat="1" applyFont="1" applyFill="1" applyBorder="1" applyAlignment="1">
      <alignment vertical="center" wrapText="1"/>
    </xf>
    <xf numFmtId="0" fontId="47" fillId="10" borderId="97" xfId="0" applyFont="1" applyFill="1" applyBorder="1" applyAlignment="1">
      <alignment horizontal="center" vertical="center"/>
    </xf>
    <xf numFmtId="197" fontId="47" fillId="10" borderId="84" xfId="0" applyNumberFormat="1" applyFont="1" applyFill="1" applyBorder="1" applyAlignment="1">
      <alignment horizontal="center" vertical="center"/>
    </xf>
    <xf numFmtId="183" fontId="47" fillId="10" borderId="84" xfId="0" applyNumberFormat="1" applyFont="1" applyFill="1" applyBorder="1" applyAlignment="1">
      <alignment horizontal="center" vertical="center" wrapText="1"/>
    </xf>
    <xf numFmtId="183" fontId="47" fillId="10" borderId="98" xfId="0" applyNumberFormat="1" applyFont="1" applyFill="1" applyBorder="1" applyAlignment="1">
      <alignment horizontal="center" vertical="center" wrapText="1"/>
    </xf>
    <xf numFmtId="183" fontId="47" fillId="10" borderId="97" xfId="0" applyNumberFormat="1" applyFont="1" applyFill="1" applyBorder="1" applyAlignment="1">
      <alignment horizontal="center" vertical="center" wrapText="1"/>
    </xf>
    <xf numFmtId="0" fontId="44" fillId="10" borderId="84" xfId="0" applyFont="1" applyFill="1" applyBorder="1" applyAlignment="1">
      <alignment horizontal="center" vertical="center"/>
    </xf>
    <xf numFmtId="191" fontId="47" fillId="10" borderId="84" xfId="0" applyNumberFormat="1" applyFont="1" applyFill="1" applyBorder="1" applyAlignment="1">
      <alignment vertical="center" wrapText="1"/>
    </xf>
    <xf numFmtId="0" fontId="47" fillId="10" borderId="84" xfId="0" applyFont="1" applyFill="1" applyBorder="1" applyAlignment="1">
      <alignment vertical="center" wrapText="1"/>
    </xf>
    <xf numFmtId="183" fontId="47" fillId="10" borderId="84" xfId="0" applyNumberFormat="1" applyFont="1" applyFill="1" applyBorder="1" applyAlignment="1">
      <alignment horizontal="center" vertical="center"/>
    </xf>
    <xf numFmtId="0" fontId="44" fillId="10" borderId="82" xfId="0" applyFont="1" applyFill="1" applyBorder="1" applyAlignment="1">
      <alignment horizontal="center" vertical="center" wrapText="1"/>
    </xf>
    <xf numFmtId="0" fontId="44" fillId="10" borderId="82" xfId="0" applyFont="1" applyFill="1" applyBorder="1" applyAlignment="1">
      <alignment horizontal="center" vertical="center"/>
    </xf>
    <xf numFmtId="0" fontId="93" fillId="10" borderId="0" xfId="0" applyFont="1" applyFill="1">
      <alignment vertical="center"/>
    </xf>
    <xf numFmtId="181" fontId="44" fillId="10" borderId="82" xfId="0" applyNumberFormat="1" applyFont="1" applyFill="1" applyBorder="1" applyAlignment="1">
      <alignment horizontal="center" vertical="center"/>
    </xf>
    <xf numFmtId="0" fontId="98" fillId="10" borderId="84" xfId="0" applyFont="1" applyFill="1" applyBorder="1" applyAlignment="1">
      <alignment horizontal="center" vertical="center"/>
    </xf>
    <xf numFmtId="0" fontId="99" fillId="10" borderId="99" xfId="0" applyFont="1" applyFill="1" applyBorder="1" applyAlignment="1">
      <alignment horizontal="center" vertical="center" wrapText="1"/>
    </xf>
    <xf numFmtId="0" fontId="0" fillId="11" borderId="100" xfId="0" applyFill="1" applyBorder="1" applyAlignment="1">
      <alignment horizontal="center" vertical="center"/>
    </xf>
    <xf numFmtId="0" fontId="99" fillId="11" borderId="100" xfId="0" applyNumberFormat="1" applyFont="1" applyFill="1" applyBorder="1" applyAlignment="1">
      <alignment horizontal="center" vertical="center" wrapText="1"/>
    </xf>
    <xf numFmtId="0" fontId="99" fillId="10" borderId="99" xfId="0" applyFont="1" applyFill="1" applyBorder="1" applyAlignment="1">
      <alignment horizontal="center" vertical="center"/>
    </xf>
    <xf numFmtId="0" fontId="0" fillId="11" borderId="101" xfId="0" applyFill="1" applyBorder="1" applyAlignment="1">
      <alignment horizontal="center" vertical="center"/>
    </xf>
    <xf numFmtId="0" fontId="55" fillId="11" borderId="101" xfId="0" applyNumberFormat="1" applyFont="1" applyFill="1" applyBorder="1" applyAlignment="1">
      <alignment horizontal="center" vertical="center"/>
    </xf>
    <xf numFmtId="0" fontId="100" fillId="10" borderId="82" xfId="0" applyFont="1" applyFill="1" applyBorder="1" applyAlignment="1">
      <alignment horizontal="center" vertical="center" wrapText="1"/>
    </xf>
    <xf numFmtId="183" fontId="44" fillId="10" borderId="82" xfId="0" applyNumberFormat="1" applyFont="1" applyFill="1" applyBorder="1" applyAlignment="1">
      <alignment horizontal="center" vertical="center"/>
    </xf>
    <xf numFmtId="184" fontId="44" fillId="10" borderId="82" xfId="0" applyNumberFormat="1" applyFont="1" applyFill="1" applyBorder="1" applyAlignment="1">
      <alignment horizontal="center" vertical="center"/>
    </xf>
    <xf numFmtId="197" fontId="101" fillId="10" borderId="82" xfId="0" applyNumberFormat="1" applyFont="1" applyFill="1" applyBorder="1" applyAlignment="1">
      <alignment horizontal="center" vertical="center"/>
    </xf>
    <xf numFmtId="0" fontId="99" fillId="10" borderId="98" xfId="0" applyFont="1" applyFill="1" applyBorder="1" applyAlignment="1">
      <alignment horizontal="center" vertical="center"/>
    </xf>
    <xf numFmtId="0" fontId="0" fillId="11" borderId="84" xfId="0" applyFill="1" applyBorder="1" applyAlignment="1">
      <alignment horizontal="center" vertical="center"/>
    </xf>
    <xf numFmtId="0" fontId="55" fillId="11" borderId="84" xfId="0" applyNumberFormat="1" applyFont="1" applyFill="1" applyBorder="1" applyAlignment="1">
      <alignment horizontal="center" vertical="center"/>
    </xf>
    <xf numFmtId="0" fontId="47" fillId="2" borderId="82" xfId="0" applyFont="1" applyFill="1" applyBorder="1" applyAlignment="1">
      <alignment horizontal="center" vertical="center"/>
    </xf>
    <xf numFmtId="183" fontId="47" fillId="2" borderId="84" xfId="0" applyNumberFormat="1" applyFont="1" applyFill="1" applyBorder="1" applyAlignment="1">
      <alignment horizontal="center" vertical="center" wrapText="1"/>
    </xf>
    <xf numFmtId="183" fontId="47" fillId="2" borderId="98" xfId="0" applyNumberFormat="1" applyFont="1" applyFill="1" applyBorder="1" applyAlignment="1">
      <alignment horizontal="center" vertical="center" wrapText="1"/>
    </xf>
    <xf numFmtId="183" fontId="47" fillId="2" borderId="97" xfId="0" applyNumberFormat="1" applyFont="1" applyFill="1" applyBorder="1" applyAlignment="1">
      <alignment horizontal="center" vertical="center" wrapText="1"/>
    </xf>
    <xf numFmtId="0" fontId="44" fillId="2" borderId="84" xfId="0" applyFont="1" applyFill="1" applyBorder="1" applyAlignment="1">
      <alignment horizontal="center" vertical="center"/>
    </xf>
    <xf numFmtId="0" fontId="47" fillId="2" borderId="84" xfId="0" applyFont="1" applyFill="1" applyBorder="1" applyAlignment="1">
      <alignment horizontal="center" vertical="center" wrapText="1"/>
    </xf>
    <xf numFmtId="191" fontId="47" fillId="2" borderId="84" xfId="0" applyNumberFormat="1" applyFont="1" applyFill="1" applyBorder="1" applyAlignment="1">
      <alignment vertical="center" wrapText="1"/>
    </xf>
    <xf numFmtId="0" fontId="47" fillId="2" borderId="84" xfId="0" applyFont="1" applyFill="1" applyBorder="1" applyAlignment="1">
      <alignment vertical="center" wrapText="1"/>
    </xf>
    <xf numFmtId="184" fontId="47" fillId="2" borderId="101" xfId="0" applyNumberFormat="1" applyFont="1" applyFill="1" applyBorder="1" applyAlignment="1">
      <alignment horizontal="center" vertical="center" wrapText="1"/>
    </xf>
    <xf numFmtId="0" fontId="47" fillId="2" borderId="84" xfId="0" applyFont="1" applyFill="1" applyBorder="1" applyAlignment="1">
      <alignment horizontal="center" vertical="center"/>
    </xf>
    <xf numFmtId="0" fontId="44" fillId="2" borderId="84" xfId="0" applyFont="1" applyFill="1" applyBorder="1" applyAlignment="1">
      <alignment horizontal="center" vertical="center" wrapText="1"/>
    </xf>
    <xf numFmtId="0" fontId="93" fillId="0" borderId="0" xfId="0" applyFont="1">
      <alignment vertical="center"/>
    </xf>
    <xf numFmtId="181" fontId="44" fillId="2" borderId="84" xfId="0" applyNumberFormat="1" applyFont="1" applyFill="1" applyBorder="1" applyAlignment="1">
      <alignment horizontal="center" vertical="center"/>
    </xf>
    <xf numFmtId="0" fontId="100" fillId="2" borderId="84" xfId="0" applyFont="1" applyFill="1" applyBorder="1" applyAlignment="1">
      <alignment horizontal="center" vertical="center" wrapText="1"/>
    </xf>
    <xf numFmtId="0" fontId="47" fillId="2" borderId="101" xfId="0" applyFont="1" applyFill="1" applyBorder="1">
      <alignment vertical="center"/>
    </xf>
    <xf numFmtId="183" fontId="47" fillId="2" borderId="84" xfId="0" applyNumberFormat="1" applyFont="1" applyFill="1" applyBorder="1" applyAlignment="1">
      <alignment horizontal="center" vertical="center"/>
    </xf>
    <xf numFmtId="0" fontId="47" fillId="2" borderId="96" xfId="0" applyFont="1" applyFill="1" applyBorder="1" applyAlignment="1">
      <alignment horizontal="center" vertical="center"/>
    </xf>
    <xf numFmtId="197" fontId="47" fillId="2" borderId="84" xfId="0" applyNumberFormat="1" applyFont="1" applyFill="1" applyBorder="1" applyAlignment="1">
      <alignment horizontal="center" vertical="center"/>
    </xf>
    <xf numFmtId="197" fontId="47" fillId="2" borderId="82" xfId="0" applyNumberFormat="1" applyFont="1" applyFill="1" applyBorder="1" applyAlignment="1">
      <alignment horizontal="center" vertical="center"/>
    </xf>
    <xf numFmtId="0" fontId="47" fillId="2" borderId="83" xfId="0" applyFont="1" applyFill="1" applyBorder="1" applyAlignment="1">
      <alignment horizontal="center" vertical="center"/>
    </xf>
    <xf numFmtId="0" fontId="47" fillId="10" borderId="100" xfId="0" applyFont="1" applyFill="1" applyBorder="1" applyAlignment="1">
      <alignment horizontal="center" vertical="center" wrapText="1"/>
    </xf>
    <xf numFmtId="191" fontId="47" fillId="10" borderId="82" xfId="0" applyNumberFormat="1" applyFont="1" applyFill="1" applyBorder="1" applyAlignment="1">
      <alignment vertical="center" wrapText="1"/>
    </xf>
    <xf numFmtId="0" fontId="47" fillId="10" borderId="82" xfId="0" applyFont="1" applyFill="1" applyBorder="1" applyAlignment="1">
      <alignment vertical="center" wrapText="1"/>
    </xf>
    <xf numFmtId="213" fontId="44" fillId="10" borderId="82" xfId="0" applyNumberFormat="1" applyFont="1" applyFill="1" applyBorder="1" applyAlignment="1">
      <alignment horizontal="center" vertical="center"/>
    </xf>
    <xf numFmtId="0" fontId="102" fillId="10" borderId="102" xfId="0" applyFont="1" applyFill="1" applyBorder="1" applyAlignment="1">
      <alignment horizontal="center" wrapText="1"/>
    </xf>
    <xf numFmtId="198" fontId="55" fillId="11" borderId="100" xfId="0" applyNumberFormat="1" applyFont="1" applyFill="1" applyBorder="1" applyAlignment="1">
      <alignment horizontal="center" vertical="center"/>
    </xf>
    <xf numFmtId="183" fontId="44" fillId="10" borderId="84" xfId="0" applyNumberFormat="1" applyFont="1" applyFill="1" applyBorder="1" applyAlignment="1">
      <alignment horizontal="center" vertical="center" wrapText="1"/>
    </xf>
    <xf numFmtId="0" fontId="102" fillId="10" borderId="99" xfId="0" applyFont="1" applyFill="1" applyBorder="1" applyAlignment="1">
      <alignment horizontal="center"/>
    </xf>
    <xf numFmtId="198" fontId="55" fillId="11" borderId="101" xfId="0" applyNumberFormat="1" applyFont="1" applyFill="1" applyBorder="1" applyAlignment="1">
      <alignment horizontal="center" vertical="center"/>
    </xf>
    <xf numFmtId="0" fontId="103" fillId="10" borderId="82" xfId="0" applyFont="1" applyFill="1" applyBorder="1" applyAlignment="1">
      <alignment horizontal="center" vertical="center" wrapText="1"/>
    </xf>
    <xf numFmtId="0" fontId="39" fillId="2" borderId="82" xfId="0" applyFont="1" applyFill="1" applyBorder="1" applyAlignment="1">
      <alignment horizontal="center" vertical="center" wrapText="1"/>
    </xf>
    <xf numFmtId="0" fontId="102" fillId="10" borderId="98" xfId="0" applyFont="1" applyFill="1" applyBorder="1" applyAlignment="1">
      <alignment horizontal="center"/>
    </xf>
    <xf numFmtId="198" fontId="55" fillId="11" borderId="84" xfId="0" applyNumberFormat="1" applyFont="1" applyFill="1" applyBorder="1" applyAlignment="1">
      <alignment horizontal="center" vertical="center"/>
    </xf>
    <xf numFmtId="0" fontId="104" fillId="2" borderId="82" xfId="0" applyFont="1" applyFill="1" applyBorder="1" applyAlignment="1">
      <alignment horizontal="center" vertical="center" wrapText="1"/>
    </xf>
    <xf numFmtId="0" fontId="93" fillId="2" borderId="0" xfId="0" applyFont="1" applyFill="1">
      <alignment vertical="center"/>
    </xf>
    <xf numFmtId="213" fontId="37" fillId="2" borderId="84" xfId="0" applyNumberFormat="1" applyFont="1" applyFill="1" applyBorder="1" applyAlignment="1">
      <alignment horizontal="center" vertical="center"/>
    </xf>
    <xf numFmtId="184" fontId="96" fillId="2" borderId="96" xfId="0" applyNumberFormat="1" applyFont="1" applyFill="1" applyBorder="1" applyAlignment="1">
      <alignment horizontal="center" vertical="center" wrapText="1"/>
    </xf>
    <xf numFmtId="213" fontId="96" fillId="2" borderId="82" xfId="0" applyNumberFormat="1" applyFont="1" applyFill="1" applyBorder="1" applyAlignment="1">
      <alignment horizontal="center" vertical="center" wrapText="1"/>
    </xf>
    <xf numFmtId="213" fontId="37" fillId="2" borderId="82" xfId="0" applyNumberFormat="1" applyFont="1" applyFill="1" applyBorder="1" applyAlignment="1">
      <alignment horizontal="center" vertical="center" wrapText="1"/>
    </xf>
    <xf numFmtId="184" fontId="47" fillId="10" borderId="82" xfId="0" applyNumberFormat="1" applyFont="1" applyFill="1" applyBorder="1" applyAlignment="1">
      <alignment horizontal="center" vertical="center" wrapText="1"/>
    </xf>
    <xf numFmtId="181" fontId="47" fillId="10" borderId="84" xfId="0" applyNumberFormat="1" applyFont="1" applyFill="1" applyBorder="1" applyAlignment="1">
      <alignment horizontal="center" vertical="center"/>
    </xf>
    <xf numFmtId="0" fontId="103" fillId="10" borderId="84" xfId="0" applyFont="1" applyFill="1" applyBorder="1" applyAlignment="1">
      <alignment horizontal="center" vertical="center" wrapText="1"/>
    </xf>
    <xf numFmtId="8" fontId="99" fillId="10" borderId="99" xfId="0" applyNumberFormat="1" applyFont="1" applyFill="1" applyBorder="1" applyAlignment="1">
      <alignment horizontal="center" vertical="center"/>
    </xf>
    <xf numFmtId="198" fontId="99" fillId="11" borderId="100" xfId="0" applyNumberFormat="1" applyFont="1" applyFill="1" applyBorder="1" applyAlignment="1">
      <alignment horizontal="center" vertical="center" wrapText="1"/>
    </xf>
    <xf numFmtId="198" fontId="99" fillId="11" borderId="101" xfId="0" applyNumberFormat="1" applyFont="1" applyFill="1" applyBorder="1" applyAlignment="1">
      <alignment horizontal="center" vertical="center" wrapText="1"/>
    </xf>
    <xf numFmtId="183" fontId="37" fillId="2" borderId="82" xfId="0" applyNumberFormat="1" applyFont="1" applyFill="1" applyBorder="1" applyAlignment="1">
      <alignment horizontal="center" vertical="center"/>
    </xf>
    <xf numFmtId="0" fontId="99" fillId="2" borderId="83" xfId="0" applyFont="1" applyFill="1" applyBorder="1" applyAlignment="1">
      <alignment horizontal="center" vertical="center"/>
    </xf>
    <xf numFmtId="191" fontId="47" fillId="10" borderId="84" xfId="0" applyNumberFormat="1" applyFont="1" applyFill="1" applyBorder="1" applyAlignment="1">
      <alignment horizontal="center" vertical="center" wrapText="1"/>
    </xf>
    <xf numFmtId="189" fontId="47" fillId="10" borderId="84" xfId="0" applyNumberFormat="1" applyFont="1" applyFill="1" applyBorder="1" applyAlignment="1">
      <alignment horizontal="center" vertical="center"/>
    </xf>
    <xf numFmtId="49" fontId="47" fillId="10" borderId="82" xfId="0" applyNumberFormat="1" applyFont="1" applyFill="1" applyBorder="1" applyAlignment="1">
      <alignment horizontal="center" vertical="center" wrapText="1"/>
    </xf>
    <xf numFmtId="189" fontId="47" fillId="10" borderId="82" xfId="0" applyNumberFormat="1" applyFont="1" applyFill="1" applyBorder="1" applyAlignment="1">
      <alignment horizontal="center" vertical="center"/>
    </xf>
    <xf numFmtId="8" fontId="99" fillId="10" borderId="102" xfId="0" applyNumberFormat="1" applyFont="1" applyFill="1" applyBorder="1" applyAlignment="1">
      <alignment horizontal="center" vertical="center"/>
    </xf>
    <xf numFmtId="198" fontId="99" fillId="11" borderId="84" xfId="0" applyNumberFormat="1" applyFont="1" applyFill="1" applyBorder="1" applyAlignment="1">
      <alignment horizontal="center" vertical="center" wrapText="1"/>
    </xf>
    <xf numFmtId="189" fontId="37" fillId="2" borderId="84" xfId="0" applyNumberFormat="1" applyFont="1" applyFill="1" applyBorder="1" applyAlignment="1">
      <alignment horizontal="center" vertical="center"/>
    </xf>
    <xf numFmtId="184" fontId="37" fillId="2" borderId="103" xfId="0" applyNumberFormat="1" applyFont="1" applyFill="1" applyBorder="1" applyAlignment="1">
      <alignment horizontal="center" vertical="center" wrapText="1"/>
    </xf>
    <xf numFmtId="0" fontId="37" fillId="2" borderId="84" xfId="0" applyFont="1" applyFill="1" applyBorder="1">
      <alignment vertical="center"/>
    </xf>
    <xf numFmtId="191" fontId="37" fillId="2" borderId="84" xfId="0" applyNumberFormat="1" applyFont="1" applyFill="1" applyBorder="1" applyAlignment="1">
      <alignment vertical="center" wrapText="1"/>
    </xf>
    <xf numFmtId="0" fontId="37" fillId="2" borderId="84" xfId="0" applyFont="1" applyFill="1" applyBorder="1" applyAlignment="1">
      <alignment vertical="center" wrapText="1"/>
    </xf>
    <xf numFmtId="194" fontId="47" fillId="10" borderId="84" xfId="0" applyNumberFormat="1" applyFont="1" applyFill="1" applyBorder="1" applyAlignment="1">
      <alignment horizontal="center" vertical="center" wrapText="1"/>
    </xf>
    <xf numFmtId="194" fontId="47" fillId="10" borderId="84" xfId="0" applyNumberFormat="1" applyFont="1" applyFill="1" applyBorder="1" applyAlignment="1">
      <alignment horizontal="center" vertical="center"/>
    </xf>
    <xf numFmtId="49" fontId="47" fillId="10" borderId="103" xfId="0" applyNumberFormat="1" applyFont="1" applyFill="1" applyBorder="1" applyAlignment="1">
      <alignment horizontal="center" vertical="center" wrapText="1"/>
    </xf>
    <xf numFmtId="184" fontId="47" fillId="10" borderId="84" xfId="0" applyNumberFormat="1" applyFont="1" applyFill="1" applyBorder="1" applyAlignment="1">
      <alignment horizontal="center" vertical="center"/>
    </xf>
    <xf numFmtId="8" fontId="105" fillId="10" borderId="102" xfId="0" applyNumberFormat="1" applyFont="1" applyFill="1" applyBorder="1" applyAlignment="1">
      <alignment horizontal="center" vertical="center" wrapText="1"/>
    </xf>
    <xf numFmtId="198" fontId="99" fillId="11" borderId="82" xfId="0" applyNumberFormat="1" applyFont="1" applyFill="1" applyBorder="1" applyAlignment="1">
      <alignment horizontal="center" vertical="center"/>
    </xf>
    <xf numFmtId="195" fontId="47" fillId="10" borderId="82" xfId="0" applyNumberFormat="1" applyFont="1" applyFill="1" applyBorder="1" applyAlignment="1">
      <alignment horizontal="center" vertical="center"/>
    </xf>
    <xf numFmtId="0" fontId="106" fillId="10" borderId="98" xfId="0" applyFont="1" applyFill="1" applyBorder="1" applyAlignment="1">
      <alignment horizontal="center" vertical="center"/>
    </xf>
    <xf numFmtId="7" fontId="55" fillId="11" borderId="82" xfId="0" applyNumberFormat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47" fillId="11" borderId="82" xfId="0" applyFont="1" applyFill="1" applyBorder="1" applyAlignment="1">
      <alignment horizontal="center" vertical="center" wrapText="1"/>
    </xf>
    <xf numFmtId="0" fontId="47" fillId="11" borderId="82" xfId="0" applyFont="1" applyFill="1" applyBorder="1" applyAlignment="1">
      <alignment horizontal="center" vertical="center"/>
    </xf>
    <xf numFmtId="0" fontId="47" fillId="11" borderId="84" xfId="0" applyFont="1" applyFill="1" applyBorder="1" applyAlignment="1">
      <alignment horizontal="center" vertical="center" wrapText="1"/>
    </xf>
    <xf numFmtId="183" fontId="47" fillId="11" borderId="84" xfId="0" applyNumberFormat="1" applyFont="1" applyFill="1" applyBorder="1" applyAlignment="1">
      <alignment horizontal="center" vertical="center" wrapText="1"/>
    </xf>
    <xf numFmtId="49" fontId="47" fillId="11" borderId="84" xfId="0" applyNumberFormat="1" applyFont="1" applyFill="1" applyBorder="1" applyAlignment="1">
      <alignment horizontal="center" vertical="center" wrapText="1"/>
    </xf>
    <xf numFmtId="191" fontId="47" fillId="11" borderId="84" xfId="0" applyNumberFormat="1" applyFont="1" applyFill="1" applyBorder="1" applyAlignment="1">
      <alignment horizontal="center" vertical="center" wrapText="1"/>
    </xf>
    <xf numFmtId="194" fontId="47" fillId="11" borderId="84" xfId="0" applyNumberFormat="1" applyFont="1" applyFill="1" applyBorder="1" applyAlignment="1">
      <alignment horizontal="center" vertical="center"/>
    </xf>
    <xf numFmtId="194" fontId="47" fillId="11" borderId="82" xfId="0" applyNumberFormat="1" applyFont="1" applyFill="1" applyBorder="1" applyAlignment="1">
      <alignment horizontal="center" vertical="center"/>
    </xf>
    <xf numFmtId="183" fontId="47" fillId="11" borderId="82" xfId="0" applyNumberFormat="1" applyFont="1" applyFill="1" applyBorder="1" applyAlignment="1">
      <alignment horizontal="center" vertical="center"/>
    </xf>
    <xf numFmtId="49" fontId="47" fillId="11" borderId="82" xfId="0" applyNumberFormat="1" applyFont="1" applyFill="1" applyBorder="1" applyAlignment="1">
      <alignment horizontal="center" vertical="center" wrapText="1"/>
    </xf>
    <xf numFmtId="184" fontId="47" fillId="11" borderId="84" xfId="0" applyNumberFormat="1" applyFont="1" applyFill="1" applyBorder="1" applyAlignment="1">
      <alignment horizontal="center" vertical="center" wrapText="1"/>
    </xf>
    <xf numFmtId="213" fontId="44" fillId="11" borderId="82" xfId="0" applyNumberFormat="1" applyFont="1" applyFill="1" applyBorder="1" applyAlignment="1">
      <alignment horizontal="center" vertical="center"/>
    </xf>
    <xf numFmtId="181" fontId="47" fillId="11" borderId="84" xfId="0" applyNumberFormat="1" applyFont="1" applyFill="1" applyBorder="1" applyAlignment="1">
      <alignment horizontal="center" vertical="center" wrapText="1"/>
    </xf>
    <xf numFmtId="191" fontId="47" fillId="11" borderId="82" xfId="0" applyNumberFormat="1" applyFont="1" applyFill="1" applyBorder="1" applyAlignment="1">
      <alignment horizontal="center" vertical="center" wrapText="1"/>
    </xf>
    <xf numFmtId="194" fontId="47" fillId="11" borderId="101" xfId="0" applyNumberFormat="1" applyFont="1" applyFill="1" applyBorder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47" fillId="11" borderId="0" xfId="0" applyFont="1" applyFill="1" applyAlignment="1">
      <alignment horizontal="center" vertical="center"/>
    </xf>
    <xf numFmtId="0" fontId="34" fillId="11" borderId="82" xfId="0" applyFont="1" applyFill="1" applyBorder="1" applyAlignment="1">
      <alignment horizontal="center" vertical="center"/>
    </xf>
    <xf numFmtId="198" fontId="55" fillId="11" borderId="82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37" fillId="2" borderId="82" xfId="0" applyFont="1" applyFill="1" applyBorder="1">
      <alignment vertical="center"/>
    </xf>
    <xf numFmtId="189" fontId="37" fillId="2" borderId="82" xfId="0" applyNumberFormat="1" applyFont="1" applyFill="1" applyBorder="1" applyAlignment="1">
      <alignment horizontal="center" vertical="center"/>
    </xf>
    <xf numFmtId="0" fontId="0" fillId="2" borderId="83" xfId="0" applyFill="1" applyBorder="1">
      <alignment vertical="center"/>
    </xf>
    <xf numFmtId="0" fontId="35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5" fillId="11" borderId="47" xfId="0" applyFont="1" applyFill="1" applyBorder="1" applyAlignment="1">
      <alignment horizontal="center" vertical="center"/>
    </xf>
    <xf numFmtId="0" fontId="35" fillId="11" borderId="40" xfId="0" applyFont="1" applyFill="1" applyBorder="1" applyAlignment="1">
      <alignment horizontal="center" vertical="center"/>
    </xf>
    <xf numFmtId="18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vertical="center" wrapText="1"/>
    </xf>
    <xf numFmtId="191" fontId="35" fillId="11" borderId="1" xfId="0" applyNumberFormat="1" applyFont="1" applyFill="1" applyBorder="1" applyAlignment="1">
      <alignment vertical="center" wrapText="1"/>
    </xf>
    <xf numFmtId="183" fontId="35" fillId="11" borderId="14" xfId="0" applyNumberFormat="1" applyFont="1" applyFill="1" applyBorder="1" applyAlignment="1">
      <alignment horizontal="center" vertical="center" wrapText="1"/>
    </xf>
    <xf numFmtId="183" fontId="34" fillId="11" borderId="14" xfId="52" applyNumberFormat="1" applyFont="1" applyFill="1" applyBorder="1" applyAlignment="1">
      <alignment horizontal="center" vertical="center"/>
    </xf>
    <xf numFmtId="183" fontId="35" fillId="11" borderId="1" xfId="0" applyNumberFormat="1" applyFont="1" applyFill="1" applyBorder="1" applyAlignment="1">
      <alignment horizontal="center" vertical="center"/>
    </xf>
    <xf numFmtId="49" fontId="35" fillId="11" borderId="20" xfId="55" applyNumberFormat="1" applyFont="1" applyFill="1" applyBorder="1" applyAlignment="1">
      <alignment horizontal="center" vertical="center" wrapText="1"/>
    </xf>
    <xf numFmtId="0" fontId="35" fillId="11" borderId="20" xfId="55" applyFont="1" applyFill="1" applyBorder="1" applyAlignment="1">
      <alignment horizontal="center" vertical="center" wrapText="1"/>
    </xf>
    <xf numFmtId="192" fontId="35" fillId="11" borderId="1" xfId="0" applyNumberFormat="1" applyFont="1" applyFill="1" applyBorder="1" applyAlignment="1">
      <alignment horizontal="center" vertical="center" wrapText="1"/>
    </xf>
    <xf numFmtId="181" fontId="35" fillId="11" borderId="1" xfId="0" applyNumberFormat="1" applyFont="1" applyFill="1" applyBorder="1" applyAlignment="1">
      <alignment horizontal="center" vertical="center"/>
    </xf>
    <xf numFmtId="0" fontId="64" fillId="11" borderId="1" xfId="0" applyFont="1" applyFill="1" applyBorder="1" applyAlignment="1">
      <alignment horizontal="center" vertical="center"/>
    </xf>
    <xf numFmtId="0" fontId="35" fillId="11" borderId="86" xfId="0" applyFont="1" applyFill="1" applyBorder="1" applyAlignment="1">
      <alignment horizontal="center" vertical="center"/>
    </xf>
    <xf numFmtId="191" fontId="35" fillId="11" borderId="86" xfId="0" applyNumberFormat="1" applyFont="1" applyFill="1" applyBorder="1" applyAlignment="1">
      <alignment horizontal="center" vertical="center"/>
    </xf>
    <xf numFmtId="183" fontId="35" fillId="11" borderId="20" xfId="0" applyNumberFormat="1" applyFont="1" applyFill="1" applyBorder="1" applyAlignment="1">
      <alignment horizontal="center" vertical="center"/>
    </xf>
    <xf numFmtId="0" fontId="34" fillId="11" borderId="12" xfId="0" applyFont="1" applyFill="1" applyBorder="1" applyAlignment="1">
      <alignment horizontal="center" vertical="center"/>
    </xf>
    <xf numFmtId="58" fontId="34" fillId="11" borderId="14" xfId="0" applyNumberFormat="1" applyFont="1" applyFill="1" applyBorder="1" applyAlignment="1">
      <alignment horizontal="center" vertical="center"/>
    </xf>
    <xf numFmtId="0" fontId="34" fillId="11" borderId="14" xfId="0" applyFont="1" applyFill="1" applyBorder="1" applyAlignment="1">
      <alignment horizontal="center" vertical="center"/>
    </xf>
    <xf numFmtId="0" fontId="47" fillId="11" borderId="14" xfId="0" applyFont="1" applyFill="1" applyBorder="1" applyAlignment="1">
      <alignment horizontal="center" vertical="center"/>
    </xf>
    <xf numFmtId="58" fontId="34" fillId="11" borderId="1" xfId="0" applyNumberFormat="1" applyFont="1" applyFill="1" applyBorder="1" applyAlignment="1">
      <alignment horizontal="center" vertical="center"/>
    </xf>
    <xf numFmtId="8" fontId="107" fillId="11" borderId="45" xfId="0" applyNumberFormat="1" applyFont="1" applyFill="1" applyBorder="1" applyAlignment="1">
      <alignment horizontal="center" vertical="center"/>
    </xf>
    <xf numFmtId="0" fontId="35" fillId="11" borderId="47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183" fontId="35" fillId="11" borderId="14" xfId="0" applyNumberFormat="1" applyFont="1" applyFill="1" applyBorder="1" applyAlignment="1">
      <alignment horizontal="center" vertical="center"/>
    </xf>
    <xf numFmtId="183" fontId="35" fillId="11" borderId="86" xfId="0" applyNumberFormat="1" applyFont="1" applyFill="1" applyBorder="1" applyAlignment="1">
      <alignment horizontal="center" vertical="center"/>
    </xf>
    <xf numFmtId="0" fontId="35" fillId="11" borderId="1" xfId="55" applyFont="1" applyFill="1" applyBorder="1" applyAlignment="1">
      <alignment horizontal="center" vertical="center" wrapText="1"/>
    </xf>
    <xf numFmtId="49" fontId="35" fillId="11" borderId="1" xfId="55" applyNumberFormat="1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/>
    </xf>
    <xf numFmtId="0" fontId="35" fillId="11" borderId="86" xfId="0" applyFont="1" applyFill="1" applyBorder="1" applyAlignment="1">
      <alignment horizontal="center" vertical="center" wrapText="1"/>
    </xf>
    <xf numFmtId="183" fontId="34" fillId="11" borderId="14" xfId="0" applyNumberFormat="1" applyFont="1" applyFill="1" applyBorder="1" applyAlignment="1">
      <alignment horizontal="center" vertical="center"/>
    </xf>
    <xf numFmtId="0" fontId="35" fillId="11" borderId="14" xfId="55" applyFont="1" applyFill="1" applyBorder="1" applyAlignment="1">
      <alignment horizontal="center" vertical="center" wrapText="1"/>
    </xf>
    <xf numFmtId="49" fontId="35" fillId="11" borderId="14" xfId="55" applyNumberFormat="1" applyFont="1" applyFill="1" applyBorder="1" applyAlignment="1">
      <alignment horizontal="center" vertical="center" wrapText="1"/>
    </xf>
    <xf numFmtId="191" fontId="35" fillId="11" borderId="14" xfId="0" applyNumberFormat="1" applyFont="1" applyFill="1" applyBorder="1" applyAlignment="1">
      <alignment vertical="center" wrapText="1"/>
    </xf>
    <xf numFmtId="0" fontId="35" fillId="11" borderId="14" xfId="0" applyFont="1" applyFill="1" applyBorder="1" applyAlignment="1">
      <alignment vertical="center" wrapText="1"/>
    </xf>
    <xf numFmtId="0" fontId="35" fillId="11" borderId="86" xfId="55" applyFont="1" applyFill="1" applyBorder="1" applyAlignment="1">
      <alignment horizontal="center" vertical="center" wrapText="1"/>
    </xf>
    <xf numFmtId="181" fontId="35" fillId="11" borderId="20" xfId="0" applyNumberFormat="1" applyFont="1" applyFill="1" applyBorder="1" applyAlignment="1">
      <alignment horizontal="center" vertical="center"/>
    </xf>
    <xf numFmtId="191" fontId="35" fillId="11" borderId="14" xfId="0" applyNumberFormat="1" applyFont="1" applyFill="1" applyBorder="1" applyAlignment="1">
      <alignment horizontal="center" vertical="center" wrapText="1"/>
    </xf>
    <xf numFmtId="0" fontId="43" fillId="11" borderId="20" xfId="0" applyFont="1" applyFill="1" applyBorder="1" applyAlignment="1">
      <alignment horizontal="center" vertical="center"/>
    </xf>
    <xf numFmtId="49" fontId="43" fillId="11" borderId="1" xfId="0" applyNumberFormat="1" applyFont="1" applyFill="1" applyBorder="1" applyAlignment="1">
      <alignment horizontal="center" vertical="center"/>
    </xf>
    <xf numFmtId="0" fontId="43" fillId="11" borderId="1" xfId="0" applyFont="1" applyFill="1" applyBorder="1" applyAlignment="1">
      <alignment horizontal="center" vertical="center"/>
    </xf>
    <xf numFmtId="192" fontId="35" fillId="11" borderId="20" xfId="0" applyNumberFormat="1" applyFont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shrinkToFit="1"/>
    </xf>
    <xf numFmtId="0" fontId="43" fillId="11" borderId="86" xfId="0" applyFont="1" applyFill="1" applyBorder="1" applyAlignment="1">
      <alignment horizontal="center" vertical="center"/>
    </xf>
    <xf numFmtId="192" fontId="35" fillId="11" borderId="86" xfId="0" applyNumberFormat="1" applyFont="1" applyFill="1" applyBorder="1" applyAlignment="1">
      <alignment horizontal="center" vertical="center" wrapText="1"/>
    </xf>
    <xf numFmtId="181" fontId="35" fillId="11" borderId="86" xfId="0" applyNumberFormat="1" applyFont="1" applyFill="1" applyBorder="1" applyAlignment="1">
      <alignment horizontal="center" vertical="center"/>
    </xf>
    <xf numFmtId="0" fontId="43" fillId="11" borderId="14" xfId="0" applyFont="1" applyFill="1" applyBorder="1" applyAlignment="1">
      <alignment horizontal="center" vertical="center"/>
    </xf>
    <xf numFmtId="192" fontId="35" fillId="11" borderId="14" xfId="0" applyNumberFormat="1" applyFont="1" applyFill="1" applyBorder="1" applyAlignment="1">
      <alignment horizontal="center" vertical="center" wrapText="1"/>
    </xf>
    <xf numFmtId="181" fontId="35" fillId="11" borderId="14" xfId="0" applyNumberFormat="1" applyFont="1" applyFill="1" applyBorder="1" applyAlignment="1">
      <alignment horizontal="center" vertical="center"/>
    </xf>
    <xf numFmtId="0" fontId="43" fillId="11" borderId="1" xfId="0" applyNumberFormat="1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vertical="center"/>
    </xf>
    <xf numFmtId="183" fontId="43" fillId="11" borderId="1" xfId="0" applyNumberFormat="1" applyFont="1" applyFill="1" applyBorder="1" applyAlignment="1">
      <alignment horizontal="center" vertical="center"/>
    </xf>
    <xf numFmtId="191" fontId="35" fillId="11" borderId="14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47" xfId="0" applyFont="1" applyFill="1" applyBorder="1" applyAlignment="1">
      <alignment horizontal="center" vertical="center" wrapText="1"/>
    </xf>
    <xf numFmtId="0" fontId="37" fillId="2" borderId="40" xfId="0" applyFont="1" applyFill="1" applyBorder="1" applyAlignment="1">
      <alignment horizontal="center" vertical="center"/>
    </xf>
    <xf numFmtId="183" fontId="37" fillId="2" borderId="14" xfId="0" applyNumberFormat="1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191" fontId="37" fillId="2" borderId="14" xfId="0" applyNumberFormat="1" applyFont="1" applyFill="1" applyBorder="1" applyAlignment="1">
      <alignment horizontal="center" vertical="center" wrapText="1"/>
    </xf>
    <xf numFmtId="183" fontId="37" fillId="2" borderId="14" xfId="0" applyNumberFormat="1" applyFont="1" applyFill="1" applyBorder="1" applyAlignment="1">
      <alignment horizontal="center" vertical="center" wrapText="1"/>
    </xf>
    <xf numFmtId="184" fontId="37" fillId="2" borderId="1" xfId="0" applyNumberFormat="1" applyFont="1" applyFill="1" applyBorder="1" applyAlignment="1">
      <alignment horizontal="center" vertical="center" wrapText="1"/>
    </xf>
    <xf numFmtId="181" fontId="37" fillId="2" borderId="14" xfId="0" applyNumberFormat="1" applyFont="1" applyFill="1" applyBorder="1" applyAlignment="1">
      <alignment horizontal="center" vertical="center"/>
    </xf>
    <xf numFmtId="0" fontId="34" fillId="2" borderId="40" xfId="0" applyFont="1" applyFill="1" applyBorder="1">
      <alignment vertical="center"/>
    </xf>
    <xf numFmtId="58" fontId="34" fillId="2" borderId="14" xfId="0" applyNumberFormat="1" applyFont="1" applyFill="1" applyBorder="1" applyAlignment="1">
      <alignment horizontal="center" vertical="center"/>
    </xf>
    <xf numFmtId="0" fontId="34" fillId="2" borderId="1" xfId="0" applyFont="1" applyFill="1" applyBorder="1">
      <alignment vertical="center"/>
    </xf>
    <xf numFmtId="58" fontId="34" fillId="2" borderId="1" xfId="0" applyNumberFormat="1" applyFont="1" applyFill="1" applyBorder="1" applyAlignment="1">
      <alignment horizontal="center" vertical="center"/>
    </xf>
    <xf numFmtId="0" fontId="47" fillId="2" borderId="14" xfId="0" applyFont="1" applyFill="1" applyBorder="1" applyAlignment="1">
      <alignment horizontal="center" vertical="center"/>
    </xf>
    <xf numFmtId="0" fontId="35" fillId="11" borderId="20" xfId="0" applyFont="1" applyFill="1" applyBorder="1" applyAlignment="1">
      <alignment horizontal="center" vertical="center" wrapText="1"/>
    </xf>
    <xf numFmtId="191" fontId="35" fillId="11" borderId="20" xfId="0" applyNumberFormat="1" applyFont="1" applyFill="1" applyBorder="1" applyAlignment="1">
      <alignment horizontal="center" vertical="center" wrapText="1"/>
    </xf>
    <xf numFmtId="0" fontId="11" fillId="11" borderId="1" xfId="55" applyFont="1" applyFill="1" applyBorder="1" applyAlignment="1">
      <alignment horizontal="center" vertical="center" wrapText="1"/>
    </xf>
    <xf numFmtId="0" fontId="35" fillId="11" borderId="20" xfId="0" applyFont="1" applyFill="1" applyBorder="1" applyAlignment="1">
      <alignment horizontal="center" vertical="center"/>
    </xf>
    <xf numFmtId="191" fontId="35" fillId="11" borderId="20" xfId="0" applyNumberFormat="1" applyFont="1" applyFill="1" applyBorder="1" applyAlignment="1">
      <alignment horizontal="center" vertical="center"/>
    </xf>
    <xf numFmtId="191" fontId="35" fillId="11" borderId="86" xfId="0" applyNumberFormat="1" applyFont="1" applyFill="1" applyBorder="1" applyAlignment="1">
      <alignment horizontal="center" vertical="center" wrapText="1"/>
    </xf>
    <xf numFmtId="0" fontId="11" fillId="11" borderId="20" xfId="55" applyFont="1" applyFill="1" applyBorder="1" applyAlignment="1">
      <alignment horizontal="center" vertical="center" wrapText="1"/>
    </xf>
    <xf numFmtId="191" fontId="35" fillId="11" borderId="1" xfId="0" applyNumberFormat="1" applyFont="1" applyFill="1" applyBorder="1" applyAlignment="1">
      <alignment horizontal="center" vertical="center" wrapText="1"/>
    </xf>
    <xf numFmtId="0" fontId="35" fillId="11" borderId="1" xfId="0" applyNumberFormat="1" applyFont="1" applyFill="1" applyBorder="1" applyAlignment="1">
      <alignment horizontal="center" vertical="center"/>
    </xf>
    <xf numFmtId="0" fontId="20" fillId="11" borderId="1" xfId="54" applyFont="1" applyFill="1" applyBorder="1" applyAlignment="1">
      <alignment horizontal="center" vertical="center" wrapText="1"/>
    </xf>
    <xf numFmtId="8" fontId="107" fillId="11" borderId="13" xfId="0" applyNumberFormat="1" applyFont="1" applyFill="1" applyBorder="1" applyAlignment="1">
      <alignment horizontal="center" vertical="center"/>
    </xf>
    <xf numFmtId="0" fontId="34" fillId="2" borderId="47" xfId="0" applyFont="1" applyFill="1" applyBorder="1">
      <alignment vertical="center"/>
    </xf>
    <xf numFmtId="8" fontId="99" fillId="10" borderId="104" xfId="0" applyNumberFormat="1" applyFont="1" applyFill="1" applyBorder="1" applyAlignment="1">
      <alignment horizontal="center" vertical="center" wrapText="1"/>
    </xf>
    <xf numFmtId="198" fontId="99" fillId="11" borderId="100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shrinkToFit="1"/>
    </xf>
    <xf numFmtId="8" fontId="99" fillId="10" borderId="45" xfId="0" applyNumberFormat="1" applyFont="1" applyFill="1" applyBorder="1" applyAlignment="1">
      <alignment horizontal="center" vertical="center" wrapText="1"/>
    </xf>
    <xf numFmtId="198" fontId="99" fillId="11" borderId="101" xfId="0" applyNumberFormat="1" applyFont="1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 shrinkToFit="1"/>
    </xf>
    <xf numFmtId="0" fontId="0" fillId="11" borderId="86" xfId="0" applyFill="1" applyBorder="1" applyAlignment="1">
      <alignment horizontal="center" vertical="center" shrinkToFit="1"/>
    </xf>
    <xf numFmtId="49" fontId="43" fillId="11" borderId="20" xfId="0" applyNumberFormat="1" applyFont="1" applyFill="1" applyBorder="1" applyAlignment="1">
      <alignment horizontal="center" vertical="center"/>
    </xf>
    <xf numFmtId="49" fontId="43" fillId="11" borderId="14" xfId="0" applyNumberFormat="1" applyFont="1" applyFill="1" applyBorder="1" applyAlignment="1">
      <alignment horizontal="center" vertical="center"/>
    </xf>
    <xf numFmtId="8" fontId="99" fillId="10" borderId="13" xfId="0" applyNumberFormat="1" applyFont="1" applyFill="1" applyBorder="1" applyAlignment="1">
      <alignment horizontal="center" vertical="center" wrapText="1"/>
    </xf>
    <xf numFmtId="198" fontId="99" fillId="11" borderId="84" xfId="0" applyNumberFormat="1" applyFont="1" applyFill="1" applyBorder="1" applyAlignment="1">
      <alignment horizontal="center" vertical="center"/>
    </xf>
    <xf numFmtId="189" fontId="37" fillId="2" borderId="14" xfId="0" applyNumberFormat="1" applyFont="1" applyFill="1" applyBorder="1" applyAlignment="1">
      <alignment horizontal="center" vertical="center"/>
    </xf>
    <xf numFmtId="184" fontId="37" fillId="2" borderId="11" xfId="0" applyNumberFormat="1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vertical="center"/>
    </xf>
    <xf numFmtId="191" fontId="37" fillId="2" borderId="14" xfId="0" applyNumberFormat="1" applyFont="1" applyFill="1" applyBorder="1" applyAlignment="1">
      <alignment vertical="center" wrapText="1"/>
    </xf>
    <xf numFmtId="0" fontId="37" fillId="2" borderId="14" xfId="0" applyFont="1" applyFill="1" applyBorder="1" applyAlignment="1">
      <alignment vertical="center" wrapText="1"/>
    </xf>
    <xf numFmtId="0" fontId="34" fillId="11" borderId="47" xfId="0" applyFont="1" applyFill="1" applyBorder="1" applyAlignment="1">
      <alignment horizontal="center" vertical="center" wrapText="1"/>
    </xf>
    <xf numFmtId="0" fontId="34" fillId="11" borderId="14" xfId="0" applyFont="1" applyFill="1" applyBorder="1" applyAlignment="1">
      <alignment horizontal="center" vertical="center" wrapText="1"/>
    </xf>
    <xf numFmtId="191" fontId="34" fillId="11" borderId="14" xfId="0" applyNumberFormat="1" applyFont="1" applyFill="1" applyBorder="1" applyAlignment="1">
      <alignment horizontal="center" vertical="center" wrapText="1"/>
    </xf>
    <xf numFmtId="194" fontId="35" fillId="11" borderId="14" xfId="0" applyNumberFormat="1" applyFont="1" applyFill="1" applyBorder="1" applyAlignment="1">
      <alignment horizontal="center" vertical="center" wrapText="1"/>
    </xf>
    <xf numFmtId="194" fontId="34" fillId="11" borderId="14" xfId="52" applyNumberFormat="1" applyFont="1" applyFill="1" applyBorder="1" applyAlignment="1">
      <alignment horizontal="center" vertical="center"/>
    </xf>
    <xf numFmtId="194" fontId="34" fillId="11" borderId="14" xfId="0" applyNumberFormat="1" applyFont="1" applyFill="1" applyBorder="1" applyAlignment="1">
      <alignment horizontal="center" vertical="center"/>
    </xf>
    <xf numFmtId="189" fontId="34" fillId="11" borderId="14" xfId="0" applyNumberFormat="1" applyFont="1" applyFill="1" applyBorder="1" applyAlignment="1">
      <alignment horizontal="center" vertical="center"/>
    </xf>
    <xf numFmtId="184" fontId="34" fillId="11" borderId="11" xfId="0" applyNumberFormat="1" applyFont="1" applyFill="1" applyBorder="1" applyAlignment="1">
      <alignment horizontal="center" vertical="center" wrapText="1"/>
    </xf>
    <xf numFmtId="184" fontId="34" fillId="11" borderId="14" xfId="0" applyNumberFormat="1" applyFont="1" applyFill="1" applyBorder="1" applyAlignment="1">
      <alignment horizontal="center" vertical="center"/>
    </xf>
    <xf numFmtId="0" fontId="34" fillId="11" borderId="14" xfId="0" applyFont="1" applyFill="1" applyBorder="1" applyAlignment="1">
      <alignment vertical="center"/>
    </xf>
    <xf numFmtId="191" fontId="34" fillId="11" borderId="14" xfId="0" applyNumberFormat="1" applyFont="1" applyFill="1" applyBorder="1" applyAlignment="1">
      <alignment vertical="center" wrapText="1"/>
    </xf>
    <xf numFmtId="0" fontId="34" fillId="11" borderId="14" xfId="0" applyFont="1" applyFill="1" applyBorder="1" applyAlignment="1">
      <alignment vertical="center" wrapText="1"/>
    </xf>
    <xf numFmtId="194" fontId="35" fillId="11" borderId="1" xfId="0" applyNumberFormat="1" applyFont="1" applyFill="1" applyBorder="1" applyAlignment="1">
      <alignment horizontal="center" vertical="center"/>
    </xf>
    <xf numFmtId="8" fontId="55" fillId="11" borderId="47" xfId="0" applyNumberFormat="1" applyFont="1" applyFill="1" applyBorder="1" applyAlignment="1">
      <alignment horizontal="center" vertical="center"/>
    </xf>
    <xf numFmtId="0" fontId="34" fillId="11" borderId="40" xfId="0" applyFont="1" applyFill="1" applyBorder="1" applyAlignment="1">
      <alignment horizontal="center" vertical="center"/>
    </xf>
    <xf numFmtId="194" fontId="34" fillId="11" borderId="14" xfId="0" applyNumberFormat="1" applyFont="1" applyFill="1" applyBorder="1" applyAlignment="1">
      <alignment horizontal="center" vertical="center" wrapText="1"/>
    </xf>
    <xf numFmtId="49" fontId="34" fillId="11" borderId="11" xfId="0" applyNumberFormat="1" applyFont="1" applyFill="1" applyBorder="1" applyAlignment="1">
      <alignment horizontal="center" vertical="center" wrapText="1"/>
    </xf>
    <xf numFmtId="0" fontId="96" fillId="2" borderId="1" xfId="0" applyFont="1" applyFill="1" applyBorder="1" applyAlignment="1">
      <alignment horizontal="center" vertical="center"/>
    </xf>
    <xf numFmtId="0" fontId="96" fillId="2" borderId="1" xfId="0" applyFont="1" applyFill="1" applyBorder="1" applyAlignment="1">
      <alignment horizontal="center" vertical="center" wrapText="1"/>
    </xf>
    <xf numFmtId="0" fontId="96" fillId="2" borderId="47" xfId="0" applyFont="1" applyFill="1" applyBorder="1" applyAlignment="1">
      <alignment horizontal="center" vertical="center" wrapText="1"/>
    </xf>
    <xf numFmtId="0" fontId="96" fillId="2" borderId="40" xfId="0" applyFont="1" applyFill="1" applyBorder="1" applyAlignment="1">
      <alignment horizontal="center" vertical="center" wrapText="1"/>
    </xf>
    <xf numFmtId="183" fontId="96" fillId="2" borderId="1" xfId="0" applyNumberFormat="1" applyFont="1" applyFill="1" applyBorder="1" applyAlignment="1">
      <alignment horizontal="center" vertical="center" wrapText="1"/>
    </xf>
    <xf numFmtId="191" fontId="96" fillId="2" borderId="1" xfId="0" applyNumberFormat="1" applyFont="1" applyFill="1" applyBorder="1" applyAlignment="1">
      <alignment horizontal="center" vertical="center" wrapText="1"/>
    </xf>
    <xf numFmtId="183" fontId="96" fillId="2" borderId="1" xfId="0" applyNumberFormat="1" applyFont="1" applyFill="1" applyBorder="1" applyAlignment="1">
      <alignment horizontal="center" vertical="center"/>
    </xf>
    <xf numFmtId="184" fontId="96" fillId="2" borderId="1" xfId="0" applyNumberFormat="1" applyFont="1" applyFill="1" applyBorder="1" applyAlignment="1">
      <alignment horizontal="center" vertical="center" wrapText="1"/>
    </xf>
    <xf numFmtId="49" fontId="96" fillId="2" borderId="1" xfId="0" applyNumberFormat="1" applyFont="1" applyFill="1" applyBorder="1" applyAlignment="1">
      <alignment horizontal="center" vertical="center" wrapText="1"/>
    </xf>
    <xf numFmtId="0" fontId="96" fillId="2" borderId="1" xfId="0" applyFont="1" applyFill="1" applyBorder="1" applyAlignment="1">
      <alignment vertical="center" wrapText="1"/>
    </xf>
    <xf numFmtId="191" fontId="96" fillId="2" borderId="1" xfId="0" applyNumberFormat="1" applyFont="1" applyFill="1" applyBorder="1" applyAlignment="1">
      <alignment vertical="center" wrapText="1"/>
    </xf>
    <xf numFmtId="10" fontId="96" fillId="2" borderId="1" xfId="3" applyNumberFormat="1" applyFont="1" applyFill="1" applyBorder="1" applyAlignment="1">
      <alignment horizontal="center" vertical="center"/>
    </xf>
    <xf numFmtId="0" fontId="47" fillId="11" borderId="83" xfId="0" applyFont="1" applyFill="1" applyBorder="1" applyAlignment="1">
      <alignment horizontal="center" vertical="center" wrapText="1"/>
    </xf>
    <xf numFmtId="0" fontId="47" fillId="11" borderId="96" xfId="0" applyFont="1" applyFill="1" applyBorder="1" applyAlignment="1">
      <alignment horizontal="center" vertical="center"/>
    </xf>
    <xf numFmtId="184" fontId="47" fillId="11" borderId="82" xfId="0" applyNumberFormat="1" applyFont="1" applyFill="1" applyBorder="1" applyAlignment="1">
      <alignment horizontal="center" vertical="center"/>
    </xf>
    <xf numFmtId="194" fontId="47" fillId="11" borderId="82" xfId="0" applyNumberFormat="1" applyFont="1" applyFill="1" applyBorder="1" applyAlignment="1">
      <alignment horizontal="center" vertical="center" wrapText="1"/>
    </xf>
    <xf numFmtId="49" fontId="47" fillId="11" borderId="82" xfId="0" applyNumberFormat="1" applyFont="1" applyFill="1" applyBorder="1" applyAlignment="1">
      <alignment horizontal="center" vertical="center"/>
    </xf>
    <xf numFmtId="49" fontId="47" fillId="11" borderId="84" xfId="0" applyNumberFormat="1" applyFont="1" applyFill="1" applyBorder="1" applyAlignment="1">
      <alignment horizontal="center" vertical="center"/>
    </xf>
    <xf numFmtId="192" fontId="47" fillId="11" borderId="82" xfId="0" applyNumberFormat="1" applyFont="1" applyFill="1" applyBorder="1" applyAlignment="1">
      <alignment horizontal="center" vertical="center" wrapText="1"/>
    </xf>
    <xf numFmtId="181" fontId="47" fillId="11" borderId="82" xfId="0" applyNumberFormat="1" applyFont="1" applyFill="1" applyBorder="1" applyAlignment="1">
      <alignment horizontal="center" vertical="center"/>
    </xf>
    <xf numFmtId="0" fontId="47" fillId="11" borderId="82" xfId="0" applyNumberFormat="1" applyFont="1" applyFill="1" applyBorder="1" applyAlignment="1">
      <alignment horizontal="center" vertical="center"/>
    </xf>
    <xf numFmtId="191" fontId="47" fillId="11" borderId="82" xfId="0" applyNumberFormat="1" applyFont="1" applyFill="1" applyBorder="1" applyAlignment="1">
      <alignment horizontal="center" vertical="center"/>
    </xf>
    <xf numFmtId="0" fontId="95" fillId="11" borderId="97" xfId="0" applyFont="1" applyFill="1" applyBorder="1" applyAlignment="1">
      <alignment horizontal="center" vertical="center"/>
    </xf>
    <xf numFmtId="197" fontId="95" fillId="11" borderId="84" xfId="0" applyNumberFormat="1" applyFont="1" applyFill="1" applyBorder="1" applyAlignment="1">
      <alignment horizontal="center" vertical="center"/>
    </xf>
    <xf numFmtId="0" fontId="95" fillId="11" borderId="82" xfId="0" applyFont="1" applyFill="1" applyBorder="1" applyAlignment="1">
      <alignment horizontal="center" vertical="center"/>
    </xf>
    <xf numFmtId="197" fontId="95" fillId="11" borderId="82" xfId="0" applyNumberFormat="1" applyFont="1" applyFill="1" applyBorder="1" applyAlignment="1">
      <alignment horizontal="center" vertical="center"/>
    </xf>
    <xf numFmtId="58" fontId="47" fillId="11" borderId="82" xfId="0" applyNumberFormat="1" applyFont="1" applyFill="1" applyBorder="1" applyAlignment="1">
      <alignment horizontal="center" vertical="center"/>
    </xf>
    <xf numFmtId="8" fontId="99" fillId="11" borderId="99" xfId="0" applyNumberFormat="1" applyFont="1" applyFill="1" applyBorder="1" applyAlignment="1">
      <alignment horizontal="center" vertical="center"/>
    </xf>
    <xf numFmtId="184" fontId="47" fillId="11" borderId="84" xfId="0" applyNumberFormat="1" applyFont="1" applyFill="1" applyBorder="1" applyAlignment="1">
      <alignment horizontal="center" vertical="center"/>
    </xf>
    <xf numFmtId="0" fontId="47" fillId="11" borderId="84" xfId="0" applyFont="1" applyFill="1" applyBorder="1" applyAlignment="1">
      <alignment horizontal="center" vertical="center"/>
    </xf>
    <xf numFmtId="194" fontId="47" fillId="11" borderId="84" xfId="0" applyNumberFormat="1" applyFont="1" applyFill="1" applyBorder="1" applyAlignment="1">
      <alignment horizontal="center" vertical="center" wrapText="1"/>
    </xf>
    <xf numFmtId="183" fontId="47" fillId="11" borderId="84" xfId="0" applyNumberFormat="1" applyFont="1" applyFill="1" applyBorder="1" applyAlignment="1">
      <alignment horizontal="center" vertical="center"/>
    </xf>
    <xf numFmtId="181" fontId="47" fillId="11" borderId="84" xfId="0" applyNumberFormat="1" applyFont="1" applyFill="1" applyBorder="1" applyAlignment="1">
      <alignment horizontal="center" vertical="center"/>
    </xf>
    <xf numFmtId="0" fontId="47" fillId="11" borderId="84" xfId="0" applyNumberFormat="1" applyFont="1" applyFill="1" applyBorder="1" applyAlignment="1">
      <alignment horizontal="center" vertical="center"/>
    </xf>
    <xf numFmtId="0" fontId="95" fillId="11" borderId="96" xfId="0" applyFont="1" applyFill="1" applyBorder="1" applyAlignment="1">
      <alignment horizontal="center" vertical="center"/>
    </xf>
    <xf numFmtId="0" fontId="99" fillId="11" borderId="98" xfId="0" applyFont="1" applyFill="1" applyBorder="1" applyAlignment="1">
      <alignment horizontal="center" vertical="center"/>
    </xf>
    <xf numFmtId="0" fontId="93" fillId="2" borderId="96" xfId="0" applyFont="1" applyFill="1" applyBorder="1">
      <alignment vertical="center"/>
    </xf>
    <xf numFmtId="189" fontId="47" fillId="11" borderId="82" xfId="0" applyNumberFormat="1" applyFont="1" applyFill="1" applyBorder="1" applyAlignment="1">
      <alignment horizontal="center" vertical="center"/>
    </xf>
    <xf numFmtId="189" fontId="47" fillId="11" borderId="84" xfId="0" applyNumberFormat="1" applyFont="1" applyFill="1" applyBorder="1" applyAlignment="1">
      <alignment horizontal="center" vertical="center"/>
    </xf>
    <xf numFmtId="0" fontId="44" fillId="11" borderId="82" xfId="0" applyFont="1" applyFill="1" applyBorder="1" applyAlignment="1">
      <alignment horizontal="center" vertical="center"/>
    </xf>
    <xf numFmtId="0" fontId="44" fillId="11" borderId="82" xfId="0" applyFont="1" applyFill="1" applyBorder="1" applyAlignment="1">
      <alignment horizontal="center" vertical="center" wrapText="1"/>
    </xf>
    <xf numFmtId="0" fontId="103" fillId="11" borderId="82" xfId="0" applyFont="1" applyFill="1" applyBorder="1" applyAlignment="1">
      <alignment horizontal="center" vertical="center" wrapText="1"/>
    </xf>
    <xf numFmtId="0" fontId="47" fillId="11" borderId="97" xfId="0" applyFont="1" applyFill="1" applyBorder="1" applyAlignment="1">
      <alignment horizontal="center" vertical="center"/>
    </xf>
    <xf numFmtId="197" fontId="47" fillId="11" borderId="84" xfId="0" applyNumberFormat="1" applyFont="1" applyFill="1" applyBorder="1" applyAlignment="1">
      <alignment horizontal="center" vertical="center"/>
    </xf>
    <xf numFmtId="197" fontId="47" fillId="11" borderId="82" xfId="0" applyNumberFormat="1" applyFont="1" applyFill="1" applyBorder="1" applyAlignment="1">
      <alignment horizontal="center" vertical="center"/>
    </xf>
    <xf numFmtId="8" fontId="99" fillId="11" borderId="82" xfId="0" applyNumberFormat="1" applyFont="1" applyFill="1" applyBorder="1" applyAlignment="1">
      <alignment horizontal="center" vertical="center" wrapText="1"/>
    </xf>
    <xf numFmtId="0" fontId="0" fillId="11" borderId="95" xfId="0" applyFill="1" applyBorder="1" applyAlignment="1">
      <alignment horizontal="center" vertical="center"/>
    </xf>
    <xf numFmtId="0" fontId="47" fillId="2" borderId="82" xfId="0" applyFont="1" applyFill="1" applyBorder="1">
      <alignment vertical="center"/>
    </xf>
    <xf numFmtId="0" fontId="0" fillId="11" borderId="105" xfId="0" applyFill="1" applyBorder="1" applyAlignment="1">
      <alignment horizontal="center" vertical="center"/>
    </xf>
    <xf numFmtId="0" fontId="0" fillId="2" borderId="82" xfId="0" applyNumberFormat="1" applyFill="1" applyBorder="1" applyAlignment="1">
      <alignment horizontal="center" vertical="center"/>
    </xf>
    <xf numFmtId="0" fontId="47" fillId="11" borderId="95" xfId="0" applyFont="1" applyFill="1" applyBorder="1" applyAlignment="1">
      <alignment horizontal="center" vertical="center"/>
    </xf>
    <xf numFmtId="0" fontId="47" fillId="2" borderId="96" xfId="0" applyFont="1" applyFill="1" applyBorder="1">
      <alignment vertical="center"/>
    </xf>
    <xf numFmtId="0" fontId="47" fillId="11" borderId="100" xfId="0" applyFont="1" applyFill="1" applyBorder="1" applyAlignment="1">
      <alignment horizontal="center" vertical="center" wrapText="1"/>
    </xf>
    <xf numFmtId="183" fontId="47" fillId="11" borderId="101" xfId="0" applyNumberFormat="1" applyFont="1" applyFill="1" applyBorder="1" applyAlignment="1">
      <alignment horizontal="center" vertical="center" wrapText="1"/>
    </xf>
    <xf numFmtId="0" fontId="108" fillId="11" borderId="82" xfId="0" applyFont="1" applyFill="1" applyBorder="1" applyAlignment="1">
      <alignment horizontal="center" vertical="center" wrapText="1"/>
    </xf>
    <xf numFmtId="49" fontId="47" fillId="11" borderId="100" xfId="0" applyNumberFormat="1" applyFont="1" applyFill="1" applyBorder="1" applyAlignment="1">
      <alignment horizontal="center" vertical="center" wrapText="1"/>
    </xf>
    <xf numFmtId="0" fontId="47" fillId="11" borderId="100" xfId="0" applyFont="1" applyFill="1" applyBorder="1" applyAlignment="1">
      <alignment horizontal="center" vertical="center"/>
    </xf>
    <xf numFmtId="0" fontId="108" fillId="11" borderId="100" xfId="0" applyFont="1" applyFill="1" applyBorder="1" applyAlignment="1">
      <alignment horizontal="center" vertical="center" wrapText="1"/>
    </xf>
    <xf numFmtId="183" fontId="47" fillId="11" borderId="82" xfId="0" applyNumberFormat="1" applyFont="1" applyFill="1" applyBorder="1" applyAlignment="1">
      <alignment horizontal="center" vertical="center" wrapText="1"/>
    </xf>
    <xf numFmtId="189" fontId="47" fillId="11" borderId="84" xfId="0" applyNumberFormat="1" applyFont="1" applyFill="1" applyBorder="1" applyAlignment="1">
      <alignment horizontal="center" vertical="center" wrapText="1"/>
    </xf>
    <xf numFmtId="0" fontId="0" fillId="11" borderId="97" xfId="0" applyFill="1" applyBorder="1" applyAlignment="1">
      <alignment horizontal="center" vertical="center"/>
    </xf>
    <xf numFmtId="49" fontId="47" fillId="11" borderId="103" xfId="0" applyNumberFormat="1" applyFont="1" applyFill="1" applyBorder="1" applyAlignment="1">
      <alignment horizontal="center" vertical="center" wrapText="1"/>
    </xf>
    <xf numFmtId="0" fontId="47" fillId="11" borderId="97" xfId="0" applyFont="1" applyFill="1" applyBorder="1" applyAlignment="1">
      <alignment horizontal="center" vertical="center" wrapText="1"/>
    </xf>
    <xf numFmtId="213" fontId="44" fillId="11" borderId="100" xfId="0" applyNumberFormat="1" applyFont="1" applyFill="1" applyBorder="1" applyAlignment="1">
      <alignment horizontal="center" vertical="center"/>
    </xf>
    <xf numFmtId="189" fontId="47" fillId="11" borderId="101" xfId="0" applyNumberFormat="1" applyFont="1" applyFill="1" applyBorder="1" applyAlignment="1">
      <alignment horizontal="center" vertical="center"/>
    </xf>
    <xf numFmtId="8" fontId="109" fillId="2" borderId="83" xfId="0" applyNumberFormat="1" applyFont="1" applyFill="1" applyBorder="1" applyAlignment="1">
      <alignment horizontal="center" vertical="center" wrapText="1"/>
    </xf>
    <xf numFmtId="0" fontId="44" fillId="11" borderId="84" xfId="0" applyFont="1" applyFill="1" applyBorder="1" applyAlignment="1">
      <alignment horizontal="center" vertical="center"/>
    </xf>
    <xf numFmtId="191" fontId="47" fillId="11" borderId="84" xfId="0" applyNumberFormat="1" applyFont="1" applyFill="1" applyBorder="1" applyAlignment="1">
      <alignment vertical="center" wrapText="1"/>
    </xf>
    <xf numFmtId="0" fontId="47" fillId="11" borderId="84" xfId="0" applyFont="1" applyFill="1" applyBorder="1" applyAlignment="1">
      <alignment vertical="center" wrapText="1"/>
    </xf>
    <xf numFmtId="184" fontId="47" fillId="11" borderId="82" xfId="0" applyNumberFormat="1" applyFont="1" applyFill="1" applyBorder="1" applyAlignment="1">
      <alignment horizontal="center" vertical="center" wrapText="1"/>
    </xf>
    <xf numFmtId="0" fontId="103" fillId="11" borderId="84" xfId="0" applyFont="1" applyFill="1" applyBorder="1" applyAlignment="1">
      <alignment horizontal="center" vertical="center" wrapText="1"/>
    </xf>
    <xf numFmtId="0" fontId="47" fillId="11" borderId="103" xfId="0" applyFont="1" applyFill="1" applyBorder="1" applyAlignment="1">
      <alignment horizontal="center" vertical="center"/>
    </xf>
    <xf numFmtId="0" fontId="0" fillId="11" borderId="96" xfId="0" applyFill="1" applyBorder="1">
      <alignment vertical="center"/>
    </xf>
    <xf numFmtId="0" fontId="0" fillId="2" borderId="96" xfId="0" applyFill="1" applyBorder="1">
      <alignment vertical="center"/>
    </xf>
    <xf numFmtId="183" fontId="47" fillId="11" borderId="100" xfId="0" applyNumberFormat="1" applyFont="1" applyFill="1" applyBorder="1" applyAlignment="1">
      <alignment horizontal="center" vertical="center" wrapText="1"/>
    </xf>
    <xf numFmtId="0" fontId="47" fillId="11" borderId="82" xfId="0" applyFont="1" applyFill="1" applyBorder="1" applyAlignment="1">
      <alignment horizontal="center" vertical="center" wrapText="1" shrinkToFit="1"/>
    </xf>
    <xf numFmtId="181" fontId="47" fillId="11" borderId="100" xfId="0" applyNumberFormat="1" applyFont="1" applyFill="1" applyBorder="1" applyAlignment="1">
      <alignment horizontal="center" vertical="center" wrapText="1"/>
    </xf>
    <xf numFmtId="0" fontId="47" fillId="11" borderId="106" xfId="0" applyFont="1" applyFill="1" applyBorder="1" applyAlignment="1">
      <alignment horizontal="center" vertical="center"/>
    </xf>
    <xf numFmtId="0" fontId="98" fillId="11" borderId="82" xfId="0" applyFont="1" applyFill="1" applyBorder="1" applyAlignment="1">
      <alignment horizontal="center" vertical="center"/>
    </xf>
    <xf numFmtId="181" fontId="47" fillId="11" borderId="82" xfId="0" applyNumberFormat="1" applyFont="1" applyFill="1" applyBorder="1" applyAlignment="1">
      <alignment horizontal="center" vertical="center" wrapText="1"/>
    </xf>
    <xf numFmtId="49" fontId="47" fillId="2" borderId="84" xfId="0" applyNumberFormat="1" applyFont="1" applyFill="1" applyBorder="1" applyAlignment="1">
      <alignment horizontal="center" vertical="center" wrapText="1"/>
    </xf>
    <xf numFmtId="0" fontId="47" fillId="2" borderId="100" xfId="0" applyFont="1" applyFill="1" applyBorder="1" applyAlignment="1">
      <alignment horizontal="center" vertical="center" wrapText="1"/>
    </xf>
    <xf numFmtId="191" fontId="47" fillId="2" borderId="84" xfId="0" applyNumberFormat="1" applyFont="1" applyFill="1" applyBorder="1" applyAlignment="1">
      <alignment horizontal="center" vertical="center" wrapText="1"/>
    </xf>
    <xf numFmtId="184" fontId="37" fillId="2" borderId="100" xfId="0" applyNumberFormat="1" applyFont="1" applyFill="1" applyBorder="1" applyAlignment="1">
      <alignment horizontal="center" vertical="center" wrapText="1"/>
    </xf>
    <xf numFmtId="184" fontId="47" fillId="2" borderId="95" xfId="0" applyNumberFormat="1" applyFont="1" applyFill="1" applyBorder="1" applyAlignment="1">
      <alignment horizontal="center" vertical="center" wrapText="1"/>
    </xf>
    <xf numFmtId="49" fontId="47" fillId="2" borderId="100" xfId="0" applyNumberFormat="1" applyFont="1" applyFill="1" applyBorder="1" applyAlignment="1">
      <alignment horizontal="center" vertical="center" wrapText="1"/>
    </xf>
    <xf numFmtId="184" fontId="47" fillId="2" borderId="82" xfId="0" applyNumberFormat="1" applyFont="1" applyFill="1" applyBorder="1" applyAlignment="1">
      <alignment horizontal="center" vertical="center" wrapText="1"/>
    </xf>
    <xf numFmtId="213" fontId="47" fillId="2" borderId="100" xfId="0" applyNumberFormat="1" applyFont="1" applyFill="1" applyBorder="1" applyAlignment="1">
      <alignment horizontal="center" vertical="center" wrapText="1"/>
    </xf>
    <xf numFmtId="0" fontId="47" fillId="2" borderId="82" xfId="0" applyFont="1" applyFill="1" applyBorder="1" applyAlignment="1">
      <alignment vertical="center" wrapText="1"/>
    </xf>
    <xf numFmtId="191" fontId="47" fillId="2" borderId="82" xfId="0" applyNumberFormat="1" applyFont="1" applyFill="1" applyBorder="1" applyAlignment="1">
      <alignment vertical="center" wrapText="1"/>
    </xf>
    <xf numFmtId="183" fontId="47" fillId="2" borderId="82" xfId="0" applyNumberFormat="1" applyFont="1" applyFill="1" applyBorder="1" applyAlignment="1">
      <alignment horizontal="center" vertical="center" wrapText="1"/>
    </xf>
    <xf numFmtId="0" fontId="47" fillId="2" borderId="106" xfId="0" applyFont="1" applyFill="1" applyBorder="1" applyAlignment="1">
      <alignment horizontal="center" vertical="center"/>
    </xf>
    <xf numFmtId="0" fontId="110" fillId="2" borderId="82" xfId="0" applyNumberFormat="1" applyFont="1" applyFill="1" applyBorder="1" applyAlignment="1">
      <alignment horizontal="center" vertical="center"/>
    </xf>
    <xf numFmtId="181" fontId="44" fillId="11" borderId="82" xfId="0" applyNumberFormat="1" applyFont="1" applyFill="1" applyBorder="1" applyAlignment="1">
      <alignment horizontal="center" vertical="center"/>
    </xf>
    <xf numFmtId="197" fontId="47" fillId="11" borderId="82" xfId="0" applyNumberFormat="1" applyFont="1" applyFill="1" applyBorder="1" applyAlignment="1">
      <alignment horizontal="center" vertical="center" wrapText="1" shrinkToFit="1"/>
    </xf>
    <xf numFmtId="0" fontId="47" fillId="11" borderId="84" xfId="0" applyFont="1" applyFill="1" applyBorder="1" applyAlignment="1">
      <alignment horizontal="center" vertical="center" wrapText="1" shrinkToFit="1"/>
    </xf>
    <xf numFmtId="181" fontId="44" fillId="11" borderId="84" xfId="0" applyNumberFormat="1" applyFont="1" applyFill="1" applyBorder="1" applyAlignment="1">
      <alignment horizontal="center" vertical="center"/>
    </xf>
    <xf numFmtId="0" fontId="98" fillId="11" borderId="84" xfId="0" applyFont="1" applyFill="1" applyBorder="1" applyAlignment="1">
      <alignment horizontal="center" vertical="center"/>
    </xf>
    <xf numFmtId="191" fontId="47" fillId="2" borderId="101" xfId="0" applyNumberFormat="1" applyFont="1" applyFill="1" applyBorder="1">
      <alignment vertical="center"/>
    </xf>
    <xf numFmtId="198" fontId="111" fillId="11" borderId="82" xfId="0" applyNumberFormat="1" applyFont="1" applyFill="1" applyBorder="1" applyAlignment="1">
      <alignment horizontal="center" vertical="center"/>
    </xf>
    <xf numFmtId="0" fontId="44" fillId="11" borderId="84" xfId="0" applyFont="1" applyFill="1" applyBorder="1" applyAlignment="1">
      <alignment horizontal="center" vertical="center" wrapText="1"/>
    </xf>
    <xf numFmtId="0" fontId="112" fillId="11" borderId="82" xfId="0" applyFont="1" applyFill="1" applyBorder="1" applyAlignment="1">
      <alignment horizontal="center" vertical="center" wrapText="1"/>
    </xf>
    <xf numFmtId="0" fontId="47" fillId="11" borderId="82" xfId="0" applyFont="1" applyFill="1" applyBorder="1" applyAlignment="1">
      <alignment vertical="center" wrapText="1"/>
    </xf>
    <xf numFmtId="0" fontId="47" fillId="11" borderId="101" xfId="0" applyFont="1" applyFill="1" applyBorder="1" applyAlignment="1">
      <alignment horizontal="center" vertical="center" wrapText="1"/>
    </xf>
    <xf numFmtId="0" fontId="112" fillId="11" borderId="84" xfId="0" applyFont="1" applyFill="1" applyBorder="1" applyAlignment="1">
      <alignment horizontal="center" vertical="center" wrapText="1"/>
    </xf>
    <xf numFmtId="198" fontId="113" fillId="11" borderId="100" xfId="0" applyNumberFormat="1" applyFont="1" applyFill="1" applyBorder="1" applyAlignment="1">
      <alignment horizontal="center" vertical="center"/>
    </xf>
    <xf numFmtId="198" fontId="113" fillId="11" borderId="101" xfId="0" applyNumberFormat="1" applyFont="1" applyFill="1" applyBorder="1" applyAlignment="1">
      <alignment horizontal="center" vertical="center"/>
    </xf>
    <xf numFmtId="0" fontId="47" fillId="11" borderId="107" xfId="0" applyFont="1" applyFill="1" applyBorder="1" applyAlignment="1">
      <alignment horizontal="center" vertical="center"/>
    </xf>
    <xf numFmtId="0" fontId="47" fillId="11" borderId="98" xfId="0" applyFont="1" applyFill="1" applyBorder="1" applyAlignment="1">
      <alignment horizontal="center" vertical="center" wrapText="1"/>
    </xf>
    <xf numFmtId="0" fontId="47" fillId="11" borderId="98" xfId="0" applyFont="1" applyFill="1" applyBorder="1" applyAlignment="1">
      <alignment horizontal="center" vertical="center"/>
    </xf>
    <xf numFmtId="0" fontId="47" fillId="11" borderId="83" xfId="0" applyFont="1" applyFill="1" applyBorder="1" applyAlignment="1">
      <alignment horizontal="center" vertical="center"/>
    </xf>
    <xf numFmtId="198" fontId="113" fillId="11" borderId="84" xfId="0" applyNumberFormat="1" applyFont="1" applyFill="1" applyBorder="1" applyAlignment="1">
      <alignment horizontal="center" vertical="center"/>
    </xf>
    <xf numFmtId="191" fontId="47" fillId="11" borderId="84" xfId="0" applyNumberFormat="1" applyFont="1" applyFill="1" applyBorder="1" applyAlignment="1">
      <alignment horizontal="center" vertical="center"/>
    </xf>
    <xf numFmtId="7" fontId="114" fillId="11" borderId="100" xfId="0" applyNumberFormat="1" applyFont="1" applyFill="1" applyBorder="1" applyAlignment="1">
      <alignment horizontal="center" vertical="center"/>
    </xf>
    <xf numFmtId="7" fontId="114" fillId="11" borderId="101" xfId="0" applyNumberFormat="1" applyFont="1" applyFill="1" applyBorder="1" applyAlignment="1">
      <alignment horizontal="center" vertical="center"/>
    </xf>
    <xf numFmtId="7" fontId="114" fillId="11" borderId="84" xfId="0" applyNumberFormat="1" applyFont="1" applyFill="1" applyBorder="1" applyAlignment="1">
      <alignment horizontal="center" vertical="center"/>
    </xf>
    <xf numFmtId="197" fontId="47" fillId="11" borderId="99" xfId="0" applyNumberFormat="1" applyFont="1" applyFill="1" applyBorder="1" applyAlignment="1">
      <alignment horizontal="center" vertical="center"/>
    </xf>
    <xf numFmtId="0" fontId="47" fillId="11" borderId="99" xfId="0" applyFont="1" applyFill="1" applyBorder="1" applyAlignment="1">
      <alignment horizontal="center" vertical="center"/>
    </xf>
    <xf numFmtId="0" fontId="47" fillId="11" borderId="105" xfId="0" applyFont="1" applyFill="1" applyBorder="1" applyAlignment="1">
      <alignment horizontal="center" vertical="center"/>
    </xf>
    <xf numFmtId="0" fontId="47" fillId="12" borderId="82" xfId="0" applyFont="1" applyFill="1" applyBorder="1" applyAlignment="1">
      <alignment horizontal="center" vertical="center" wrapText="1"/>
    </xf>
    <xf numFmtId="0" fontId="47" fillId="12" borderId="82" xfId="0" applyFont="1" applyFill="1" applyBorder="1" applyAlignment="1">
      <alignment horizontal="center" vertical="center"/>
    </xf>
    <xf numFmtId="183" fontId="47" fillId="12" borderId="84" xfId="0" applyNumberFormat="1" applyFont="1" applyFill="1" applyBorder="1" applyAlignment="1">
      <alignment horizontal="center" vertical="center" wrapText="1"/>
    </xf>
    <xf numFmtId="49" fontId="47" fillId="12" borderId="84" xfId="0" applyNumberFormat="1" applyFont="1" applyFill="1" applyBorder="1" applyAlignment="1">
      <alignment horizontal="center" vertical="center" wrapText="1"/>
    </xf>
    <xf numFmtId="0" fontId="47" fillId="12" borderId="84" xfId="0" applyFont="1" applyFill="1" applyBorder="1" applyAlignment="1">
      <alignment horizontal="center" vertical="center" wrapText="1"/>
    </xf>
    <xf numFmtId="191" fontId="47" fillId="12" borderId="84" xfId="0" applyNumberFormat="1" applyFont="1" applyFill="1" applyBorder="1" applyAlignment="1">
      <alignment horizontal="center" vertical="center" wrapText="1"/>
    </xf>
    <xf numFmtId="189" fontId="47" fillId="12" borderId="84" xfId="0" applyNumberFormat="1" applyFon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44" fillId="12" borderId="82" xfId="0" applyFont="1" applyFill="1" applyBorder="1" applyAlignment="1">
      <alignment horizontal="center" vertical="center"/>
    </xf>
    <xf numFmtId="49" fontId="44" fillId="12" borderId="82" xfId="0" applyNumberFormat="1" applyFont="1" applyFill="1" applyBorder="1" applyAlignment="1">
      <alignment horizontal="center" vertical="center"/>
    </xf>
    <xf numFmtId="213" fontId="44" fillId="12" borderId="82" xfId="0" applyNumberFormat="1" applyFont="1" applyFill="1" applyBorder="1" applyAlignment="1">
      <alignment horizontal="center" vertical="center"/>
    </xf>
    <xf numFmtId="0" fontId="108" fillId="12" borderId="84" xfId="0" applyFont="1" applyFill="1" applyBorder="1" applyAlignment="1">
      <alignment horizontal="center" vertical="center" wrapText="1"/>
    </xf>
    <xf numFmtId="191" fontId="47" fillId="12" borderId="82" xfId="0" applyNumberFormat="1" applyFont="1" applyFill="1" applyBorder="1" applyAlignment="1">
      <alignment horizontal="center" vertical="center" wrapText="1"/>
    </xf>
    <xf numFmtId="183" fontId="47" fillId="12" borderId="82" xfId="0" applyNumberFormat="1" applyFont="1" applyFill="1" applyBorder="1" applyAlignment="1">
      <alignment horizontal="center" vertical="center"/>
    </xf>
    <xf numFmtId="189" fontId="47" fillId="12" borderId="82" xfId="0" applyNumberFormat="1" applyFont="1" applyFill="1" applyBorder="1" applyAlignment="1">
      <alignment horizontal="center" vertical="center"/>
    </xf>
    <xf numFmtId="0" fontId="47" fillId="12" borderId="103" xfId="0" applyFont="1" applyFill="1" applyBorder="1" applyAlignment="1">
      <alignment horizontal="center" vertical="center"/>
    </xf>
    <xf numFmtId="197" fontId="47" fillId="12" borderId="98" xfId="0" applyNumberFormat="1" applyFont="1" applyFill="1" applyBorder="1" applyAlignment="1">
      <alignment horizontal="center" vertical="center"/>
    </xf>
    <xf numFmtId="0" fontId="47" fillId="12" borderId="84" xfId="0" applyFont="1" applyFill="1" applyBorder="1" applyAlignment="1">
      <alignment horizontal="center" vertical="center"/>
    </xf>
    <xf numFmtId="197" fontId="47" fillId="12" borderId="82" xfId="0" applyNumberFormat="1" applyFont="1" applyFill="1" applyBorder="1" applyAlignment="1">
      <alignment horizontal="center" vertical="center"/>
    </xf>
    <xf numFmtId="0" fontId="54" fillId="12" borderId="84" xfId="0" applyFont="1" applyFill="1" applyBorder="1">
      <alignment vertical="center"/>
    </xf>
    <xf numFmtId="0" fontId="47" fillId="12" borderId="97" xfId="0" applyFont="1" applyFill="1" applyBorder="1" applyAlignment="1">
      <alignment horizontal="center" vertical="center"/>
    </xf>
    <xf numFmtId="198" fontId="55" fillId="12" borderId="100" xfId="0" applyNumberFormat="1" applyFont="1" applyFill="1" applyBorder="1" applyAlignment="1">
      <alignment horizontal="center" vertical="center"/>
    </xf>
    <xf numFmtId="0" fontId="55" fillId="12" borderId="100" xfId="0" applyFont="1" applyFill="1" applyBorder="1" applyAlignment="1">
      <alignment horizontal="center" vertical="center"/>
    </xf>
    <xf numFmtId="0" fontId="47" fillId="12" borderId="106" xfId="0" applyFont="1" applyFill="1" applyBorder="1" applyAlignment="1">
      <alignment horizontal="center" vertical="center"/>
    </xf>
    <xf numFmtId="197" fontId="47" fillId="12" borderId="83" xfId="0" applyNumberFormat="1" applyFont="1" applyFill="1" applyBorder="1" applyAlignment="1">
      <alignment horizontal="center" vertical="center"/>
    </xf>
    <xf numFmtId="0" fontId="54" fillId="12" borderId="82" xfId="0" applyFont="1" applyFill="1" applyBorder="1">
      <alignment vertical="center"/>
    </xf>
    <xf numFmtId="0" fontId="47" fillId="12" borderId="96" xfId="0" applyFont="1" applyFill="1" applyBorder="1" applyAlignment="1">
      <alignment horizontal="center" vertical="center"/>
    </xf>
    <xf numFmtId="198" fontId="55" fillId="12" borderId="101" xfId="0" applyNumberFormat="1" applyFont="1" applyFill="1" applyBorder="1" applyAlignment="1">
      <alignment horizontal="center" vertical="center"/>
    </xf>
    <xf numFmtId="0" fontId="55" fillId="12" borderId="101" xfId="0" applyFont="1" applyFill="1" applyBorder="1" applyAlignment="1">
      <alignment horizontal="center" vertical="center"/>
    </xf>
    <xf numFmtId="0" fontId="112" fillId="12" borderId="82" xfId="0" applyFont="1" applyFill="1" applyBorder="1" applyAlignment="1">
      <alignment horizontal="center" vertical="center" wrapText="1"/>
    </xf>
    <xf numFmtId="0" fontId="44" fillId="12" borderId="103" xfId="0" applyFont="1" applyFill="1" applyBorder="1" applyAlignment="1">
      <alignment horizontal="center" vertical="center"/>
    </xf>
    <xf numFmtId="49" fontId="44" fillId="12" borderId="84" xfId="0" applyNumberFormat="1" applyFont="1" applyFill="1" applyBorder="1" applyAlignment="1">
      <alignment horizontal="center" vertical="center"/>
    </xf>
    <xf numFmtId="0" fontId="44" fillId="12" borderId="84" xfId="0" applyFont="1" applyFill="1" applyBorder="1" applyAlignment="1">
      <alignment horizontal="center" vertical="center"/>
    </xf>
    <xf numFmtId="213" fontId="44" fillId="12" borderId="84" xfId="0" applyNumberFormat="1" applyFont="1" applyFill="1" applyBorder="1" applyAlignment="1">
      <alignment horizontal="center" vertical="center"/>
    </xf>
    <xf numFmtId="0" fontId="37" fillId="12" borderId="84" xfId="0" applyFont="1" applyFill="1" applyBorder="1" applyAlignment="1">
      <alignment horizontal="center" vertical="center" wrapText="1"/>
    </xf>
    <xf numFmtId="0" fontId="108" fillId="12" borderId="82" xfId="0" applyFont="1" applyFill="1" applyBorder="1" applyAlignment="1">
      <alignment horizontal="center" vertical="center" wrapText="1"/>
    </xf>
    <xf numFmtId="0" fontId="47" fillId="12" borderId="95" xfId="0" applyFont="1" applyFill="1" applyBorder="1" applyAlignment="1">
      <alignment horizontal="center" vertical="center"/>
    </xf>
    <xf numFmtId="198" fontId="55" fillId="12" borderId="84" xfId="0" applyNumberFormat="1" applyFont="1" applyFill="1" applyBorder="1" applyAlignment="1">
      <alignment horizontal="center" vertical="center"/>
    </xf>
    <xf numFmtId="184" fontId="47" fillId="12" borderId="84" xfId="0" applyNumberFormat="1" applyFont="1" applyFill="1" applyBorder="1" applyAlignment="1">
      <alignment horizontal="center" vertical="center"/>
    </xf>
    <xf numFmtId="192" fontId="47" fillId="12" borderId="84" xfId="0" applyNumberFormat="1" applyFont="1" applyFill="1" applyBorder="1" applyAlignment="1">
      <alignment horizontal="center" vertical="center" wrapText="1"/>
    </xf>
    <xf numFmtId="183" fontId="47" fillId="12" borderId="84" xfId="0" applyNumberFormat="1" applyFont="1" applyFill="1" applyBorder="1" applyAlignment="1">
      <alignment horizontal="center" vertical="center"/>
    </xf>
    <xf numFmtId="49" fontId="47" fillId="12" borderId="103" xfId="0" applyNumberFormat="1" applyFont="1" applyFill="1" applyBorder="1" applyAlignment="1">
      <alignment horizontal="center" vertical="center" wrapText="1"/>
    </xf>
    <xf numFmtId="0" fontId="47" fillId="12" borderId="107" xfId="0" applyFont="1" applyFill="1" applyBorder="1" applyAlignment="1">
      <alignment horizontal="center" vertical="center"/>
    </xf>
    <xf numFmtId="197" fontId="47" fillId="12" borderId="102" xfId="0" applyNumberFormat="1" applyFont="1" applyFill="1" applyBorder="1" applyAlignment="1">
      <alignment horizontal="center" vertical="center"/>
    </xf>
    <xf numFmtId="0" fontId="55" fillId="12" borderId="84" xfId="0" applyFont="1" applyFill="1" applyBorder="1" applyAlignment="1">
      <alignment horizontal="center" vertical="center"/>
    </xf>
    <xf numFmtId="198" fontId="55" fillId="13" borderId="82" xfId="0" applyNumberFormat="1" applyFont="1" applyFill="1" applyBorder="1" applyAlignment="1">
      <alignment horizontal="center" vertical="center"/>
    </xf>
    <xf numFmtId="0" fontId="108" fillId="2" borderId="82" xfId="0" applyFont="1" applyFill="1" applyBorder="1" applyAlignment="1">
      <alignment horizontal="center" vertical="center" wrapText="1"/>
    </xf>
    <xf numFmtId="197" fontId="47" fillId="2" borderId="102" xfId="0" applyNumberFormat="1" applyFont="1" applyFill="1" applyBorder="1" applyAlignment="1">
      <alignment horizontal="center" vertical="center"/>
    </xf>
    <xf numFmtId="0" fontId="54" fillId="2" borderId="82" xfId="0" applyFont="1" applyFill="1" applyBorder="1">
      <alignment vertical="center"/>
    </xf>
    <xf numFmtId="189" fontId="47" fillId="12" borderId="101" xfId="0" applyNumberFormat="1" applyFont="1" applyFill="1" applyBorder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49" fontId="44" fillId="12" borderId="101" xfId="0" applyNumberFormat="1" applyFont="1" applyFill="1" applyBorder="1" applyAlignment="1">
      <alignment horizontal="center" vertical="center"/>
    </xf>
    <xf numFmtId="0" fontId="47" fillId="12" borderId="100" xfId="0" applyFont="1" applyFill="1" applyBorder="1" applyAlignment="1">
      <alignment horizontal="center" vertical="center" wrapText="1"/>
    </xf>
    <xf numFmtId="0" fontId="0" fillId="12" borderId="100" xfId="0" applyFill="1" applyBorder="1" applyAlignment="1">
      <alignment horizontal="center" vertical="center"/>
    </xf>
    <xf numFmtId="0" fontId="101" fillId="12" borderId="84" xfId="0" applyFont="1" applyFill="1" applyBorder="1" applyAlignment="1">
      <alignment horizontal="center" vertical="center"/>
    </xf>
    <xf numFmtId="0" fontId="0" fillId="12" borderId="101" xfId="0" applyFill="1" applyBorder="1" applyAlignment="1">
      <alignment horizontal="center" vertical="center"/>
    </xf>
    <xf numFmtId="0" fontId="101" fillId="12" borderId="82" xfId="0" applyFont="1" applyFill="1" applyBorder="1" applyAlignment="1">
      <alignment horizontal="center" vertical="center"/>
    </xf>
    <xf numFmtId="0" fontId="0" fillId="12" borderId="84" xfId="0" applyFill="1" applyBorder="1" applyAlignment="1">
      <alignment horizontal="center" vertical="center"/>
    </xf>
    <xf numFmtId="0" fontId="101" fillId="2" borderId="82" xfId="0" applyFont="1" applyFill="1" applyBorder="1" applyAlignment="1">
      <alignment horizontal="center" vertical="center"/>
    </xf>
    <xf numFmtId="49" fontId="47" fillId="12" borderId="84" xfId="0" applyNumberFormat="1" applyFont="1" applyFill="1" applyBorder="1" applyAlignment="1">
      <alignment horizontal="center" vertical="center"/>
    </xf>
    <xf numFmtId="0" fontId="39" fillId="12" borderId="82" xfId="0" applyFont="1" applyFill="1" applyBorder="1" applyAlignment="1">
      <alignment horizontal="center" vertical="center"/>
    </xf>
    <xf numFmtId="0" fontId="112" fillId="2" borderId="82" xfId="0" applyFont="1" applyFill="1" applyBorder="1" applyAlignment="1">
      <alignment horizontal="center" vertical="center" wrapText="1"/>
    </xf>
    <xf numFmtId="194" fontId="47" fillId="12" borderId="84" xfId="0" applyNumberFormat="1" applyFont="1" applyFill="1" applyBorder="1" applyAlignment="1">
      <alignment horizontal="center" vertical="center" wrapText="1"/>
    </xf>
    <xf numFmtId="194" fontId="47" fillId="12" borderId="84" xfId="0" applyNumberFormat="1" applyFont="1" applyFill="1" applyBorder="1" applyAlignment="1">
      <alignment horizontal="center" vertical="center"/>
    </xf>
    <xf numFmtId="0" fontId="55" fillId="12" borderId="82" xfId="0" applyFont="1" applyFill="1" applyBorder="1" applyAlignment="1">
      <alignment horizontal="center" vertical="center"/>
    </xf>
    <xf numFmtId="198" fontId="55" fillId="12" borderId="82" xfId="0" applyNumberFormat="1" applyFont="1" applyFill="1" applyBorder="1" applyAlignment="1">
      <alignment horizontal="center" vertical="center"/>
    </xf>
    <xf numFmtId="191" fontId="47" fillId="12" borderId="84" xfId="0" applyNumberFormat="1" applyFont="1" applyFill="1" applyBorder="1" applyAlignment="1">
      <alignment horizontal="center" vertical="center"/>
    </xf>
    <xf numFmtId="0" fontId="47" fillId="12" borderId="98" xfId="0" applyFont="1" applyFill="1" applyBorder="1" applyAlignment="1">
      <alignment horizontal="center" vertical="center"/>
    </xf>
    <xf numFmtId="0" fontId="47" fillId="12" borderId="83" xfId="0" applyFont="1" applyFill="1" applyBorder="1" applyAlignment="1">
      <alignment horizontal="center" vertical="center"/>
    </xf>
    <xf numFmtId="0" fontId="96" fillId="12" borderId="82" xfId="0" applyFont="1" applyFill="1" applyBorder="1" applyAlignment="1">
      <alignment horizontal="center" vertical="center" wrapText="1"/>
    </xf>
    <xf numFmtId="0" fontId="47" fillId="12" borderId="102" xfId="0" applyFont="1" applyFill="1" applyBorder="1" applyAlignment="1">
      <alignment horizontal="center" vertical="center"/>
    </xf>
    <xf numFmtId="0" fontId="8" fillId="0" borderId="19" xfId="65" applyBorder="1" applyAlignment="1" quotePrefix="1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" xfId="49"/>
    <cellStyle name="一般" xfId="50"/>
    <cellStyle name="常规_12050701 6" xfId="51"/>
    <cellStyle name="常规_12050701" xfId="52"/>
    <cellStyle name="Normal 4 2" xfId="53"/>
    <cellStyle name="常规 2" xfId="54"/>
    <cellStyle name="常规_排模表" xfId="55"/>
    <cellStyle name="常规 4" xfId="56"/>
    <cellStyle name="常规_Sheet1" xfId="57"/>
    <cellStyle name="常规_SI-20110623报关单证" xfId="58"/>
    <cellStyle name="常规_复件 (2) 模具表" xfId="59"/>
    <cellStyle name="常规_内部明细" xfId="60"/>
    <cellStyle name="样式 1_st shipment docs xls-ff (2)" xfId="61"/>
    <cellStyle name="常规 1656" xfId="62"/>
    <cellStyle name="常规 2_报关资料与ASN" xfId="63"/>
    <cellStyle name="常规 3" xfId="64"/>
    <cellStyle name="常规_装箱单" xfId="65"/>
    <cellStyle name="常规_LBD-20121130-DA211002 深圳机场-报关单证" xfId="66"/>
    <cellStyle name="常规 2 2" xfId="67"/>
    <cellStyle name="常规_吹泡枪作业指导书" xfId="68"/>
  </cellStyles>
  <dxfs count="3">
    <dxf>
      <font>
        <color indexed="9"/>
      </font>
    </dxf>
    <dxf>
      <fill>
        <patternFill patternType="solid">
          <bgColor rgb="FFFF9900"/>
        </patternFill>
      </fill>
    </dxf>
    <dxf>
      <font>
        <b val="1"/>
        <color indexed="9"/>
      </font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D0C0E2"/>
      <color rgb="00C3A2D5"/>
      <color rgb="00FFE699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84.png"/><Relationship Id="rId98" Type="http://schemas.openxmlformats.org/officeDocument/2006/relationships/image" Target="media/image183.png"/><Relationship Id="rId97" Type="http://schemas.openxmlformats.org/officeDocument/2006/relationships/image" Target="media/image182.png"/><Relationship Id="rId96" Type="http://schemas.openxmlformats.org/officeDocument/2006/relationships/image" Target="media/image181.jpeg"/><Relationship Id="rId95" Type="http://schemas.openxmlformats.org/officeDocument/2006/relationships/image" Target="media/image180.jpeg"/><Relationship Id="rId94" Type="http://schemas.openxmlformats.org/officeDocument/2006/relationships/image" Target="media/image179.jpeg"/><Relationship Id="rId93" Type="http://schemas.openxmlformats.org/officeDocument/2006/relationships/image" Target="media/image178.jpeg"/><Relationship Id="rId92" Type="http://schemas.openxmlformats.org/officeDocument/2006/relationships/image" Target="media/image177.jpeg"/><Relationship Id="rId91" Type="http://schemas.openxmlformats.org/officeDocument/2006/relationships/image" Target="media/image176.jpeg"/><Relationship Id="rId90" Type="http://schemas.openxmlformats.org/officeDocument/2006/relationships/image" Target="media/image175.jpeg"/><Relationship Id="rId9" Type="http://schemas.openxmlformats.org/officeDocument/2006/relationships/image" Target="media/image94.png"/><Relationship Id="rId89" Type="http://schemas.openxmlformats.org/officeDocument/2006/relationships/image" Target="media/image174.jpeg"/><Relationship Id="rId88" Type="http://schemas.openxmlformats.org/officeDocument/2006/relationships/image" Target="media/image173.jpeg"/><Relationship Id="rId87" Type="http://schemas.openxmlformats.org/officeDocument/2006/relationships/image" Target="media/image172.jpeg"/><Relationship Id="rId86" Type="http://schemas.openxmlformats.org/officeDocument/2006/relationships/image" Target="media/image171.jpeg"/><Relationship Id="rId85" Type="http://schemas.openxmlformats.org/officeDocument/2006/relationships/image" Target="media/image170.jpeg"/><Relationship Id="rId84" Type="http://schemas.openxmlformats.org/officeDocument/2006/relationships/image" Target="media/image169.jpeg"/><Relationship Id="rId83" Type="http://schemas.openxmlformats.org/officeDocument/2006/relationships/image" Target="media/image168.jpeg"/><Relationship Id="rId82" Type="http://schemas.openxmlformats.org/officeDocument/2006/relationships/image" Target="media/image167.jpeg"/><Relationship Id="rId81" Type="http://schemas.openxmlformats.org/officeDocument/2006/relationships/image" Target="media/image166.jpeg"/><Relationship Id="rId80" Type="http://schemas.openxmlformats.org/officeDocument/2006/relationships/image" Target="media/image165.jpeg"/><Relationship Id="rId8" Type="http://schemas.openxmlformats.org/officeDocument/2006/relationships/image" Target="media/image93.png"/><Relationship Id="rId79" Type="http://schemas.openxmlformats.org/officeDocument/2006/relationships/image" Target="media/image164.jpeg"/><Relationship Id="rId78" Type="http://schemas.openxmlformats.org/officeDocument/2006/relationships/image" Target="media/image163.jpeg"/><Relationship Id="rId77" Type="http://schemas.openxmlformats.org/officeDocument/2006/relationships/image" Target="media/image162.jpeg"/><Relationship Id="rId76" Type="http://schemas.openxmlformats.org/officeDocument/2006/relationships/image" Target="media/image161.jpeg"/><Relationship Id="rId75" Type="http://schemas.openxmlformats.org/officeDocument/2006/relationships/image" Target="media/image160.jpeg"/><Relationship Id="rId74" Type="http://schemas.openxmlformats.org/officeDocument/2006/relationships/image" Target="media/image159.jpeg"/><Relationship Id="rId73" Type="http://schemas.openxmlformats.org/officeDocument/2006/relationships/image" Target="media/image158.jpeg"/><Relationship Id="rId72" Type="http://schemas.openxmlformats.org/officeDocument/2006/relationships/image" Target="media/image157.jpeg"/><Relationship Id="rId71" Type="http://schemas.openxmlformats.org/officeDocument/2006/relationships/image" Target="media/image156.jpeg"/><Relationship Id="rId70" Type="http://schemas.openxmlformats.org/officeDocument/2006/relationships/image" Target="media/image155.jpeg"/><Relationship Id="rId7" Type="http://schemas.openxmlformats.org/officeDocument/2006/relationships/image" Target="media/image92.png"/><Relationship Id="rId69" Type="http://schemas.openxmlformats.org/officeDocument/2006/relationships/image" Target="media/image154.jpeg"/><Relationship Id="rId68" Type="http://schemas.openxmlformats.org/officeDocument/2006/relationships/image" Target="media/image153.jpeg"/><Relationship Id="rId67" Type="http://schemas.openxmlformats.org/officeDocument/2006/relationships/image" Target="media/image152.jpeg"/><Relationship Id="rId66" Type="http://schemas.openxmlformats.org/officeDocument/2006/relationships/image" Target="media/image151.jpeg"/><Relationship Id="rId65" Type="http://schemas.openxmlformats.org/officeDocument/2006/relationships/image" Target="media/image150.jpeg"/><Relationship Id="rId64" Type="http://schemas.openxmlformats.org/officeDocument/2006/relationships/image" Target="media/image149.jpeg"/><Relationship Id="rId63" Type="http://schemas.openxmlformats.org/officeDocument/2006/relationships/image" Target="media/image148.jpeg"/><Relationship Id="rId62" Type="http://schemas.openxmlformats.org/officeDocument/2006/relationships/image" Target="media/image147.jpeg"/><Relationship Id="rId61" Type="http://schemas.openxmlformats.org/officeDocument/2006/relationships/image" Target="media/image146.jpeg"/><Relationship Id="rId60" Type="http://schemas.openxmlformats.org/officeDocument/2006/relationships/image" Target="media/image145.jpeg"/><Relationship Id="rId6" Type="http://schemas.openxmlformats.org/officeDocument/2006/relationships/image" Target="media/image91.png"/><Relationship Id="rId59" Type="http://schemas.openxmlformats.org/officeDocument/2006/relationships/image" Target="media/image144.jpeg"/><Relationship Id="rId58" Type="http://schemas.openxmlformats.org/officeDocument/2006/relationships/image" Target="media/image143.jpeg"/><Relationship Id="rId57" Type="http://schemas.openxmlformats.org/officeDocument/2006/relationships/image" Target="media/image142.jpeg"/><Relationship Id="rId56" Type="http://schemas.openxmlformats.org/officeDocument/2006/relationships/image" Target="media/image141.jpeg"/><Relationship Id="rId55" Type="http://schemas.openxmlformats.org/officeDocument/2006/relationships/image" Target="media/image140.jpeg"/><Relationship Id="rId54" Type="http://schemas.openxmlformats.org/officeDocument/2006/relationships/image" Target="media/image139.jpeg"/><Relationship Id="rId53" Type="http://schemas.openxmlformats.org/officeDocument/2006/relationships/image" Target="media/image138.jpeg"/><Relationship Id="rId52" Type="http://schemas.openxmlformats.org/officeDocument/2006/relationships/image" Target="media/image137.jpeg"/><Relationship Id="rId51" Type="http://schemas.openxmlformats.org/officeDocument/2006/relationships/image" Target="media/image136.jpeg"/><Relationship Id="rId50" Type="http://schemas.openxmlformats.org/officeDocument/2006/relationships/image" Target="media/image135.jpeg"/><Relationship Id="rId5" Type="http://schemas.openxmlformats.org/officeDocument/2006/relationships/image" Target="media/image90.png"/><Relationship Id="rId49" Type="http://schemas.openxmlformats.org/officeDocument/2006/relationships/image" Target="media/image134.jpeg"/><Relationship Id="rId48" Type="http://schemas.openxmlformats.org/officeDocument/2006/relationships/image" Target="media/image133.jpeg"/><Relationship Id="rId47" Type="http://schemas.openxmlformats.org/officeDocument/2006/relationships/image" Target="media/image132.jpeg"/><Relationship Id="rId46" Type="http://schemas.openxmlformats.org/officeDocument/2006/relationships/image" Target="media/image131.jpeg"/><Relationship Id="rId45" Type="http://schemas.openxmlformats.org/officeDocument/2006/relationships/image" Target="media/image130.jpeg"/><Relationship Id="rId44" Type="http://schemas.openxmlformats.org/officeDocument/2006/relationships/image" Target="media/image129.jpeg"/><Relationship Id="rId43" Type="http://schemas.openxmlformats.org/officeDocument/2006/relationships/image" Target="media/image128.png"/><Relationship Id="rId42" Type="http://schemas.openxmlformats.org/officeDocument/2006/relationships/image" Target="media/image127.jpeg"/><Relationship Id="rId41" Type="http://schemas.openxmlformats.org/officeDocument/2006/relationships/image" Target="media/image126.jpeg"/><Relationship Id="rId40" Type="http://schemas.openxmlformats.org/officeDocument/2006/relationships/image" Target="media/image125.jpeg"/><Relationship Id="rId4" Type="http://schemas.openxmlformats.org/officeDocument/2006/relationships/image" Target="media/image89.png"/><Relationship Id="rId39" Type="http://schemas.openxmlformats.org/officeDocument/2006/relationships/image" Target="media/image124.jpeg"/><Relationship Id="rId38" Type="http://schemas.openxmlformats.org/officeDocument/2006/relationships/image" Target="media/image123.jpeg"/><Relationship Id="rId378" Type="http://schemas.openxmlformats.org/officeDocument/2006/relationships/image" Target="media/image463.png"/><Relationship Id="rId377" Type="http://schemas.openxmlformats.org/officeDocument/2006/relationships/image" Target="media/image462.png"/><Relationship Id="rId376" Type="http://schemas.openxmlformats.org/officeDocument/2006/relationships/image" Target="media/image461.png"/><Relationship Id="rId375" Type="http://schemas.openxmlformats.org/officeDocument/2006/relationships/image" Target="media/image460.png"/><Relationship Id="rId374" Type="http://schemas.openxmlformats.org/officeDocument/2006/relationships/image" Target="media/image459.png"/><Relationship Id="rId373" Type="http://schemas.openxmlformats.org/officeDocument/2006/relationships/image" Target="media/image458.png"/><Relationship Id="rId372" Type="http://schemas.openxmlformats.org/officeDocument/2006/relationships/image" Target="media/image457.png"/><Relationship Id="rId371" Type="http://schemas.openxmlformats.org/officeDocument/2006/relationships/image" Target="media/image456.png"/><Relationship Id="rId370" Type="http://schemas.openxmlformats.org/officeDocument/2006/relationships/image" Target="media/image455.png"/><Relationship Id="rId37" Type="http://schemas.openxmlformats.org/officeDocument/2006/relationships/image" Target="media/image122.jpeg"/><Relationship Id="rId369" Type="http://schemas.openxmlformats.org/officeDocument/2006/relationships/image" Target="media/image454.png"/><Relationship Id="rId368" Type="http://schemas.openxmlformats.org/officeDocument/2006/relationships/image" Target="media/image453.png"/><Relationship Id="rId367" Type="http://schemas.openxmlformats.org/officeDocument/2006/relationships/image" Target="media/image452.png"/><Relationship Id="rId366" Type="http://schemas.openxmlformats.org/officeDocument/2006/relationships/image" Target="media/image451.png"/><Relationship Id="rId365" Type="http://schemas.openxmlformats.org/officeDocument/2006/relationships/image" Target="media/image450.png"/><Relationship Id="rId364" Type="http://schemas.openxmlformats.org/officeDocument/2006/relationships/image" Target="media/image449.png"/><Relationship Id="rId363" Type="http://schemas.openxmlformats.org/officeDocument/2006/relationships/image" Target="media/image448.png"/><Relationship Id="rId362" Type="http://schemas.openxmlformats.org/officeDocument/2006/relationships/image" Target="media/image447.png"/><Relationship Id="rId361" Type="http://schemas.openxmlformats.org/officeDocument/2006/relationships/image" Target="media/image446.png"/><Relationship Id="rId360" Type="http://schemas.openxmlformats.org/officeDocument/2006/relationships/image" Target="media/image445.png"/><Relationship Id="rId36" Type="http://schemas.openxmlformats.org/officeDocument/2006/relationships/image" Target="media/image121.jpeg"/><Relationship Id="rId359" Type="http://schemas.openxmlformats.org/officeDocument/2006/relationships/image" Target="media/image444.png"/><Relationship Id="rId358" Type="http://schemas.openxmlformats.org/officeDocument/2006/relationships/image" Target="media/image443.png"/><Relationship Id="rId357" Type="http://schemas.openxmlformats.org/officeDocument/2006/relationships/image" Target="media/image442.png"/><Relationship Id="rId356" Type="http://schemas.openxmlformats.org/officeDocument/2006/relationships/image" Target="media/image441.png"/><Relationship Id="rId355" Type="http://schemas.openxmlformats.org/officeDocument/2006/relationships/image" Target="media/image440.png"/><Relationship Id="rId354" Type="http://schemas.openxmlformats.org/officeDocument/2006/relationships/image" Target="media/image439.png"/><Relationship Id="rId353" Type="http://schemas.openxmlformats.org/officeDocument/2006/relationships/image" Target="media/image438.png"/><Relationship Id="rId352" Type="http://schemas.openxmlformats.org/officeDocument/2006/relationships/image" Target="media/image437.png"/><Relationship Id="rId351" Type="http://schemas.openxmlformats.org/officeDocument/2006/relationships/image" Target="media/image436.png"/><Relationship Id="rId350" Type="http://schemas.openxmlformats.org/officeDocument/2006/relationships/image" Target="media/image435.png"/><Relationship Id="rId35" Type="http://schemas.openxmlformats.org/officeDocument/2006/relationships/image" Target="media/image120.jpeg"/><Relationship Id="rId349" Type="http://schemas.openxmlformats.org/officeDocument/2006/relationships/image" Target="media/image434.png"/><Relationship Id="rId348" Type="http://schemas.openxmlformats.org/officeDocument/2006/relationships/image" Target="media/image433.png"/><Relationship Id="rId347" Type="http://schemas.openxmlformats.org/officeDocument/2006/relationships/image" Target="media/image432.png"/><Relationship Id="rId346" Type="http://schemas.openxmlformats.org/officeDocument/2006/relationships/image" Target="media/image431.png"/><Relationship Id="rId345" Type="http://schemas.openxmlformats.org/officeDocument/2006/relationships/image" Target="media/image430.png"/><Relationship Id="rId344" Type="http://schemas.openxmlformats.org/officeDocument/2006/relationships/image" Target="media/image429.png"/><Relationship Id="rId343" Type="http://schemas.openxmlformats.org/officeDocument/2006/relationships/image" Target="media/image428.png"/><Relationship Id="rId342" Type="http://schemas.openxmlformats.org/officeDocument/2006/relationships/image" Target="media/image427.png"/><Relationship Id="rId341" Type="http://schemas.openxmlformats.org/officeDocument/2006/relationships/image" Target="media/image426.png"/><Relationship Id="rId340" Type="http://schemas.openxmlformats.org/officeDocument/2006/relationships/image" Target="media/image425.png"/><Relationship Id="rId34" Type="http://schemas.openxmlformats.org/officeDocument/2006/relationships/image" Target="media/image119.jpeg"/><Relationship Id="rId339" Type="http://schemas.openxmlformats.org/officeDocument/2006/relationships/image" Target="media/image424.png"/><Relationship Id="rId338" Type="http://schemas.openxmlformats.org/officeDocument/2006/relationships/image" Target="media/image423.png"/><Relationship Id="rId337" Type="http://schemas.openxmlformats.org/officeDocument/2006/relationships/image" Target="media/image422.png"/><Relationship Id="rId336" Type="http://schemas.openxmlformats.org/officeDocument/2006/relationships/image" Target="media/image421.png"/><Relationship Id="rId335" Type="http://schemas.openxmlformats.org/officeDocument/2006/relationships/image" Target="media/image420.png"/><Relationship Id="rId334" Type="http://schemas.openxmlformats.org/officeDocument/2006/relationships/image" Target="media/image419.png"/><Relationship Id="rId333" Type="http://schemas.openxmlformats.org/officeDocument/2006/relationships/image" Target="media/image418.png"/><Relationship Id="rId332" Type="http://schemas.openxmlformats.org/officeDocument/2006/relationships/image" Target="media/image417.png"/><Relationship Id="rId331" Type="http://schemas.openxmlformats.org/officeDocument/2006/relationships/image" Target="media/image416.png"/><Relationship Id="rId330" Type="http://schemas.openxmlformats.org/officeDocument/2006/relationships/image" Target="media/image415.png"/><Relationship Id="rId33" Type="http://schemas.openxmlformats.org/officeDocument/2006/relationships/image" Target="media/image118.jpeg"/><Relationship Id="rId329" Type="http://schemas.openxmlformats.org/officeDocument/2006/relationships/image" Target="media/image414.png"/><Relationship Id="rId328" Type="http://schemas.openxmlformats.org/officeDocument/2006/relationships/image" Target="media/image413.png"/><Relationship Id="rId327" Type="http://schemas.openxmlformats.org/officeDocument/2006/relationships/image" Target="media/image412.png"/><Relationship Id="rId326" Type="http://schemas.openxmlformats.org/officeDocument/2006/relationships/image" Target="media/image411.png"/><Relationship Id="rId325" Type="http://schemas.openxmlformats.org/officeDocument/2006/relationships/image" Target="media/image410.png"/><Relationship Id="rId324" Type="http://schemas.openxmlformats.org/officeDocument/2006/relationships/image" Target="media/image409.png"/><Relationship Id="rId323" Type="http://schemas.openxmlformats.org/officeDocument/2006/relationships/image" Target="media/image408.png"/><Relationship Id="rId322" Type="http://schemas.openxmlformats.org/officeDocument/2006/relationships/image" Target="media/image407.png"/><Relationship Id="rId321" Type="http://schemas.openxmlformats.org/officeDocument/2006/relationships/image" Target="media/image406.png"/><Relationship Id="rId320" Type="http://schemas.openxmlformats.org/officeDocument/2006/relationships/image" Target="media/image405.png"/><Relationship Id="rId32" Type="http://schemas.openxmlformats.org/officeDocument/2006/relationships/image" Target="media/image117.jpeg"/><Relationship Id="rId319" Type="http://schemas.openxmlformats.org/officeDocument/2006/relationships/image" Target="media/image404.png"/><Relationship Id="rId318" Type="http://schemas.openxmlformats.org/officeDocument/2006/relationships/image" Target="media/image403.png"/><Relationship Id="rId317" Type="http://schemas.openxmlformats.org/officeDocument/2006/relationships/image" Target="media/image402.png"/><Relationship Id="rId316" Type="http://schemas.openxmlformats.org/officeDocument/2006/relationships/image" Target="media/image401.png"/><Relationship Id="rId315" Type="http://schemas.openxmlformats.org/officeDocument/2006/relationships/image" Target="media/image400.png"/><Relationship Id="rId314" Type="http://schemas.openxmlformats.org/officeDocument/2006/relationships/image" Target="media/image399.png"/><Relationship Id="rId313" Type="http://schemas.openxmlformats.org/officeDocument/2006/relationships/image" Target="media/image398.png"/><Relationship Id="rId312" Type="http://schemas.openxmlformats.org/officeDocument/2006/relationships/image" Target="media/image397.png"/><Relationship Id="rId311" Type="http://schemas.openxmlformats.org/officeDocument/2006/relationships/image" Target="media/image396.png"/><Relationship Id="rId310" Type="http://schemas.openxmlformats.org/officeDocument/2006/relationships/image" Target="media/image395.png"/><Relationship Id="rId31" Type="http://schemas.openxmlformats.org/officeDocument/2006/relationships/image" Target="media/image116.jpeg"/><Relationship Id="rId309" Type="http://schemas.openxmlformats.org/officeDocument/2006/relationships/image" Target="media/image394.png"/><Relationship Id="rId308" Type="http://schemas.openxmlformats.org/officeDocument/2006/relationships/image" Target="media/image393.png"/><Relationship Id="rId307" Type="http://schemas.openxmlformats.org/officeDocument/2006/relationships/image" Target="media/image392.png"/><Relationship Id="rId306" Type="http://schemas.openxmlformats.org/officeDocument/2006/relationships/image" Target="media/image391.png"/><Relationship Id="rId305" Type="http://schemas.openxmlformats.org/officeDocument/2006/relationships/image" Target="media/image390.png"/><Relationship Id="rId304" Type="http://schemas.openxmlformats.org/officeDocument/2006/relationships/image" Target="media/image389.png"/><Relationship Id="rId303" Type="http://schemas.openxmlformats.org/officeDocument/2006/relationships/image" Target="media/image388.png"/><Relationship Id="rId302" Type="http://schemas.openxmlformats.org/officeDocument/2006/relationships/image" Target="media/image387.png"/><Relationship Id="rId301" Type="http://schemas.openxmlformats.org/officeDocument/2006/relationships/image" Target="media/image386.png"/><Relationship Id="rId300" Type="http://schemas.openxmlformats.org/officeDocument/2006/relationships/image" Target="media/image385.png"/><Relationship Id="rId30" Type="http://schemas.openxmlformats.org/officeDocument/2006/relationships/image" Target="media/image115.jpeg"/><Relationship Id="rId3" Type="http://schemas.openxmlformats.org/officeDocument/2006/relationships/image" Target="media/image88.png"/><Relationship Id="rId299" Type="http://schemas.openxmlformats.org/officeDocument/2006/relationships/image" Target="media/image384.png"/><Relationship Id="rId298" Type="http://schemas.openxmlformats.org/officeDocument/2006/relationships/image" Target="media/image383.png"/><Relationship Id="rId297" Type="http://schemas.openxmlformats.org/officeDocument/2006/relationships/image" Target="media/image382.png"/><Relationship Id="rId296" Type="http://schemas.openxmlformats.org/officeDocument/2006/relationships/image" Target="media/image381.png"/><Relationship Id="rId295" Type="http://schemas.openxmlformats.org/officeDocument/2006/relationships/image" Target="media/image380.png"/><Relationship Id="rId294" Type="http://schemas.openxmlformats.org/officeDocument/2006/relationships/image" Target="media/image379.png"/><Relationship Id="rId293" Type="http://schemas.openxmlformats.org/officeDocument/2006/relationships/image" Target="media/image378.png"/><Relationship Id="rId292" Type="http://schemas.openxmlformats.org/officeDocument/2006/relationships/image" Target="media/image377.png"/><Relationship Id="rId291" Type="http://schemas.openxmlformats.org/officeDocument/2006/relationships/image" Target="media/image376.png"/><Relationship Id="rId290" Type="http://schemas.openxmlformats.org/officeDocument/2006/relationships/image" Target="media/image375.png"/><Relationship Id="rId29" Type="http://schemas.openxmlformats.org/officeDocument/2006/relationships/image" Target="media/image114.jpeg"/><Relationship Id="rId289" Type="http://schemas.openxmlformats.org/officeDocument/2006/relationships/image" Target="media/image374.png"/><Relationship Id="rId288" Type="http://schemas.openxmlformats.org/officeDocument/2006/relationships/image" Target="media/image373.png"/><Relationship Id="rId287" Type="http://schemas.openxmlformats.org/officeDocument/2006/relationships/image" Target="media/image372.png"/><Relationship Id="rId286" Type="http://schemas.openxmlformats.org/officeDocument/2006/relationships/image" Target="media/image371.png"/><Relationship Id="rId285" Type="http://schemas.openxmlformats.org/officeDocument/2006/relationships/image" Target="media/image370.png"/><Relationship Id="rId284" Type="http://schemas.openxmlformats.org/officeDocument/2006/relationships/image" Target="media/image369.png"/><Relationship Id="rId283" Type="http://schemas.openxmlformats.org/officeDocument/2006/relationships/image" Target="media/image368.png"/><Relationship Id="rId282" Type="http://schemas.openxmlformats.org/officeDocument/2006/relationships/image" Target="media/image367.png"/><Relationship Id="rId281" Type="http://schemas.openxmlformats.org/officeDocument/2006/relationships/image" Target="media/image366.png"/><Relationship Id="rId280" Type="http://schemas.openxmlformats.org/officeDocument/2006/relationships/image" Target="media/image365.png"/><Relationship Id="rId28" Type="http://schemas.openxmlformats.org/officeDocument/2006/relationships/image" Target="media/image113.jpeg"/><Relationship Id="rId279" Type="http://schemas.openxmlformats.org/officeDocument/2006/relationships/image" Target="media/image364.png"/><Relationship Id="rId278" Type="http://schemas.openxmlformats.org/officeDocument/2006/relationships/image" Target="media/image363.png"/><Relationship Id="rId277" Type="http://schemas.openxmlformats.org/officeDocument/2006/relationships/image" Target="media/image362.png"/><Relationship Id="rId276" Type="http://schemas.openxmlformats.org/officeDocument/2006/relationships/image" Target="media/image361.png"/><Relationship Id="rId275" Type="http://schemas.openxmlformats.org/officeDocument/2006/relationships/image" Target="media/image360.png"/><Relationship Id="rId274" Type="http://schemas.openxmlformats.org/officeDocument/2006/relationships/image" Target="media/image359.png"/><Relationship Id="rId273" Type="http://schemas.openxmlformats.org/officeDocument/2006/relationships/image" Target="media/image358.png"/><Relationship Id="rId272" Type="http://schemas.openxmlformats.org/officeDocument/2006/relationships/image" Target="media/image357.png"/><Relationship Id="rId271" Type="http://schemas.openxmlformats.org/officeDocument/2006/relationships/image" Target="media/image356.png"/><Relationship Id="rId270" Type="http://schemas.openxmlformats.org/officeDocument/2006/relationships/image" Target="media/image355.png"/><Relationship Id="rId27" Type="http://schemas.openxmlformats.org/officeDocument/2006/relationships/image" Target="media/image112.jpeg"/><Relationship Id="rId269" Type="http://schemas.openxmlformats.org/officeDocument/2006/relationships/image" Target="media/image354.png"/><Relationship Id="rId268" Type="http://schemas.openxmlformats.org/officeDocument/2006/relationships/image" Target="media/image353.png"/><Relationship Id="rId267" Type="http://schemas.openxmlformats.org/officeDocument/2006/relationships/image" Target="media/image352.png"/><Relationship Id="rId266" Type="http://schemas.openxmlformats.org/officeDocument/2006/relationships/image" Target="media/image351.png"/><Relationship Id="rId265" Type="http://schemas.openxmlformats.org/officeDocument/2006/relationships/image" Target="media/image350.png"/><Relationship Id="rId264" Type="http://schemas.openxmlformats.org/officeDocument/2006/relationships/image" Target="media/image349.png"/><Relationship Id="rId263" Type="http://schemas.openxmlformats.org/officeDocument/2006/relationships/image" Target="media/image348.png"/><Relationship Id="rId262" Type="http://schemas.openxmlformats.org/officeDocument/2006/relationships/image" Target="media/image347.png"/><Relationship Id="rId261" Type="http://schemas.openxmlformats.org/officeDocument/2006/relationships/image" Target="media/image346.png"/><Relationship Id="rId260" Type="http://schemas.openxmlformats.org/officeDocument/2006/relationships/image" Target="media/image345.png"/><Relationship Id="rId26" Type="http://schemas.openxmlformats.org/officeDocument/2006/relationships/image" Target="media/image111.jpeg"/><Relationship Id="rId259" Type="http://schemas.openxmlformats.org/officeDocument/2006/relationships/image" Target="media/image344.png"/><Relationship Id="rId258" Type="http://schemas.openxmlformats.org/officeDocument/2006/relationships/image" Target="media/image343.png"/><Relationship Id="rId257" Type="http://schemas.openxmlformats.org/officeDocument/2006/relationships/image" Target="media/image342.png"/><Relationship Id="rId256" Type="http://schemas.openxmlformats.org/officeDocument/2006/relationships/image" Target="media/image341.png"/><Relationship Id="rId255" Type="http://schemas.openxmlformats.org/officeDocument/2006/relationships/image" Target="media/image340.png"/><Relationship Id="rId254" Type="http://schemas.openxmlformats.org/officeDocument/2006/relationships/image" Target="media/image339.png"/><Relationship Id="rId253" Type="http://schemas.openxmlformats.org/officeDocument/2006/relationships/image" Target="media/image338.png"/><Relationship Id="rId252" Type="http://schemas.openxmlformats.org/officeDocument/2006/relationships/image" Target="media/image337.png"/><Relationship Id="rId251" Type="http://schemas.openxmlformats.org/officeDocument/2006/relationships/image" Target="media/image336.png"/><Relationship Id="rId250" Type="http://schemas.openxmlformats.org/officeDocument/2006/relationships/image" Target="media/image335.png"/><Relationship Id="rId25" Type="http://schemas.openxmlformats.org/officeDocument/2006/relationships/image" Target="media/image110.jpeg"/><Relationship Id="rId249" Type="http://schemas.openxmlformats.org/officeDocument/2006/relationships/image" Target="media/image334.png"/><Relationship Id="rId248" Type="http://schemas.openxmlformats.org/officeDocument/2006/relationships/image" Target="media/image333.png"/><Relationship Id="rId247" Type="http://schemas.openxmlformats.org/officeDocument/2006/relationships/image" Target="media/image332.png"/><Relationship Id="rId246" Type="http://schemas.openxmlformats.org/officeDocument/2006/relationships/image" Target="media/image331.png"/><Relationship Id="rId245" Type="http://schemas.openxmlformats.org/officeDocument/2006/relationships/image" Target="media/image330.png"/><Relationship Id="rId244" Type="http://schemas.openxmlformats.org/officeDocument/2006/relationships/image" Target="media/image329.png"/><Relationship Id="rId243" Type="http://schemas.openxmlformats.org/officeDocument/2006/relationships/image" Target="media/image328.png"/><Relationship Id="rId242" Type="http://schemas.openxmlformats.org/officeDocument/2006/relationships/image" Target="media/image327.png"/><Relationship Id="rId241" Type="http://schemas.openxmlformats.org/officeDocument/2006/relationships/image" Target="media/image326.png"/><Relationship Id="rId240" Type="http://schemas.openxmlformats.org/officeDocument/2006/relationships/image" Target="media/image325.png"/><Relationship Id="rId24" Type="http://schemas.openxmlformats.org/officeDocument/2006/relationships/image" Target="media/image109.png"/><Relationship Id="rId239" Type="http://schemas.openxmlformats.org/officeDocument/2006/relationships/image" Target="media/image324.png"/><Relationship Id="rId238" Type="http://schemas.openxmlformats.org/officeDocument/2006/relationships/image" Target="media/image323.png"/><Relationship Id="rId237" Type="http://schemas.openxmlformats.org/officeDocument/2006/relationships/image" Target="media/image322.png"/><Relationship Id="rId236" Type="http://schemas.openxmlformats.org/officeDocument/2006/relationships/image" Target="media/image321.png"/><Relationship Id="rId235" Type="http://schemas.openxmlformats.org/officeDocument/2006/relationships/image" Target="media/image320.png"/><Relationship Id="rId234" Type="http://schemas.openxmlformats.org/officeDocument/2006/relationships/image" Target="media/image319.png"/><Relationship Id="rId233" Type="http://schemas.openxmlformats.org/officeDocument/2006/relationships/image" Target="media/image318.png"/><Relationship Id="rId232" Type="http://schemas.openxmlformats.org/officeDocument/2006/relationships/image" Target="media/image317.png"/><Relationship Id="rId231" Type="http://schemas.openxmlformats.org/officeDocument/2006/relationships/image" Target="media/image316.png"/><Relationship Id="rId230" Type="http://schemas.openxmlformats.org/officeDocument/2006/relationships/image" Target="media/image315.png"/><Relationship Id="rId23" Type="http://schemas.openxmlformats.org/officeDocument/2006/relationships/image" Target="media/image108.png"/><Relationship Id="rId229" Type="http://schemas.openxmlformats.org/officeDocument/2006/relationships/image" Target="media/image314.png"/><Relationship Id="rId228" Type="http://schemas.openxmlformats.org/officeDocument/2006/relationships/image" Target="media/image313.png"/><Relationship Id="rId227" Type="http://schemas.openxmlformats.org/officeDocument/2006/relationships/image" Target="media/image312.png"/><Relationship Id="rId226" Type="http://schemas.openxmlformats.org/officeDocument/2006/relationships/image" Target="media/image311.png"/><Relationship Id="rId225" Type="http://schemas.openxmlformats.org/officeDocument/2006/relationships/image" Target="media/image310.png"/><Relationship Id="rId224" Type="http://schemas.openxmlformats.org/officeDocument/2006/relationships/image" Target="media/image309.png"/><Relationship Id="rId223" Type="http://schemas.openxmlformats.org/officeDocument/2006/relationships/image" Target="media/image308.png"/><Relationship Id="rId222" Type="http://schemas.openxmlformats.org/officeDocument/2006/relationships/image" Target="media/image307.png"/><Relationship Id="rId221" Type="http://schemas.openxmlformats.org/officeDocument/2006/relationships/image" Target="media/image306.png"/><Relationship Id="rId220" Type="http://schemas.openxmlformats.org/officeDocument/2006/relationships/image" Target="media/image305.png"/><Relationship Id="rId22" Type="http://schemas.openxmlformats.org/officeDocument/2006/relationships/image" Target="media/image107.png"/><Relationship Id="rId219" Type="http://schemas.openxmlformats.org/officeDocument/2006/relationships/image" Target="media/image304.png"/><Relationship Id="rId218" Type="http://schemas.openxmlformats.org/officeDocument/2006/relationships/image" Target="media/image303.png"/><Relationship Id="rId217" Type="http://schemas.openxmlformats.org/officeDocument/2006/relationships/image" Target="media/image302.png"/><Relationship Id="rId216" Type="http://schemas.openxmlformats.org/officeDocument/2006/relationships/image" Target="media/image301.png"/><Relationship Id="rId215" Type="http://schemas.openxmlformats.org/officeDocument/2006/relationships/image" Target="media/image300.png"/><Relationship Id="rId214" Type="http://schemas.openxmlformats.org/officeDocument/2006/relationships/image" Target="media/image299.png"/><Relationship Id="rId213" Type="http://schemas.openxmlformats.org/officeDocument/2006/relationships/image" Target="media/image298.png"/><Relationship Id="rId212" Type="http://schemas.openxmlformats.org/officeDocument/2006/relationships/image" Target="media/image297.png"/><Relationship Id="rId211" Type="http://schemas.openxmlformats.org/officeDocument/2006/relationships/image" Target="media/image296.png"/><Relationship Id="rId210" Type="http://schemas.openxmlformats.org/officeDocument/2006/relationships/image" Target="media/image295.png"/><Relationship Id="rId21" Type="http://schemas.openxmlformats.org/officeDocument/2006/relationships/image" Target="media/image106.png"/><Relationship Id="rId209" Type="http://schemas.openxmlformats.org/officeDocument/2006/relationships/image" Target="media/image294.png"/><Relationship Id="rId208" Type="http://schemas.openxmlformats.org/officeDocument/2006/relationships/image" Target="media/image293.png"/><Relationship Id="rId207" Type="http://schemas.openxmlformats.org/officeDocument/2006/relationships/image" Target="media/image292.png"/><Relationship Id="rId206" Type="http://schemas.openxmlformats.org/officeDocument/2006/relationships/image" Target="media/image291.png"/><Relationship Id="rId205" Type="http://schemas.openxmlformats.org/officeDocument/2006/relationships/image" Target="media/image290.png"/><Relationship Id="rId204" Type="http://schemas.openxmlformats.org/officeDocument/2006/relationships/image" Target="media/image289.png"/><Relationship Id="rId203" Type="http://schemas.openxmlformats.org/officeDocument/2006/relationships/image" Target="media/image288.png"/><Relationship Id="rId202" Type="http://schemas.openxmlformats.org/officeDocument/2006/relationships/image" Target="media/image287.png"/><Relationship Id="rId201" Type="http://schemas.openxmlformats.org/officeDocument/2006/relationships/image" Target="media/image286.png"/><Relationship Id="rId200" Type="http://schemas.openxmlformats.org/officeDocument/2006/relationships/image" Target="media/image285.png"/><Relationship Id="rId20" Type="http://schemas.openxmlformats.org/officeDocument/2006/relationships/image" Target="media/image105.png"/><Relationship Id="rId2" Type="http://schemas.openxmlformats.org/officeDocument/2006/relationships/image" Target="media/image87.png"/><Relationship Id="rId199" Type="http://schemas.openxmlformats.org/officeDocument/2006/relationships/image" Target="media/image284.png"/><Relationship Id="rId198" Type="http://schemas.openxmlformats.org/officeDocument/2006/relationships/image" Target="media/image283.png"/><Relationship Id="rId197" Type="http://schemas.openxmlformats.org/officeDocument/2006/relationships/image" Target="media/image282.png"/><Relationship Id="rId196" Type="http://schemas.openxmlformats.org/officeDocument/2006/relationships/image" Target="media/image281.png"/><Relationship Id="rId195" Type="http://schemas.openxmlformats.org/officeDocument/2006/relationships/image" Target="media/image280.png"/><Relationship Id="rId194" Type="http://schemas.openxmlformats.org/officeDocument/2006/relationships/image" Target="media/image279.png"/><Relationship Id="rId193" Type="http://schemas.openxmlformats.org/officeDocument/2006/relationships/image" Target="media/image278.png"/><Relationship Id="rId192" Type="http://schemas.openxmlformats.org/officeDocument/2006/relationships/image" Target="media/image277.png"/><Relationship Id="rId191" Type="http://schemas.openxmlformats.org/officeDocument/2006/relationships/image" Target="media/image276.png"/><Relationship Id="rId190" Type="http://schemas.openxmlformats.org/officeDocument/2006/relationships/image" Target="media/image275.png"/><Relationship Id="rId19" Type="http://schemas.openxmlformats.org/officeDocument/2006/relationships/image" Target="media/image104.png"/><Relationship Id="rId189" Type="http://schemas.openxmlformats.org/officeDocument/2006/relationships/image" Target="media/image274.png"/><Relationship Id="rId188" Type="http://schemas.openxmlformats.org/officeDocument/2006/relationships/image" Target="media/image273.png"/><Relationship Id="rId187" Type="http://schemas.openxmlformats.org/officeDocument/2006/relationships/image" Target="media/image272.png"/><Relationship Id="rId186" Type="http://schemas.openxmlformats.org/officeDocument/2006/relationships/image" Target="media/image271.png"/><Relationship Id="rId185" Type="http://schemas.openxmlformats.org/officeDocument/2006/relationships/image" Target="media/image270.png"/><Relationship Id="rId184" Type="http://schemas.openxmlformats.org/officeDocument/2006/relationships/image" Target="media/image269.png"/><Relationship Id="rId183" Type="http://schemas.openxmlformats.org/officeDocument/2006/relationships/image" Target="media/image268.png"/><Relationship Id="rId182" Type="http://schemas.openxmlformats.org/officeDocument/2006/relationships/image" Target="media/image267.png"/><Relationship Id="rId181" Type="http://schemas.openxmlformats.org/officeDocument/2006/relationships/image" Target="media/image266.png"/><Relationship Id="rId180" Type="http://schemas.openxmlformats.org/officeDocument/2006/relationships/image" Target="media/image265.png"/><Relationship Id="rId18" Type="http://schemas.openxmlformats.org/officeDocument/2006/relationships/image" Target="media/image103.png"/><Relationship Id="rId179" Type="http://schemas.openxmlformats.org/officeDocument/2006/relationships/image" Target="media/image264.png"/><Relationship Id="rId178" Type="http://schemas.openxmlformats.org/officeDocument/2006/relationships/image" Target="media/image263.png"/><Relationship Id="rId177" Type="http://schemas.openxmlformats.org/officeDocument/2006/relationships/image" Target="media/image262.png"/><Relationship Id="rId176" Type="http://schemas.openxmlformats.org/officeDocument/2006/relationships/image" Target="media/image261.png"/><Relationship Id="rId175" Type="http://schemas.openxmlformats.org/officeDocument/2006/relationships/image" Target="media/image260.png"/><Relationship Id="rId174" Type="http://schemas.openxmlformats.org/officeDocument/2006/relationships/image" Target="media/image259.png"/><Relationship Id="rId173" Type="http://schemas.openxmlformats.org/officeDocument/2006/relationships/image" Target="media/image258.png"/><Relationship Id="rId172" Type="http://schemas.openxmlformats.org/officeDocument/2006/relationships/image" Target="media/image257.png"/><Relationship Id="rId171" Type="http://schemas.openxmlformats.org/officeDocument/2006/relationships/image" Target="media/image256.png"/><Relationship Id="rId170" Type="http://schemas.openxmlformats.org/officeDocument/2006/relationships/image" Target="media/image255.png"/><Relationship Id="rId17" Type="http://schemas.openxmlformats.org/officeDocument/2006/relationships/image" Target="media/image102.png"/><Relationship Id="rId169" Type="http://schemas.openxmlformats.org/officeDocument/2006/relationships/image" Target="media/image254.png"/><Relationship Id="rId168" Type="http://schemas.openxmlformats.org/officeDocument/2006/relationships/image" Target="media/image253.png"/><Relationship Id="rId167" Type="http://schemas.openxmlformats.org/officeDocument/2006/relationships/image" Target="media/image252.png"/><Relationship Id="rId166" Type="http://schemas.openxmlformats.org/officeDocument/2006/relationships/image" Target="media/image251.png"/><Relationship Id="rId165" Type="http://schemas.openxmlformats.org/officeDocument/2006/relationships/image" Target="media/image250.png"/><Relationship Id="rId164" Type="http://schemas.openxmlformats.org/officeDocument/2006/relationships/image" Target="media/image249.png"/><Relationship Id="rId163" Type="http://schemas.openxmlformats.org/officeDocument/2006/relationships/image" Target="media/image248.png"/><Relationship Id="rId162" Type="http://schemas.openxmlformats.org/officeDocument/2006/relationships/image" Target="media/image247.png"/><Relationship Id="rId161" Type="http://schemas.openxmlformats.org/officeDocument/2006/relationships/image" Target="media/image246.png"/><Relationship Id="rId160" Type="http://schemas.openxmlformats.org/officeDocument/2006/relationships/image" Target="media/image245.png"/><Relationship Id="rId16" Type="http://schemas.openxmlformats.org/officeDocument/2006/relationships/image" Target="media/image101.png"/><Relationship Id="rId159" Type="http://schemas.openxmlformats.org/officeDocument/2006/relationships/image" Target="media/image244.png"/><Relationship Id="rId158" Type="http://schemas.openxmlformats.org/officeDocument/2006/relationships/image" Target="media/image243.png"/><Relationship Id="rId157" Type="http://schemas.openxmlformats.org/officeDocument/2006/relationships/image" Target="media/image242.png"/><Relationship Id="rId156" Type="http://schemas.openxmlformats.org/officeDocument/2006/relationships/image" Target="media/image241.png"/><Relationship Id="rId155" Type="http://schemas.openxmlformats.org/officeDocument/2006/relationships/image" Target="media/image240.png"/><Relationship Id="rId154" Type="http://schemas.openxmlformats.org/officeDocument/2006/relationships/image" Target="media/image239.png"/><Relationship Id="rId153" Type="http://schemas.openxmlformats.org/officeDocument/2006/relationships/image" Target="media/image238.png"/><Relationship Id="rId152" Type="http://schemas.openxmlformats.org/officeDocument/2006/relationships/image" Target="media/image237.png"/><Relationship Id="rId151" Type="http://schemas.openxmlformats.org/officeDocument/2006/relationships/image" Target="media/image236.png"/><Relationship Id="rId150" Type="http://schemas.openxmlformats.org/officeDocument/2006/relationships/image" Target="media/image235.png"/><Relationship Id="rId15" Type="http://schemas.openxmlformats.org/officeDocument/2006/relationships/image" Target="media/image100.png"/><Relationship Id="rId149" Type="http://schemas.openxmlformats.org/officeDocument/2006/relationships/image" Target="media/image234.png"/><Relationship Id="rId148" Type="http://schemas.openxmlformats.org/officeDocument/2006/relationships/image" Target="media/image233.png"/><Relationship Id="rId147" Type="http://schemas.openxmlformats.org/officeDocument/2006/relationships/image" Target="media/image232.png"/><Relationship Id="rId146" Type="http://schemas.openxmlformats.org/officeDocument/2006/relationships/image" Target="media/image231.png"/><Relationship Id="rId145" Type="http://schemas.openxmlformats.org/officeDocument/2006/relationships/image" Target="media/image230.png"/><Relationship Id="rId144" Type="http://schemas.openxmlformats.org/officeDocument/2006/relationships/image" Target="media/image229.png"/><Relationship Id="rId143" Type="http://schemas.openxmlformats.org/officeDocument/2006/relationships/image" Target="media/image228.png"/><Relationship Id="rId142" Type="http://schemas.openxmlformats.org/officeDocument/2006/relationships/image" Target="media/image227.png"/><Relationship Id="rId141" Type="http://schemas.openxmlformats.org/officeDocument/2006/relationships/image" Target="media/image226.png"/><Relationship Id="rId140" Type="http://schemas.openxmlformats.org/officeDocument/2006/relationships/image" Target="media/image225.png"/><Relationship Id="rId14" Type="http://schemas.openxmlformats.org/officeDocument/2006/relationships/image" Target="media/image99.png"/><Relationship Id="rId139" Type="http://schemas.openxmlformats.org/officeDocument/2006/relationships/image" Target="media/image224.png"/><Relationship Id="rId138" Type="http://schemas.openxmlformats.org/officeDocument/2006/relationships/image" Target="media/image223.png"/><Relationship Id="rId137" Type="http://schemas.openxmlformats.org/officeDocument/2006/relationships/image" Target="media/image222.png"/><Relationship Id="rId136" Type="http://schemas.openxmlformats.org/officeDocument/2006/relationships/image" Target="media/image221.png"/><Relationship Id="rId135" Type="http://schemas.openxmlformats.org/officeDocument/2006/relationships/image" Target="media/image220.png"/><Relationship Id="rId134" Type="http://schemas.openxmlformats.org/officeDocument/2006/relationships/image" Target="media/image219.png"/><Relationship Id="rId133" Type="http://schemas.openxmlformats.org/officeDocument/2006/relationships/image" Target="media/image218.png"/><Relationship Id="rId132" Type="http://schemas.openxmlformats.org/officeDocument/2006/relationships/image" Target="media/image217.png"/><Relationship Id="rId131" Type="http://schemas.openxmlformats.org/officeDocument/2006/relationships/image" Target="media/image216.png"/><Relationship Id="rId130" Type="http://schemas.openxmlformats.org/officeDocument/2006/relationships/image" Target="media/image215.png"/><Relationship Id="rId13" Type="http://schemas.openxmlformats.org/officeDocument/2006/relationships/image" Target="media/image98.png"/><Relationship Id="rId129" Type="http://schemas.openxmlformats.org/officeDocument/2006/relationships/image" Target="media/image214.png"/><Relationship Id="rId128" Type="http://schemas.openxmlformats.org/officeDocument/2006/relationships/image" Target="media/image213.png"/><Relationship Id="rId127" Type="http://schemas.openxmlformats.org/officeDocument/2006/relationships/image" Target="media/image212.png"/><Relationship Id="rId126" Type="http://schemas.openxmlformats.org/officeDocument/2006/relationships/image" Target="media/image211.png"/><Relationship Id="rId125" Type="http://schemas.openxmlformats.org/officeDocument/2006/relationships/image" Target="media/image210.png"/><Relationship Id="rId124" Type="http://schemas.openxmlformats.org/officeDocument/2006/relationships/image" Target="media/image209.png"/><Relationship Id="rId123" Type="http://schemas.openxmlformats.org/officeDocument/2006/relationships/image" Target="media/image208.png"/><Relationship Id="rId122" Type="http://schemas.openxmlformats.org/officeDocument/2006/relationships/image" Target="media/image207.png"/><Relationship Id="rId121" Type="http://schemas.openxmlformats.org/officeDocument/2006/relationships/image" Target="media/image206.png"/><Relationship Id="rId120" Type="http://schemas.openxmlformats.org/officeDocument/2006/relationships/image" Target="media/image205.png"/><Relationship Id="rId12" Type="http://schemas.openxmlformats.org/officeDocument/2006/relationships/image" Target="media/image97.png"/><Relationship Id="rId119" Type="http://schemas.openxmlformats.org/officeDocument/2006/relationships/image" Target="media/image204.png"/><Relationship Id="rId118" Type="http://schemas.openxmlformats.org/officeDocument/2006/relationships/image" Target="media/image203.png"/><Relationship Id="rId117" Type="http://schemas.openxmlformats.org/officeDocument/2006/relationships/image" Target="media/image202.png"/><Relationship Id="rId116" Type="http://schemas.openxmlformats.org/officeDocument/2006/relationships/image" Target="media/image201.png"/><Relationship Id="rId115" Type="http://schemas.openxmlformats.org/officeDocument/2006/relationships/image" Target="media/image200.png"/><Relationship Id="rId114" Type="http://schemas.openxmlformats.org/officeDocument/2006/relationships/image" Target="media/image199.png"/><Relationship Id="rId113" Type="http://schemas.openxmlformats.org/officeDocument/2006/relationships/image" Target="media/image198.png"/><Relationship Id="rId112" Type="http://schemas.openxmlformats.org/officeDocument/2006/relationships/image" Target="media/image197.png"/><Relationship Id="rId111" Type="http://schemas.openxmlformats.org/officeDocument/2006/relationships/image" Target="media/image196.png"/><Relationship Id="rId110" Type="http://schemas.openxmlformats.org/officeDocument/2006/relationships/image" Target="media/image195.png"/><Relationship Id="rId11" Type="http://schemas.openxmlformats.org/officeDocument/2006/relationships/image" Target="media/image96.png"/><Relationship Id="rId109" Type="http://schemas.openxmlformats.org/officeDocument/2006/relationships/image" Target="media/image194.png"/><Relationship Id="rId108" Type="http://schemas.openxmlformats.org/officeDocument/2006/relationships/image" Target="media/image193.png"/><Relationship Id="rId107" Type="http://schemas.openxmlformats.org/officeDocument/2006/relationships/image" Target="media/image192.png"/><Relationship Id="rId106" Type="http://schemas.openxmlformats.org/officeDocument/2006/relationships/image" Target="media/image191.png"/><Relationship Id="rId105" Type="http://schemas.openxmlformats.org/officeDocument/2006/relationships/image" Target="media/image190.png"/><Relationship Id="rId104" Type="http://schemas.openxmlformats.org/officeDocument/2006/relationships/image" Target="media/image189.png"/><Relationship Id="rId103" Type="http://schemas.openxmlformats.org/officeDocument/2006/relationships/image" Target="media/image188.png"/><Relationship Id="rId102" Type="http://schemas.openxmlformats.org/officeDocument/2006/relationships/image" Target="media/image187.png"/><Relationship Id="rId101" Type="http://schemas.openxmlformats.org/officeDocument/2006/relationships/image" Target="media/image186.png"/><Relationship Id="rId100" Type="http://schemas.openxmlformats.org/officeDocument/2006/relationships/image" Target="media/image185.png"/><Relationship Id="rId10" Type="http://schemas.openxmlformats.org/officeDocument/2006/relationships/image" Target="media/image95.png"/><Relationship Id="rId1" Type="http://schemas.openxmlformats.org/officeDocument/2006/relationships/image" Target="media/image8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www.wps.cn/officeDocument/2020/cellImage" Target="cellimag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png"/><Relationship Id="rId7" Type="http://schemas.openxmlformats.org/officeDocument/2006/relationships/image" Target="../media/image7.jpeg"/><Relationship Id="rId69" Type="http://schemas.openxmlformats.org/officeDocument/2006/relationships/image" Target="../media/image69.png"/><Relationship Id="rId68" Type="http://schemas.openxmlformats.org/officeDocument/2006/relationships/image" Target="../media/image68.jpe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pn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5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84.png"/><Relationship Id="rId98" Type="http://schemas.openxmlformats.org/officeDocument/2006/relationships/image" Target="../media/image183.png"/><Relationship Id="rId97" Type="http://schemas.openxmlformats.org/officeDocument/2006/relationships/image" Target="../media/image182.png"/><Relationship Id="rId96" Type="http://schemas.openxmlformats.org/officeDocument/2006/relationships/image" Target="../media/image181.jpeg"/><Relationship Id="rId95" Type="http://schemas.openxmlformats.org/officeDocument/2006/relationships/image" Target="../media/image180.jpeg"/><Relationship Id="rId94" Type="http://schemas.openxmlformats.org/officeDocument/2006/relationships/image" Target="../media/image179.jpeg"/><Relationship Id="rId93" Type="http://schemas.openxmlformats.org/officeDocument/2006/relationships/image" Target="../media/image178.jpeg"/><Relationship Id="rId92" Type="http://schemas.openxmlformats.org/officeDocument/2006/relationships/image" Target="../media/image177.jpeg"/><Relationship Id="rId91" Type="http://schemas.openxmlformats.org/officeDocument/2006/relationships/image" Target="../media/image176.jpeg"/><Relationship Id="rId90" Type="http://schemas.openxmlformats.org/officeDocument/2006/relationships/image" Target="../media/image175.jpeg"/><Relationship Id="rId9" Type="http://schemas.openxmlformats.org/officeDocument/2006/relationships/image" Target="../media/image94.png"/><Relationship Id="rId89" Type="http://schemas.openxmlformats.org/officeDocument/2006/relationships/image" Target="../media/image174.jpeg"/><Relationship Id="rId88" Type="http://schemas.openxmlformats.org/officeDocument/2006/relationships/image" Target="../media/image173.jpeg"/><Relationship Id="rId87" Type="http://schemas.openxmlformats.org/officeDocument/2006/relationships/image" Target="../media/image172.jpeg"/><Relationship Id="rId86" Type="http://schemas.openxmlformats.org/officeDocument/2006/relationships/image" Target="../media/image171.jpeg"/><Relationship Id="rId85" Type="http://schemas.openxmlformats.org/officeDocument/2006/relationships/image" Target="../media/image170.jpeg"/><Relationship Id="rId84" Type="http://schemas.openxmlformats.org/officeDocument/2006/relationships/image" Target="../media/image169.jpeg"/><Relationship Id="rId83" Type="http://schemas.openxmlformats.org/officeDocument/2006/relationships/image" Target="../media/image168.jpeg"/><Relationship Id="rId82" Type="http://schemas.openxmlformats.org/officeDocument/2006/relationships/image" Target="../media/image167.jpeg"/><Relationship Id="rId81" Type="http://schemas.openxmlformats.org/officeDocument/2006/relationships/image" Target="../media/image166.jpeg"/><Relationship Id="rId80" Type="http://schemas.openxmlformats.org/officeDocument/2006/relationships/image" Target="../media/image165.jpeg"/><Relationship Id="rId8" Type="http://schemas.openxmlformats.org/officeDocument/2006/relationships/image" Target="../media/image93.png"/><Relationship Id="rId79" Type="http://schemas.openxmlformats.org/officeDocument/2006/relationships/image" Target="../media/image164.jpeg"/><Relationship Id="rId78" Type="http://schemas.openxmlformats.org/officeDocument/2006/relationships/image" Target="../media/image163.jpeg"/><Relationship Id="rId77" Type="http://schemas.openxmlformats.org/officeDocument/2006/relationships/image" Target="../media/image162.jpeg"/><Relationship Id="rId76" Type="http://schemas.openxmlformats.org/officeDocument/2006/relationships/image" Target="../media/image161.jpeg"/><Relationship Id="rId75" Type="http://schemas.openxmlformats.org/officeDocument/2006/relationships/image" Target="../media/image160.jpeg"/><Relationship Id="rId74" Type="http://schemas.openxmlformats.org/officeDocument/2006/relationships/image" Target="../media/image159.jpeg"/><Relationship Id="rId73" Type="http://schemas.openxmlformats.org/officeDocument/2006/relationships/image" Target="../media/image158.jpeg"/><Relationship Id="rId72" Type="http://schemas.openxmlformats.org/officeDocument/2006/relationships/image" Target="../media/image157.jpeg"/><Relationship Id="rId71" Type="http://schemas.openxmlformats.org/officeDocument/2006/relationships/image" Target="../media/image156.jpeg"/><Relationship Id="rId70" Type="http://schemas.openxmlformats.org/officeDocument/2006/relationships/image" Target="../media/image155.jpeg"/><Relationship Id="rId7" Type="http://schemas.openxmlformats.org/officeDocument/2006/relationships/image" Target="../media/image92.png"/><Relationship Id="rId69" Type="http://schemas.openxmlformats.org/officeDocument/2006/relationships/image" Target="../media/image154.jpeg"/><Relationship Id="rId68" Type="http://schemas.openxmlformats.org/officeDocument/2006/relationships/image" Target="../media/image153.jpeg"/><Relationship Id="rId67" Type="http://schemas.openxmlformats.org/officeDocument/2006/relationships/image" Target="../media/image152.jpeg"/><Relationship Id="rId66" Type="http://schemas.openxmlformats.org/officeDocument/2006/relationships/image" Target="../media/image151.jpeg"/><Relationship Id="rId65" Type="http://schemas.openxmlformats.org/officeDocument/2006/relationships/image" Target="../media/image150.jpeg"/><Relationship Id="rId64" Type="http://schemas.openxmlformats.org/officeDocument/2006/relationships/image" Target="../media/image149.jpeg"/><Relationship Id="rId63" Type="http://schemas.openxmlformats.org/officeDocument/2006/relationships/image" Target="../media/image148.jpeg"/><Relationship Id="rId62" Type="http://schemas.openxmlformats.org/officeDocument/2006/relationships/image" Target="../media/image147.jpeg"/><Relationship Id="rId61" Type="http://schemas.openxmlformats.org/officeDocument/2006/relationships/image" Target="../media/image146.jpeg"/><Relationship Id="rId60" Type="http://schemas.openxmlformats.org/officeDocument/2006/relationships/image" Target="../media/image145.jpeg"/><Relationship Id="rId6" Type="http://schemas.openxmlformats.org/officeDocument/2006/relationships/image" Target="../media/image91.png"/><Relationship Id="rId59" Type="http://schemas.openxmlformats.org/officeDocument/2006/relationships/image" Target="../media/image144.jpeg"/><Relationship Id="rId58" Type="http://schemas.openxmlformats.org/officeDocument/2006/relationships/image" Target="../media/image143.jpeg"/><Relationship Id="rId57" Type="http://schemas.openxmlformats.org/officeDocument/2006/relationships/image" Target="../media/image142.jpeg"/><Relationship Id="rId56" Type="http://schemas.openxmlformats.org/officeDocument/2006/relationships/image" Target="../media/image141.jpeg"/><Relationship Id="rId55" Type="http://schemas.openxmlformats.org/officeDocument/2006/relationships/image" Target="../media/image140.jpeg"/><Relationship Id="rId54" Type="http://schemas.openxmlformats.org/officeDocument/2006/relationships/image" Target="../media/image139.jpeg"/><Relationship Id="rId53" Type="http://schemas.openxmlformats.org/officeDocument/2006/relationships/image" Target="../media/image138.jpeg"/><Relationship Id="rId52" Type="http://schemas.openxmlformats.org/officeDocument/2006/relationships/image" Target="../media/image137.jpeg"/><Relationship Id="rId51" Type="http://schemas.openxmlformats.org/officeDocument/2006/relationships/image" Target="../media/image136.jpeg"/><Relationship Id="rId50" Type="http://schemas.openxmlformats.org/officeDocument/2006/relationships/image" Target="../media/image135.jpeg"/><Relationship Id="rId5" Type="http://schemas.openxmlformats.org/officeDocument/2006/relationships/image" Target="../media/image90.png"/><Relationship Id="rId49" Type="http://schemas.openxmlformats.org/officeDocument/2006/relationships/image" Target="../media/image134.jpeg"/><Relationship Id="rId48" Type="http://schemas.openxmlformats.org/officeDocument/2006/relationships/image" Target="../media/image133.jpeg"/><Relationship Id="rId47" Type="http://schemas.openxmlformats.org/officeDocument/2006/relationships/image" Target="../media/image132.jpeg"/><Relationship Id="rId46" Type="http://schemas.openxmlformats.org/officeDocument/2006/relationships/image" Target="../media/image131.jpeg"/><Relationship Id="rId45" Type="http://schemas.openxmlformats.org/officeDocument/2006/relationships/image" Target="../media/image130.jpeg"/><Relationship Id="rId44" Type="http://schemas.openxmlformats.org/officeDocument/2006/relationships/image" Target="../media/image129.jpeg"/><Relationship Id="rId43" Type="http://schemas.openxmlformats.org/officeDocument/2006/relationships/image" Target="../media/image128.png"/><Relationship Id="rId42" Type="http://schemas.openxmlformats.org/officeDocument/2006/relationships/image" Target="../media/image127.jpeg"/><Relationship Id="rId41" Type="http://schemas.openxmlformats.org/officeDocument/2006/relationships/image" Target="../media/image126.jpeg"/><Relationship Id="rId40" Type="http://schemas.openxmlformats.org/officeDocument/2006/relationships/image" Target="../media/image125.jpeg"/><Relationship Id="rId4" Type="http://schemas.openxmlformats.org/officeDocument/2006/relationships/image" Target="../media/image89.png"/><Relationship Id="rId39" Type="http://schemas.openxmlformats.org/officeDocument/2006/relationships/image" Target="../media/image124.jpeg"/><Relationship Id="rId38" Type="http://schemas.openxmlformats.org/officeDocument/2006/relationships/image" Target="../media/image123.jpeg"/><Relationship Id="rId378" Type="http://schemas.openxmlformats.org/officeDocument/2006/relationships/image" Target="../media/image463.png"/><Relationship Id="rId377" Type="http://schemas.openxmlformats.org/officeDocument/2006/relationships/image" Target="../media/image462.png"/><Relationship Id="rId376" Type="http://schemas.openxmlformats.org/officeDocument/2006/relationships/image" Target="../media/image461.png"/><Relationship Id="rId375" Type="http://schemas.openxmlformats.org/officeDocument/2006/relationships/image" Target="../media/image460.png"/><Relationship Id="rId374" Type="http://schemas.openxmlformats.org/officeDocument/2006/relationships/image" Target="../media/image459.png"/><Relationship Id="rId373" Type="http://schemas.openxmlformats.org/officeDocument/2006/relationships/image" Target="../media/image458.png"/><Relationship Id="rId372" Type="http://schemas.openxmlformats.org/officeDocument/2006/relationships/image" Target="../media/image457.png"/><Relationship Id="rId371" Type="http://schemas.openxmlformats.org/officeDocument/2006/relationships/image" Target="../media/image456.png"/><Relationship Id="rId370" Type="http://schemas.openxmlformats.org/officeDocument/2006/relationships/image" Target="../media/image455.png"/><Relationship Id="rId37" Type="http://schemas.openxmlformats.org/officeDocument/2006/relationships/image" Target="../media/image122.jpeg"/><Relationship Id="rId369" Type="http://schemas.openxmlformats.org/officeDocument/2006/relationships/image" Target="../media/image454.png"/><Relationship Id="rId368" Type="http://schemas.openxmlformats.org/officeDocument/2006/relationships/image" Target="../media/image453.png"/><Relationship Id="rId367" Type="http://schemas.openxmlformats.org/officeDocument/2006/relationships/image" Target="../media/image452.png"/><Relationship Id="rId366" Type="http://schemas.openxmlformats.org/officeDocument/2006/relationships/image" Target="../media/image451.png"/><Relationship Id="rId365" Type="http://schemas.openxmlformats.org/officeDocument/2006/relationships/image" Target="../media/image450.png"/><Relationship Id="rId364" Type="http://schemas.openxmlformats.org/officeDocument/2006/relationships/image" Target="../media/image449.png"/><Relationship Id="rId363" Type="http://schemas.openxmlformats.org/officeDocument/2006/relationships/image" Target="../media/image448.png"/><Relationship Id="rId362" Type="http://schemas.openxmlformats.org/officeDocument/2006/relationships/image" Target="../media/image447.png"/><Relationship Id="rId361" Type="http://schemas.openxmlformats.org/officeDocument/2006/relationships/image" Target="../media/image446.png"/><Relationship Id="rId360" Type="http://schemas.openxmlformats.org/officeDocument/2006/relationships/image" Target="../media/image445.png"/><Relationship Id="rId36" Type="http://schemas.openxmlformats.org/officeDocument/2006/relationships/image" Target="../media/image121.jpeg"/><Relationship Id="rId359" Type="http://schemas.openxmlformats.org/officeDocument/2006/relationships/image" Target="../media/image444.png"/><Relationship Id="rId358" Type="http://schemas.openxmlformats.org/officeDocument/2006/relationships/image" Target="../media/image443.png"/><Relationship Id="rId357" Type="http://schemas.openxmlformats.org/officeDocument/2006/relationships/image" Target="../media/image442.png"/><Relationship Id="rId356" Type="http://schemas.openxmlformats.org/officeDocument/2006/relationships/image" Target="../media/image441.png"/><Relationship Id="rId355" Type="http://schemas.openxmlformats.org/officeDocument/2006/relationships/image" Target="../media/image440.png"/><Relationship Id="rId354" Type="http://schemas.openxmlformats.org/officeDocument/2006/relationships/image" Target="../media/image439.png"/><Relationship Id="rId353" Type="http://schemas.openxmlformats.org/officeDocument/2006/relationships/image" Target="../media/image438.png"/><Relationship Id="rId352" Type="http://schemas.openxmlformats.org/officeDocument/2006/relationships/image" Target="../media/image437.png"/><Relationship Id="rId351" Type="http://schemas.openxmlformats.org/officeDocument/2006/relationships/image" Target="../media/image436.png"/><Relationship Id="rId350" Type="http://schemas.openxmlformats.org/officeDocument/2006/relationships/image" Target="../media/image435.png"/><Relationship Id="rId35" Type="http://schemas.openxmlformats.org/officeDocument/2006/relationships/image" Target="../media/image120.jpeg"/><Relationship Id="rId349" Type="http://schemas.openxmlformats.org/officeDocument/2006/relationships/image" Target="../media/image434.png"/><Relationship Id="rId348" Type="http://schemas.openxmlformats.org/officeDocument/2006/relationships/image" Target="../media/image433.png"/><Relationship Id="rId347" Type="http://schemas.openxmlformats.org/officeDocument/2006/relationships/image" Target="../media/image432.png"/><Relationship Id="rId346" Type="http://schemas.openxmlformats.org/officeDocument/2006/relationships/image" Target="../media/image431.png"/><Relationship Id="rId345" Type="http://schemas.openxmlformats.org/officeDocument/2006/relationships/image" Target="../media/image430.png"/><Relationship Id="rId344" Type="http://schemas.openxmlformats.org/officeDocument/2006/relationships/image" Target="../media/image429.png"/><Relationship Id="rId343" Type="http://schemas.openxmlformats.org/officeDocument/2006/relationships/image" Target="../media/image428.png"/><Relationship Id="rId342" Type="http://schemas.openxmlformats.org/officeDocument/2006/relationships/image" Target="../media/image427.png"/><Relationship Id="rId341" Type="http://schemas.openxmlformats.org/officeDocument/2006/relationships/image" Target="../media/image426.png"/><Relationship Id="rId340" Type="http://schemas.openxmlformats.org/officeDocument/2006/relationships/image" Target="../media/image425.png"/><Relationship Id="rId34" Type="http://schemas.openxmlformats.org/officeDocument/2006/relationships/image" Target="../media/image119.jpeg"/><Relationship Id="rId339" Type="http://schemas.openxmlformats.org/officeDocument/2006/relationships/image" Target="../media/image424.png"/><Relationship Id="rId338" Type="http://schemas.openxmlformats.org/officeDocument/2006/relationships/image" Target="../media/image423.png"/><Relationship Id="rId337" Type="http://schemas.openxmlformats.org/officeDocument/2006/relationships/image" Target="../media/image422.png"/><Relationship Id="rId336" Type="http://schemas.openxmlformats.org/officeDocument/2006/relationships/image" Target="../media/image421.png"/><Relationship Id="rId335" Type="http://schemas.openxmlformats.org/officeDocument/2006/relationships/image" Target="../media/image420.png"/><Relationship Id="rId334" Type="http://schemas.openxmlformats.org/officeDocument/2006/relationships/image" Target="../media/image419.png"/><Relationship Id="rId333" Type="http://schemas.openxmlformats.org/officeDocument/2006/relationships/image" Target="../media/image418.png"/><Relationship Id="rId332" Type="http://schemas.openxmlformats.org/officeDocument/2006/relationships/image" Target="../media/image417.png"/><Relationship Id="rId331" Type="http://schemas.openxmlformats.org/officeDocument/2006/relationships/image" Target="../media/image416.png"/><Relationship Id="rId330" Type="http://schemas.openxmlformats.org/officeDocument/2006/relationships/image" Target="../media/image415.png"/><Relationship Id="rId33" Type="http://schemas.openxmlformats.org/officeDocument/2006/relationships/image" Target="../media/image118.jpeg"/><Relationship Id="rId329" Type="http://schemas.openxmlformats.org/officeDocument/2006/relationships/image" Target="../media/image414.png"/><Relationship Id="rId328" Type="http://schemas.openxmlformats.org/officeDocument/2006/relationships/image" Target="../media/image413.png"/><Relationship Id="rId327" Type="http://schemas.openxmlformats.org/officeDocument/2006/relationships/image" Target="../media/image412.png"/><Relationship Id="rId326" Type="http://schemas.openxmlformats.org/officeDocument/2006/relationships/image" Target="../media/image411.png"/><Relationship Id="rId325" Type="http://schemas.openxmlformats.org/officeDocument/2006/relationships/image" Target="../media/image410.png"/><Relationship Id="rId324" Type="http://schemas.openxmlformats.org/officeDocument/2006/relationships/image" Target="../media/image409.png"/><Relationship Id="rId323" Type="http://schemas.openxmlformats.org/officeDocument/2006/relationships/image" Target="../media/image408.png"/><Relationship Id="rId322" Type="http://schemas.openxmlformats.org/officeDocument/2006/relationships/image" Target="../media/image407.png"/><Relationship Id="rId321" Type="http://schemas.openxmlformats.org/officeDocument/2006/relationships/image" Target="../media/image406.png"/><Relationship Id="rId320" Type="http://schemas.openxmlformats.org/officeDocument/2006/relationships/image" Target="../media/image405.png"/><Relationship Id="rId32" Type="http://schemas.openxmlformats.org/officeDocument/2006/relationships/image" Target="../media/image117.jpeg"/><Relationship Id="rId319" Type="http://schemas.openxmlformats.org/officeDocument/2006/relationships/image" Target="../media/image404.png"/><Relationship Id="rId318" Type="http://schemas.openxmlformats.org/officeDocument/2006/relationships/image" Target="../media/image403.png"/><Relationship Id="rId317" Type="http://schemas.openxmlformats.org/officeDocument/2006/relationships/image" Target="../media/image402.png"/><Relationship Id="rId316" Type="http://schemas.openxmlformats.org/officeDocument/2006/relationships/image" Target="../media/image401.png"/><Relationship Id="rId315" Type="http://schemas.openxmlformats.org/officeDocument/2006/relationships/image" Target="../media/image400.png"/><Relationship Id="rId314" Type="http://schemas.openxmlformats.org/officeDocument/2006/relationships/image" Target="../media/image399.png"/><Relationship Id="rId313" Type="http://schemas.openxmlformats.org/officeDocument/2006/relationships/image" Target="../media/image398.png"/><Relationship Id="rId312" Type="http://schemas.openxmlformats.org/officeDocument/2006/relationships/image" Target="../media/image397.png"/><Relationship Id="rId311" Type="http://schemas.openxmlformats.org/officeDocument/2006/relationships/image" Target="../media/image396.png"/><Relationship Id="rId310" Type="http://schemas.openxmlformats.org/officeDocument/2006/relationships/image" Target="../media/image395.png"/><Relationship Id="rId31" Type="http://schemas.openxmlformats.org/officeDocument/2006/relationships/image" Target="../media/image116.jpeg"/><Relationship Id="rId309" Type="http://schemas.openxmlformats.org/officeDocument/2006/relationships/image" Target="../media/image394.png"/><Relationship Id="rId308" Type="http://schemas.openxmlformats.org/officeDocument/2006/relationships/image" Target="../media/image393.png"/><Relationship Id="rId307" Type="http://schemas.openxmlformats.org/officeDocument/2006/relationships/image" Target="../media/image392.png"/><Relationship Id="rId306" Type="http://schemas.openxmlformats.org/officeDocument/2006/relationships/image" Target="../media/image391.png"/><Relationship Id="rId305" Type="http://schemas.openxmlformats.org/officeDocument/2006/relationships/image" Target="../media/image390.png"/><Relationship Id="rId304" Type="http://schemas.openxmlformats.org/officeDocument/2006/relationships/image" Target="../media/image389.png"/><Relationship Id="rId303" Type="http://schemas.openxmlformats.org/officeDocument/2006/relationships/image" Target="../media/image388.png"/><Relationship Id="rId302" Type="http://schemas.openxmlformats.org/officeDocument/2006/relationships/image" Target="../media/image387.png"/><Relationship Id="rId301" Type="http://schemas.openxmlformats.org/officeDocument/2006/relationships/image" Target="../media/image386.png"/><Relationship Id="rId300" Type="http://schemas.openxmlformats.org/officeDocument/2006/relationships/image" Target="../media/image385.png"/><Relationship Id="rId30" Type="http://schemas.openxmlformats.org/officeDocument/2006/relationships/image" Target="../media/image115.jpeg"/><Relationship Id="rId3" Type="http://schemas.openxmlformats.org/officeDocument/2006/relationships/image" Target="../media/image88.png"/><Relationship Id="rId299" Type="http://schemas.openxmlformats.org/officeDocument/2006/relationships/image" Target="../media/image384.png"/><Relationship Id="rId298" Type="http://schemas.openxmlformats.org/officeDocument/2006/relationships/image" Target="../media/image383.png"/><Relationship Id="rId297" Type="http://schemas.openxmlformats.org/officeDocument/2006/relationships/image" Target="../media/image382.png"/><Relationship Id="rId296" Type="http://schemas.openxmlformats.org/officeDocument/2006/relationships/image" Target="../media/image381.png"/><Relationship Id="rId295" Type="http://schemas.openxmlformats.org/officeDocument/2006/relationships/image" Target="../media/image380.png"/><Relationship Id="rId294" Type="http://schemas.openxmlformats.org/officeDocument/2006/relationships/image" Target="../media/image379.png"/><Relationship Id="rId293" Type="http://schemas.openxmlformats.org/officeDocument/2006/relationships/image" Target="../media/image378.png"/><Relationship Id="rId292" Type="http://schemas.openxmlformats.org/officeDocument/2006/relationships/image" Target="../media/image377.png"/><Relationship Id="rId291" Type="http://schemas.openxmlformats.org/officeDocument/2006/relationships/image" Target="../media/image376.png"/><Relationship Id="rId290" Type="http://schemas.openxmlformats.org/officeDocument/2006/relationships/image" Target="../media/image375.png"/><Relationship Id="rId29" Type="http://schemas.openxmlformats.org/officeDocument/2006/relationships/image" Target="../media/image114.jpeg"/><Relationship Id="rId289" Type="http://schemas.openxmlformats.org/officeDocument/2006/relationships/image" Target="../media/image374.png"/><Relationship Id="rId288" Type="http://schemas.openxmlformats.org/officeDocument/2006/relationships/image" Target="../media/image373.png"/><Relationship Id="rId287" Type="http://schemas.openxmlformats.org/officeDocument/2006/relationships/image" Target="../media/image372.png"/><Relationship Id="rId286" Type="http://schemas.openxmlformats.org/officeDocument/2006/relationships/image" Target="../media/image371.png"/><Relationship Id="rId285" Type="http://schemas.openxmlformats.org/officeDocument/2006/relationships/image" Target="../media/image370.png"/><Relationship Id="rId284" Type="http://schemas.openxmlformats.org/officeDocument/2006/relationships/image" Target="../media/image369.png"/><Relationship Id="rId283" Type="http://schemas.openxmlformats.org/officeDocument/2006/relationships/image" Target="../media/image368.png"/><Relationship Id="rId282" Type="http://schemas.openxmlformats.org/officeDocument/2006/relationships/image" Target="../media/image367.png"/><Relationship Id="rId281" Type="http://schemas.openxmlformats.org/officeDocument/2006/relationships/image" Target="../media/image366.png"/><Relationship Id="rId280" Type="http://schemas.openxmlformats.org/officeDocument/2006/relationships/image" Target="../media/image365.png"/><Relationship Id="rId28" Type="http://schemas.openxmlformats.org/officeDocument/2006/relationships/image" Target="../media/image113.jpeg"/><Relationship Id="rId279" Type="http://schemas.openxmlformats.org/officeDocument/2006/relationships/image" Target="../media/image364.png"/><Relationship Id="rId278" Type="http://schemas.openxmlformats.org/officeDocument/2006/relationships/image" Target="../media/image363.png"/><Relationship Id="rId277" Type="http://schemas.openxmlformats.org/officeDocument/2006/relationships/image" Target="../media/image362.png"/><Relationship Id="rId276" Type="http://schemas.openxmlformats.org/officeDocument/2006/relationships/image" Target="../media/image361.png"/><Relationship Id="rId275" Type="http://schemas.openxmlformats.org/officeDocument/2006/relationships/image" Target="../media/image360.png"/><Relationship Id="rId274" Type="http://schemas.openxmlformats.org/officeDocument/2006/relationships/image" Target="../media/image359.png"/><Relationship Id="rId273" Type="http://schemas.openxmlformats.org/officeDocument/2006/relationships/image" Target="../media/image358.png"/><Relationship Id="rId272" Type="http://schemas.openxmlformats.org/officeDocument/2006/relationships/image" Target="../media/image357.png"/><Relationship Id="rId271" Type="http://schemas.openxmlformats.org/officeDocument/2006/relationships/image" Target="../media/image356.png"/><Relationship Id="rId270" Type="http://schemas.openxmlformats.org/officeDocument/2006/relationships/image" Target="../media/image355.png"/><Relationship Id="rId27" Type="http://schemas.openxmlformats.org/officeDocument/2006/relationships/image" Target="../media/image112.jpeg"/><Relationship Id="rId269" Type="http://schemas.openxmlformats.org/officeDocument/2006/relationships/image" Target="../media/image354.png"/><Relationship Id="rId268" Type="http://schemas.openxmlformats.org/officeDocument/2006/relationships/image" Target="../media/image353.png"/><Relationship Id="rId267" Type="http://schemas.openxmlformats.org/officeDocument/2006/relationships/image" Target="../media/image352.png"/><Relationship Id="rId266" Type="http://schemas.openxmlformats.org/officeDocument/2006/relationships/image" Target="../media/image351.png"/><Relationship Id="rId265" Type="http://schemas.openxmlformats.org/officeDocument/2006/relationships/image" Target="../media/image350.png"/><Relationship Id="rId264" Type="http://schemas.openxmlformats.org/officeDocument/2006/relationships/image" Target="../media/image349.png"/><Relationship Id="rId263" Type="http://schemas.openxmlformats.org/officeDocument/2006/relationships/image" Target="../media/image348.png"/><Relationship Id="rId262" Type="http://schemas.openxmlformats.org/officeDocument/2006/relationships/image" Target="../media/image347.png"/><Relationship Id="rId261" Type="http://schemas.openxmlformats.org/officeDocument/2006/relationships/image" Target="../media/image346.png"/><Relationship Id="rId260" Type="http://schemas.openxmlformats.org/officeDocument/2006/relationships/image" Target="../media/image345.png"/><Relationship Id="rId26" Type="http://schemas.openxmlformats.org/officeDocument/2006/relationships/image" Target="../media/image111.jpeg"/><Relationship Id="rId259" Type="http://schemas.openxmlformats.org/officeDocument/2006/relationships/image" Target="../media/image344.png"/><Relationship Id="rId258" Type="http://schemas.openxmlformats.org/officeDocument/2006/relationships/image" Target="../media/image343.png"/><Relationship Id="rId257" Type="http://schemas.openxmlformats.org/officeDocument/2006/relationships/image" Target="../media/image342.png"/><Relationship Id="rId256" Type="http://schemas.openxmlformats.org/officeDocument/2006/relationships/image" Target="../media/image341.png"/><Relationship Id="rId255" Type="http://schemas.openxmlformats.org/officeDocument/2006/relationships/image" Target="../media/image340.png"/><Relationship Id="rId254" Type="http://schemas.openxmlformats.org/officeDocument/2006/relationships/image" Target="../media/image339.png"/><Relationship Id="rId253" Type="http://schemas.openxmlformats.org/officeDocument/2006/relationships/image" Target="../media/image338.png"/><Relationship Id="rId252" Type="http://schemas.openxmlformats.org/officeDocument/2006/relationships/image" Target="../media/image337.png"/><Relationship Id="rId251" Type="http://schemas.openxmlformats.org/officeDocument/2006/relationships/image" Target="../media/image336.png"/><Relationship Id="rId250" Type="http://schemas.openxmlformats.org/officeDocument/2006/relationships/image" Target="../media/image335.png"/><Relationship Id="rId25" Type="http://schemas.openxmlformats.org/officeDocument/2006/relationships/image" Target="../media/image110.jpeg"/><Relationship Id="rId249" Type="http://schemas.openxmlformats.org/officeDocument/2006/relationships/image" Target="../media/image334.png"/><Relationship Id="rId248" Type="http://schemas.openxmlformats.org/officeDocument/2006/relationships/image" Target="../media/image333.png"/><Relationship Id="rId247" Type="http://schemas.openxmlformats.org/officeDocument/2006/relationships/image" Target="../media/image332.png"/><Relationship Id="rId246" Type="http://schemas.openxmlformats.org/officeDocument/2006/relationships/image" Target="../media/image331.png"/><Relationship Id="rId245" Type="http://schemas.openxmlformats.org/officeDocument/2006/relationships/image" Target="../media/image330.png"/><Relationship Id="rId244" Type="http://schemas.openxmlformats.org/officeDocument/2006/relationships/image" Target="../media/image329.png"/><Relationship Id="rId243" Type="http://schemas.openxmlformats.org/officeDocument/2006/relationships/image" Target="../media/image328.png"/><Relationship Id="rId242" Type="http://schemas.openxmlformats.org/officeDocument/2006/relationships/image" Target="../media/image327.png"/><Relationship Id="rId241" Type="http://schemas.openxmlformats.org/officeDocument/2006/relationships/image" Target="../media/image326.png"/><Relationship Id="rId240" Type="http://schemas.openxmlformats.org/officeDocument/2006/relationships/image" Target="../media/image325.png"/><Relationship Id="rId24" Type="http://schemas.openxmlformats.org/officeDocument/2006/relationships/image" Target="../media/image109.png"/><Relationship Id="rId239" Type="http://schemas.openxmlformats.org/officeDocument/2006/relationships/image" Target="../media/image324.png"/><Relationship Id="rId238" Type="http://schemas.openxmlformats.org/officeDocument/2006/relationships/image" Target="../media/image323.png"/><Relationship Id="rId237" Type="http://schemas.openxmlformats.org/officeDocument/2006/relationships/image" Target="../media/image322.png"/><Relationship Id="rId236" Type="http://schemas.openxmlformats.org/officeDocument/2006/relationships/image" Target="../media/image321.png"/><Relationship Id="rId235" Type="http://schemas.openxmlformats.org/officeDocument/2006/relationships/image" Target="../media/image320.png"/><Relationship Id="rId234" Type="http://schemas.openxmlformats.org/officeDocument/2006/relationships/image" Target="../media/image319.png"/><Relationship Id="rId233" Type="http://schemas.openxmlformats.org/officeDocument/2006/relationships/image" Target="../media/image318.png"/><Relationship Id="rId232" Type="http://schemas.openxmlformats.org/officeDocument/2006/relationships/image" Target="../media/image317.png"/><Relationship Id="rId231" Type="http://schemas.openxmlformats.org/officeDocument/2006/relationships/image" Target="../media/image316.png"/><Relationship Id="rId230" Type="http://schemas.openxmlformats.org/officeDocument/2006/relationships/image" Target="../media/image315.png"/><Relationship Id="rId23" Type="http://schemas.openxmlformats.org/officeDocument/2006/relationships/image" Target="../media/image108.png"/><Relationship Id="rId229" Type="http://schemas.openxmlformats.org/officeDocument/2006/relationships/image" Target="../media/image314.png"/><Relationship Id="rId228" Type="http://schemas.openxmlformats.org/officeDocument/2006/relationships/image" Target="../media/image313.png"/><Relationship Id="rId227" Type="http://schemas.openxmlformats.org/officeDocument/2006/relationships/image" Target="../media/image312.png"/><Relationship Id="rId226" Type="http://schemas.openxmlformats.org/officeDocument/2006/relationships/image" Target="../media/image311.png"/><Relationship Id="rId225" Type="http://schemas.openxmlformats.org/officeDocument/2006/relationships/image" Target="../media/image310.png"/><Relationship Id="rId224" Type="http://schemas.openxmlformats.org/officeDocument/2006/relationships/image" Target="../media/image309.png"/><Relationship Id="rId223" Type="http://schemas.openxmlformats.org/officeDocument/2006/relationships/image" Target="../media/image308.png"/><Relationship Id="rId222" Type="http://schemas.openxmlformats.org/officeDocument/2006/relationships/image" Target="../media/image307.png"/><Relationship Id="rId221" Type="http://schemas.openxmlformats.org/officeDocument/2006/relationships/image" Target="../media/image306.png"/><Relationship Id="rId220" Type="http://schemas.openxmlformats.org/officeDocument/2006/relationships/image" Target="../media/image305.png"/><Relationship Id="rId22" Type="http://schemas.openxmlformats.org/officeDocument/2006/relationships/image" Target="../media/image107.png"/><Relationship Id="rId219" Type="http://schemas.openxmlformats.org/officeDocument/2006/relationships/image" Target="../media/image304.png"/><Relationship Id="rId218" Type="http://schemas.openxmlformats.org/officeDocument/2006/relationships/image" Target="../media/image303.png"/><Relationship Id="rId217" Type="http://schemas.openxmlformats.org/officeDocument/2006/relationships/image" Target="../media/image302.png"/><Relationship Id="rId216" Type="http://schemas.openxmlformats.org/officeDocument/2006/relationships/image" Target="../media/image301.png"/><Relationship Id="rId215" Type="http://schemas.openxmlformats.org/officeDocument/2006/relationships/image" Target="../media/image300.png"/><Relationship Id="rId214" Type="http://schemas.openxmlformats.org/officeDocument/2006/relationships/image" Target="../media/image299.png"/><Relationship Id="rId213" Type="http://schemas.openxmlformats.org/officeDocument/2006/relationships/image" Target="../media/image298.png"/><Relationship Id="rId212" Type="http://schemas.openxmlformats.org/officeDocument/2006/relationships/image" Target="../media/image297.png"/><Relationship Id="rId211" Type="http://schemas.openxmlformats.org/officeDocument/2006/relationships/image" Target="../media/image296.png"/><Relationship Id="rId210" Type="http://schemas.openxmlformats.org/officeDocument/2006/relationships/image" Target="../media/image295.png"/><Relationship Id="rId21" Type="http://schemas.openxmlformats.org/officeDocument/2006/relationships/image" Target="../media/image106.png"/><Relationship Id="rId209" Type="http://schemas.openxmlformats.org/officeDocument/2006/relationships/image" Target="../media/image294.png"/><Relationship Id="rId208" Type="http://schemas.openxmlformats.org/officeDocument/2006/relationships/image" Target="../media/image293.png"/><Relationship Id="rId207" Type="http://schemas.openxmlformats.org/officeDocument/2006/relationships/image" Target="../media/image292.png"/><Relationship Id="rId206" Type="http://schemas.openxmlformats.org/officeDocument/2006/relationships/image" Target="../media/image291.png"/><Relationship Id="rId205" Type="http://schemas.openxmlformats.org/officeDocument/2006/relationships/image" Target="../media/image290.png"/><Relationship Id="rId204" Type="http://schemas.openxmlformats.org/officeDocument/2006/relationships/image" Target="../media/image289.png"/><Relationship Id="rId203" Type="http://schemas.openxmlformats.org/officeDocument/2006/relationships/image" Target="../media/image288.png"/><Relationship Id="rId202" Type="http://schemas.openxmlformats.org/officeDocument/2006/relationships/image" Target="../media/image287.png"/><Relationship Id="rId201" Type="http://schemas.openxmlformats.org/officeDocument/2006/relationships/image" Target="../media/image286.png"/><Relationship Id="rId200" Type="http://schemas.openxmlformats.org/officeDocument/2006/relationships/image" Target="../media/image285.png"/><Relationship Id="rId20" Type="http://schemas.openxmlformats.org/officeDocument/2006/relationships/image" Target="../media/image105.png"/><Relationship Id="rId2" Type="http://schemas.openxmlformats.org/officeDocument/2006/relationships/image" Target="../media/image87.png"/><Relationship Id="rId199" Type="http://schemas.openxmlformats.org/officeDocument/2006/relationships/image" Target="../media/image284.png"/><Relationship Id="rId198" Type="http://schemas.openxmlformats.org/officeDocument/2006/relationships/image" Target="../media/image283.png"/><Relationship Id="rId197" Type="http://schemas.openxmlformats.org/officeDocument/2006/relationships/image" Target="../media/image282.png"/><Relationship Id="rId196" Type="http://schemas.openxmlformats.org/officeDocument/2006/relationships/image" Target="../media/image281.png"/><Relationship Id="rId195" Type="http://schemas.openxmlformats.org/officeDocument/2006/relationships/image" Target="../media/image280.png"/><Relationship Id="rId194" Type="http://schemas.openxmlformats.org/officeDocument/2006/relationships/image" Target="../media/image279.png"/><Relationship Id="rId193" Type="http://schemas.openxmlformats.org/officeDocument/2006/relationships/image" Target="../media/image278.png"/><Relationship Id="rId192" Type="http://schemas.openxmlformats.org/officeDocument/2006/relationships/image" Target="../media/image277.png"/><Relationship Id="rId191" Type="http://schemas.openxmlformats.org/officeDocument/2006/relationships/image" Target="../media/image276.png"/><Relationship Id="rId190" Type="http://schemas.openxmlformats.org/officeDocument/2006/relationships/image" Target="../media/image275.png"/><Relationship Id="rId19" Type="http://schemas.openxmlformats.org/officeDocument/2006/relationships/image" Target="../media/image104.png"/><Relationship Id="rId189" Type="http://schemas.openxmlformats.org/officeDocument/2006/relationships/image" Target="../media/image274.png"/><Relationship Id="rId188" Type="http://schemas.openxmlformats.org/officeDocument/2006/relationships/image" Target="../media/image273.png"/><Relationship Id="rId187" Type="http://schemas.openxmlformats.org/officeDocument/2006/relationships/image" Target="../media/image272.png"/><Relationship Id="rId186" Type="http://schemas.openxmlformats.org/officeDocument/2006/relationships/image" Target="../media/image271.png"/><Relationship Id="rId185" Type="http://schemas.openxmlformats.org/officeDocument/2006/relationships/image" Target="../media/image270.png"/><Relationship Id="rId184" Type="http://schemas.openxmlformats.org/officeDocument/2006/relationships/image" Target="../media/image269.png"/><Relationship Id="rId183" Type="http://schemas.openxmlformats.org/officeDocument/2006/relationships/image" Target="../media/image268.png"/><Relationship Id="rId182" Type="http://schemas.openxmlformats.org/officeDocument/2006/relationships/image" Target="../media/image267.png"/><Relationship Id="rId181" Type="http://schemas.openxmlformats.org/officeDocument/2006/relationships/image" Target="../media/image266.png"/><Relationship Id="rId180" Type="http://schemas.openxmlformats.org/officeDocument/2006/relationships/image" Target="../media/image265.png"/><Relationship Id="rId18" Type="http://schemas.openxmlformats.org/officeDocument/2006/relationships/image" Target="../media/image103.png"/><Relationship Id="rId179" Type="http://schemas.openxmlformats.org/officeDocument/2006/relationships/image" Target="../media/image264.png"/><Relationship Id="rId178" Type="http://schemas.openxmlformats.org/officeDocument/2006/relationships/image" Target="../media/image263.png"/><Relationship Id="rId177" Type="http://schemas.openxmlformats.org/officeDocument/2006/relationships/image" Target="../media/image262.png"/><Relationship Id="rId176" Type="http://schemas.openxmlformats.org/officeDocument/2006/relationships/image" Target="../media/image261.png"/><Relationship Id="rId175" Type="http://schemas.openxmlformats.org/officeDocument/2006/relationships/image" Target="../media/image260.png"/><Relationship Id="rId174" Type="http://schemas.openxmlformats.org/officeDocument/2006/relationships/image" Target="../media/image259.png"/><Relationship Id="rId173" Type="http://schemas.openxmlformats.org/officeDocument/2006/relationships/image" Target="../media/image258.png"/><Relationship Id="rId172" Type="http://schemas.openxmlformats.org/officeDocument/2006/relationships/image" Target="../media/image257.png"/><Relationship Id="rId171" Type="http://schemas.openxmlformats.org/officeDocument/2006/relationships/image" Target="../media/image256.png"/><Relationship Id="rId170" Type="http://schemas.openxmlformats.org/officeDocument/2006/relationships/image" Target="../media/image255.png"/><Relationship Id="rId17" Type="http://schemas.openxmlformats.org/officeDocument/2006/relationships/image" Target="../media/image102.png"/><Relationship Id="rId169" Type="http://schemas.openxmlformats.org/officeDocument/2006/relationships/image" Target="../media/image254.png"/><Relationship Id="rId168" Type="http://schemas.openxmlformats.org/officeDocument/2006/relationships/image" Target="../media/image253.png"/><Relationship Id="rId167" Type="http://schemas.openxmlformats.org/officeDocument/2006/relationships/image" Target="../media/image252.png"/><Relationship Id="rId166" Type="http://schemas.openxmlformats.org/officeDocument/2006/relationships/image" Target="../media/image251.png"/><Relationship Id="rId165" Type="http://schemas.openxmlformats.org/officeDocument/2006/relationships/image" Target="../media/image250.png"/><Relationship Id="rId164" Type="http://schemas.openxmlformats.org/officeDocument/2006/relationships/image" Target="../media/image249.png"/><Relationship Id="rId163" Type="http://schemas.openxmlformats.org/officeDocument/2006/relationships/image" Target="../media/image248.png"/><Relationship Id="rId162" Type="http://schemas.openxmlformats.org/officeDocument/2006/relationships/image" Target="../media/image247.png"/><Relationship Id="rId161" Type="http://schemas.openxmlformats.org/officeDocument/2006/relationships/image" Target="../media/image246.png"/><Relationship Id="rId160" Type="http://schemas.openxmlformats.org/officeDocument/2006/relationships/image" Target="../media/image245.png"/><Relationship Id="rId16" Type="http://schemas.openxmlformats.org/officeDocument/2006/relationships/image" Target="../media/image101.png"/><Relationship Id="rId159" Type="http://schemas.openxmlformats.org/officeDocument/2006/relationships/image" Target="../media/image244.png"/><Relationship Id="rId158" Type="http://schemas.openxmlformats.org/officeDocument/2006/relationships/image" Target="../media/image243.png"/><Relationship Id="rId157" Type="http://schemas.openxmlformats.org/officeDocument/2006/relationships/image" Target="../media/image242.png"/><Relationship Id="rId156" Type="http://schemas.openxmlformats.org/officeDocument/2006/relationships/image" Target="../media/image241.png"/><Relationship Id="rId155" Type="http://schemas.openxmlformats.org/officeDocument/2006/relationships/image" Target="../media/image240.png"/><Relationship Id="rId154" Type="http://schemas.openxmlformats.org/officeDocument/2006/relationships/image" Target="../media/image239.png"/><Relationship Id="rId153" Type="http://schemas.openxmlformats.org/officeDocument/2006/relationships/image" Target="../media/image238.png"/><Relationship Id="rId152" Type="http://schemas.openxmlformats.org/officeDocument/2006/relationships/image" Target="../media/image237.png"/><Relationship Id="rId151" Type="http://schemas.openxmlformats.org/officeDocument/2006/relationships/image" Target="../media/image236.png"/><Relationship Id="rId150" Type="http://schemas.openxmlformats.org/officeDocument/2006/relationships/image" Target="../media/image235.png"/><Relationship Id="rId15" Type="http://schemas.openxmlformats.org/officeDocument/2006/relationships/image" Target="../media/image100.png"/><Relationship Id="rId149" Type="http://schemas.openxmlformats.org/officeDocument/2006/relationships/image" Target="../media/image234.png"/><Relationship Id="rId148" Type="http://schemas.openxmlformats.org/officeDocument/2006/relationships/image" Target="../media/image233.png"/><Relationship Id="rId147" Type="http://schemas.openxmlformats.org/officeDocument/2006/relationships/image" Target="../media/image232.png"/><Relationship Id="rId146" Type="http://schemas.openxmlformats.org/officeDocument/2006/relationships/image" Target="../media/image231.png"/><Relationship Id="rId145" Type="http://schemas.openxmlformats.org/officeDocument/2006/relationships/image" Target="../media/image230.png"/><Relationship Id="rId144" Type="http://schemas.openxmlformats.org/officeDocument/2006/relationships/image" Target="../media/image229.png"/><Relationship Id="rId143" Type="http://schemas.openxmlformats.org/officeDocument/2006/relationships/image" Target="../media/image228.png"/><Relationship Id="rId142" Type="http://schemas.openxmlformats.org/officeDocument/2006/relationships/image" Target="../media/image227.png"/><Relationship Id="rId141" Type="http://schemas.openxmlformats.org/officeDocument/2006/relationships/image" Target="../media/image226.png"/><Relationship Id="rId140" Type="http://schemas.openxmlformats.org/officeDocument/2006/relationships/image" Target="../media/image225.png"/><Relationship Id="rId14" Type="http://schemas.openxmlformats.org/officeDocument/2006/relationships/image" Target="../media/image99.png"/><Relationship Id="rId139" Type="http://schemas.openxmlformats.org/officeDocument/2006/relationships/image" Target="../media/image224.png"/><Relationship Id="rId138" Type="http://schemas.openxmlformats.org/officeDocument/2006/relationships/image" Target="../media/image223.png"/><Relationship Id="rId137" Type="http://schemas.openxmlformats.org/officeDocument/2006/relationships/image" Target="../media/image222.png"/><Relationship Id="rId136" Type="http://schemas.openxmlformats.org/officeDocument/2006/relationships/image" Target="../media/image221.png"/><Relationship Id="rId135" Type="http://schemas.openxmlformats.org/officeDocument/2006/relationships/image" Target="../media/image220.png"/><Relationship Id="rId134" Type="http://schemas.openxmlformats.org/officeDocument/2006/relationships/image" Target="../media/image219.png"/><Relationship Id="rId133" Type="http://schemas.openxmlformats.org/officeDocument/2006/relationships/image" Target="../media/image218.png"/><Relationship Id="rId132" Type="http://schemas.openxmlformats.org/officeDocument/2006/relationships/image" Target="../media/image217.png"/><Relationship Id="rId131" Type="http://schemas.openxmlformats.org/officeDocument/2006/relationships/image" Target="../media/image216.png"/><Relationship Id="rId130" Type="http://schemas.openxmlformats.org/officeDocument/2006/relationships/image" Target="../media/image215.png"/><Relationship Id="rId13" Type="http://schemas.openxmlformats.org/officeDocument/2006/relationships/image" Target="../media/image98.png"/><Relationship Id="rId129" Type="http://schemas.openxmlformats.org/officeDocument/2006/relationships/image" Target="../media/image214.png"/><Relationship Id="rId128" Type="http://schemas.openxmlformats.org/officeDocument/2006/relationships/image" Target="../media/image213.png"/><Relationship Id="rId127" Type="http://schemas.openxmlformats.org/officeDocument/2006/relationships/image" Target="../media/image212.png"/><Relationship Id="rId126" Type="http://schemas.openxmlformats.org/officeDocument/2006/relationships/image" Target="../media/image211.png"/><Relationship Id="rId125" Type="http://schemas.openxmlformats.org/officeDocument/2006/relationships/image" Target="../media/image210.png"/><Relationship Id="rId124" Type="http://schemas.openxmlformats.org/officeDocument/2006/relationships/image" Target="../media/image209.png"/><Relationship Id="rId123" Type="http://schemas.openxmlformats.org/officeDocument/2006/relationships/image" Target="../media/image208.png"/><Relationship Id="rId122" Type="http://schemas.openxmlformats.org/officeDocument/2006/relationships/image" Target="../media/image207.png"/><Relationship Id="rId121" Type="http://schemas.openxmlformats.org/officeDocument/2006/relationships/image" Target="../media/image206.png"/><Relationship Id="rId120" Type="http://schemas.openxmlformats.org/officeDocument/2006/relationships/image" Target="../media/image205.png"/><Relationship Id="rId12" Type="http://schemas.openxmlformats.org/officeDocument/2006/relationships/image" Target="../media/image97.png"/><Relationship Id="rId119" Type="http://schemas.openxmlformats.org/officeDocument/2006/relationships/image" Target="../media/image204.png"/><Relationship Id="rId118" Type="http://schemas.openxmlformats.org/officeDocument/2006/relationships/image" Target="../media/image203.png"/><Relationship Id="rId117" Type="http://schemas.openxmlformats.org/officeDocument/2006/relationships/image" Target="../media/image202.png"/><Relationship Id="rId116" Type="http://schemas.openxmlformats.org/officeDocument/2006/relationships/image" Target="../media/image201.png"/><Relationship Id="rId115" Type="http://schemas.openxmlformats.org/officeDocument/2006/relationships/image" Target="../media/image200.png"/><Relationship Id="rId114" Type="http://schemas.openxmlformats.org/officeDocument/2006/relationships/image" Target="../media/image199.png"/><Relationship Id="rId113" Type="http://schemas.openxmlformats.org/officeDocument/2006/relationships/image" Target="../media/image198.png"/><Relationship Id="rId112" Type="http://schemas.openxmlformats.org/officeDocument/2006/relationships/image" Target="../media/image197.png"/><Relationship Id="rId111" Type="http://schemas.openxmlformats.org/officeDocument/2006/relationships/image" Target="../media/image196.png"/><Relationship Id="rId110" Type="http://schemas.openxmlformats.org/officeDocument/2006/relationships/image" Target="../media/image195.png"/><Relationship Id="rId11" Type="http://schemas.openxmlformats.org/officeDocument/2006/relationships/image" Target="../media/image96.png"/><Relationship Id="rId109" Type="http://schemas.openxmlformats.org/officeDocument/2006/relationships/image" Target="../media/image194.png"/><Relationship Id="rId108" Type="http://schemas.openxmlformats.org/officeDocument/2006/relationships/image" Target="../media/image193.png"/><Relationship Id="rId107" Type="http://schemas.openxmlformats.org/officeDocument/2006/relationships/image" Target="../media/image192.png"/><Relationship Id="rId106" Type="http://schemas.openxmlformats.org/officeDocument/2006/relationships/image" Target="../media/image191.png"/><Relationship Id="rId105" Type="http://schemas.openxmlformats.org/officeDocument/2006/relationships/image" Target="../media/image190.png"/><Relationship Id="rId104" Type="http://schemas.openxmlformats.org/officeDocument/2006/relationships/image" Target="../media/image189.png"/><Relationship Id="rId103" Type="http://schemas.openxmlformats.org/officeDocument/2006/relationships/image" Target="../media/image188.png"/><Relationship Id="rId102" Type="http://schemas.openxmlformats.org/officeDocument/2006/relationships/image" Target="../media/image187.png"/><Relationship Id="rId101" Type="http://schemas.openxmlformats.org/officeDocument/2006/relationships/image" Target="../media/image186.png"/><Relationship Id="rId100" Type="http://schemas.openxmlformats.org/officeDocument/2006/relationships/image" Target="../media/image185.png"/><Relationship Id="rId10" Type="http://schemas.openxmlformats.org/officeDocument/2006/relationships/image" Target="../media/image95.png"/><Relationship Id="rId1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388620</xdr:colOff>
      <xdr:row>87</xdr:row>
      <xdr:rowOff>24765</xdr:rowOff>
    </xdr:from>
    <xdr:to>
      <xdr:col>31</xdr:col>
      <xdr:colOff>1280160</xdr:colOff>
      <xdr:row>87</xdr:row>
      <xdr:rowOff>1578610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1386145" y="72810370"/>
          <a:ext cx="891540" cy="1553845"/>
        </a:xfrm>
        <a:prstGeom prst="rect">
          <a:avLst/>
        </a:prstGeom>
      </xdr:spPr>
    </xdr:pic>
    <xdr:clientData/>
  </xdr:twoCellAnchor>
  <xdr:twoCellAnchor editAs="oneCell">
    <xdr:from>
      <xdr:col>31</xdr:col>
      <xdr:colOff>281305</xdr:colOff>
      <xdr:row>89</xdr:row>
      <xdr:rowOff>570865</xdr:rowOff>
    </xdr:from>
    <xdr:to>
      <xdr:col>31</xdr:col>
      <xdr:colOff>1172210</xdr:colOff>
      <xdr:row>91</xdr:row>
      <xdr:rowOff>17145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31278830" y="75547220"/>
          <a:ext cx="890905" cy="1555115"/>
        </a:xfrm>
        <a:prstGeom prst="rect">
          <a:avLst/>
        </a:prstGeom>
      </xdr:spPr>
    </xdr:pic>
    <xdr:clientData/>
  </xdr:twoCellAnchor>
  <xdr:twoCellAnchor editAs="oneCell">
    <xdr:from>
      <xdr:col>31</xdr:col>
      <xdr:colOff>144145</xdr:colOff>
      <xdr:row>109</xdr:row>
      <xdr:rowOff>600075</xdr:rowOff>
    </xdr:from>
    <xdr:to>
      <xdr:col>31</xdr:col>
      <xdr:colOff>744855</xdr:colOff>
      <xdr:row>109</xdr:row>
      <xdr:rowOff>1391285</xdr:rowOff>
    </xdr:to>
    <xdr:pic>
      <xdr:nvPicPr>
        <xdr:cNvPr id="4" name="图片 1" descr="6042d521d161c369b1b4422ff848eed"/>
        <xdr:cNvPicPr>
          <a:picLocks noChangeAspect="1"/>
        </xdr:cNvPicPr>
      </xdr:nvPicPr>
      <xdr:blipFill>
        <a:blip r:embed="rId3"/>
        <a:srcRect l="31721" t="23131" r="36736" b="46161"/>
        <a:stretch>
          <a:fillRect/>
        </a:stretch>
      </xdr:blipFill>
      <xdr:spPr>
        <a:xfrm>
          <a:off x="31141670" y="105090595"/>
          <a:ext cx="600710" cy="791210"/>
        </a:xfrm>
        <a:prstGeom prst="rect">
          <a:avLst/>
        </a:prstGeom>
      </xdr:spPr>
    </xdr:pic>
    <xdr:clientData/>
  </xdr:twoCellAnchor>
  <xdr:twoCellAnchor editAs="oneCell">
    <xdr:from>
      <xdr:col>31</xdr:col>
      <xdr:colOff>145415</xdr:colOff>
      <xdr:row>111</xdr:row>
      <xdr:rowOff>36830</xdr:rowOff>
    </xdr:from>
    <xdr:to>
      <xdr:col>31</xdr:col>
      <xdr:colOff>680720</xdr:colOff>
      <xdr:row>111</xdr:row>
      <xdr:rowOff>763270</xdr:rowOff>
    </xdr:to>
    <xdr:pic>
      <xdr:nvPicPr>
        <xdr:cNvPr id="5" name="图片 11" descr="a07d58b222a53a274b0348b45bdd99d"/>
        <xdr:cNvPicPr>
          <a:picLocks noChangeAspect="1"/>
        </xdr:cNvPicPr>
      </xdr:nvPicPr>
      <xdr:blipFill>
        <a:blip r:embed="rId4"/>
        <a:srcRect l="25929" t="18544" r="32798" b="39878"/>
        <a:stretch>
          <a:fillRect/>
        </a:stretch>
      </xdr:blipFill>
      <xdr:spPr>
        <a:xfrm>
          <a:off x="31142940" y="107765850"/>
          <a:ext cx="535305" cy="726440"/>
        </a:xfrm>
        <a:prstGeom prst="rect">
          <a:avLst/>
        </a:prstGeom>
      </xdr:spPr>
    </xdr:pic>
    <xdr:clientData/>
  </xdr:twoCellAnchor>
  <xdr:twoCellAnchor editAs="oneCell">
    <xdr:from>
      <xdr:col>31</xdr:col>
      <xdr:colOff>234950</xdr:colOff>
      <xdr:row>112</xdr:row>
      <xdr:rowOff>46990</xdr:rowOff>
    </xdr:from>
    <xdr:to>
      <xdr:col>31</xdr:col>
      <xdr:colOff>741680</xdr:colOff>
      <xdr:row>112</xdr:row>
      <xdr:rowOff>786765</xdr:rowOff>
    </xdr:to>
    <xdr:pic>
      <xdr:nvPicPr>
        <xdr:cNvPr id="6" name="图片 12" descr="61e26cfe50b66ecb421502507097aa1"/>
        <xdr:cNvPicPr>
          <a:picLocks noChangeAspect="1"/>
        </xdr:cNvPicPr>
      </xdr:nvPicPr>
      <xdr:blipFill>
        <a:blip r:embed="rId5"/>
        <a:srcRect l="16070" t="15286" r="22981" b="17854"/>
        <a:stretch>
          <a:fillRect/>
        </a:stretch>
      </xdr:blipFill>
      <xdr:spPr>
        <a:xfrm>
          <a:off x="31232475" y="109395260"/>
          <a:ext cx="506730" cy="739775"/>
        </a:xfrm>
        <a:prstGeom prst="rect">
          <a:avLst/>
        </a:prstGeom>
      </xdr:spPr>
    </xdr:pic>
    <xdr:clientData/>
  </xdr:twoCellAnchor>
  <xdr:twoCellAnchor editAs="oneCell">
    <xdr:from>
      <xdr:col>31</xdr:col>
      <xdr:colOff>255270</xdr:colOff>
      <xdr:row>113</xdr:row>
      <xdr:rowOff>55880</xdr:rowOff>
    </xdr:from>
    <xdr:to>
      <xdr:col>31</xdr:col>
      <xdr:colOff>683260</xdr:colOff>
      <xdr:row>113</xdr:row>
      <xdr:rowOff>641350</xdr:rowOff>
    </xdr:to>
    <xdr:pic>
      <xdr:nvPicPr>
        <xdr:cNvPr id="7" name="图片 13" descr="82b09cf06d5f1096662a00cff4558a6"/>
        <xdr:cNvPicPr>
          <a:picLocks noChangeAspect="1"/>
        </xdr:cNvPicPr>
      </xdr:nvPicPr>
      <xdr:blipFill>
        <a:blip r:embed="rId6"/>
        <a:srcRect l="27314" t="21353" r="32681" b="37659"/>
        <a:stretch>
          <a:fillRect/>
        </a:stretch>
      </xdr:blipFill>
      <xdr:spPr>
        <a:xfrm>
          <a:off x="31252795" y="111023400"/>
          <a:ext cx="427990" cy="585470"/>
        </a:xfrm>
        <a:prstGeom prst="rect">
          <a:avLst/>
        </a:prstGeom>
      </xdr:spPr>
    </xdr:pic>
    <xdr:clientData/>
  </xdr:twoCellAnchor>
  <xdr:twoCellAnchor editAs="oneCell">
    <xdr:from>
      <xdr:col>31</xdr:col>
      <xdr:colOff>76200</xdr:colOff>
      <xdr:row>114</xdr:row>
      <xdr:rowOff>0</xdr:rowOff>
    </xdr:from>
    <xdr:to>
      <xdr:col>31</xdr:col>
      <xdr:colOff>812165</xdr:colOff>
      <xdr:row>114</xdr:row>
      <xdr:rowOff>701040</xdr:rowOff>
    </xdr:to>
    <xdr:pic>
      <xdr:nvPicPr>
        <xdr:cNvPr id="8" name="图片 14" descr="e9cb80d1ca35f29ded11f710210b1f1"/>
        <xdr:cNvPicPr>
          <a:picLocks noChangeAspect="1"/>
        </xdr:cNvPicPr>
      </xdr:nvPicPr>
      <xdr:blipFill>
        <a:blip r:embed="rId7"/>
        <a:srcRect l="15963" t="27597" r="15228" b="22916"/>
        <a:stretch>
          <a:fillRect/>
        </a:stretch>
      </xdr:blipFill>
      <xdr:spPr>
        <a:xfrm>
          <a:off x="31073725" y="112586770"/>
          <a:ext cx="735965" cy="701040"/>
        </a:xfrm>
        <a:prstGeom prst="rect">
          <a:avLst/>
        </a:prstGeom>
      </xdr:spPr>
    </xdr:pic>
    <xdr:clientData/>
  </xdr:twoCellAnchor>
  <xdr:twoCellAnchor editAs="oneCell">
    <xdr:from>
      <xdr:col>31</xdr:col>
      <xdr:colOff>255270</xdr:colOff>
      <xdr:row>109</xdr:row>
      <xdr:rowOff>23495</xdr:rowOff>
    </xdr:from>
    <xdr:to>
      <xdr:col>31</xdr:col>
      <xdr:colOff>718185</xdr:colOff>
      <xdr:row>109</xdr:row>
      <xdr:rowOff>661670</xdr:rowOff>
    </xdr:to>
    <xdr:pic>
      <xdr:nvPicPr>
        <xdr:cNvPr id="9" name="图片 23" descr="472ce4625677dac34e2038a7c66066b"/>
        <xdr:cNvPicPr>
          <a:picLocks noChangeAspect="1"/>
        </xdr:cNvPicPr>
      </xdr:nvPicPr>
      <xdr:blipFill>
        <a:blip r:embed="rId8"/>
        <a:srcRect l="5878" t="5888" r="16648" b="13964"/>
        <a:stretch>
          <a:fillRect/>
        </a:stretch>
      </xdr:blipFill>
      <xdr:spPr>
        <a:xfrm>
          <a:off x="31252795" y="104514015"/>
          <a:ext cx="462915" cy="638175"/>
        </a:xfrm>
        <a:prstGeom prst="rect">
          <a:avLst/>
        </a:prstGeom>
      </xdr:spPr>
    </xdr:pic>
    <xdr:clientData/>
  </xdr:twoCellAnchor>
  <xdr:twoCellAnchor editAs="oneCell">
    <xdr:from>
      <xdr:col>31</xdr:col>
      <xdr:colOff>203200</xdr:colOff>
      <xdr:row>115</xdr:row>
      <xdr:rowOff>0</xdr:rowOff>
    </xdr:from>
    <xdr:to>
      <xdr:col>31</xdr:col>
      <xdr:colOff>730885</xdr:colOff>
      <xdr:row>115</xdr:row>
      <xdr:rowOff>769620</xdr:rowOff>
    </xdr:to>
    <xdr:pic>
      <xdr:nvPicPr>
        <xdr:cNvPr id="10" name="图片 4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1200725" y="114206020"/>
          <a:ext cx="527685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144780</xdr:colOff>
      <xdr:row>93</xdr:row>
      <xdr:rowOff>77470</xdr:rowOff>
    </xdr:from>
    <xdr:to>
      <xdr:col>31</xdr:col>
      <xdr:colOff>718185</xdr:colOff>
      <xdr:row>93</xdr:row>
      <xdr:rowOff>684530</xdr:rowOff>
    </xdr:to>
    <xdr:pic>
      <xdr:nvPicPr>
        <xdr:cNvPr id="11" name="图片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142305" y="78659990"/>
          <a:ext cx="573405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245110</xdr:colOff>
      <xdr:row>94</xdr:row>
      <xdr:rowOff>88900</xdr:rowOff>
    </xdr:from>
    <xdr:to>
      <xdr:col>31</xdr:col>
      <xdr:colOff>766445</xdr:colOff>
      <xdr:row>94</xdr:row>
      <xdr:rowOff>675640</xdr:rowOff>
    </xdr:to>
    <xdr:pic>
      <xdr:nvPicPr>
        <xdr:cNvPr id="12" name="图片 3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1242635" y="80290670"/>
          <a:ext cx="521335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649605</xdr:colOff>
      <xdr:row>94</xdr:row>
      <xdr:rowOff>180975</xdr:rowOff>
    </xdr:from>
    <xdr:to>
      <xdr:col>31</xdr:col>
      <xdr:colOff>1466215</xdr:colOff>
      <xdr:row>94</xdr:row>
      <xdr:rowOff>566420</xdr:rowOff>
    </xdr:to>
    <xdr:pic>
      <xdr:nvPicPr>
        <xdr:cNvPr id="13" name="图片 3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647130" y="80382745"/>
          <a:ext cx="81661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123190</xdr:colOff>
      <xdr:row>95</xdr:row>
      <xdr:rowOff>104140</xdr:rowOff>
    </xdr:from>
    <xdr:to>
      <xdr:col>31</xdr:col>
      <xdr:colOff>845185</xdr:colOff>
      <xdr:row>95</xdr:row>
      <xdr:rowOff>754380</xdr:rowOff>
    </xdr:to>
    <xdr:pic>
      <xdr:nvPicPr>
        <xdr:cNvPr id="14" name="图片 3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1120715" y="81925160"/>
          <a:ext cx="72199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120650</xdr:colOff>
      <xdr:row>96</xdr:row>
      <xdr:rowOff>193040</xdr:rowOff>
    </xdr:from>
    <xdr:to>
      <xdr:col>31</xdr:col>
      <xdr:colOff>808355</xdr:colOff>
      <xdr:row>96</xdr:row>
      <xdr:rowOff>640715</xdr:rowOff>
    </xdr:to>
    <xdr:pic>
      <xdr:nvPicPr>
        <xdr:cNvPr id="15" name="图片 3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1118175" y="83633310"/>
          <a:ext cx="68770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234315</xdr:colOff>
      <xdr:row>97</xdr:row>
      <xdr:rowOff>172085</xdr:rowOff>
    </xdr:from>
    <xdr:to>
      <xdr:col>31</xdr:col>
      <xdr:colOff>821690</xdr:colOff>
      <xdr:row>97</xdr:row>
      <xdr:rowOff>642620</xdr:rowOff>
    </xdr:to>
    <xdr:pic>
      <xdr:nvPicPr>
        <xdr:cNvPr id="16" name="图片 3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1231840" y="85231605"/>
          <a:ext cx="587375" cy="47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156845</xdr:colOff>
      <xdr:row>116</xdr:row>
      <xdr:rowOff>83185</xdr:rowOff>
    </xdr:from>
    <xdr:to>
      <xdr:col>31</xdr:col>
      <xdr:colOff>820420</xdr:colOff>
      <xdr:row>116</xdr:row>
      <xdr:rowOff>688340</xdr:rowOff>
    </xdr:to>
    <xdr:pic>
      <xdr:nvPicPr>
        <xdr:cNvPr id="17" name="图片 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1154370" y="115908455"/>
          <a:ext cx="663575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111125</xdr:colOff>
      <xdr:row>118</xdr:row>
      <xdr:rowOff>235585</xdr:rowOff>
    </xdr:from>
    <xdr:to>
      <xdr:col>31</xdr:col>
      <xdr:colOff>866775</xdr:colOff>
      <xdr:row>118</xdr:row>
      <xdr:rowOff>418465</xdr:rowOff>
    </xdr:to>
    <xdr:pic>
      <xdr:nvPicPr>
        <xdr:cNvPr id="18" name="图片 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1108650" y="119299355"/>
          <a:ext cx="75565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178435</xdr:colOff>
      <xdr:row>117</xdr:row>
      <xdr:rowOff>321945</xdr:rowOff>
    </xdr:from>
    <xdr:to>
      <xdr:col>31</xdr:col>
      <xdr:colOff>806450</xdr:colOff>
      <xdr:row>117</xdr:row>
      <xdr:rowOff>452120</xdr:rowOff>
    </xdr:to>
    <xdr:pic>
      <xdr:nvPicPr>
        <xdr:cNvPr id="19" name="图片 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1175960" y="117766465"/>
          <a:ext cx="628015" cy="13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122555</xdr:colOff>
      <xdr:row>120</xdr:row>
      <xdr:rowOff>54610</xdr:rowOff>
    </xdr:from>
    <xdr:to>
      <xdr:col>31</xdr:col>
      <xdr:colOff>749300</xdr:colOff>
      <xdr:row>120</xdr:row>
      <xdr:rowOff>729615</xdr:rowOff>
    </xdr:to>
    <xdr:pic>
      <xdr:nvPicPr>
        <xdr:cNvPr id="20" name="图片 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1120080" y="122356880"/>
          <a:ext cx="62674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145415</xdr:colOff>
      <xdr:row>119</xdr:row>
      <xdr:rowOff>93345</xdr:rowOff>
    </xdr:from>
    <xdr:to>
      <xdr:col>31</xdr:col>
      <xdr:colOff>796290</xdr:colOff>
      <xdr:row>119</xdr:row>
      <xdr:rowOff>728980</xdr:rowOff>
    </xdr:to>
    <xdr:pic>
      <xdr:nvPicPr>
        <xdr:cNvPr id="21" name="图片 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1142940" y="120776365"/>
          <a:ext cx="65087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43180</xdr:colOff>
      <xdr:row>124</xdr:row>
      <xdr:rowOff>62865</xdr:rowOff>
    </xdr:from>
    <xdr:to>
      <xdr:col>31</xdr:col>
      <xdr:colOff>1235075</xdr:colOff>
      <xdr:row>124</xdr:row>
      <xdr:rowOff>723265</xdr:rowOff>
    </xdr:to>
    <xdr:pic>
      <xdr:nvPicPr>
        <xdr:cNvPr id="22" name="图片 10" descr="C:/Users/Administrator/Desktop/前身.jpg前身"/>
        <xdr:cNvPicPr/>
      </xdr:nvPicPr>
      <xdr:blipFill>
        <a:blip r:embed="rId21"/>
        <a:srcRect l="692" t="41" r="646" b="-41"/>
        <a:stretch>
          <a:fillRect/>
        </a:stretch>
      </xdr:blipFill>
      <xdr:spPr>
        <a:xfrm>
          <a:off x="31040705" y="128842135"/>
          <a:ext cx="1191895" cy="66040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126</xdr:row>
      <xdr:rowOff>62230</xdr:rowOff>
    </xdr:from>
    <xdr:to>
      <xdr:col>31</xdr:col>
      <xdr:colOff>1226185</xdr:colOff>
      <xdr:row>126</xdr:row>
      <xdr:rowOff>816610</xdr:rowOff>
    </xdr:to>
    <xdr:pic>
      <xdr:nvPicPr>
        <xdr:cNvPr id="23" name="图片 15" descr="C:/Users/Administrator/Desktop/底.jpg底"/>
        <xdr:cNvPicPr/>
      </xdr:nvPicPr>
      <xdr:blipFill>
        <a:blip r:embed="rId22"/>
        <a:srcRect l="779" t="-451" r="733" b="451"/>
        <a:stretch>
          <a:fillRect/>
        </a:stretch>
      </xdr:blipFill>
      <xdr:spPr>
        <a:xfrm>
          <a:off x="31040705" y="132080000"/>
          <a:ext cx="1183005" cy="75438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127</xdr:row>
      <xdr:rowOff>60960</xdr:rowOff>
    </xdr:from>
    <xdr:to>
      <xdr:col>31</xdr:col>
      <xdr:colOff>1280795</xdr:colOff>
      <xdr:row>127</xdr:row>
      <xdr:rowOff>750570</xdr:rowOff>
    </xdr:to>
    <xdr:pic>
      <xdr:nvPicPr>
        <xdr:cNvPr id="24" name="图片 16" descr="C:/Users/Administrator/Desktop/尾巴 (1).jpg尾巴 (1)"/>
        <xdr:cNvPicPr/>
      </xdr:nvPicPr>
      <xdr:blipFill>
        <a:blip r:embed="rId23"/>
        <a:srcRect l="778" t="-450" r="732" b="450"/>
        <a:stretch>
          <a:fillRect/>
        </a:stretch>
      </xdr:blipFill>
      <xdr:spPr>
        <a:xfrm>
          <a:off x="31040705" y="133697980"/>
          <a:ext cx="1237615" cy="6896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128</xdr:row>
      <xdr:rowOff>60960</xdr:rowOff>
    </xdr:from>
    <xdr:to>
      <xdr:col>31</xdr:col>
      <xdr:colOff>1280795</xdr:colOff>
      <xdr:row>128</xdr:row>
      <xdr:rowOff>801370</xdr:rowOff>
    </xdr:to>
    <xdr:pic>
      <xdr:nvPicPr>
        <xdr:cNvPr id="25" name="图片 17" descr="C:/Users/Administrator/Desktop/内耳.jpg内耳"/>
        <xdr:cNvPicPr/>
      </xdr:nvPicPr>
      <xdr:blipFill>
        <a:blip r:embed="rId24"/>
        <a:srcRect l="779" t="-451" r="733" b="451"/>
        <a:stretch>
          <a:fillRect/>
        </a:stretch>
      </xdr:blipFill>
      <xdr:spPr>
        <a:xfrm>
          <a:off x="31040705" y="135317230"/>
          <a:ext cx="1237615" cy="7404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129</xdr:row>
      <xdr:rowOff>59690</xdr:rowOff>
    </xdr:from>
    <xdr:to>
      <xdr:col>31</xdr:col>
      <xdr:colOff>1172210</xdr:colOff>
      <xdr:row>129</xdr:row>
      <xdr:rowOff>815340</xdr:rowOff>
    </xdr:to>
    <xdr:pic>
      <xdr:nvPicPr>
        <xdr:cNvPr id="26" name="图片 18" descr="C:/Users/Administrator/Desktop/尾巴 (2).jpg尾巴 (2)"/>
        <xdr:cNvPicPr/>
      </xdr:nvPicPr>
      <xdr:blipFill>
        <a:blip r:embed="rId25"/>
        <a:srcRect l="778" t="-450" r="732" b="450"/>
        <a:stretch>
          <a:fillRect/>
        </a:stretch>
      </xdr:blipFill>
      <xdr:spPr>
        <a:xfrm>
          <a:off x="31040705" y="136935210"/>
          <a:ext cx="1129030" cy="75565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130</xdr:row>
      <xdr:rowOff>59690</xdr:rowOff>
    </xdr:from>
    <xdr:to>
      <xdr:col>31</xdr:col>
      <xdr:colOff>1212850</xdr:colOff>
      <xdr:row>130</xdr:row>
      <xdr:rowOff>774700</xdr:rowOff>
    </xdr:to>
    <xdr:pic>
      <xdr:nvPicPr>
        <xdr:cNvPr id="27" name="图片 19" descr="C:/Users/Administrator/Desktop/头角 (2).jpg头角 (2)"/>
        <xdr:cNvPicPr/>
      </xdr:nvPicPr>
      <xdr:blipFill>
        <a:blip r:embed="rId26"/>
        <a:srcRect l="46" t="34106" r="-46" b="34080"/>
        <a:stretch>
          <a:fillRect/>
        </a:stretch>
      </xdr:blipFill>
      <xdr:spPr>
        <a:xfrm>
          <a:off x="31040705" y="138554460"/>
          <a:ext cx="1169670" cy="7150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131</xdr:row>
      <xdr:rowOff>58420</xdr:rowOff>
    </xdr:from>
    <xdr:to>
      <xdr:col>31</xdr:col>
      <xdr:colOff>1158875</xdr:colOff>
      <xdr:row>131</xdr:row>
      <xdr:rowOff>826135</xdr:rowOff>
    </xdr:to>
    <xdr:pic>
      <xdr:nvPicPr>
        <xdr:cNvPr id="28" name="图片 20" descr="C:/Users/Administrator/Desktop/头角 (1).jpg头角 (1)"/>
        <xdr:cNvPicPr/>
      </xdr:nvPicPr>
      <xdr:blipFill>
        <a:blip r:embed="rId27"/>
        <a:srcRect l="20" t="36221" r="-20" b="36176"/>
        <a:stretch>
          <a:fillRect/>
        </a:stretch>
      </xdr:blipFill>
      <xdr:spPr>
        <a:xfrm>
          <a:off x="31040705" y="140172440"/>
          <a:ext cx="1115695" cy="76771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132</xdr:row>
      <xdr:rowOff>57785</xdr:rowOff>
    </xdr:from>
    <xdr:to>
      <xdr:col>31</xdr:col>
      <xdr:colOff>1172210</xdr:colOff>
      <xdr:row>132</xdr:row>
      <xdr:rowOff>760095</xdr:rowOff>
    </xdr:to>
    <xdr:pic>
      <xdr:nvPicPr>
        <xdr:cNvPr id="29" name="图片 21" descr="C:/Users/Administrator/Desktop/尾刺.jpg尾刺"/>
        <xdr:cNvPicPr/>
      </xdr:nvPicPr>
      <xdr:blipFill>
        <a:blip r:embed="rId28"/>
        <a:srcRect l="778" t="-450" r="732" b="450"/>
        <a:stretch>
          <a:fillRect/>
        </a:stretch>
      </xdr:blipFill>
      <xdr:spPr>
        <a:xfrm>
          <a:off x="31040705" y="141791055"/>
          <a:ext cx="1129030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125</xdr:row>
      <xdr:rowOff>62230</xdr:rowOff>
    </xdr:from>
    <xdr:to>
      <xdr:col>31</xdr:col>
      <xdr:colOff>1276350</xdr:colOff>
      <xdr:row>125</xdr:row>
      <xdr:rowOff>817880</xdr:rowOff>
    </xdr:to>
    <xdr:pic>
      <xdr:nvPicPr>
        <xdr:cNvPr id="30" name="图片 22" descr="C:/Users/Administrator/Desktop/后身1.jpg后身1"/>
        <xdr:cNvPicPr/>
      </xdr:nvPicPr>
      <xdr:blipFill>
        <a:blip r:embed="rId29"/>
        <a:srcRect l="770" t="41" r="725" b="-41"/>
        <a:stretch>
          <a:fillRect/>
        </a:stretch>
      </xdr:blipFill>
      <xdr:spPr>
        <a:xfrm>
          <a:off x="31040705" y="130460750"/>
          <a:ext cx="1233170" cy="75565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133</xdr:row>
      <xdr:rowOff>55245</xdr:rowOff>
    </xdr:from>
    <xdr:to>
      <xdr:col>31</xdr:col>
      <xdr:colOff>1144905</xdr:colOff>
      <xdr:row>133</xdr:row>
      <xdr:rowOff>770890</xdr:rowOff>
    </xdr:to>
    <xdr:pic>
      <xdr:nvPicPr>
        <xdr:cNvPr id="31" name="图片 24" descr="C:/Users/Administrator/Desktop/前身 (1).jpg前身 (1)"/>
        <xdr:cNvPicPr/>
      </xdr:nvPicPr>
      <xdr:blipFill>
        <a:blip r:embed="rId30"/>
        <a:srcRect l="41" t="5414" r="-41" b="5341"/>
        <a:stretch>
          <a:fillRect/>
        </a:stretch>
      </xdr:blipFill>
      <xdr:spPr>
        <a:xfrm>
          <a:off x="31040705" y="143407765"/>
          <a:ext cx="1101725" cy="715645"/>
        </a:xfrm>
        <a:prstGeom prst="rect">
          <a:avLst/>
        </a:prstGeom>
      </xdr:spPr>
    </xdr:pic>
    <xdr:clientData/>
  </xdr:twoCellAnchor>
  <xdr:twoCellAnchor editAs="oneCell">
    <xdr:from>
      <xdr:col>31</xdr:col>
      <xdr:colOff>29210</xdr:colOff>
      <xdr:row>134</xdr:row>
      <xdr:rowOff>14605</xdr:rowOff>
    </xdr:from>
    <xdr:to>
      <xdr:col>31</xdr:col>
      <xdr:colOff>1144905</xdr:colOff>
      <xdr:row>134</xdr:row>
      <xdr:rowOff>757555</xdr:rowOff>
    </xdr:to>
    <xdr:pic>
      <xdr:nvPicPr>
        <xdr:cNvPr id="32" name="图片 25" descr="C:/Users/Administrator/Desktop/后身.jpg后身"/>
        <xdr:cNvPicPr/>
      </xdr:nvPicPr>
      <xdr:blipFill>
        <a:blip r:embed="rId31"/>
        <a:srcRect l="41" t="5382" r="-41" b="5309"/>
        <a:stretch>
          <a:fillRect/>
        </a:stretch>
      </xdr:blipFill>
      <xdr:spPr>
        <a:xfrm>
          <a:off x="31026735" y="144986375"/>
          <a:ext cx="1115695" cy="74295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135</xdr:row>
      <xdr:rowOff>53975</xdr:rowOff>
    </xdr:from>
    <xdr:to>
      <xdr:col>31</xdr:col>
      <xdr:colOff>1062990</xdr:colOff>
      <xdr:row>135</xdr:row>
      <xdr:rowOff>728980</xdr:rowOff>
    </xdr:to>
    <xdr:pic>
      <xdr:nvPicPr>
        <xdr:cNvPr id="33" name="图片 26" descr="C:/Users/Administrator/Desktop/底.jpg底"/>
        <xdr:cNvPicPr/>
      </xdr:nvPicPr>
      <xdr:blipFill>
        <a:blip r:embed="rId32"/>
        <a:srcRect l="21" t="35911" r="-21" b="35864"/>
        <a:stretch>
          <a:fillRect/>
        </a:stretch>
      </xdr:blipFill>
      <xdr:spPr>
        <a:xfrm>
          <a:off x="31040705" y="146644995"/>
          <a:ext cx="1019810" cy="67500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136</xdr:row>
      <xdr:rowOff>53340</xdr:rowOff>
    </xdr:from>
    <xdr:to>
      <xdr:col>31</xdr:col>
      <xdr:colOff>1132205</xdr:colOff>
      <xdr:row>136</xdr:row>
      <xdr:rowOff>836295</xdr:rowOff>
    </xdr:to>
    <xdr:pic>
      <xdr:nvPicPr>
        <xdr:cNvPr id="34" name="图片 28" descr="C:/Users/Administrator/Desktop/尾巴.jpg尾巴"/>
        <xdr:cNvPicPr/>
      </xdr:nvPicPr>
      <xdr:blipFill>
        <a:blip r:embed="rId33"/>
        <a:srcRect l="21" t="35910" r="-21" b="35887"/>
        <a:stretch>
          <a:fillRect/>
        </a:stretch>
      </xdr:blipFill>
      <xdr:spPr>
        <a:xfrm>
          <a:off x="31040705" y="148263610"/>
          <a:ext cx="1089025" cy="78295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137</xdr:row>
      <xdr:rowOff>53340</xdr:rowOff>
    </xdr:from>
    <xdr:to>
      <xdr:col>31</xdr:col>
      <xdr:colOff>1268095</xdr:colOff>
      <xdr:row>137</xdr:row>
      <xdr:rowOff>820420</xdr:rowOff>
    </xdr:to>
    <xdr:pic>
      <xdr:nvPicPr>
        <xdr:cNvPr id="35" name="图片 29" descr="C:/Users/Administrator/Desktop/左外耳 (1).jpg左外耳 (1)"/>
        <xdr:cNvPicPr/>
      </xdr:nvPicPr>
      <xdr:blipFill>
        <a:blip r:embed="rId34"/>
        <a:srcRect l="41" t="5382" r="-41" b="5309"/>
        <a:stretch>
          <a:fillRect/>
        </a:stretch>
      </xdr:blipFill>
      <xdr:spPr>
        <a:xfrm>
          <a:off x="31040705" y="149882860"/>
          <a:ext cx="1224915" cy="76708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138</xdr:row>
      <xdr:rowOff>52070</xdr:rowOff>
    </xdr:from>
    <xdr:to>
      <xdr:col>31</xdr:col>
      <xdr:colOff>1185545</xdr:colOff>
      <xdr:row>138</xdr:row>
      <xdr:rowOff>781685</xdr:rowOff>
    </xdr:to>
    <xdr:pic>
      <xdr:nvPicPr>
        <xdr:cNvPr id="36" name="图片 30" descr="C:/Users/Administrator/Desktop/左内耳.jpg左内耳"/>
        <xdr:cNvPicPr/>
      </xdr:nvPicPr>
      <xdr:blipFill>
        <a:blip r:embed="rId35"/>
        <a:srcRect l="21" t="35910" r="-21" b="35887"/>
        <a:stretch>
          <a:fillRect/>
        </a:stretch>
      </xdr:blipFill>
      <xdr:spPr>
        <a:xfrm>
          <a:off x="31040705" y="151500840"/>
          <a:ext cx="1142365" cy="72961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140</xdr:row>
      <xdr:rowOff>50800</xdr:rowOff>
    </xdr:from>
    <xdr:to>
      <xdr:col>31</xdr:col>
      <xdr:colOff>1049655</xdr:colOff>
      <xdr:row>140</xdr:row>
      <xdr:rowOff>767080</xdr:rowOff>
    </xdr:to>
    <xdr:pic>
      <xdr:nvPicPr>
        <xdr:cNvPr id="37" name="图片 31" descr="C:/Users/Administrator/Desktop/右内耳.jpg右内耳"/>
        <xdr:cNvPicPr/>
      </xdr:nvPicPr>
      <xdr:blipFill>
        <a:blip r:embed="rId36"/>
        <a:srcRect l="21" t="35910" r="-21" b="35887"/>
        <a:stretch>
          <a:fillRect/>
        </a:stretch>
      </xdr:blipFill>
      <xdr:spPr>
        <a:xfrm>
          <a:off x="31040705" y="154738070"/>
          <a:ext cx="1006475" cy="71628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141</xdr:row>
      <xdr:rowOff>50800</xdr:rowOff>
    </xdr:from>
    <xdr:to>
      <xdr:col>31</xdr:col>
      <xdr:colOff>1022350</xdr:colOff>
      <xdr:row>141</xdr:row>
      <xdr:rowOff>779145</xdr:rowOff>
    </xdr:to>
    <xdr:pic>
      <xdr:nvPicPr>
        <xdr:cNvPr id="38" name="图片 35" descr="C:/Users/Administrator/Desktop/翅膀 (1).jpg翅膀 (1)"/>
        <xdr:cNvPicPr/>
      </xdr:nvPicPr>
      <xdr:blipFill>
        <a:blip r:embed="rId37"/>
        <a:srcRect l="41" t="5382" r="-41" b="5309"/>
        <a:stretch>
          <a:fillRect/>
        </a:stretch>
      </xdr:blipFill>
      <xdr:spPr>
        <a:xfrm>
          <a:off x="31040705" y="156357320"/>
          <a:ext cx="979170" cy="72834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142</xdr:row>
      <xdr:rowOff>49530</xdr:rowOff>
    </xdr:from>
    <xdr:to>
      <xdr:col>31</xdr:col>
      <xdr:colOff>1144905</xdr:colOff>
      <xdr:row>142</xdr:row>
      <xdr:rowOff>751840</xdr:rowOff>
    </xdr:to>
    <xdr:pic>
      <xdr:nvPicPr>
        <xdr:cNvPr id="39" name="图片 38" descr="C:/Users/Administrator/Desktop/头角 (1).jpg头角 (1)"/>
        <xdr:cNvPicPr/>
      </xdr:nvPicPr>
      <xdr:blipFill>
        <a:blip r:embed="rId38"/>
        <a:srcRect l="41" t="5414" r="-41" b="5341"/>
        <a:stretch>
          <a:fillRect/>
        </a:stretch>
      </xdr:blipFill>
      <xdr:spPr>
        <a:xfrm>
          <a:off x="31040705" y="157975300"/>
          <a:ext cx="1101725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143</xdr:row>
      <xdr:rowOff>48895</xdr:rowOff>
    </xdr:from>
    <xdr:to>
      <xdr:col>31</xdr:col>
      <xdr:colOff>1022350</xdr:colOff>
      <xdr:row>143</xdr:row>
      <xdr:rowOff>778510</xdr:rowOff>
    </xdr:to>
    <xdr:pic>
      <xdr:nvPicPr>
        <xdr:cNvPr id="40" name="图片 39" descr="C:/Users/Administrator/Desktop/尾刺 (1).jpg尾刺 (1)"/>
        <xdr:cNvPicPr/>
      </xdr:nvPicPr>
      <xdr:blipFill>
        <a:blip r:embed="rId39"/>
        <a:srcRect l="41" t="5341" r="-41" b="5341"/>
        <a:stretch>
          <a:fillRect/>
        </a:stretch>
      </xdr:blipFill>
      <xdr:spPr>
        <a:xfrm>
          <a:off x="31040705" y="159593915"/>
          <a:ext cx="979170" cy="72961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139</xdr:row>
      <xdr:rowOff>52070</xdr:rowOff>
    </xdr:from>
    <xdr:to>
      <xdr:col>31</xdr:col>
      <xdr:colOff>1090295</xdr:colOff>
      <xdr:row>139</xdr:row>
      <xdr:rowOff>781050</xdr:rowOff>
    </xdr:to>
    <xdr:pic>
      <xdr:nvPicPr>
        <xdr:cNvPr id="41" name="图片 40" descr="C:/Users/Administrator/Desktop/左外耳 (2).jpg左外耳 (2)"/>
        <xdr:cNvPicPr/>
      </xdr:nvPicPr>
      <xdr:blipFill>
        <a:blip r:embed="rId40"/>
        <a:srcRect l="21" t="5323" r="-21" b="5250"/>
        <a:stretch>
          <a:fillRect/>
        </a:stretch>
      </xdr:blipFill>
      <xdr:spPr>
        <a:xfrm>
          <a:off x="31040705" y="153120090"/>
          <a:ext cx="1047115" cy="72898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144</xdr:row>
      <xdr:rowOff>46355</xdr:rowOff>
    </xdr:from>
    <xdr:to>
      <xdr:col>31</xdr:col>
      <xdr:colOff>1144905</xdr:colOff>
      <xdr:row>144</xdr:row>
      <xdr:rowOff>721360</xdr:rowOff>
    </xdr:to>
    <xdr:pic>
      <xdr:nvPicPr>
        <xdr:cNvPr id="42" name="图片 42" descr="C:/Users/Administrator/Desktop/前身.jpg前身"/>
        <xdr:cNvPicPr/>
      </xdr:nvPicPr>
      <xdr:blipFill>
        <a:blip r:embed="rId41"/>
        <a:srcRect l="21" t="5396" r="-21" b="5323"/>
        <a:stretch>
          <a:fillRect/>
        </a:stretch>
      </xdr:blipFill>
      <xdr:spPr>
        <a:xfrm>
          <a:off x="31040705" y="161210625"/>
          <a:ext cx="1101725" cy="67500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145</xdr:row>
      <xdr:rowOff>46355</xdr:rowOff>
    </xdr:from>
    <xdr:to>
      <xdr:col>31</xdr:col>
      <xdr:colOff>1240155</xdr:colOff>
      <xdr:row>145</xdr:row>
      <xdr:rowOff>761365</xdr:rowOff>
    </xdr:to>
    <xdr:pic>
      <xdr:nvPicPr>
        <xdr:cNvPr id="43" name="图片 43" descr="C:/Users/Administrator/Desktop/后身.jpg后身"/>
        <xdr:cNvPicPr/>
      </xdr:nvPicPr>
      <xdr:blipFill>
        <a:blip r:embed="rId42"/>
        <a:srcRect l="21" t="5364" r="-21" b="5291"/>
        <a:stretch>
          <a:fillRect/>
        </a:stretch>
      </xdr:blipFill>
      <xdr:spPr>
        <a:xfrm>
          <a:off x="31040705" y="162829875"/>
          <a:ext cx="1196975" cy="7150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146</xdr:row>
      <xdr:rowOff>45085</xdr:rowOff>
    </xdr:from>
    <xdr:to>
      <xdr:col>31</xdr:col>
      <xdr:colOff>1144905</xdr:colOff>
      <xdr:row>146</xdr:row>
      <xdr:rowOff>747395</xdr:rowOff>
    </xdr:to>
    <xdr:pic>
      <xdr:nvPicPr>
        <xdr:cNvPr id="44" name="图片 44" descr="C:/Users/Administrator/Desktop/底.jpg底"/>
        <xdr:cNvPicPr/>
      </xdr:nvPicPr>
      <xdr:blipFill>
        <a:blip r:embed="rId43"/>
        <a:srcRect l="21" t="5396" r="-21" b="5323"/>
        <a:stretch>
          <a:fillRect/>
        </a:stretch>
      </xdr:blipFill>
      <xdr:spPr>
        <a:xfrm>
          <a:off x="31040705" y="164447855"/>
          <a:ext cx="1101725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147</xdr:row>
      <xdr:rowOff>44450</xdr:rowOff>
    </xdr:from>
    <xdr:to>
      <xdr:col>31</xdr:col>
      <xdr:colOff>1227455</xdr:colOff>
      <xdr:row>147</xdr:row>
      <xdr:rowOff>760095</xdr:rowOff>
    </xdr:to>
    <xdr:pic>
      <xdr:nvPicPr>
        <xdr:cNvPr id="45" name="图片 45" descr="C:/Users/Administrator/Desktop/尾巴.jpg尾巴"/>
        <xdr:cNvPicPr/>
      </xdr:nvPicPr>
      <xdr:blipFill>
        <a:blip r:embed="rId44"/>
        <a:srcRect l="21" t="5323" r="-21" b="5323"/>
        <a:stretch>
          <a:fillRect/>
        </a:stretch>
      </xdr:blipFill>
      <xdr:spPr>
        <a:xfrm>
          <a:off x="31040705" y="166066470"/>
          <a:ext cx="1184275" cy="71564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148</xdr:row>
      <xdr:rowOff>44450</xdr:rowOff>
    </xdr:from>
    <xdr:to>
      <xdr:col>31</xdr:col>
      <xdr:colOff>1294765</xdr:colOff>
      <xdr:row>148</xdr:row>
      <xdr:rowOff>719455</xdr:rowOff>
    </xdr:to>
    <xdr:pic>
      <xdr:nvPicPr>
        <xdr:cNvPr id="46" name="图片 46" descr="C:/Users/Administrator/Desktop/耳朵.jpg耳朵"/>
        <xdr:cNvPicPr/>
      </xdr:nvPicPr>
      <xdr:blipFill>
        <a:blip r:embed="rId45"/>
        <a:srcRect l="41" t="35882" r="-41" b="35859"/>
        <a:stretch>
          <a:fillRect/>
        </a:stretch>
      </xdr:blipFill>
      <xdr:spPr>
        <a:xfrm>
          <a:off x="31040705" y="167685720"/>
          <a:ext cx="1251585" cy="67500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149</xdr:row>
      <xdr:rowOff>43180</xdr:rowOff>
    </xdr:from>
    <xdr:to>
      <xdr:col>31</xdr:col>
      <xdr:colOff>1226185</xdr:colOff>
      <xdr:row>149</xdr:row>
      <xdr:rowOff>772795</xdr:rowOff>
    </xdr:to>
    <xdr:pic>
      <xdr:nvPicPr>
        <xdr:cNvPr id="47" name="图片 47" descr="C:/Users/Administrator/Desktop/耳朵花边.jpg耳朵花边"/>
        <xdr:cNvPicPr/>
      </xdr:nvPicPr>
      <xdr:blipFill>
        <a:blip r:embed="rId46"/>
        <a:srcRect l="21" t="5396" r="-21" b="5323"/>
        <a:stretch>
          <a:fillRect/>
        </a:stretch>
      </xdr:blipFill>
      <xdr:spPr>
        <a:xfrm>
          <a:off x="31040705" y="169303700"/>
          <a:ext cx="1183005" cy="72961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150</xdr:row>
      <xdr:rowOff>43180</xdr:rowOff>
    </xdr:from>
    <xdr:to>
      <xdr:col>31</xdr:col>
      <xdr:colOff>1212850</xdr:colOff>
      <xdr:row>150</xdr:row>
      <xdr:rowOff>745490</xdr:rowOff>
    </xdr:to>
    <xdr:pic>
      <xdr:nvPicPr>
        <xdr:cNvPr id="48" name="图片 48" descr="C:/Users/Administrator/Desktop/翅膀.jpg翅膀"/>
        <xdr:cNvPicPr/>
      </xdr:nvPicPr>
      <xdr:blipFill>
        <a:blip r:embed="rId47"/>
        <a:srcRect l="21" t="5364" r="-21" b="5291"/>
        <a:stretch>
          <a:fillRect/>
        </a:stretch>
      </xdr:blipFill>
      <xdr:spPr>
        <a:xfrm>
          <a:off x="31040705" y="170922950"/>
          <a:ext cx="1169670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151</xdr:row>
      <xdr:rowOff>41910</xdr:rowOff>
    </xdr:from>
    <xdr:to>
      <xdr:col>31</xdr:col>
      <xdr:colOff>1172210</xdr:colOff>
      <xdr:row>151</xdr:row>
      <xdr:rowOff>731520</xdr:rowOff>
    </xdr:to>
    <xdr:pic>
      <xdr:nvPicPr>
        <xdr:cNvPr id="49" name="图片 49" descr="C:/Users/Administrator/Desktop/头角.jpg头角"/>
        <xdr:cNvPicPr/>
      </xdr:nvPicPr>
      <xdr:blipFill>
        <a:blip r:embed="rId48"/>
        <a:srcRect l="21" t="5396" r="-21" b="5323"/>
        <a:stretch>
          <a:fillRect/>
        </a:stretch>
      </xdr:blipFill>
      <xdr:spPr>
        <a:xfrm>
          <a:off x="31040705" y="172540930"/>
          <a:ext cx="1129030" cy="6896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152</xdr:row>
      <xdr:rowOff>41910</xdr:rowOff>
    </xdr:from>
    <xdr:to>
      <xdr:col>31</xdr:col>
      <xdr:colOff>1212850</xdr:colOff>
      <xdr:row>152</xdr:row>
      <xdr:rowOff>756920</xdr:rowOff>
    </xdr:to>
    <xdr:pic>
      <xdr:nvPicPr>
        <xdr:cNvPr id="50" name="图片 50" descr="C:/Users/Administrator/Desktop/尾刺.jpg尾刺"/>
        <xdr:cNvPicPr/>
      </xdr:nvPicPr>
      <xdr:blipFill>
        <a:blip r:embed="rId49"/>
        <a:srcRect l="21" t="5364" r="-21" b="5291"/>
        <a:stretch>
          <a:fillRect/>
        </a:stretch>
      </xdr:blipFill>
      <xdr:spPr>
        <a:xfrm>
          <a:off x="31040705" y="174160180"/>
          <a:ext cx="1169670" cy="715010"/>
        </a:xfrm>
        <a:prstGeom prst="rect">
          <a:avLst/>
        </a:prstGeom>
      </xdr:spPr>
    </xdr:pic>
    <xdr:clientData/>
  </xdr:twoCellAnchor>
  <xdr:twoCellAnchor editAs="oneCell">
    <xdr:from>
      <xdr:col>31</xdr:col>
      <xdr:colOff>457835</xdr:colOff>
      <xdr:row>154</xdr:row>
      <xdr:rowOff>0</xdr:rowOff>
    </xdr:from>
    <xdr:to>
      <xdr:col>31</xdr:col>
      <xdr:colOff>951230</xdr:colOff>
      <xdr:row>154</xdr:row>
      <xdr:rowOff>695325</xdr:rowOff>
    </xdr:to>
    <xdr:pic>
      <xdr:nvPicPr>
        <xdr:cNvPr id="51" name="图片 6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31455360" y="177356770"/>
          <a:ext cx="49339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43180</xdr:colOff>
      <xdr:row>99</xdr:row>
      <xdr:rowOff>57785</xdr:rowOff>
    </xdr:from>
    <xdr:to>
      <xdr:col>31</xdr:col>
      <xdr:colOff>1253490</xdr:colOff>
      <xdr:row>99</xdr:row>
      <xdr:rowOff>746760</xdr:rowOff>
    </xdr:to>
    <xdr:pic>
      <xdr:nvPicPr>
        <xdr:cNvPr id="52" name="图片 61" descr="C:/Users/Administrator/Desktop/棉带.jpg棉带"/>
        <xdr:cNvPicPr/>
      </xdr:nvPicPr>
      <xdr:blipFill>
        <a:blip r:embed="rId51"/>
        <a:srcRect l="21" t="16578" r="-21" b="16523"/>
        <a:stretch>
          <a:fillRect/>
        </a:stretch>
      </xdr:blipFill>
      <xdr:spPr>
        <a:xfrm>
          <a:off x="31040705" y="88355805"/>
          <a:ext cx="1210310" cy="68897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100</xdr:row>
      <xdr:rowOff>56515</xdr:rowOff>
    </xdr:from>
    <xdr:to>
      <xdr:col>31</xdr:col>
      <xdr:colOff>1212850</xdr:colOff>
      <xdr:row>100</xdr:row>
      <xdr:rowOff>798195</xdr:rowOff>
    </xdr:to>
    <xdr:pic>
      <xdr:nvPicPr>
        <xdr:cNvPr id="53" name="图片 62" descr="C:/Users/Administrator/Desktop/1431.jpg1431"/>
        <xdr:cNvPicPr/>
      </xdr:nvPicPr>
      <xdr:blipFill>
        <a:blip r:embed="rId52"/>
        <a:srcRect l="41" t="5414" r="-41" b="5341"/>
        <a:stretch>
          <a:fillRect/>
        </a:stretch>
      </xdr:blipFill>
      <xdr:spPr>
        <a:xfrm>
          <a:off x="31040705" y="89973785"/>
          <a:ext cx="1169670" cy="74168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101</xdr:row>
      <xdr:rowOff>56515</xdr:rowOff>
    </xdr:from>
    <xdr:to>
      <xdr:col>31</xdr:col>
      <xdr:colOff>1254760</xdr:colOff>
      <xdr:row>101</xdr:row>
      <xdr:rowOff>784860</xdr:rowOff>
    </xdr:to>
    <xdr:pic>
      <xdr:nvPicPr>
        <xdr:cNvPr id="54" name="图片 63" descr="C:/Users/Administrator/Desktop/强力线.jpg强力线"/>
        <xdr:cNvPicPr/>
      </xdr:nvPicPr>
      <xdr:blipFill>
        <a:blip r:embed="rId53"/>
        <a:srcRect l="41" t="5382" r="-41" b="5309"/>
        <a:stretch>
          <a:fillRect/>
        </a:stretch>
      </xdr:blipFill>
      <xdr:spPr>
        <a:xfrm>
          <a:off x="31040705" y="91593035"/>
          <a:ext cx="1211580" cy="72834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102</xdr:row>
      <xdr:rowOff>48895</xdr:rowOff>
    </xdr:from>
    <xdr:to>
      <xdr:col>31</xdr:col>
      <xdr:colOff>1172210</xdr:colOff>
      <xdr:row>102</xdr:row>
      <xdr:rowOff>777875</xdr:rowOff>
    </xdr:to>
    <xdr:pic>
      <xdr:nvPicPr>
        <xdr:cNvPr id="55" name="图片 64" descr="C:/Users/Administrator/Desktop/棉带.jpg棉带"/>
        <xdr:cNvPicPr/>
      </xdr:nvPicPr>
      <xdr:blipFill>
        <a:blip r:embed="rId54"/>
        <a:srcRect l="41" t="16564" r="-41" b="16509"/>
        <a:stretch>
          <a:fillRect/>
        </a:stretch>
      </xdr:blipFill>
      <xdr:spPr>
        <a:xfrm>
          <a:off x="31040705" y="93204665"/>
          <a:ext cx="1129030" cy="72898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103</xdr:row>
      <xdr:rowOff>47625</xdr:rowOff>
    </xdr:from>
    <xdr:to>
      <xdr:col>31</xdr:col>
      <xdr:colOff>1132205</xdr:colOff>
      <xdr:row>103</xdr:row>
      <xdr:rowOff>777240</xdr:rowOff>
    </xdr:to>
    <xdr:pic>
      <xdr:nvPicPr>
        <xdr:cNvPr id="56" name="图片 65" descr="C:/Users/Administrator/Desktop/强力线.jpg强力线"/>
        <xdr:cNvPicPr/>
      </xdr:nvPicPr>
      <xdr:blipFill>
        <a:blip r:embed="rId55"/>
        <a:srcRect l="21" t="5396" r="-21" b="5323"/>
        <a:stretch>
          <a:fillRect/>
        </a:stretch>
      </xdr:blipFill>
      <xdr:spPr>
        <a:xfrm>
          <a:off x="31040705" y="94822645"/>
          <a:ext cx="1089025" cy="729615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104</xdr:row>
      <xdr:rowOff>47625</xdr:rowOff>
    </xdr:from>
    <xdr:to>
      <xdr:col>31</xdr:col>
      <xdr:colOff>1117600</xdr:colOff>
      <xdr:row>104</xdr:row>
      <xdr:rowOff>749935</xdr:rowOff>
    </xdr:to>
    <xdr:pic>
      <xdr:nvPicPr>
        <xdr:cNvPr id="57" name="图片 66" descr="C:/Users/Administrator/Desktop/604-1008.jpg604-1008"/>
        <xdr:cNvPicPr/>
      </xdr:nvPicPr>
      <xdr:blipFill>
        <a:blip r:embed="rId56"/>
        <a:srcRect l="41" t="16564" r="-41" b="16509"/>
        <a:stretch>
          <a:fillRect/>
        </a:stretch>
      </xdr:blipFill>
      <xdr:spPr>
        <a:xfrm>
          <a:off x="31040705" y="96441895"/>
          <a:ext cx="1074420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105</xdr:row>
      <xdr:rowOff>40640</xdr:rowOff>
    </xdr:from>
    <xdr:to>
      <xdr:col>31</xdr:col>
      <xdr:colOff>1253490</xdr:colOff>
      <xdr:row>105</xdr:row>
      <xdr:rowOff>836930</xdr:rowOff>
    </xdr:to>
    <xdr:pic>
      <xdr:nvPicPr>
        <xdr:cNvPr id="58" name="图片 67" descr="C:/Users/Administrator/Desktop/棉带.jpg棉带"/>
        <xdr:cNvPicPr/>
      </xdr:nvPicPr>
      <xdr:blipFill>
        <a:blip r:embed="rId57"/>
        <a:srcRect l="21" t="16605" r="-21" b="16550"/>
        <a:stretch>
          <a:fillRect/>
        </a:stretch>
      </xdr:blipFill>
      <xdr:spPr>
        <a:xfrm>
          <a:off x="31040705" y="98054160"/>
          <a:ext cx="1210310" cy="796290"/>
        </a:xfrm>
        <a:prstGeom prst="rect">
          <a:avLst/>
        </a:prstGeom>
      </xdr:spPr>
    </xdr:pic>
    <xdr:clientData/>
  </xdr:twoCellAnchor>
  <xdr:twoCellAnchor editAs="oneCell">
    <xdr:from>
      <xdr:col>31</xdr:col>
      <xdr:colOff>124460</xdr:colOff>
      <xdr:row>106</xdr:row>
      <xdr:rowOff>66675</xdr:rowOff>
    </xdr:from>
    <xdr:to>
      <xdr:col>31</xdr:col>
      <xdr:colOff>1253490</xdr:colOff>
      <xdr:row>106</xdr:row>
      <xdr:rowOff>810895</xdr:rowOff>
    </xdr:to>
    <xdr:pic>
      <xdr:nvPicPr>
        <xdr:cNvPr id="59" name="图片 68" descr="C:/Users/Administrator/Desktop/强力线.jpg强力线"/>
        <xdr:cNvPicPr/>
      </xdr:nvPicPr>
      <xdr:blipFill>
        <a:blip r:embed="rId58"/>
        <a:srcRect l="41" t="5345" r="-41" b="5345"/>
        <a:stretch>
          <a:fillRect/>
        </a:stretch>
      </xdr:blipFill>
      <xdr:spPr>
        <a:xfrm>
          <a:off x="31121985" y="99699445"/>
          <a:ext cx="1129030" cy="744220"/>
        </a:xfrm>
        <a:prstGeom prst="rect">
          <a:avLst/>
        </a:prstGeom>
      </xdr:spPr>
    </xdr:pic>
    <xdr:clientData/>
  </xdr:twoCellAnchor>
  <xdr:twoCellAnchor editAs="oneCell">
    <xdr:from>
      <xdr:col>31</xdr:col>
      <xdr:colOff>43180</xdr:colOff>
      <xdr:row>107</xdr:row>
      <xdr:rowOff>40005</xdr:rowOff>
    </xdr:from>
    <xdr:to>
      <xdr:col>31</xdr:col>
      <xdr:colOff>1140460</xdr:colOff>
      <xdr:row>107</xdr:row>
      <xdr:rowOff>742315</xdr:rowOff>
    </xdr:to>
    <xdr:pic>
      <xdr:nvPicPr>
        <xdr:cNvPr id="60" name="图片 69" descr="C:/Users/Administrator/Desktop/604-1432.jpg604-1432"/>
        <xdr:cNvPicPr/>
      </xdr:nvPicPr>
      <xdr:blipFill>
        <a:blip r:embed="rId59"/>
        <a:srcRect l="21" t="5409" r="-21" b="5336"/>
        <a:stretch>
          <a:fillRect/>
        </a:stretch>
      </xdr:blipFill>
      <xdr:spPr>
        <a:xfrm>
          <a:off x="31040705" y="101292025"/>
          <a:ext cx="1097280" cy="702310"/>
        </a:xfrm>
        <a:prstGeom prst="rect">
          <a:avLst/>
        </a:prstGeom>
      </xdr:spPr>
    </xdr:pic>
    <xdr:clientData/>
  </xdr:twoCellAnchor>
  <xdr:twoCellAnchor editAs="oneCell">
    <xdr:from>
      <xdr:col>31</xdr:col>
      <xdr:colOff>235585</xdr:colOff>
      <xdr:row>98</xdr:row>
      <xdr:rowOff>0</xdr:rowOff>
    </xdr:from>
    <xdr:to>
      <xdr:col>31</xdr:col>
      <xdr:colOff>814705</xdr:colOff>
      <xdr:row>98</xdr:row>
      <xdr:rowOff>776605</xdr:rowOff>
    </xdr:to>
    <xdr:pic>
      <xdr:nvPicPr>
        <xdr:cNvPr id="61" name="图片 7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31233110" y="86678770"/>
          <a:ext cx="579120" cy="776605"/>
        </a:xfrm>
        <a:prstGeom prst="rect">
          <a:avLst/>
        </a:prstGeom>
      </xdr:spPr>
    </xdr:pic>
    <xdr:clientData/>
  </xdr:twoCellAnchor>
  <xdr:twoCellAnchor editAs="oneCell">
    <xdr:from>
      <xdr:col>31</xdr:col>
      <xdr:colOff>156882</xdr:colOff>
      <xdr:row>120</xdr:row>
      <xdr:rowOff>33620</xdr:rowOff>
    </xdr:from>
    <xdr:to>
      <xdr:col>31</xdr:col>
      <xdr:colOff>736002</xdr:colOff>
      <xdr:row>120</xdr:row>
      <xdr:rowOff>810225</xdr:rowOff>
    </xdr:to>
    <xdr:pic>
      <xdr:nvPicPr>
        <xdr:cNvPr id="62" name="图片 5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31154370" y="122335290"/>
          <a:ext cx="579120" cy="776605"/>
        </a:xfrm>
        <a:prstGeom prst="rect">
          <a:avLst/>
        </a:prstGeom>
      </xdr:spPr>
    </xdr:pic>
    <xdr:clientData/>
  </xdr:twoCellAnchor>
  <xdr:twoCellAnchor editAs="oneCell">
    <xdr:from>
      <xdr:col>31</xdr:col>
      <xdr:colOff>267073</xdr:colOff>
      <xdr:row>122</xdr:row>
      <xdr:rowOff>59391</xdr:rowOff>
    </xdr:from>
    <xdr:to>
      <xdr:col>31</xdr:col>
      <xdr:colOff>790948</xdr:colOff>
      <xdr:row>122</xdr:row>
      <xdr:rowOff>770591</xdr:rowOff>
    </xdr:to>
    <xdr:pic>
      <xdr:nvPicPr>
        <xdr:cNvPr id="63" name="图片 3"/>
        <xdr:cNvPicPr>
          <a:picLocks noChangeAspect="1" noChangeArrowheads="1"/>
        </xdr:cNvPicPr>
      </xdr:nvPicPr>
      <xdr:blipFill>
        <a:blip r:embed="rId61"/>
        <a:srcRect/>
        <a:stretch>
          <a:fillRect/>
        </a:stretch>
      </xdr:blipFill>
      <xdr:spPr>
        <a:xfrm>
          <a:off x="31264225" y="125599825"/>
          <a:ext cx="523875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31</xdr:col>
      <xdr:colOff>294714</xdr:colOff>
      <xdr:row>121</xdr:row>
      <xdr:rowOff>79562</xdr:rowOff>
    </xdr:from>
    <xdr:to>
      <xdr:col>31</xdr:col>
      <xdr:colOff>760804</xdr:colOff>
      <xdr:row>121</xdr:row>
      <xdr:rowOff>682812</xdr:rowOff>
    </xdr:to>
    <xdr:pic>
      <xdr:nvPicPr>
        <xdr:cNvPr id="64" name="图片 4"/>
        <xdr:cNvPicPr>
          <a:picLocks noChangeAspect="1" noChangeArrowheads="1"/>
        </xdr:cNvPicPr>
      </xdr:nvPicPr>
      <xdr:blipFill>
        <a:blip r:embed="rId62"/>
        <a:srcRect/>
        <a:stretch>
          <a:fillRect/>
        </a:stretch>
      </xdr:blipFill>
      <xdr:spPr>
        <a:xfrm>
          <a:off x="31292165" y="124000895"/>
          <a:ext cx="466090" cy="60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31</xdr:col>
      <xdr:colOff>0</xdr:colOff>
      <xdr:row>156</xdr:row>
      <xdr:rowOff>0</xdr:rowOff>
    </xdr:from>
    <xdr:to>
      <xdr:col>31</xdr:col>
      <xdr:colOff>573405</xdr:colOff>
      <xdr:row>156</xdr:row>
      <xdr:rowOff>721360</xdr:rowOff>
    </xdr:to>
    <xdr:pic>
      <xdr:nvPicPr>
        <xdr:cNvPr id="65" name="图片 2" descr="5e471bbbc9059a8749858736916ab0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30997525" y="180595270"/>
          <a:ext cx="573405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711835</xdr:colOff>
      <xdr:row>156</xdr:row>
      <xdr:rowOff>79375</xdr:rowOff>
    </xdr:from>
    <xdr:to>
      <xdr:col>31</xdr:col>
      <xdr:colOff>1565910</xdr:colOff>
      <xdr:row>156</xdr:row>
      <xdr:rowOff>668655</xdr:rowOff>
    </xdr:to>
    <xdr:pic>
      <xdr:nvPicPr>
        <xdr:cNvPr id="66" name="图片 1" descr="dd93ac6c5af2efbeeb2cdc029b969b9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31709360" y="180674645"/>
          <a:ext cx="854075" cy="58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40640</xdr:colOff>
      <xdr:row>159</xdr:row>
      <xdr:rowOff>0</xdr:rowOff>
    </xdr:from>
    <xdr:to>
      <xdr:col>31</xdr:col>
      <xdr:colOff>561975</xdr:colOff>
      <xdr:row>159</xdr:row>
      <xdr:rowOff>586740</xdr:rowOff>
    </xdr:to>
    <xdr:pic>
      <xdr:nvPicPr>
        <xdr:cNvPr id="92" name="图片 32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31038165" y="185453020"/>
          <a:ext cx="521335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607695</xdr:colOff>
      <xdr:row>159</xdr:row>
      <xdr:rowOff>0</xdr:rowOff>
    </xdr:from>
    <xdr:to>
      <xdr:col>31</xdr:col>
      <xdr:colOff>1424305</xdr:colOff>
      <xdr:row>159</xdr:row>
      <xdr:rowOff>385445</xdr:rowOff>
    </xdr:to>
    <xdr:pic>
      <xdr:nvPicPr>
        <xdr:cNvPr id="93" name="图片 3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605220" y="185453020"/>
          <a:ext cx="81661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440055</xdr:colOff>
      <xdr:row>159</xdr:row>
      <xdr:rowOff>0</xdr:rowOff>
    </xdr:from>
    <xdr:to>
      <xdr:col>31</xdr:col>
      <xdr:colOff>1346835</xdr:colOff>
      <xdr:row>159</xdr:row>
      <xdr:rowOff>652145</xdr:rowOff>
    </xdr:to>
    <xdr:pic>
      <xdr:nvPicPr>
        <xdr:cNvPr id="94" name="图片 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31437580" y="185453020"/>
          <a:ext cx="906780" cy="65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498475</xdr:colOff>
      <xdr:row>159</xdr:row>
      <xdr:rowOff>0</xdr:rowOff>
    </xdr:from>
    <xdr:to>
      <xdr:col>31</xdr:col>
      <xdr:colOff>1020445</xdr:colOff>
      <xdr:row>159</xdr:row>
      <xdr:rowOff>523240</xdr:rowOff>
    </xdr:to>
    <xdr:pic>
      <xdr:nvPicPr>
        <xdr:cNvPr id="95" name="图片 8" descr="badaf851b2a35c6da3de2cbe8f75228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31496000" y="185453020"/>
          <a:ext cx="521970" cy="523240"/>
        </a:xfrm>
        <a:prstGeom prst="rect">
          <a:avLst/>
        </a:prstGeom>
      </xdr:spPr>
    </xdr:pic>
    <xdr:clientData/>
  </xdr:twoCellAnchor>
  <xdr:twoCellAnchor editAs="oneCell">
    <xdr:from>
      <xdr:col>31</xdr:col>
      <xdr:colOff>375920</xdr:colOff>
      <xdr:row>159</xdr:row>
      <xdr:rowOff>0</xdr:rowOff>
    </xdr:from>
    <xdr:to>
      <xdr:col>31</xdr:col>
      <xdr:colOff>1239520</xdr:colOff>
      <xdr:row>159</xdr:row>
      <xdr:rowOff>646430</xdr:rowOff>
    </xdr:to>
    <xdr:pic>
      <xdr:nvPicPr>
        <xdr:cNvPr id="96" name="图片 28" descr="C:/Users/lenovo/Desktop/5e512d74d7db8790c89bc0444a88baf.jpg5e512d74d7db8790c89bc0444a88baf"/>
        <xdr:cNvPicPr>
          <a:picLocks noChangeAspect="1"/>
        </xdr:cNvPicPr>
      </xdr:nvPicPr>
      <xdr:blipFill>
        <a:blip r:embed="rId68"/>
        <a:srcRect l="-23" t="4738" r="23" b="4626"/>
        <a:stretch>
          <a:fillRect/>
        </a:stretch>
      </xdr:blipFill>
      <xdr:spPr>
        <a:xfrm>
          <a:off x="31373445" y="185453020"/>
          <a:ext cx="863600" cy="64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171450</xdr:colOff>
      <xdr:row>159</xdr:row>
      <xdr:rowOff>0</xdr:rowOff>
    </xdr:from>
    <xdr:to>
      <xdr:col>31</xdr:col>
      <xdr:colOff>965835</xdr:colOff>
      <xdr:row>159</xdr:row>
      <xdr:rowOff>740410</xdr:rowOff>
    </xdr:to>
    <xdr:pic>
      <xdr:nvPicPr>
        <xdr:cNvPr id="97" name="图片 51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31168975" y="185453020"/>
          <a:ext cx="794385" cy="740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45402</xdr:colOff>
      <xdr:row>159</xdr:row>
      <xdr:rowOff>0</xdr:rowOff>
    </xdr:from>
    <xdr:to>
      <xdr:col>31</xdr:col>
      <xdr:colOff>1707832</xdr:colOff>
      <xdr:row>159</xdr:row>
      <xdr:rowOff>774065</xdr:rowOff>
    </xdr:to>
    <xdr:pic>
      <xdr:nvPicPr>
        <xdr:cNvPr id="98" name="图片 52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 rot="16200000">
          <a:off x="31486475" y="185008520"/>
          <a:ext cx="774065" cy="1662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358775</xdr:colOff>
      <xdr:row>182</xdr:row>
      <xdr:rowOff>200025</xdr:rowOff>
    </xdr:from>
    <xdr:to>
      <xdr:col>31</xdr:col>
      <xdr:colOff>1537335</xdr:colOff>
      <xdr:row>182</xdr:row>
      <xdr:rowOff>997585</xdr:rowOff>
    </xdr:to>
    <xdr:pic>
      <xdr:nvPicPr>
        <xdr:cNvPr id="67" name="图片 66"/>
        <xdr:cNvPicPr/>
      </xdr:nvPicPr>
      <xdr:blipFill>
        <a:blip r:embed="rId71"/>
        <a:stretch>
          <a:fillRect/>
        </a:stretch>
      </xdr:blipFill>
      <xdr:spPr>
        <a:xfrm>
          <a:off x="31356300" y="224000695"/>
          <a:ext cx="1178560" cy="797560"/>
        </a:xfrm>
        <a:prstGeom prst="rect">
          <a:avLst/>
        </a:prstGeom>
      </xdr:spPr>
    </xdr:pic>
    <xdr:clientData/>
  </xdr:twoCellAnchor>
  <xdr:twoCellAnchor editAs="oneCell">
    <xdr:from>
      <xdr:col>31</xdr:col>
      <xdr:colOff>501650</xdr:colOff>
      <xdr:row>183</xdr:row>
      <xdr:rowOff>120650</xdr:rowOff>
    </xdr:from>
    <xdr:to>
      <xdr:col>31</xdr:col>
      <xdr:colOff>1421130</xdr:colOff>
      <xdr:row>183</xdr:row>
      <xdr:rowOff>1761490</xdr:rowOff>
    </xdr:to>
    <xdr:pic>
      <xdr:nvPicPr>
        <xdr:cNvPr id="68" name="图片 67"/>
        <xdr:cNvPicPr/>
      </xdr:nvPicPr>
      <xdr:blipFill>
        <a:blip r:embed="rId72"/>
        <a:stretch>
          <a:fillRect/>
        </a:stretch>
      </xdr:blipFill>
      <xdr:spPr>
        <a:xfrm>
          <a:off x="31499175" y="225826320"/>
          <a:ext cx="919480" cy="1640840"/>
        </a:xfrm>
        <a:prstGeom prst="rect">
          <a:avLst/>
        </a:prstGeom>
      </xdr:spPr>
    </xdr:pic>
    <xdr:clientData/>
  </xdr:twoCellAnchor>
  <xdr:twoCellAnchor editAs="oneCell">
    <xdr:from>
      <xdr:col>31</xdr:col>
      <xdr:colOff>120650</xdr:colOff>
      <xdr:row>305</xdr:row>
      <xdr:rowOff>50165</xdr:rowOff>
    </xdr:from>
    <xdr:to>
      <xdr:col>31</xdr:col>
      <xdr:colOff>665480</xdr:colOff>
      <xdr:row>305</xdr:row>
      <xdr:rowOff>497205</xdr:rowOff>
    </xdr:to>
    <xdr:pic>
      <xdr:nvPicPr>
        <xdr:cNvPr id="69" name="图片 68"/>
        <xdr:cNvPicPr/>
      </xdr:nvPicPr>
      <xdr:blipFill>
        <a:blip r:embed="rId73"/>
        <a:stretch>
          <a:fillRect/>
        </a:stretch>
      </xdr:blipFill>
      <xdr:spPr>
        <a:xfrm>
          <a:off x="31118175" y="414131760"/>
          <a:ext cx="544830" cy="447040"/>
        </a:xfrm>
        <a:prstGeom prst="rect">
          <a:avLst/>
        </a:prstGeom>
      </xdr:spPr>
    </xdr:pic>
    <xdr:clientData/>
  </xdr:twoCellAnchor>
  <xdr:twoCellAnchor editAs="oneCell">
    <xdr:from>
      <xdr:col>31</xdr:col>
      <xdr:colOff>65405</xdr:colOff>
      <xdr:row>305</xdr:row>
      <xdr:rowOff>553720</xdr:rowOff>
    </xdr:from>
    <xdr:to>
      <xdr:col>31</xdr:col>
      <xdr:colOff>740410</xdr:colOff>
      <xdr:row>306</xdr:row>
      <xdr:rowOff>3175</xdr:rowOff>
    </xdr:to>
    <xdr:pic>
      <xdr:nvPicPr>
        <xdr:cNvPr id="70" name="图片 69"/>
        <xdr:cNvPicPr/>
      </xdr:nvPicPr>
      <xdr:blipFill>
        <a:blip r:embed="rId74"/>
        <a:stretch>
          <a:fillRect/>
        </a:stretch>
      </xdr:blipFill>
      <xdr:spPr>
        <a:xfrm>
          <a:off x="31062930" y="414635315"/>
          <a:ext cx="675005" cy="449580"/>
        </a:xfrm>
        <a:prstGeom prst="rect">
          <a:avLst/>
        </a:prstGeom>
      </xdr:spPr>
    </xdr:pic>
    <xdr:clientData/>
  </xdr:twoCellAnchor>
  <xdr:twoCellAnchor editAs="oneCell">
    <xdr:from>
      <xdr:col>31</xdr:col>
      <xdr:colOff>1250315</xdr:colOff>
      <xdr:row>305</xdr:row>
      <xdr:rowOff>50165</xdr:rowOff>
    </xdr:from>
    <xdr:to>
      <xdr:col>32</xdr:col>
      <xdr:colOff>0</xdr:colOff>
      <xdr:row>305</xdr:row>
      <xdr:rowOff>504825</xdr:rowOff>
    </xdr:to>
    <xdr:pic>
      <xdr:nvPicPr>
        <xdr:cNvPr id="71" name="图片 70"/>
        <xdr:cNvPicPr/>
      </xdr:nvPicPr>
      <xdr:blipFill>
        <a:blip r:embed="rId75"/>
        <a:stretch>
          <a:fillRect/>
        </a:stretch>
      </xdr:blipFill>
      <xdr:spPr>
        <a:xfrm>
          <a:off x="32247840" y="414131760"/>
          <a:ext cx="654685" cy="454660"/>
        </a:xfrm>
        <a:prstGeom prst="rect">
          <a:avLst/>
        </a:prstGeom>
      </xdr:spPr>
    </xdr:pic>
    <xdr:clientData/>
  </xdr:twoCellAnchor>
  <xdr:twoCellAnchor editAs="oneCell">
    <xdr:from>
      <xdr:col>31</xdr:col>
      <xdr:colOff>1087120</xdr:colOff>
      <xdr:row>305</xdr:row>
      <xdr:rowOff>553720</xdr:rowOff>
    </xdr:from>
    <xdr:to>
      <xdr:col>32</xdr:col>
      <xdr:colOff>14605</xdr:colOff>
      <xdr:row>306</xdr:row>
      <xdr:rowOff>51435</xdr:rowOff>
    </xdr:to>
    <xdr:pic>
      <xdr:nvPicPr>
        <xdr:cNvPr id="72" name="图片 71"/>
        <xdr:cNvPicPr/>
      </xdr:nvPicPr>
      <xdr:blipFill>
        <a:blip r:embed="rId76"/>
        <a:stretch>
          <a:fillRect/>
        </a:stretch>
      </xdr:blipFill>
      <xdr:spPr>
        <a:xfrm>
          <a:off x="32084645" y="414635315"/>
          <a:ext cx="832485" cy="497840"/>
        </a:xfrm>
        <a:prstGeom prst="rect">
          <a:avLst/>
        </a:prstGeom>
      </xdr:spPr>
    </xdr:pic>
    <xdr:clientData/>
  </xdr:twoCellAnchor>
  <xdr:twoCellAnchor editAs="oneCell">
    <xdr:from>
      <xdr:col>30</xdr:col>
      <xdr:colOff>1152525</xdr:colOff>
      <xdr:row>306</xdr:row>
      <xdr:rowOff>254635</xdr:rowOff>
    </xdr:from>
    <xdr:to>
      <xdr:col>31</xdr:col>
      <xdr:colOff>849630</xdr:colOff>
      <xdr:row>306</xdr:row>
      <xdr:rowOff>666750</xdr:rowOff>
    </xdr:to>
    <xdr:pic>
      <xdr:nvPicPr>
        <xdr:cNvPr id="74" name="图片 73"/>
        <xdr:cNvPicPr/>
      </xdr:nvPicPr>
      <xdr:blipFill>
        <a:blip r:embed="rId77"/>
        <a:stretch>
          <a:fillRect/>
        </a:stretch>
      </xdr:blipFill>
      <xdr:spPr>
        <a:xfrm>
          <a:off x="30996890" y="415336355"/>
          <a:ext cx="850265" cy="412115"/>
        </a:xfrm>
        <a:prstGeom prst="rect">
          <a:avLst/>
        </a:prstGeom>
      </xdr:spPr>
    </xdr:pic>
    <xdr:clientData/>
  </xdr:twoCellAnchor>
  <xdr:twoCellAnchor editAs="oneCell">
    <xdr:from>
      <xdr:col>31</xdr:col>
      <xdr:colOff>909955</xdr:colOff>
      <xdr:row>306</xdr:row>
      <xdr:rowOff>50165</xdr:rowOff>
    </xdr:from>
    <xdr:to>
      <xdr:col>31</xdr:col>
      <xdr:colOff>1707515</xdr:colOff>
      <xdr:row>306</xdr:row>
      <xdr:rowOff>899795</xdr:rowOff>
    </xdr:to>
    <xdr:pic>
      <xdr:nvPicPr>
        <xdr:cNvPr id="76" name="图片 75"/>
        <xdr:cNvPicPr/>
      </xdr:nvPicPr>
      <xdr:blipFill>
        <a:blip r:embed="rId78"/>
        <a:stretch>
          <a:fillRect/>
        </a:stretch>
      </xdr:blipFill>
      <xdr:spPr>
        <a:xfrm>
          <a:off x="31907480" y="415131885"/>
          <a:ext cx="797560" cy="849630"/>
        </a:xfrm>
        <a:prstGeom prst="rect">
          <a:avLst/>
        </a:prstGeom>
      </xdr:spPr>
    </xdr:pic>
    <xdr:clientData/>
  </xdr:twoCellAnchor>
  <xdr:twoCellAnchor editAs="oneCell">
    <xdr:from>
      <xdr:col>31</xdr:col>
      <xdr:colOff>52705</xdr:colOff>
      <xdr:row>491</xdr:row>
      <xdr:rowOff>83820</xdr:rowOff>
    </xdr:from>
    <xdr:to>
      <xdr:col>31</xdr:col>
      <xdr:colOff>736600</xdr:colOff>
      <xdr:row>491</xdr:row>
      <xdr:rowOff>1030605</xdr:rowOff>
    </xdr:to>
    <xdr:pic>
      <xdr:nvPicPr>
        <xdr:cNvPr id="78" name="图片 77"/>
        <xdr:cNvPicPr/>
      </xdr:nvPicPr>
      <xdr:blipFill>
        <a:blip r:embed="rId79"/>
        <a:stretch>
          <a:fillRect/>
        </a:stretch>
      </xdr:blipFill>
      <xdr:spPr>
        <a:xfrm>
          <a:off x="31050230" y="593194775"/>
          <a:ext cx="683895" cy="946785"/>
        </a:xfrm>
        <a:prstGeom prst="rect">
          <a:avLst/>
        </a:prstGeom>
      </xdr:spPr>
    </xdr:pic>
    <xdr:clientData/>
  </xdr:twoCellAnchor>
  <xdr:twoCellAnchor editAs="oneCell">
    <xdr:from>
      <xdr:col>31</xdr:col>
      <xdr:colOff>760730</xdr:colOff>
      <xdr:row>491</xdr:row>
      <xdr:rowOff>314960</xdr:rowOff>
    </xdr:from>
    <xdr:to>
      <xdr:col>31</xdr:col>
      <xdr:colOff>1684020</xdr:colOff>
      <xdr:row>491</xdr:row>
      <xdr:rowOff>698500</xdr:rowOff>
    </xdr:to>
    <xdr:pic>
      <xdr:nvPicPr>
        <xdr:cNvPr id="80" name="图片 79"/>
        <xdr:cNvPicPr/>
      </xdr:nvPicPr>
      <xdr:blipFill>
        <a:blip r:embed="rId80"/>
        <a:stretch>
          <a:fillRect/>
        </a:stretch>
      </xdr:blipFill>
      <xdr:spPr>
        <a:xfrm>
          <a:off x="31758255" y="593425915"/>
          <a:ext cx="923290" cy="383540"/>
        </a:xfrm>
        <a:prstGeom prst="rect">
          <a:avLst/>
        </a:prstGeom>
      </xdr:spPr>
    </xdr:pic>
    <xdr:clientData/>
  </xdr:twoCellAnchor>
  <xdr:twoCellAnchor editAs="oneCell">
    <xdr:from>
      <xdr:col>31</xdr:col>
      <xdr:colOff>1821815</xdr:colOff>
      <xdr:row>490</xdr:row>
      <xdr:rowOff>800100</xdr:rowOff>
    </xdr:from>
    <xdr:to>
      <xdr:col>32</xdr:col>
      <xdr:colOff>164465</xdr:colOff>
      <xdr:row>491</xdr:row>
      <xdr:rowOff>250190</xdr:rowOff>
    </xdr:to>
    <xdr:pic>
      <xdr:nvPicPr>
        <xdr:cNvPr id="82" name="图片 81"/>
        <xdr:cNvPicPr/>
      </xdr:nvPicPr>
      <xdr:blipFill>
        <a:blip r:embed="rId81"/>
        <a:stretch>
          <a:fillRect/>
        </a:stretch>
      </xdr:blipFill>
      <xdr:spPr>
        <a:xfrm>
          <a:off x="32819340" y="592196555"/>
          <a:ext cx="247650" cy="1164590"/>
        </a:xfrm>
        <a:prstGeom prst="rect">
          <a:avLst/>
        </a:prstGeom>
      </xdr:spPr>
    </xdr:pic>
    <xdr:clientData/>
  </xdr:twoCellAnchor>
  <xdr:twoCellAnchor editAs="oneCell">
    <xdr:from>
      <xdr:col>31</xdr:col>
      <xdr:colOff>393065</xdr:colOff>
      <xdr:row>492</xdr:row>
      <xdr:rowOff>97790</xdr:rowOff>
    </xdr:from>
    <xdr:to>
      <xdr:col>31</xdr:col>
      <xdr:colOff>1659255</xdr:colOff>
      <xdr:row>492</xdr:row>
      <xdr:rowOff>976630</xdr:rowOff>
    </xdr:to>
    <xdr:pic>
      <xdr:nvPicPr>
        <xdr:cNvPr id="84" name="图片 83"/>
        <xdr:cNvPicPr/>
      </xdr:nvPicPr>
      <xdr:blipFill>
        <a:blip r:embed="rId82"/>
        <a:stretch>
          <a:fillRect/>
        </a:stretch>
      </xdr:blipFill>
      <xdr:spPr>
        <a:xfrm>
          <a:off x="31390590" y="594923245"/>
          <a:ext cx="1266190" cy="878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250190</xdr:colOff>
      <xdr:row>3</xdr:row>
      <xdr:rowOff>98425</xdr:rowOff>
    </xdr:from>
    <xdr:to>
      <xdr:col>19</xdr:col>
      <xdr:colOff>1490345</xdr:colOff>
      <xdr:row>3</xdr:row>
      <xdr:rowOff>1327150</xdr:rowOff>
    </xdr:to>
    <xdr:pic>
      <xdr:nvPicPr>
        <xdr:cNvPr id="30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10230" y="3778250"/>
          <a:ext cx="1240155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97790</xdr:colOff>
      <xdr:row>4</xdr:row>
      <xdr:rowOff>339725</xdr:rowOff>
    </xdr:from>
    <xdr:to>
      <xdr:col>19</xdr:col>
      <xdr:colOff>1996440</xdr:colOff>
      <xdr:row>4</xdr:row>
      <xdr:rowOff>1197610</xdr:rowOff>
    </xdr:to>
    <xdr:pic>
      <xdr:nvPicPr>
        <xdr:cNvPr id="31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357830" y="5400675"/>
          <a:ext cx="1898650" cy="857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914400</xdr:colOff>
      <xdr:row>396</xdr:row>
      <xdr:rowOff>0</xdr:rowOff>
    </xdr:from>
    <xdr:ext cx="2927" cy="215900"/>
    <xdr:pic>
      <xdr:nvPicPr>
        <xdr:cNvPr id="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396</xdr:row>
      <xdr:rowOff>0</xdr:rowOff>
    </xdr:from>
    <xdr:ext cx="2927" cy="215900"/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22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875</xdr:row>
      <xdr:rowOff>0</xdr:rowOff>
    </xdr:from>
    <xdr:ext cx="2927" cy="215900"/>
    <xdr:pic>
      <xdr:nvPicPr>
        <xdr:cNvPr id="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642</xdr:row>
      <xdr:rowOff>0</xdr:rowOff>
    </xdr:from>
    <xdr:ext cx="2927" cy="215900"/>
    <xdr:pic>
      <xdr:nvPicPr>
        <xdr:cNvPr id="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08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877</xdr:row>
      <xdr:rowOff>0</xdr:rowOff>
    </xdr:from>
    <xdr:ext cx="2927" cy="215900"/>
    <xdr:pic>
      <xdr:nvPicPr>
        <xdr:cNvPr id="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531</xdr:row>
      <xdr:rowOff>0</xdr:rowOff>
    </xdr:from>
    <xdr:ext cx="2927" cy="215900"/>
    <xdr:pic>
      <xdr:nvPicPr>
        <xdr:cNvPr id="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54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54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54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54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54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254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887</xdr:row>
      <xdr:rowOff>0</xdr:rowOff>
    </xdr:from>
    <xdr:ext cx="2927" cy="215900"/>
    <xdr:pic>
      <xdr:nvPicPr>
        <xdr:cNvPr id="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678</xdr:row>
      <xdr:rowOff>0</xdr:rowOff>
    </xdr:from>
    <xdr:ext cx="2927" cy="215900"/>
    <xdr:pic>
      <xdr:nvPicPr>
        <xdr:cNvPr id="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471</xdr:row>
      <xdr:rowOff>0</xdr:rowOff>
    </xdr:from>
    <xdr:ext cx="2927" cy="215900"/>
    <xdr:pic>
      <xdr:nvPicPr>
        <xdr:cNvPr id="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471</xdr:row>
      <xdr:rowOff>0</xdr:rowOff>
    </xdr:from>
    <xdr:ext cx="2927" cy="215900"/>
    <xdr:pic>
      <xdr:nvPicPr>
        <xdr:cNvPr id="1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1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755</xdr:row>
      <xdr:rowOff>0</xdr:rowOff>
    </xdr:from>
    <xdr:ext cx="2927" cy="215900"/>
    <xdr:pic>
      <xdr:nvPicPr>
        <xdr:cNvPr id="1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1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894</xdr:row>
      <xdr:rowOff>0</xdr:rowOff>
    </xdr:from>
    <xdr:ext cx="2927" cy="215900"/>
    <xdr:pic>
      <xdr:nvPicPr>
        <xdr:cNvPr id="1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1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1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494</xdr:row>
      <xdr:rowOff>0</xdr:rowOff>
    </xdr:from>
    <xdr:ext cx="2927" cy="215900"/>
    <xdr:pic>
      <xdr:nvPicPr>
        <xdr:cNvPr id="2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494</xdr:row>
      <xdr:rowOff>0</xdr:rowOff>
    </xdr:from>
    <xdr:ext cx="2927" cy="215900"/>
    <xdr:pic>
      <xdr:nvPicPr>
        <xdr:cNvPr id="2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44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461</xdr:row>
      <xdr:rowOff>0</xdr:rowOff>
    </xdr:from>
    <xdr:ext cx="2927" cy="215900"/>
    <xdr:pic>
      <xdr:nvPicPr>
        <xdr:cNvPr id="2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461</xdr:row>
      <xdr:rowOff>0</xdr:rowOff>
    </xdr:from>
    <xdr:ext cx="2927" cy="215900"/>
    <xdr:pic>
      <xdr:nvPicPr>
        <xdr:cNvPr id="2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2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564</xdr:row>
      <xdr:rowOff>0</xdr:rowOff>
    </xdr:from>
    <xdr:ext cx="2927" cy="215900"/>
    <xdr:pic>
      <xdr:nvPicPr>
        <xdr:cNvPr id="2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2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229</xdr:row>
      <xdr:rowOff>0</xdr:rowOff>
    </xdr:from>
    <xdr:ext cx="2927" cy="215900"/>
    <xdr:pic>
      <xdr:nvPicPr>
        <xdr:cNvPr id="2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503</xdr:row>
      <xdr:rowOff>0</xdr:rowOff>
    </xdr:from>
    <xdr:ext cx="2927" cy="215900"/>
    <xdr:pic>
      <xdr:nvPicPr>
        <xdr:cNvPr id="2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748</xdr:row>
      <xdr:rowOff>0</xdr:rowOff>
    </xdr:from>
    <xdr:ext cx="2927" cy="215900"/>
    <xdr:pic>
      <xdr:nvPicPr>
        <xdr:cNvPr id="2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30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3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95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755</xdr:row>
      <xdr:rowOff>0</xdr:rowOff>
    </xdr:from>
    <xdr:ext cx="2927" cy="215900"/>
    <xdr:pic>
      <xdr:nvPicPr>
        <xdr:cNvPr id="3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620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877</xdr:row>
      <xdr:rowOff>0</xdr:rowOff>
    </xdr:from>
    <xdr:ext cx="2927" cy="215900"/>
    <xdr:pic>
      <xdr:nvPicPr>
        <xdr:cNvPr id="3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139</xdr:row>
      <xdr:rowOff>0</xdr:rowOff>
    </xdr:from>
    <xdr:ext cx="2927" cy="215900"/>
    <xdr:pic>
      <xdr:nvPicPr>
        <xdr:cNvPr id="3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31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705</xdr:row>
      <xdr:rowOff>0</xdr:rowOff>
    </xdr:from>
    <xdr:ext cx="2927" cy="215900"/>
    <xdr:pic>
      <xdr:nvPicPr>
        <xdr:cNvPr id="3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539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362</xdr:row>
      <xdr:rowOff>0</xdr:rowOff>
    </xdr:from>
    <xdr:ext cx="2927" cy="215900"/>
    <xdr:pic>
      <xdr:nvPicPr>
        <xdr:cNvPr id="3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896</xdr:row>
      <xdr:rowOff>0</xdr:rowOff>
    </xdr:from>
    <xdr:ext cx="2927" cy="215900"/>
    <xdr:pic>
      <xdr:nvPicPr>
        <xdr:cNvPr id="3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7937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541</xdr:row>
      <xdr:rowOff>0</xdr:rowOff>
    </xdr:from>
    <xdr:ext cx="2927" cy="215900"/>
    <xdr:pic>
      <xdr:nvPicPr>
        <xdr:cNvPr id="3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511</xdr:row>
      <xdr:rowOff>0</xdr:rowOff>
    </xdr:from>
    <xdr:ext cx="2927" cy="215900"/>
    <xdr:pic>
      <xdr:nvPicPr>
        <xdr:cNvPr id="3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4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4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47625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914400</xdr:colOff>
      <xdr:row>354</xdr:row>
      <xdr:rowOff>0</xdr:rowOff>
    </xdr:from>
    <xdr:ext cx="2927" cy="215900"/>
    <xdr:pic>
      <xdr:nvPicPr>
        <xdr:cNvPr id="4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16090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514465" y="1905000"/>
          <a:ext cx="2540" cy="215900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914400</xdr:colOff>
      <xdr:row>58</xdr:row>
      <xdr:rowOff>0</xdr:rowOff>
    </xdr:from>
    <xdr:ext cx="2927" cy="215900"/>
    <xdr:pic>
      <xdr:nvPicPr>
        <xdr:cNvPr id="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674995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58</xdr:row>
      <xdr:rowOff>0</xdr:rowOff>
    </xdr:from>
    <xdr:ext cx="2927" cy="215900"/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191510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674995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674995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674995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674995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674995" y="24622125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283845</xdr:colOff>
      <xdr:row>2</xdr:row>
      <xdr:rowOff>158115</xdr:rowOff>
    </xdr:to>
    <xdr:pic>
      <xdr:nvPicPr>
        <xdr:cNvPr id="2" name="ID_E5D0EC1691DF4FA0BE100C60099A33E1" descr="upload_post_object_v2_839985719"/>
        <xdr:cNvPicPr/>
      </xdr:nvPicPr>
      <xdr:blipFill>
        <a:blip r:embed="rId1"/>
        <a:stretch>
          <a:fillRect/>
        </a:stretch>
      </xdr:blipFill>
      <xdr:spPr>
        <a:xfrm>
          <a:off x="0" y="0"/>
          <a:ext cx="96964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274320</xdr:colOff>
      <xdr:row>4</xdr:row>
      <xdr:rowOff>11430</xdr:rowOff>
    </xdr:to>
    <xdr:pic>
      <xdr:nvPicPr>
        <xdr:cNvPr id="3" name="ID_6221FBB40A8A411C92763FEB996B3232" descr="upload_post_object_v2_3125243160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</xdr:colOff>
      <xdr:row>3</xdr:row>
      <xdr:rowOff>89535</xdr:rowOff>
    </xdr:to>
    <xdr:pic>
      <xdr:nvPicPr>
        <xdr:cNvPr id="4" name="ID_96095377A56F4FCEBD1F0EF90C7B4686" descr="upload_post_object_v2_68554178"/>
        <xdr:cNvPicPr/>
      </xdr:nvPicPr>
      <xdr:blipFill>
        <a:blip r:embed="rId3"/>
        <a:stretch>
          <a:fillRect/>
        </a:stretch>
      </xdr:blipFill>
      <xdr:spPr>
        <a:xfrm>
          <a:off x="0" y="0"/>
          <a:ext cx="140589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483870</xdr:colOff>
      <xdr:row>3</xdr:row>
      <xdr:rowOff>99060</xdr:rowOff>
    </xdr:to>
    <xdr:pic>
      <xdr:nvPicPr>
        <xdr:cNvPr id="5" name="ID_09B3A027E2A44B6786572F8080722F72" descr="upload_post_object_v2_4161907161"/>
        <xdr:cNvPicPr/>
      </xdr:nvPicPr>
      <xdr:blipFill>
        <a:blip r:embed="rId4"/>
        <a:stretch>
          <a:fillRect/>
        </a:stretch>
      </xdr:blipFill>
      <xdr:spPr>
        <a:xfrm>
          <a:off x="0" y="0"/>
          <a:ext cx="116967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43815</xdr:colOff>
      <xdr:row>3</xdr:row>
      <xdr:rowOff>118110</xdr:rowOff>
    </xdr:to>
    <xdr:pic>
      <xdr:nvPicPr>
        <xdr:cNvPr id="6" name="ID_55CB2B5C5889474FB19813786216F6D3" descr="upload_post_object_v2_1366154576"/>
        <xdr:cNvPicPr/>
      </xdr:nvPicPr>
      <xdr:blipFill>
        <a:blip r:embed="rId5"/>
        <a:stretch>
          <a:fillRect/>
        </a:stretch>
      </xdr:blipFill>
      <xdr:spPr>
        <a:xfrm>
          <a:off x="0" y="0"/>
          <a:ext cx="141541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5</xdr:row>
      <xdr:rowOff>28575</xdr:rowOff>
    </xdr:to>
    <xdr:pic>
      <xdr:nvPicPr>
        <xdr:cNvPr id="7" name="ID_593E4C1D07914CDF9D0E86D2C88B1374" descr="upload_post_object_v2_954995866"/>
        <xdr:cNvPicPr/>
      </xdr:nvPicPr>
      <xdr:blipFill>
        <a:blip r:embed="rId6"/>
        <a:stretch>
          <a:fillRect/>
        </a:stretch>
      </xdr:blipFill>
      <xdr:spPr>
        <a:xfrm>
          <a:off x="0" y="0"/>
          <a:ext cx="702945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4</xdr:row>
      <xdr:rowOff>68580</xdr:rowOff>
    </xdr:to>
    <xdr:pic>
      <xdr:nvPicPr>
        <xdr:cNvPr id="8" name="ID_3982F93171A443AD9F1093B9FD190D97" descr="upload_post_object_v2_970991502"/>
        <xdr:cNvPicPr/>
      </xdr:nvPicPr>
      <xdr:blipFill>
        <a:blip r:embed="rId7"/>
        <a:stretch>
          <a:fillRect/>
        </a:stretch>
      </xdr:blipFill>
      <xdr:spPr>
        <a:xfrm>
          <a:off x="0" y="0"/>
          <a:ext cx="609600" cy="754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4</xdr:row>
      <xdr:rowOff>1905</xdr:rowOff>
    </xdr:to>
    <xdr:pic>
      <xdr:nvPicPr>
        <xdr:cNvPr id="9" name="ID_5F63F569D620457EAA3A95A29CC6D5A4" descr="upload_post_object_v2_627171398"/>
        <xdr:cNvPicPr/>
      </xdr:nvPicPr>
      <xdr:blipFill>
        <a:blip r:embed="rId8"/>
        <a:stretch>
          <a:fillRect/>
        </a:stretch>
      </xdr:blipFill>
      <xdr:spPr>
        <a:xfrm>
          <a:off x="0" y="0"/>
          <a:ext cx="54292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4</xdr:row>
      <xdr:rowOff>11430</xdr:rowOff>
    </xdr:to>
    <xdr:pic>
      <xdr:nvPicPr>
        <xdr:cNvPr id="10" name="ID_B34853663D6B449AAA22C05D4496A3D0" descr="upload_post_object_v2_3861081560"/>
        <xdr:cNvPicPr/>
      </xdr:nvPicPr>
      <xdr:blipFill>
        <a:blip r:embed="rId9"/>
        <a:stretch>
          <a:fillRect/>
        </a:stretch>
      </xdr:blipFill>
      <xdr:spPr>
        <a:xfrm>
          <a:off x="0" y="0"/>
          <a:ext cx="51435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3</xdr:row>
      <xdr:rowOff>41910</xdr:rowOff>
    </xdr:to>
    <xdr:pic>
      <xdr:nvPicPr>
        <xdr:cNvPr id="11" name="ID_C6BAE46059524DFF8AD3607C7667A2D2" descr="upload_post_object_v2_65201997"/>
        <xdr:cNvPicPr/>
      </xdr:nvPicPr>
      <xdr:blipFill>
        <a:blip r:embed="rId10"/>
        <a:stretch>
          <a:fillRect/>
        </a:stretch>
      </xdr:blipFill>
      <xdr:spPr>
        <a:xfrm>
          <a:off x="0" y="0"/>
          <a:ext cx="428625" cy="55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156210</xdr:rowOff>
    </xdr:to>
    <xdr:pic>
      <xdr:nvPicPr>
        <xdr:cNvPr id="12" name="ID_C5723062E65146AD80D13B10C3E10D18" descr="upload_post_object_v2_2719359820"/>
        <xdr:cNvPicPr/>
      </xdr:nvPicPr>
      <xdr:blipFill>
        <a:blip r:embed="rId11"/>
        <a:stretch>
          <a:fillRect/>
        </a:stretch>
      </xdr:blipFill>
      <xdr:spPr>
        <a:xfrm>
          <a:off x="0" y="0"/>
          <a:ext cx="760095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89535</xdr:rowOff>
    </xdr:to>
    <xdr:pic>
      <xdr:nvPicPr>
        <xdr:cNvPr id="13" name="ID_EEEC72A780B14C8C999784263588F420" descr="upload_post_object_v2_727194914"/>
        <xdr:cNvPicPr/>
      </xdr:nvPicPr>
      <xdr:blipFill>
        <a:blip r:embed="rId12"/>
        <a:stretch>
          <a:fillRect/>
        </a:stretch>
      </xdr:blipFill>
      <xdr:spPr>
        <a:xfrm>
          <a:off x="0" y="0"/>
          <a:ext cx="70294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3</xdr:row>
      <xdr:rowOff>156210</xdr:rowOff>
    </xdr:to>
    <xdr:pic>
      <xdr:nvPicPr>
        <xdr:cNvPr id="14" name="ID_00F3664A923C4471BE2BF9930393E123" descr="upload_post_object_v2_4096786041"/>
        <xdr:cNvPicPr/>
      </xdr:nvPicPr>
      <xdr:blipFill>
        <a:blip r:embed="rId13"/>
        <a:stretch>
          <a:fillRect/>
        </a:stretch>
      </xdr:blipFill>
      <xdr:spPr>
        <a:xfrm>
          <a:off x="0" y="0"/>
          <a:ext cx="51435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2</xdr:row>
      <xdr:rowOff>167640</xdr:rowOff>
    </xdr:to>
    <xdr:pic>
      <xdr:nvPicPr>
        <xdr:cNvPr id="15" name="ID_339C8DED368940F593EF2947CE378DB7" descr="upload_post_object_v2_683960413"/>
        <xdr:cNvPicPr/>
      </xdr:nvPicPr>
      <xdr:blipFill>
        <a:blip r:embed="rId14"/>
        <a:stretch>
          <a:fillRect/>
        </a:stretch>
      </xdr:blipFill>
      <xdr:spPr>
        <a:xfrm>
          <a:off x="0" y="0"/>
          <a:ext cx="514350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146685</xdr:rowOff>
    </xdr:to>
    <xdr:pic>
      <xdr:nvPicPr>
        <xdr:cNvPr id="16" name="ID_6AFDB99BEE61497AB18F18858D77D990" descr="upload_post_object_v2_2643080422"/>
        <xdr:cNvPicPr/>
      </xdr:nvPicPr>
      <xdr:blipFill>
        <a:blip r:embed="rId15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3</xdr:row>
      <xdr:rowOff>89535</xdr:rowOff>
    </xdr:to>
    <xdr:pic>
      <xdr:nvPicPr>
        <xdr:cNvPr id="17" name="ID_C803BFC4BA3B48469984F9D6B8C37B6C" descr="upload_post_object_v2_3864654620"/>
        <xdr:cNvPicPr/>
      </xdr:nvPicPr>
      <xdr:blipFill>
        <a:blip r:embed="rId16"/>
        <a:stretch>
          <a:fillRect/>
        </a:stretch>
      </xdr:blipFill>
      <xdr:spPr>
        <a:xfrm>
          <a:off x="0" y="0"/>
          <a:ext cx="60960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3</xdr:row>
      <xdr:rowOff>80010</xdr:rowOff>
    </xdr:to>
    <xdr:pic>
      <xdr:nvPicPr>
        <xdr:cNvPr id="18" name="ID_EDF74E57CA434C08ADE70C62837ACF64" descr="upload_post_object_v2_488524034"/>
        <xdr:cNvPicPr/>
      </xdr:nvPicPr>
      <xdr:blipFill>
        <a:blip r:embed="rId17"/>
        <a:stretch>
          <a:fillRect/>
        </a:stretch>
      </xdr:blipFill>
      <xdr:spPr>
        <a:xfrm>
          <a:off x="0" y="0"/>
          <a:ext cx="788670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70485</xdr:rowOff>
    </xdr:to>
    <xdr:pic>
      <xdr:nvPicPr>
        <xdr:cNvPr id="19" name="ID_A326523BB5FC4D028D040F6B3AAC32C5" descr="upload_post_object_v2_2854992253"/>
        <xdr:cNvPicPr/>
      </xdr:nvPicPr>
      <xdr:blipFill>
        <a:blip r:embed="rId18"/>
        <a:stretch>
          <a:fillRect/>
        </a:stretch>
      </xdr:blipFill>
      <xdr:spPr>
        <a:xfrm>
          <a:off x="0" y="0"/>
          <a:ext cx="702945" cy="584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0" name="ID_B9138EC3B2594ECBB2229B716F153796" descr="upload_post_object_v2_2337084835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1" name="ID_FD172ADB04564173855CB82352FA6728" descr="upload_post_object_v2_2230543895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2" name="ID_EF78C0C89756496FA31FEB48018A8DC9" descr="upload_post_object_v2_4145323957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3" name="ID_7F4D20E100CB470F8F80E44FEEA2F093" descr="upload_post_object_v2_1407877247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4" name="ID_858E582760AF44B19A6976C0BF092C04" descr="upload_post_object_v2_2468025227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5" name="ID_755C4592F1F54F97BBD462A036275C65" descr="upload_post_object_v2_1514665651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6" name="ID_CECB130E286147FB830DD31C73F3E877" descr="upload_post_object_v2_714526540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3</xdr:row>
      <xdr:rowOff>127635</xdr:rowOff>
    </xdr:to>
    <xdr:pic>
      <xdr:nvPicPr>
        <xdr:cNvPr id="27" name="ID_30C274C15F2E408DB8C16AC02A008074" descr="upload_post_object_v2_3149972643"/>
        <xdr:cNvPicPr/>
      </xdr:nvPicPr>
      <xdr:blipFill>
        <a:blip r:embed="rId19"/>
        <a:stretch>
          <a:fillRect/>
        </a:stretch>
      </xdr:blipFill>
      <xdr:spPr>
        <a:xfrm>
          <a:off x="0" y="0"/>
          <a:ext cx="5048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550545</xdr:colOff>
      <xdr:row>2</xdr:row>
      <xdr:rowOff>148590</xdr:rowOff>
    </xdr:to>
    <xdr:pic>
      <xdr:nvPicPr>
        <xdr:cNvPr id="28" name="ID_4B058EC948C9401DA5938EEDABBF8860" descr="upload_post_object_v2_1684732468"/>
        <xdr:cNvPicPr/>
      </xdr:nvPicPr>
      <xdr:blipFill>
        <a:blip r:embed="rId20"/>
        <a:stretch>
          <a:fillRect/>
        </a:stretch>
      </xdr:blipFill>
      <xdr:spPr>
        <a:xfrm>
          <a:off x="0" y="0"/>
          <a:ext cx="1236345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108585</xdr:rowOff>
    </xdr:to>
    <xdr:pic>
      <xdr:nvPicPr>
        <xdr:cNvPr id="29" name="ID_EE4405AD48334095951090315A361461" descr="upload_post_object_v2_130657178"/>
        <xdr:cNvPicPr/>
      </xdr:nvPicPr>
      <xdr:blipFill>
        <a:blip r:embed="rId21"/>
        <a:stretch>
          <a:fillRect/>
        </a:stretch>
      </xdr:blipFill>
      <xdr:spPr>
        <a:xfrm>
          <a:off x="0" y="0"/>
          <a:ext cx="70294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108585</xdr:rowOff>
    </xdr:to>
    <xdr:pic>
      <xdr:nvPicPr>
        <xdr:cNvPr id="30" name="ID_4DA2646B0AC34E3E897B537025FEB2AB" descr="upload_post_object_v2_3764261437"/>
        <xdr:cNvPicPr/>
      </xdr:nvPicPr>
      <xdr:blipFill>
        <a:blip r:embed="rId22"/>
        <a:stretch>
          <a:fillRect/>
        </a:stretch>
      </xdr:blipFill>
      <xdr:spPr>
        <a:xfrm>
          <a:off x="0" y="0"/>
          <a:ext cx="76009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108585</xdr:rowOff>
    </xdr:to>
    <xdr:pic>
      <xdr:nvPicPr>
        <xdr:cNvPr id="31" name="ID_22FD1CCC2F384FECB3045641AD60FEA0" descr="upload_post_object_v2_4115643455"/>
        <xdr:cNvPicPr/>
      </xdr:nvPicPr>
      <xdr:blipFill>
        <a:blip r:embed="rId22"/>
        <a:stretch>
          <a:fillRect/>
        </a:stretch>
      </xdr:blipFill>
      <xdr:spPr>
        <a:xfrm>
          <a:off x="0" y="0"/>
          <a:ext cx="76009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108585</xdr:rowOff>
    </xdr:to>
    <xdr:pic>
      <xdr:nvPicPr>
        <xdr:cNvPr id="32" name="ID_F4C186DA0FA2496BA30CFDC8ECA4978F" descr="upload_post_object_v2_2627958943"/>
        <xdr:cNvPicPr/>
      </xdr:nvPicPr>
      <xdr:blipFill>
        <a:blip r:embed="rId22"/>
        <a:stretch>
          <a:fillRect/>
        </a:stretch>
      </xdr:blipFill>
      <xdr:spPr>
        <a:xfrm>
          <a:off x="0" y="0"/>
          <a:ext cx="76009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137160</xdr:rowOff>
    </xdr:to>
    <xdr:pic>
      <xdr:nvPicPr>
        <xdr:cNvPr id="33" name="ID_E616AED064BE4772BC5817E7E120AC57" descr="upload_post_object_v2_2187852795"/>
        <xdr:cNvPicPr/>
      </xdr:nvPicPr>
      <xdr:blipFill>
        <a:blip r:embed="rId23"/>
        <a:stretch>
          <a:fillRect/>
        </a:stretch>
      </xdr:blipFill>
      <xdr:spPr>
        <a:xfrm>
          <a:off x="0" y="0"/>
          <a:ext cx="760095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3</xdr:row>
      <xdr:rowOff>137160</xdr:rowOff>
    </xdr:to>
    <xdr:pic>
      <xdr:nvPicPr>
        <xdr:cNvPr id="34" name="ID_22786F9CB77A41CD8B9CEE5512AF711C" descr="upload_post_object_v2_655442155"/>
        <xdr:cNvPicPr/>
      </xdr:nvPicPr>
      <xdr:blipFill>
        <a:blip r:embed="rId24"/>
        <a:stretch>
          <a:fillRect/>
        </a:stretch>
      </xdr:blipFill>
      <xdr:spPr>
        <a:xfrm>
          <a:off x="0" y="0"/>
          <a:ext cx="38100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2</xdr:row>
      <xdr:rowOff>72390</xdr:rowOff>
    </xdr:to>
    <xdr:pic>
      <xdr:nvPicPr>
        <xdr:cNvPr id="35" name="ID_0AAA99AD76FD4E76BA31DC576F072101" descr="upload_post_object_v2_3896041237"/>
        <xdr:cNvPicPr/>
      </xdr:nvPicPr>
      <xdr:blipFill>
        <a:blip r:embed="rId25"/>
        <a:stretch>
          <a:fillRect/>
        </a:stretch>
      </xdr:blipFill>
      <xdr:spPr>
        <a:xfrm>
          <a:off x="0" y="0"/>
          <a:ext cx="1036320" cy="415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5</xdr:row>
      <xdr:rowOff>19050</xdr:rowOff>
    </xdr:to>
    <xdr:pic>
      <xdr:nvPicPr>
        <xdr:cNvPr id="36" name="ID_59A496CB9F6E446AB14B94AD6756DC8B" descr="upload_post_object_v2_3131118226"/>
        <xdr:cNvPicPr/>
      </xdr:nvPicPr>
      <xdr:blipFill>
        <a:blip r:embed="rId26"/>
        <a:stretch>
          <a:fillRect/>
        </a:stretch>
      </xdr:blipFill>
      <xdr:spPr>
        <a:xfrm>
          <a:off x="0" y="0"/>
          <a:ext cx="57150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4</xdr:row>
      <xdr:rowOff>116205</xdr:rowOff>
    </xdr:to>
    <xdr:pic>
      <xdr:nvPicPr>
        <xdr:cNvPr id="37" name="ID_DB216805AF6249B7973007540C3F7CB2" descr="upload_post_object_v2_3446474350"/>
        <xdr:cNvPicPr/>
      </xdr:nvPicPr>
      <xdr:blipFill>
        <a:blip r:embed="rId27"/>
        <a:stretch>
          <a:fillRect/>
        </a:stretch>
      </xdr:blipFill>
      <xdr:spPr>
        <a:xfrm>
          <a:off x="0" y="0"/>
          <a:ext cx="581025" cy="802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5</xdr:row>
      <xdr:rowOff>1905</xdr:rowOff>
    </xdr:to>
    <xdr:pic>
      <xdr:nvPicPr>
        <xdr:cNvPr id="38" name="ID_70AF7963477B475ABB38EE5A44E70BC4" descr="upload_post_object_v2_2660320969"/>
        <xdr:cNvPicPr/>
      </xdr:nvPicPr>
      <xdr:blipFill>
        <a:blip r:embed="rId28"/>
        <a:stretch>
          <a:fillRect/>
        </a:stretch>
      </xdr:blipFill>
      <xdr:spPr>
        <a:xfrm>
          <a:off x="0" y="0"/>
          <a:ext cx="514350" cy="859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4</xdr:row>
      <xdr:rowOff>3810</xdr:rowOff>
    </xdr:to>
    <xdr:pic>
      <xdr:nvPicPr>
        <xdr:cNvPr id="39" name="ID_051B6E1AEF0A46A9A380794E6E9FEB84" descr="upload_post_object_v2_2719184814"/>
        <xdr:cNvPicPr/>
      </xdr:nvPicPr>
      <xdr:blipFill>
        <a:blip r:embed="rId29"/>
        <a:stretch>
          <a:fillRect/>
        </a:stretch>
      </xdr:blipFill>
      <xdr:spPr>
        <a:xfrm>
          <a:off x="0" y="0"/>
          <a:ext cx="60960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457200</xdr:colOff>
      <xdr:row>4</xdr:row>
      <xdr:rowOff>97155</xdr:rowOff>
    </xdr:to>
    <xdr:pic>
      <xdr:nvPicPr>
        <xdr:cNvPr id="40" name="ID_0360A12D53354975B7F1A858D1DE250E" descr="upload_post_object_v2_2621070631"/>
        <xdr:cNvPicPr/>
      </xdr:nvPicPr>
      <xdr:blipFill>
        <a:blip r:embed="rId30"/>
        <a:stretch>
          <a:fillRect/>
        </a:stretch>
      </xdr:blipFill>
      <xdr:spPr>
        <a:xfrm>
          <a:off x="0" y="0"/>
          <a:ext cx="457200" cy="782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5</xdr:row>
      <xdr:rowOff>0</xdr:rowOff>
    </xdr:to>
    <xdr:pic>
      <xdr:nvPicPr>
        <xdr:cNvPr id="41" name="ID_01002F9EDBD94735BC0B18E74046BD4F" descr="upload_post_object_v2_3902194096"/>
        <xdr:cNvPicPr/>
      </xdr:nvPicPr>
      <xdr:blipFill>
        <a:blip r:embed="rId31"/>
        <a:stretch>
          <a:fillRect/>
        </a:stretch>
      </xdr:blipFill>
      <xdr:spPr>
        <a:xfrm>
          <a:off x="0" y="0"/>
          <a:ext cx="702945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400050</xdr:colOff>
      <xdr:row>4</xdr:row>
      <xdr:rowOff>163830</xdr:rowOff>
    </xdr:to>
    <xdr:pic>
      <xdr:nvPicPr>
        <xdr:cNvPr id="42" name="ID_49E9557D68E64CD9938DD0D132E331F1" descr="upload_post_object_v2_734175397"/>
        <xdr:cNvPicPr/>
      </xdr:nvPicPr>
      <xdr:blipFill>
        <a:blip r:embed="rId32"/>
        <a:stretch>
          <a:fillRect/>
        </a:stretch>
      </xdr:blipFill>
      <xdr:spPr>
        <a:xfrm>
          <a:off x="0" y="0"/>
          <a:ext cx="400050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188595</xdr:colOff>
      <xdr:row>4</xdr:row>
      <xdr:rowOff>97155</xdr:rowOff>
    </xdr:to>
    <xdr:pic>
      <xdr:nvPicPr>
        <xdr:cNvPr id="43" name="ID_15104C8251634BA2B975D156BB595F38" descr="upload_post_object_v2_1284603886"/>
        <xdr:cNvPicPr/>
      </xdr:nvPicPr>
      <xdr:blipFill>
        <a:blip r:embed="rId33"/>
        <a:stretch>
          <a:fillRect/>
        </a:stretch>
      </xdr:blipFill>
      <xdr:spPr>
        <a:xfrm>
          <a:off x="0" y="0"/>
          <a:ext cx="874395" cy="782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4</xdr:row>
      <xdr:rowOff>116205</xdr:rowOff>
    </xdr:to>
    <xdr:pic>
      <xdr:nvPicPr>
        <xdr:cNvPr id="44" name="ID_C62156A2F0B547489C522BEFDE49A901" descr="upload_post_object_v2_3866892719"/>
        <xdr:cNvPicPr/>
      </xdr:nvPicPr>
      <xdr:blipFill>
        <a:blip r:embed="rId34"/>
        <a:stretch>
          <a:fillRect/>
        </a:stretch>
      </xdr:blipFill>
      <xdr:spPr>
        <a:xfrm>
          <a:off x="0" y="0"/>
          <a:ext cx="731520" cy="802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5</xdr:row>
      <xdr:rowOff>9525</xdr:rowOff>
    </xdr:to>
    <xdr:pic>
      <xdr:nvPicPr>
        <xdr:cNvPr id="45" name="ID_45786DA52BE847A7A66E2EC76A87B381" descr="upload_post_object_v2_1933459642"/>
        <xdr:cNvPicPr/>
      </xdr:nvPicPr>
      <xdr:blipFill>
        <a:blip r:embed="rId35"/>
        <a:stretch>
          <a:fillRect/>
        </a:stretch>
      </xdr:blipFill>
      <xdr:spPr>
        <a:xfrm>
          <a:off x="0" y="0"/>
          <a:ext cx="702945" cy="866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5</xdr:row>
      <xdr:rowOff>66675</xdr:rowOff>
    </xdr:to>
    <xdr:pic>
      <xdr:nvPicPr>
        <xdr:cNvPr id="46" name="ID_4A9331B2D6CC4D1EB65B82DA956224B3" descr="upload_post_object_v2_2423555044"/>
        <xdr:cNvPicPr/>
      </xdr:nvPicPr>
      <xdr:blipFill>
        <a:blip r:embed="rId36"/>
        <a:stretch>
          <a:fillRect/>
        </a:stretch>
      </xdr:blipFill>
      <xdr:spPr>
        <a:xfrm>
          <a:off x="0" y="0"/>
          <a:ext cx="304800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5</xdr:row>
      <xdr:rowOff>28575</xdr:rowOff>
    </xdr:to>
    <xdr:pic>
      <xdr:nvPicPr>
        <xdr:cNvPr id="47" name="ID_C06BBCE6CE39441A89AB0B677FF57B25" descr="upload_post_object_v2_1622959601"/>
        <xdr:cNvPicPr/>
      </xdr:nvPicPr>
      <xdr:blipFill>
        <a:blip r:embed="rId37"/>
        <a:stretch>
          <a:fillRect/>
        </a:stretch>
      </xdr:blipFill>
      <xdr:spPr>
        <a:xfrm>
          <a:off x="0" y="0"/>
          <a:ext cx="476250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4</xdr:row>
      <xdr:rowOff>116205</xdr:rowOff>
    </xdr:to>
    <xdr:pic>
      <xdr:nvPicPr>
        <xdr:cNvPr id="48" name="ID_0AB6290EA5A543ADAB4F802B2AD0C288" descr="upload_post_object_v2_1423456340"/>
        <xdr:cNvPicPr/>
      </xdr:nvPicPr>
      <xdr:blipFill>
        <a:blip r:embed="rId34"/>
        <a:stretch>
          <a:fillRect/>
        </a:stretch>
      </xdr:blipFill>
      <xdr:spPr>
        <a:xfrm>
          <a:off x="0" y="0"/>
          <a:ext cx="731520" cy="802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5</xdr:row>
      <xdr:rowOff>9525</xdr:rowOff>
    </xdr:to>
    <xdr:pic>
      <xdr:nvPicPr>
        <xdr:cNvPr id="49" name="ID_B8D954928B9D43279068919097DB3F0C" descr="upload_post_object_v2_1065724730"/>
        <xdr:cNvPicPr/>
      </xdr:nvPicPr>
      <xdr:blipFill>
        <a:blip r:embed="rId38"/>
        <a:stretch>
          <a:fillRect/>
        </a:stretch>
      </xdr:blipFill>
      <xdr:spPr>
        <a:xfrm>
          <a:off x="0" y="0"/>
          <a:ext cx="702945" cy="866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314325</xdr:colOff>
      <xdr:row>5</xdr:row>
      <xdr:rowOff>161925</xdr:rowOff>
    </xdr:to>
    <xdr:pic>
      <xdr:nvPicPr>
        <xdr:cNvPr id="50" name="ID_4CBE41D8C33D4916B086953AE035FB8E" descr="upload_post_object_v2_3827284360"/>
        <xdr:cNvPicPr/>
      </xdr:nvPicPr>
      <xdr:blipFill>
        <a:blip r:embed="rId39"/>
        <a:stretch>
          <a:fillRect/>
        </a:stretch>
      </xdr:blipFill>
      <xdr:spPr>
        <a:xfrm>
          <a:off x="0" y="0"/>
          <a:ext cx="314325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4</xdr:row>
      <xdr:rowOff>68580</xdr:rowOff>
    </xdr:to>
    <xdr:pic>
      <xdr:nvPicPr>
        <xdr:cNvPr id="51" name="ID_F37E8DC825084683A71025D8D2350818" descr="upload_post_object_v2_16537882"/>
        <xdr:cNvPicPr/>
      </xdr:nvPicPr>
      <xdr:blipFill>
        <a:blip r:embed="rId40"/>
        <a:stretch>
          <a:fillRect/>
        </a:stretch>
      </xdr:blipFill>
      <xdr:spPr>
        <a:xfrm>
          <a:off x="0" y="0"/>
          <a:ext cx="495300" cy="754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5</xdr:row>
      <xdr:rowOff>1905</xdr:rowOff>
    </xdr:to>
    <xdr:pic>
      <xdr:nvPicPr>
        <xdr:cNvPr id="52" name="ID_41EC7CA33E0041EAB6B8FDCA6D9D85FA" descr="upload_post_object_v2_2489313957"/>
        <xdr:cNvPicPr/>
      </xdr:nvPicPr>
      <xdr:blipFill>
        <a:blip r:embed="rId41"/>
        <a:stretch>
          <a:fillRect/>
        </a:stretch>
      </xdr:blipFill>
      <xdr:spPr>
        <a:xfrm>
          <a:off x="0" y="0"/>
          <a:ext cx="702945" cy="859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600075</xdr:colOff>
      <xdr:row>4</xdr:row>
      <xdr:rowOff>97155</xdr:rowOff>
    </xdr:to>
    <xdr:pic>
      <xdr:nvPicPr>
        <xdr:cNvPr id="53" name="ID_AC69CBFB868543BEA3F59C89C7D4365D" descr="upload_post_object_v2_701745791"/>
        <xdr:cNvPicPr/>
      </xdr:nvPicPr>
      <xdr:blipFill>
        <a:blip r:embed="rId42"/>
        <a:stretch>
          <a:fillRect/>
        </a:stretch>
      </xdr:blipFill>
      <xdr:spPr>
        <a:xfrm>
          <a:off x="0" y="0"/>
          <a:ext cx="600075" cy="782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1</xdr:row>
      <xdr:rowOff>83820</xdr:rowOff>
    </xdr:to>
    <xdr:pic>
      <xdr:nvPicPr>
        <xdr:cNvPr id="54" name="ID_D79F8EDBDE9C4B9BAFB437569CFB4EFD" descr="upload_post_object_v2_844137475"/>
        <xdr:cNvPicPr/>
      </xdr:nvPicPr>
      <xdr:blipFill>
        <a:blip r:embed="rId43"/>
        <a:stretch>
          <a:fillRect/>
        </a:stretch>
      </xdr:blipFill>
      <xdr:spPr>
        <a:xfrm>
          <a:off x="0" y="0"/>
          <a:ext cx="712470" cy="255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561975</xdr:colOff>
      <xdr:row>3</xdr:row>
      <xdr:rowOff>118110</xdr:rowOff>
    </xdr:to>
    <xdr:pic>
      <xdr:nvPicPr>
        <xdr:cNvPr id="55" name="ID_C2634D8F8F61411E87BAF2B76DB96771" descr="upload_post_object_v2_2840894099"/>
        <xdr:cNvPicPr/>
      </xdr:nvPicPr>
      <xdr:blipFill>
        <a:blip r:embed="rId44"/>
        <a:stretch>
          <a:fillRect/>
        </a:stretch>
      </xdr:blipFill>
      <xdr:spPr>
        <a:xfrm>
          <a:off x="0" y="0"/>
          <a:ext cx="56197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590550</xdr:colOff>
      <xdr:row>4</xdr:row>
      <xdr:rowOff>49530</xdr:rowOff>
    </xdr:to>
    <xdr:pic>
      <xdr:nvPicPr>
        <xdr:cNvPr id="56" name="ID_EA1EF33BF4EB4794B2AC346E151542EA" descr="upload_post_object_v2_562279575"/>
        <xdr:cNvPicPr/>
      </xdr:nvPicPr>
      <xdr:blipFill>
        <a:blip r:embed="rId45"/>
        <a:stretch>
          <a:fillRect/>
        </a:stretch>
      </xdr:blipFill>
      <xdr:spPr>
        <a:xfrm>
          <a:off x="0" y="0"/>
          <a:ext cx="590550" cy="735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5</xdr:row>
      <xdr:rowOff>19050</xdr:rowOff>
    </xdr:to>
    <xdr:pic>
      <xdr:nvPicPr>
        <xdr:cNvPr id="57" name="ID_EF889CBD9E3349AB9D1A1A7239AD5F0C" descr="upload_post_object_v2_3346385455"/>
        <xdr:cNvPicPr/>
      </xdr:nvPicPr>
      <xdr:blipFill>
        <a:blip r:embed="rId46"/>
        <a:stretch>
          <a:fillRect/>
        </a:stretch>
      </xdr:blipFill>
      <xdr:spPr>
        <a:xfrm>
          <a:off x="0" y="0"/>
          <a:ext cx="70294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358775</xdr:colOff>
      <xdr:row>55</xdr:row>
      <xdr:rowOff>0</xdr:rowOff>
    </xdr:to>
    <xdr:pic>
      <xdr:nvPicPr>
        <xdr:cNvPr id="58" name="ID_13763677F97E482497561660B224C9F1" descr="upload_post_object_v2_928566752"/>
        <xdr:cNvPicPr/>
      </xdr:nvPicPr>
      <xdr:blipFill>
        <a:blip r:embed="rId47"/>
        <a:stretch>
          <a:fillRect/>
        </a:stretch>
      </xdr:blipFill>
      <xdr:spPr>
        <a:xfrm>
          <a:off x="0" y="0"/>
          <a:ext cx="4473575" cy="9429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30480</xdr:rowOff>
    </xdr:to>
    <xdr:pic>
      <xdr:nvPicPr>
        <xdr:cNvPr id="59" name="ID_58A6C778F09F4CF28FFD77012AF4563C" descr="upload_post_object_v2_1166084252"/>
        <xdr:cNvPicPr/>
      </xdr:nvPicPr>
      <xdr:blipFill>
        <a:blip r:embed="rId48"/>
        <a:stretch>
          <a:fillRect/>
        </a:stretch>
      </xdr:blipFill>
      <xdr:spPr>
        <a:xfrm>
          <a:off x="0" y="0"/>
          <a:ext cx="702945" cy="716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590550</xdr:colOff>
      <xdr:row>4</xdr:row>
      <xdr:rowOff>49530</xdr:rowOff>
    </xdr:to>
    <xdr:pic>
      <xdr:nvPicPr>
        <xdr:cNvPr id="60" name="ID_090D38B749214D34934C3D55C99B9990" descr="upload_post_object_v2_1457292989"/>
        <xdr:cNvPicPr/>
      </xdr:nvPicPr>
      <xdr:blipFill>
        <a:blip r:embed="rId45"/>
        <a:stretch>
          <a:fillRect/>
        </a:stretch>
      </xdr:blipFill>
      <xdr:spPr>
        <a:xfrm>
          <a:off x="0" y="0"/>
          <a:ext cx="590550" cy="735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5</xdr:row>
      <xdr:rowOff>123825</xdr:rowOff>
    </xdr:to>
    <xdr:pic>
      <xdr:nvPicPr>
        <xdr:cNvPr id="61" name="ID_49DF9B0FE6D74277B82BB4BB85A7D3F1" descr="upload_post_object_v2_1061071710"/>
        <xdr:cNvPicPr/>
      </xdr:nvPicPr>
      <xdr:blipFill>
        <a:blip r:embed="rId49"/>
        <a:stretch>
          <a:fillRect/>
        </a:stretch>
      </xdr:blipFill>
      <xdr:spPr>
        <a:xfrm>
          <a:off x="0" y="0"/>
          <a:ext cx="571500" cy="981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4</xdr:row>
      <xdr:rowOff>163830</xdr:rowOff>
    </xdr:to>
    <xdr:pic>
      <xdr:nvPicPr>
        <xdr:cNvPr id="62" name="ID_C2B69209EBFD4965B3E3C711E2788A0E" descr="upload_post_object_v2_3684613929"/>
        <xdr:cNvPicPr/>
      </xdr:nvPicPr>
      <xdr:blipFill>
        <a:blip r:embed="rId50"/>
        <a:stretch>
          <a:fillRect/>
        </a:stretch>
      </xdr:blipFill>
      <xdr:spPr>
        <a:xfrm>
          <a:off x="0" y="0"/>
          <a:ext cx="495300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5</xdr:row>
      <xdr:rowOff>47625</xdr:rowOff>
    </xdr:to>
    <xdr:pic>
      <xdr:nvPicPr>
        <xdr:cNvPr id="63" name="ID_374A5C6286D849FC8C2A51E2BEE27B06" descr="upload_post_object_v2_1727246248"/>
        <xdr:cNvPicPr/>
      </xdr:nvPicPr>
      <xdr:blipFill>
        <a:blip r:embed="rId51"/>
        <a:stretch>
          <a:fillRect/>
        </a:stretch>
      </xdr:blipFill>
      <xdr:spPr>
        <a:xfrm>
          <a:off x="0" y="0"/>
          <a:ext cx="55245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125730</xdr:rowOff>
    </xdr:to>
    <xdr:pic>
      <xdr:nvPicPr>
        <xdr:cNvPr id="64" name="ID_2C940B6C712846EE9D9722399D75F3E3" descr="upload_post_object_v2_3654016814"/>
        <xdr:cNvPicPr/>
      </xdr:nvPicPr>
      <xdr:blipFill>
        <a:blip r:embed="rId52"/>
        <a:stretch>
          <a:fillRect/>
        </a:stretch>
      </xdr:blipFill>
      <xdr:spPr>
        <a:xfrm>
          <a:off x="0" y="0"/>
          <a:ext cx="476250" cy="811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3</xdr:row>
      <xdr:rowOff>156210</xdr:rowOff>
    </xdr:to>
    <xdr:pic>
      <xdr:nvPicPr>
        <xdr:cNvPr id="65" name="ID_E183934F328D42C4BBA4184D273E5187" descr="upload_post_object_v2_1207226889"/>
        <xdr:cNvPicPr/>
      </xdr:nvPicPr>
      <xdr:blipFill>
        <a:blip r:embed="rId53"/>
        <a:stretch>
          <a:fillRect/>
        </a:stretch>
      </xdr:blipFill>
      <xdr:spPr>
        <a:xfrm>
          <a:off x="0" y="0"/>
          <a:ext cx="82677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4</xdr:row>
      <xdr:rowOff>87630</xdr:rowOff>
    </xdr:to>
    <xdr:pic>
      <xdr:nvPicPr>
        <xdr:cNvPr id="66" name="ID_4CB492BC88BF46A598DA52DDB61ECECE" descr="upload_post_object_v2_2744143023"/>
        <xdr:cNvPicPr/>
      </xdr:nvPicPr>
      <xdr:blipFill>
        <a:blip r:embed="rId54"/>
        <a:stretch>
          <a:fillRect/>
        </a:stretch>
      </xdr:blipFill>
      <xdr:spPr>
        <a:xfrm>
          <a:off x="0" y="0"/>
          <a:ext cx="571500" cy="773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4</xdr:row>
      <xdr:rowOff>11430</xdr:rowOff>
    </xdr:to>
    <xdr:pic>
      <xdr:nvPicPr>
        <xdr:cNvPr id="67" name="ID_77D7BE6530F44F25A464A6FB5A23B567" descr="upload_post_object_v2_253326678"/>
        <xdr:cNvPicPr/>
      </xdr:nvPicPr>
      <xdr:blipFill>
        <a:blip r:embed="rId55"/>
        <a:stretch>
          <a:fillRect/>
        </a:stretch>
      </xdr:blipFill>
      <xdr:spPr>
        <a:xfrm>
          <a:off x="0" y="0"/>
          <a:ext cx="55245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245745</xdr:colOff>
      <xdr:row>3</xdr:row>
      <xdr:rowOff>156210</xdr:rowOff>
    </xdr:to>
    <xdr:pic>
      <xdr:nvPicPr>
        <xdr:cNvPr id="68" name="ID_33E0417AE60D40D49D41751A7CE08978" descr="upload_post_object_v2_3799963756"/>
        <xdr:cNvPicPr/>
      </xdr:nvPicPr>
      <xdr:blipFill>
        <a:blip r:embed="rId56"/>
        <a:stretch>
          <a:fillRect/>
        </a:stretch>
      </xdr:blipFill>
      <xdr:spPr>
        <a:xfrm>
          <a:off x="0" y="0"/>
          <a:ext cx="931545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419100</xdr:colOff>
      <xdr:row>5</xdr:row>
      <xdr:rowOff>28575</xdr:rowOff>
    </xdr:to>
    <xdr:pic>
      <xdr:nvPicPr>
        <xdr:cNvPr id="69" name="ID_7E10E7B1285243818A9194E3153E566F" descr="upload_post_object_v2_2537518693"/>
        <xdr:cNvPicPr/>
      </xdr:nvPicPr>
      <xdr:blipFill>
        <a:blip r:embed="rId57"/>
        <a:stretch>
          <a:fillRect/>
        </a:stretch>
      </xdr:blipFill>
      <xdr:spPr>
        <a:xfrm>
          <a:off x="0" y="0"/>
          <a:ext cx="419100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</xdr:colOff>
      <xdr:row>5</xdr:row>
      <xdr:rowOff>38100</xdr:rowOff>
    </xdr:to>
    <xdr:pic>
      <xdr:nvPicPr>
        <xdr:cNvPr id="70" name="ID_AE1F4B8007DB4945A8C3CF93ED207D90" descr="upload_post_object_v2_3897691461"/>
        <xdr:cNvPicPr/>
      </xdr:nvPicPr>
      <xdr:blipFill>
        <a:blip r:embed="rId58"/>
        <a:stretch>
          <a:fillRect/>
        </a:stretch>
      </xdr:blipFill>
      <xdr:spPr>
        <a:xfrm>
          <a:off x="0" y="0"/>
          <a:ext cx="77914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5</xdr:row>
      <xdr:rowOff>47625</xdr:rowOff>
    </xdr:to>
    <xdr:pic>
      <xdr:nvPicPr>
        <xdr:cNvPr id="71" name="ID_86BD1D5A72A14D23BE9ED95573A8298B" descr="upload_post_object_v2_2697637483"/>
        <xdr:cNvPicPr/>
      </xdr:nvPicPr>
      <xdr:blipFill>
        <a:blip r:embed="rId59"/>
        <a:stretch>
          <a:fillRect/>
        </a:stretch>
      </xdr:blipFill>
      <xdr:spPr>
        <a:xfrm>
          <a:off x="0" y="0"/>
          <a:ext cx="20955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340995</xdr:colOff>
      <xdr:row>2</xdr:row>
      <xdr:rowOff>129540</xdr:rowOff>
    </xdr:to>
    <xdr:pic>
      <xdr:nvPicPr>
        <xdr:cNvPr id="72" name="ID_CDD3DD15342E4B568C3FA9E7B3D43EB1" descr="upload_post_object_v2_2663084998"/>
        <xdr:cNvPicPr/>
      </xdr:nvPicPr>
      <xdr:blipFill>
        <a:blip r:embed="rId60"/>
        <a:stretch>
          <a:fillRect/>
        </a:stretch>
      </xdr:blipFill>
      <xdr:spPr>
        <a:xfrm>
          <a:off x="0" y="0"/>
          <a:ext cx="1026795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5</xdr:row>
      <xdr:rowOff>9525</xdr:rowOff>
    </xdr:to>
    <xdr:pic>
      <xdr:nvPicPr>
        <xdr:cNvPr id="73" name="ID_D5D1E62E315B4A91A53BF94C60C07AB1" descr="upload_post_object_v2_4139368811"/>
        <xdr:cNvPicPr/>
      </xdr:nvPicPr>
      <xdr:blipFill>
        <a:blip r:embed="rId61"/>
        <a:stretch>
          <a:fillRect/>
        </a:stretch>
      </xdr:blipFill>
      <xdr:spPr>
        <a:xfrm>
          <a:off x="0" y="0"/>
          <a:ext cx="807720" cy="866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188595</xdr:colOff>
      <xdr:row>2</xdr:row>
      <xdr:rowOff>72390</xdr:rowOff>
    </xdr:to>
    <xdr:pic>
      <xdr:nvPicPr>
        <xdr:cNvPr id="74" name="ID_BEFF42A93940417FAECB812A19DC5A95" descr="upload_post_object_v2_556813412"/>
        <xdr:cNvPicPr/>
      </xdr:nvPicPr>
      <xdr:blipFill>
        <a:blip r:embed="rId62"/>
        <a:stretch>
          <a:fillRect/>
        </a:stretch>
      </xdr:blipFill>
      <xdr:spPr>
        <a:xfrm>
          <a:off x="0" y="0"/>
          <a:ext cx="874395" cy="415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99060</xdr:rowOff>
    </xdr:to>
    <xdr:pic>
      <xdr:nvPicPr>
        <xdr:cNvPr id="75" name="ID_2877118BCFE447F3B0AD39085F017B64" descr="upload_post_object_v2_2045517969"/>
        <xdr:cNvPicPr/>
      </xdr:nvPicPr>
      <xdr:blipFill>
        <a:blip r:embed="rId63"/>
        <a:stretch>
          <a:fillRect/>
        </a:stretch>
      </xdr:blipFill>
      <xdr:spPr>
        <a:xfrm>
          <a:off x="0" y="0"/>
          <a:ext cx="702945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36195</xdr:colOff>
      <xdr:row>4</xdr:row>
      <xdr:rowOff>125730</xdr:rowOff>
    </xdr:to>
    <xdr:pic>
      <xdr:nvPicPr>
        <xdr:cNvPr id="76" name="ID_EAEDE2C3012141B38950447429992C7A" descr="upload_post_object_v2_2378108751"/>
        <xdr:cNvPicPr/>
      </xdr:nvPicPr>
      <xdr:blipFill>
        <a:blip r:embed="rId64"/>
        <a:stretch>
          <a:fillRect/>
        </a:stretch>
      </xdr:blipFill>
      <xdr:spPr>
        <a:xfrm>
          <a:off x="0" y="0"/>
          <a:ext cx="721995" cy="811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137160</xdr:rowOff>
    </xdr:to>
    <xdr:pic>
      <xdr:nvPicPr>
        <xdr:cNvPr id="77" name="ID_07390C740FDE463A95248D33D8BEC7BF" descr="upload_post_object_v2_1121420756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331470</xdr:colOff>
      <xdr:row>3</xdr:row>
      <xdr:rowOff>89535</xdr:rowOff>
    </xdr:to>
    <xdr:pic>
      <xdr:nvPicPr>
        <xdr:cNvPr id="78" name="ID_545B55EB4739413CBCE95A50B43E9426" descr="upload_post_object_v2_3054733313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51435</xdr:rowOff>
    </xdr:to>
    <xdr:pic>
      <xdr:nvPicPr>
        <xdr:cNvPr id="79" name="ID_87AB0650D7AD4121A0D4FC069848C702" descr="upload_post_object_v2_1911232447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51435</xdr:rowOff>
    </xdr:to>
    <xdr:pic>
      <xdr:nvPicPr>
        <xdr:cNvPr id="80" name="ID_3D1A90DC11CE40028464CB1859AA8A33" descr="upload_post_object_v2_3087724107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163830</xdr:rowOff>
    </xdr:to>
    <xdr:pic>
      <xdr:nvPicPr>
        <xdr:cNvPr id="81" name="ID_1FC57BC6FCA7402E943124C07F4F4B15" descr="upload_post_object_v2_1392367648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4</xdr:row>
      <xdr:rowOff>154305</xdr:rowOff>
    </xdr:to>
    <xdr:pic>
      <xdr:nvPicPr>
        <xdr:cNvPr id="82" name="ID_E67054218D564F7296D9DA0B5A1A6493" descr="upload_post_object_v2_654473233"/>
        <xdr:cNvPicPr/>
      </xdr:nvPicPr>
      <xdr:blipFill>
        <a:blip r:embed="rId69"/>
        <a:stretch>
          <a:fillRect/>
        </a:stretch>
      </xdr:blipFill>
      <xdr:spPr>
        <a:xfrm>
          <a:off x="0" y="0"/>
          <a:ext cx="712470" cy="840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400050</xdr:colOff>
      <xdr:row>4</xdr:row>
      <xdr:rowOff>154305</xdr:rowOff>
    </xdr:to>
    <xdr:pic>
      <xdr:nvPicPr>
        <xdr:cNvPr id="83" name="ID_A6D8A7EB51164566BA60072BC7B5C42C" descr="upload_post_object_v2_1173934298"/>
        <xdr:cNvPicPr/>
      </xdr:nvPicPr>
      <xdr:blipFill>
        <a:blip r:embed="rId70"/>
        <a:stretch>
          <a:fillRect/>
        </a:stretch>
      </xdr:blipFill>
      <xdr:spPr>
        <a:xfrm>
          <a:off x="0" y="0"/>
          <a:ext cx="400050" cy="840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226695</xdr:colOff>
      <xdr:row>4</xdr:row>
      <xdr:rowOff>1905</xdr:rowOff>
    </xdr:to>
    <xdr:pic>
      <xdr:nvPicPr>
        <xdr:cNvPr id="84" name="ID_6A4D8576F43248969E149252DF5FC153" descr="upload_post_object_v2_2948895064"/>
        <xdr:cNvPicPr/>
      </xdr:nvPicPr>
      <xdr:blipFill>
        <a:blip r:embed="rId71"/>
        <a:stretch>
          <a:fillRect/>
        </a:stretch>
      </xdr:blipFill>
      <xdr:spPr>
        <a:xfrm>
          <a:off x="0" y="0"/>
          <a:ext cx="91249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293370</xdr:colOff>
      <xdr:row>1</xdr:row>
      <xdr:rowOff>64770</xdr:rowOff>
    </xdr:to>
    <xdr:pic>
      <xdr:nvPicPr>
        <xdr:cNvPr id="85" name="ID_EAA724D38D034BEEBF06CAB31228FB5C" descr="upload_post_object_v2_2737141597"/>
        <xdr:cNvPicPr/>
      </xdr:nvPicPr>
      <xdr:blipFill>
        <a:blip r:embed="rId72"/>
        <a:stretch>
          <a:fillRect/>
        </a:stretch>
      </xdr:blipFill>
      <xdr:spPr>
        <a:xfrm>
          <a:off x="0" y="0"/>
          <a:ext cx="979170" cy="236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457200</xdr:colOff>
      <xdr:row>4</xdr:row>
      <xdr:rowOff>163830</xdr:rowOff>
    </xdr:to>
    <xdr:pic>
      <xdr:nvPicPr>
        <xdr:cNvPr id="86" name="ID_535F06E1F57E4DE6BB246C6A9560A7D9" descr="upload_post_object_v2_2071150180"/>
        <xdr:cNvPicPr/>
      </xdr:nvPicPr>
      <xdr:blipFill>
        <a:blip r:embed="rId73"/>
        <a:stretch>
          <a:fillRect/>
        </a:stretch>
      </xdr:blipFill>
      <xdr:spPr>
        <a:xfrm>
          <a:off x="0" y="0"/>
          <a:ext cx="457200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217170</xdr:colOff>
      <xdr:row>4</xdr:row>
      <xdr:rowOff>20955</xdr:rowOff>
    </xdr:to>
    <xdr:pic>
      <xdr:nvPicPr>
        <xdr:cNvPr id="87" name="ID_5142FBBC16BF43D5B94B3C40184E4079" descr="upload_post_object_v2_1353031696"/>
        <xdr:cNvPicPr/>
      </xdr:nvPicPr>
      <xdr:blipFill>
        <a:blip r:embed="rId74"/>
        <a:stretch>
          <a:fillRect/>
        </a:stretch>
      </xdr:blipFill>
      <xdr:spPr>
        <a:xfrm>
          <a:off x="0" y="0"/>
          <a:ext cx="902970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293370</xdr:colOff>
      <xdr:row>2</xdr:row>
      <xdr:rowOff>62865</xdr:rowOff>
    </xdr:to>
    <xdr:pic>
      <xdr:nvPicPr>
        <xdr:cNvPr id="88" name="ID_92F4B5D7266042F0BD22DEC4A58B5CD9" descr="upload_post_object_v2_1955272967"/>
        <xdr:cNvPicPr/>
      </xdr:nvPicPr>
      <xdr:blipFill>
        <a:blip r:embed="rId75"/>
        <a:stretch>
          <a:fillRect/>
        </a:stretch>
      </xdr:blipFill>
      <xdr:spPr>
        <a:xfrm>
          <a:off x="0" y="0"/>
          <a:ext cx="979170" cy="405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198120</xdr:colOff>
      <xdr:row>4</xdr:row>
      <xdr:rowOff>68580</xdr:rowOff>
    </xdr:to>
    <xdr:pic>
      <xdr:nvPicPr>
        <xdr:cNvPr id="89" name="ID_89E97041F7664C5C8213FCE26348715E" descr="upload_post_object_v2_1445839762"/>
        <xdr:cNvPicPr/>
      </xdr:nvPicPr>
      <xdr:blipFill>
        <a:blip r:embed="rId76"/>
        <a:stretch>
          <a:fillRect/>
        </a:stretch>
      </xdr:blipFill>
      <xdr:spPr>
        <a:xfrm>
          <a:off x="0" y="0"/>
          <a:ext cx="883920" cy="754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207645</xdr:colOff>
      <xdr:row>3</xdr:row>
      <xdr:rowOff>118110</xdr:rowOff>
    </xdr:to>
    <xdr:pic>
      <xdr:nvPicPr>
        <xdr:cNvPr id="90" name="ID_C601C44894044750A1734E5A04FC3691" descr="upload_post_object_v2_525412451"/>
        <xdr:cNvPicPr/>
      </xdr:nvPicPr>
      <xdr:blipFill>
        <a:blip r:embed="rId77"/>
        <a:stretch>
          <a:fillRect/>
        </a:stretch>
      </xdr:blipFill>
      <xdr:spPr>
        <a:xfrm>
          <a:off x="0" y="0"/>
          <a:ext cx="89344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137160</xdr:rowOff>
    </xdr:to>
    <xdr:pic>
      <xdr:nvPicPr>
        <xdr:cNvPr id="91" name="ID_4D4C0C296FC3440CB2329F1949FC9F95" descr="upload_post_object_v2_2189402232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331470</xdr:colOff>
      <xdr:row>3</xdr:row>
      <xdr:rowOff>89535</xdr:rowOff>
    </xdr:to>
    <xdr:pic>
      <xdr:nvPicPr>
        <xdr:cNvPr id="92" name="ID_05BF6466991245FB9D31EE07CF4AEB83" descr="upload_post_object_v2_381947718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51435</xdr:rowOff>
    </xdr:to>
    <xdr:pic>
      <xdr:nvPicPr>
        <xdr:cNvPr id="93" name="ID_D198073EB648472BA0A08C6CDF4ABF46" descr="upload_post_object_v2_750793005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165735</xdr:rowOff>
    </xdr:to>
    <xdr:pic>
      <xdr:nvPicPr>
        <xdr:cNvPr id="94" name="ID_38FB71E9FC364792B050BB58FC57444B" descr="upload_post_object_v2_1845051848"/>
        <xdr:cNvPicPr/>
      </xdr:nvPicPr>
      <xdr:blipFill>
        <a:blip r:embed="rId78"/>
        <a:stretch>
          <a:fillRect/>
        </a:stretch>
      </xdr:blipFill>
      <xdr:spPr>
        <a:xfrm>
          <a:off x="0" y="0"/>
          <a:ext cx="100774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163830</xdr:rowOff>
    </xdr:to>
    <xdr:pic>
      <xdr:nvPicPr>
        <xdr:cNvPr id="95" name="ID_AD10332B2640427B9D46DE362DA80570" descr="upload_post_object_v2_1349009755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135255</xdr:rowOff>
    </xdr:to>
    <xdr:pic>
      <xdr:nvPicPr>
        <xdr:cNvPr id="96" name="ID_4094650511AF4C4EBB6189883FACBE09" descr="upload_post_object_v2_2290860431"/>
        <xdr:cNvPicPr/>
      </xdr:nvPicPr>
      <xdr:blipFill>
        <a:blip r:embed="rId79"/>
        <a:stretch>
          <a:fillRect/>
        </a:stretch>
      </xdr:blipFill>
      <xdr:spPr>
        <a:xfrm>
          <a:off x="0" y="0"/>
          <a:ext cx="702945" cy="821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466725</xdr:colOff>
      <xdr:row>5</xdr:row>
      <xdr:rowOff>85725</xdr:rowOff>
    </xdr:to>
    <xdr:pic>
      <xdr:nvPicPr>
        <xdr:cNvPr id="97" name="ID_9E0C9A2C62B849EE83B23EFC21D2F73E" descr="upload_post_object_v2_3085501090"/>
        <xdr:cNvPicPr/>
      </xdr:nvPicPr>
      <xdr:blipFill>
        <a:blip r:embed="rId80"/>
        <a:stretch>
          <a:fillRect/>
        </a:stretch>
      </xdr:blipFill>
      <xdr:spPr>
        <a:xfrm>
          <a:off x="0" y="0"/>
          <a:ext cx="466725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5</xdr:row>
      <xdr:rowOff>66675</xdr:rowOff>
    </xdr:to>
    <xdr:pic>
      <xdr:nvPicPr>
        <xdr:cNvPr id="98" name="ID_D1ABBAD46FC64DC3BCB0094B7A7C877F" descr="upload_post_object_v2_1648274571"/>
        <xdr:cNvPicPr/>
      </xdr:nvPicPr>
      <xdr:blipFill>
        <a:blip r:embed="rId81"/>
        <a:stretch>
          <a:fillRect/>
        </a:stretch>
      </xdr:blipFill>
      <xdr:spPr>
        <a:xfrm>
          <a:off x="0" y="0"/>
          <a:ext cx="817245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5</xdr:row>
      <xdr:rowOff>47625</xdr:rowOff>
    </xdr:to>
    <xdr:pic>
      <xdr:nvPicPr>
        <xdr:cNvPr id="99" name="ID_0B375358699843A6BD8277B2C1623C9F" descr="upload_post_object_v2_2385890825"/>
        <xdr:cNvPicPr/>
      </xdr:nvPicPr>
      <xdr:blipFill>
        <a:blip r:embed="rId82"/>
        <a:stretch>
          <a:fillRect/>
        </a:stretch>
      </xdr:blipFill>
      <xdr:spPr>
        <a:xfrm>
          <a:off x="0" y="0"/>
          <a:ext cx="38100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390525</xdr:colOff>
      <xdr:row>4</xdr:row>
      <xdr:rowOff>87630</xdr:rowOff>
    </xdr:to>
    <xdr:pic>
      <xdr:nvPicPr>
        <xdr:cNvPr id="100" name="ID_81F636D69D964285844D82E236D348F5" descr="upload_post_object_v2_4136466156"/>
        <xdr:cNvPicPr/>
      </xdr:nvPicPr>
      <xdr:blipFill>
        <a:blip r:embed="rId83"/>
        <a:stretch>
          <a:fillRect/>
        </a:stretch>
      </xdr:blipFill>
      <xdr:spPr>
        <a:xfrm>
          <a:off x="0" y="0"/>
          <a:ext cx="390525" cy="773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5</xdr:row>
      <xdr:rowOff>19050</xdr:rowOff>
    </xdr:to>
    <xdr:pic>
      <xdr:nvPicPr>
        <xdr:cNvPr id="101" name="ID_88951E0A2AAA408E9BD062AC8F6FBCD7" descr="upload_post_object_v2_2035873483"/>
        <xdr:cNvPicPr/>
      </xdr:nvPicPr>
      <xdr:blipFill>
        <a:blip r:embed="rId84"/>
        <a:stretch>
          <a:fillRect/>
        </a:stretch>
      </xdr:blipFill>
      <xdr:spPr>
        <a:xfrm>
          <a:off x="0" y="0"/>
          <a:ext cx="76962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5</xdr:row>
      <xdr:rowOff>76200</xdr:rowOff>
    </xdr:to>
    <xdr:pic>
      <xdr:nvPicPr>
        <xdr:cNvPr id="102" name="ID_D044E856A2F04AE79868BEF880CF4156" descr="upload_post_object_v2_227732683"/>
        <xdr:cNvPicPr/>
      </xdr:nvPicPr>
      <xdr:blipFill>
        <a:blip r:embed="rId85"/>
        <a:stretch>
          <a:fillRect/>
        </a:stretch>
      </xdr:blipFill>
      <xdr:spPr>
        <a:xfrm>
          <a:off x="0" y="0"/>
          <a:ext cx="571500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3</xdr:row>
      <xdr:rowOff>118110</xdr:rowOff>
    </xdr:to>
    <xdr:pic>
      <xdr:nvPicPr>
        <xdr:cNvPr id="103" name="ID_E67E1A568C4349ACB11E29108C0F1C8E" descr="upload_post_object_v2_1083344997"/>
        <xdr:cNvPicPr/>
      </xdr:nvPicPr>
      <xdr:blipFill>
        <a:blip r:embed="rId86"/>
        <a:stretch>
          <a:fillRect/>
        </a:stretch>
      </xdr:blipFill>
      <xdr:spPr>
        <a:xfrm>
          <a:off x="0" y="0"/>
          <a:ext cx="826770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3</xdr:row>
      <xdr:rowOff>118110</xdr:rowOff>
    </xdr:to>
    <xdr:pic>
      <xdr:nvPicPr>
        <xdr:cNvPr id="104" name="ID_D764EB359E584733828AB82A8997B97A" descr="upload_post_object_v2_289665455"/>
        <xdr:cNvPicPr/>
      </xdr:nvPicPr>
      <xdr:blipFill>
        <a:blip r:embed="rId87"/>
        <a:stretch>
          <a:fillRect/>
        </a:stretch>
      </xdr:blipFill>
      <xdr:spPr>
        <a:xfrm>
          <a:off x="0" y="0"/>
          <a:ext cx="807720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137160</xdr:rowOff>
    </xdr:to>
    <xdr:pic>
      <xdr:nvPicPr>
        <xdr:cNvPr id="105" name="ID_A675033A5A3545F6B308E15EB5884063" descr="upload_post_object_v2_3331414491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331470</xdr:colOff>
      <xdr:row>3</xdr:row>
      <xdr:rowOff>89535</xdr:rowOff>
    </xdr:to>
    <xdr:pic>
      <xdr:nvPicPr>
        <xdr:cNvPr id="106" name="ID_7B8351D3495F4CA18B1D5B69CDC79ABC" descr="upload_post_object_v2_1627698775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51435</xdr:rowOff>
    </xdr:to>
    <xdr:pic>
      <xdr:nvPicPr>
        <xdr:cNvPr id="107" name="ID_34899AC523254F94A69178274B969F00" descr="upload_post_object_v2_797133219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165735</xdr:rowOff>
    </xdr:to>
    <xdr:pic>
      <xdr:nvPicPr>
        <xdr:cNvPr id="108" name="ID_7E659BFC989A47949D24F5E1F4413B66" descr="upload_post_object_v2_1579469594"/>
        <xdr:cNvPicPr/>
      </xdr:nvPicPr>
      <xdr:blipFill>
        <a:blip r:embed="rId78"/>
        <a:stretch>
          <a:fillRect/>
        </a:stretch>
      </xdr:blipFill>
      <xdr:spPr>
        <a:xfrm>
          <a:off x="0" y="0"/>
          <a:ext cx="100774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163830</xdr:rowOff>
    </xdr:to>
    <xdr:pic>
      <xdr:nvPicPr>
        <xdr:cNvPr id="109" name="ID_8624901BF1E74DEEBA48B2D55B1DB74B" descr="upload_post_object_v2_1136597390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5</xdr:row>
      <xdr:rowOff>1905</xdr:rowOff>
    </xdr:to>
    <xdr:pic>
      <xdr:nvPicPr>
        <xdr:cNvPr id="110" name="ID_A1C93AED29A74D76AB0F6B2FE2B51511" descr="upload_post_object_v2_2531599279"/>
        <xdr:cNvPicPr/>
      </xdr:nvPicPr>
      <xdr:blipFill>
        <a:blip r:embed="rId88"/>
        <a:stretch>
          <a:fillRect/>
        </a:stretch>
      </xdr:blipFill>
      <xdr:spPr>
        <a:xfrm>
          <a:off x="0" y="0"/>
          <a:ext cx="798195" cy="859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4</xdr:row>
      <xdr:rowOff>116205</xdr:rowOff>
    </xdr:to>
    <xdr:pic>
      <xdr:nvPicPr>
        <xdr:cNvPr id="111" name="ID_3B9A7BDF770045B09ABCFC2D57059071" descr="upload_post_object_v2_3018655607"/>
        <xdr:cNvPicPr/>
      </xdr:nvPicPr>
      <xdr:blipFill>
        <a:blip r:embed="rId89"/>
        <a:stretch>
          <a:fillRect/>
        </a:stretch>
      </xdr:blipFill>
      <xdr:spPr>
        <a:xfrm>
          <a:off x="0" y="0"/>
          <a:ext cx="523875" cy="802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274320</xdr:colOff>
      <xdr:row>4</xdr:row>
      <xdr:rowOff>20955</xdr:rowOff>
    </xdr:to>
    <xdr:pic>
      <xdr:nvPicPr>
        <xdr:cNvPr id="112" name="ID_1725105E319D40DCA39C6B8BDB8EB70A" descr="upload_post_object_v2_676525991"/>
        <xdr:cNvPicPr/>
      </xdr:nvPicPr>
      <xdr:blipFill>
        <a:blip r:embed="rId90"/>
        <a:stretch>
          <a:fillRect/>
        </a:stretch>
      </xdr:blipFill>
      <xdr:spPr>
        <a:xfrm>
          <a:off x="0" y="0"/>
          <a:ext cx="960120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49530</xdr:rowOff>
    </xdr:to>
    <xdr:pic>
      <xdr:nvPicPr>
        <xdr:cNvPr id="113" name="ID_6818B56E61D64D3AB8F40B4CA03016AD" descr="upload_post_object_v2_249732046"/>
        <xdr:cNvPicPr/>
      </xdr:nvPicPr>
      <xdr:blipFill>
        <a:blip r:embed="rId91"/>
        <a:stretch>
          <a:fillRect/>
        </a:stretch>
      </xdr:blipFill>
      <xdr:spPr>
        <a:xfrm>
          <a:off x="0" y="0"/>
          <a:ext cx="476250" cy="735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5</xdr:row>
      <xdr:rowOff>38100</xdr:rowOff>
    </xdr:to>
    <xdr:pic>
      <xdr:nvPicPr>
        <xdr:cNvPr id="114" name="ID_BAFED8A1A8104D33AC2FFB9328A2C7EB" descr="upload_post_object_v2_237154522"/>
        <xdr:cNvPicPr/>
      </xdr:nvPicPr>
      <xdr:blipFill>
        <a:blip r:embed="rId92"/>
        <a:stretch>
          <a:fillRect/>
        </a:stretch>
      </xdr:blipFill>
      <xdr:spPr>
        <a:xfrm>
          <a:off x="0" y="0"/>
          <a:ext cx="52387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3</xdr:row>
      <xdr:rowOff>165735</xdr:rowOff>
    </xdr:to>
    <xdr:pic>
      <xdr:nvPicPr>
        <xdr:cNvPr id="115" name="ID_A148F5AED6374D51BDDDEBD81BD7EA2B" descr="upload_post_object_v2_3286424116"/>
        <xdr:cNvPicPr/>
      </xdr:nvPicPr>
      <xdr:blipFill>
        <a:blip r:embed="rId93"/>
        <a:stretch>
          <a:fillRect/>
        </a:stretch>
      </xdr:blipFill>
      <xdr:spPr>
        <a:xfrm>
          <a:off x="0" y="0"/>
          <a:ext cx="83629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2</xdr:row>
      <xdr:rowOff>53340</xdr:rowOff>
    </xdr:to>
    <xdr:pic>
      <xdr:nvPicPr>
        <xdr:cNvPr id="116" name="ID_E075DB430ECD422B958C6744B587DCD5" descr="upload_post_object_v2_3602114618"/>
        <xdr:cNvPicPr/>
      </xdr:nvPicPr>
      <xdr:blipFill>
        <a:blip r:embed="rId94"/>
        <a:stretch>
          <a:fillRect/>
        </a:stretch>
      </xdr:blipFill>
      <xdr:spPr>
        <a:xfrm>
          <a:off x="0" y="0"/>
          <a:ext cx="845820" cy="396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245745</xdr:colOff>
      <xdr:row>4</xdr:row>
      <xdr:rowOff>78105</xdr:rowOff>
    </xdr:to>
    <xdr:pic>
      <xdr:nvPicPr>
        <xdr:cNvPr id="117" name="ID_4FE60B2BB743415CAC1FE2B04DE00B21" descr="upload_post_object_v2_4258585494"/>
        <xdr:cNvPicPr/>
      </xdr:nvPicPr>
      <xdr:blipFill>
        <a:blip r:embed="rId95"/>
        <a:stretch>
          <a:fillRect/>
        </a:stretch>
      </xdr:blipFill>
      <xdr:spPr>
        <a:xfrm>
          <a:off x="0" y="0"/>
          <a:ext cx="931545" cy="763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198120</xdr:colOff>
      <xdr:row>4</xdr:row>
      <xdr:rowOff>59055</xdr:rowOff>
    </xdr:to>
    <xdr:pic>
      <xdr:nvPicPr>
        <xdr:cNvPr id="118" name="ID_E455EC70A39E4F19A2B4101231398460" descr="upload_post_object_v2_1248149490"/>
        <xdr:cNvPicPr/>
      </xdr:nvPicPr>
      <xdr:blipFill>
        <a:blip r:embed="rId96"/>
        <a:stretch>
          <a:fillRect/>
        </a:stretch>
      </xdr:blipFill>
      <xdr:spPr>
        <a:xfrm>
          <a:off x="0" y="0"/>
          <a:ext cx="883920" cy="744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137160</xdr:rowOff>
    </xdr:to>
    <xdr:pic>
      <xdr:nvPicPr>
        <xdr:cNvPr id="119" name="ID_A4183E4DD6EF4B909DE082285BBB441E" descr="upload_post_object_v2_1510513586"/>
        <xdr:cNvPicPr/>
      </xdr:nvPicPr>
      <xdr:blipFill>
        <a:blip r:embed="rId65"/>
        <a:stretch>
          <a:fillRect/>
        </a:stretch>
      </xdr:blipFill>
      <xdr:spPr>
        <a:xfrm>
          <a:off x="0" y="0"/>
          <a:ext cx="103632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331470</xdr:colOff>
      <xdr:row>3</xdr:row>
      <xdr:rowOff>89535</xdr:rowOff>
    </xdr:to>
    <xdr:pic>
      <xdr:nvPicPr>
        <xdr:cNvPr id="120" name="ID_6593F1FC9D5241EEA06C6607BC3FAA0C" descr="upload_post_object_v2_3815835262"/>
        <xdr:cNvPicPr/>
      </xdr:nvPicPr>
      <xdr:blipFill>
        <a:blip r:embed="rId66"/>
        <a:stretch>
          <a:fillRect/>
        </a:stretch>
      </xdr:blipFill>
      <xdr:spPr>
        <a:xfrm>
          <a:off x="0" y="0"/>
          <a:ext cx="101727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51435</xdr:rowOff>
    </xdr:to>
    <xdr:pic>
      <xdr:nvPicPr>
        <xdr:cNvPr id="121" name="ID_61AA5B2A10204951A014F9F13F1D68AD" descr="upload_post_object_v2_688309041"/>
        <xdr:cNvPicPr/>
      </xdr:nvPicPr>
      <xdr:blipFill>
        <a:blip r:embed="rId67"/>
        <a:stretch>
          <a:fillRect/>
        </a:stretch>
      </xdr:blipFill>
      <xdr:spPr>
        <a:xfrm>
          <a:off x="0" y="0"/>
          <a:ext cx="1007745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3</xdr:row>
      <xdr:rowOff>165735</xdr:rowOff>
    </xdr:to>
    <xdr:pic>
      <xdr:nvPicPr>
        <xdr:cNvPr id="122" name="ID_5F0E5ECE1E5B472890DAF789D9DC6A92" descr="upload_post_object_v2_1119938809"/>
        <xdr:cNvPicPr/>
      </xdr:nvPicPr>
      <xdr:blipFill>
        <a:blip r:embed="rId78"/>
        <a:stretch>
          <a:fillRect/>
        </a:stretch>
      </xdr:blipFill>
      <xdr:spPr>
        <a:xfrm>
          <a:off x="0" y="0"/>
          <a:ext cx="100774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163830</xdr:rowOff>
    </xdr:to>
    <xdr:pic>
      <xdr:nvPicPr>
        <xdr:cNvPr id="123" name="ID_CA3653747FC8422891B4DD318CF860BA" descr="upload_post_object_v2_995120404"/>
        <xdr:cNvPicPr/>
      </xdr:nvPicPr>
      <xdr:blipFill>
        <a:blip r:embed="rId68"/>
        <a:stretch>
          <a:fillRect/>
        </a:stretch>
      </xdr:blipFill>
      <xdr:spPr>
        <a:xfrm>
          <a:off x="0" y="0"/>
          <a:ext cx="702945" cy="849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2</xdr:row>
      <xdr:rowOff>158115</xdr:rowOff>
    </xdr:to>
    <xdr:pic>
      <xdr:nvPicPr>
        <xdr:cNvPr id="124" name="ID_D668924F1DED4E2A82BBCB934686CADF" descr="upload_post_object_v2_3267792399"/>
        <xdr:cNvPicPr/>
      </xdr:nvPicPr>
      <xdr:blipFill>
        <a:blip r:embed="rId97"/>
        <a:stretch>
          <a:fillRect/>
        </a:stretch>
      </xdr:blipFill>
      <xdr:spPr>
        <a:xfrm>
          <a:off x="0" y="0"/>
          <a:ext cx="83629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283845</xdr:colOff>
      <xdr:row>2</xdr:row>
      <xdr:rowOff>158115</xdr:rowOff>
    </xdr:to>
    <xdr:pic>
      <xdr:nvPicPr>
        <xdr:cNvPr id="125" name="ID_61B39F98AC814B5682095C1BD7B75499" descr="upload_post_object_v2_3113505093"/>
        <xdr:cNvPicPr/>
      </xdr:nvPicPr>
      <xdr:blipFill>
        <a:blip r:embed="rId1"/>
        <a:stretch>
          <a:fillRect/>
        </a:stretch>
      </xdr:blipFill>
      <xdr:spPr>
        <a:xfrm>
          <a:off x="0" y="0"/>
          <a:ext cx="96964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561975</xdr:colOff>
      <xdr:row>4</xdr:row>
      <xdr:rowOff>30480</xdr:rowOff>
    </xdr:to>
    <xdr:pic>
      <xdr:nvPicPr>
        <xdr:cNvPr id="126" name="ID_158CB3760A03488EAC0A190EEF8DED1D" descr="upload_post_object_v2_332928618"/>
        <xdr:cNvPicPr/>
      </xdr:nvPicPr>
      <xdr:blipFill>
        <a:blip r:embed="rId98"/>
        <a:stretch>
          <a:fillRect/>
        </a:stretch>
      </xdr:blipFill>
      <xdr:spPr>
        <a:xfrm>
          <a:off x="0" y="0"/>
          <a:ext cx="561975" cy="716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504825</xdr:colOff>
      <xdr:row>4</xdr:row>
      <xdr:rowOff>20955</xdr:rowOff>
    </xdr:to>
    <xdr:pic>
      <xdr:nvPicPr>
        <xdr:cNvPr id="127" name="ID_71CAEC40B8EA4FF88180E5BE08B2F53F" descr="upload_post_object_v2_1875350545"/>
        <xdr:cNvPicPr/>
      </xdr:nvPicPr>
      <xdr:blipFill>
        <a:blip r:embed="rId99"/>
        <a:stretch>
          <a:fillRect/>
        </a:stretch>
      </xdr:blipFill>
      <xdr:spPr>
        <a:xfrm>
          <a:off x="0" y="0"/>
          <a:ext cx="504825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4</xdr:row>
      <xdr:rowOff>20955</xdr:rowOff>
    </xdr:to>
    <xdr:pic>
      <xdr:nvPicPr>
        <xdr:cNvPr id="128" name="ID_33118A77371446B3B439959B855417E3" descr="upload_post_object_v2_3094524629"/>
        <xdr:cNvPicPr/>
      </xdr:nvPicPr>
      <xdr:blipFill>
        <a:blip r:embed="rId100"/>
        <a:stretch>
          <a:fillRect/>
        </a:stretch>
      </xdr:blipFill>
      <xdr:spPr>
        <a:xfrm>
          <a:off x="0" y="0"/>
          <a:ext cx="750570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4</xdr:row>
      <xdr:rowOff>20955</xdr:rowOff>
    </xdr:to>
    <xdr:pic>
      <xdr:nvPicPr>
        <xdr:cNvPr id="129" name="ID_994BB321A98349039BB22068B1C6D11A" descr="upload_post_object_v2_1761306013"/>
        <xdr:cNvPicPr/>
      </xdr:nvPicPr>
      <xdr:blipFill>
        <a:blip r:embed="rId101"/>
        <a:stretch>
          <a:fillRect/>
        </a:stretch>
      </xdr:blipFill>
      <xdr:spPr>
        <a:xfrm>
          <a:off x="0" y="0"/>
          <a:ext cx="381000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255270</xdr:colOff>
      <xdr:row>2</xdr:row>
      <xdr:rowOff>158115</xdr:rowOff>
    </xdr:to>
    <xdr:pic>
      <xdr:nvPicPr>
        <xdr:cNvPr id="130" name="ID_79A8A0633C5B458CA80711DA49FE46BB" descr="upload_post_object_v2_2608774348"/>
        <xdr:cNvPicPr/>
      </xdr:nvPicPr>
      <xdr:blipFill>
        <a:blip r:embed="rId102"/>
        <a:stretch>
          <a:fillRect/>
        </a:stretch>
      </xdr:blipFill>
      <xdr:spPr>
        <a:xfrm>
          <a:off x="0" y="0"/>
          <a:ext cx="941070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3</xdr:row>
      <xdr:rowOff>51435</xdr:rowOff>
    </xdr:to>
    <xdr:pic>
      <xdr:nvPicPr>
        <xdr:cNvPr id="131" name="ID_9B1BB30182E04977832F28C1A807CE61" descr="upload_post_object_v2_3006887397"/>
        <xdr:cNvPicPr/>
      </xdr:nvPicPr>
      <xdr:blipFill>
        <a:blip r:embed="rId103"/>
        <a:stretch>
          <a:fillRect/>
        </a:stretch>
      </xdr:blipFill>
      <xdr:spPr>
        <a:xfrm>
          <a:off x="0" y="0"/>
          <a:ext cx="845820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293370</xdr:colOff>
      <xdr:row>2</xdr:row>
      <xdr:rowOff>158115</xdr:rowOff>
    </xdr:to>
    <xdr:pic>
      <xdr:nvPicPr>
        <xdr:cNvPr id="132" name="ID_823BB29CC6B0425DB3140CAA34893947" descr="upload_post_object_v2_3127698538"/>
        <xdr:cNvPicPr/>
      </xdr:nvPicPr>
      <xdr:blipFill>
        <a:blip r:embed="rId104"/>
        <a:stretch>
          <a:fillRect/>
        </a:stretch>
      </xdr:blipFill>
      <xdr:spPr>
        <a:xfrm>
          <a:off x="0" y="0"/>
          <a:ext cx="979170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4</xdr:row>
      <xdr:rowOff>20955</xdr:rowOff>
    </xdr:to>
    <xdr:pic>
      <xdr:nvPicPr>
        <xdr:cNvPr id="133" name="ID_4CA261B48C324779867CC430E681618A" descr="upload_post_object_v2_3772259908"/>
        <xdr:cNvPicPr/>
      </xdr:nvPicPr>
      <xdr:blipFill>
        <a:blip r:embed="rId105"/>
        <a:stretch>
          <a:fillRect/>
        </a:stretch>
      </xdr:blipFill>
      <xdr:spPr>
        <a:xfrm>
          <a:off x="0" y="0"/>
          <a:ext cx="552450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169545</xdr:colOff>
      <xdr:row>2</xdr:row>
      <xdr:rowOff>100965</xdr:rowOff>
    </xdr:to>
    <xdr:pic>
      <xdr:nvPicPr>
        <xdr:cNvPr id="134" name="ID_816CD0F058104716A84B4E84C93628E4" descr="upload_post_object_v2_1895525739"/>
        <xdr:cNvPicPr/>
      </xdr:nvPicPr>
      <xdr:blipFill>
        <a:blip r:embed="rId106"/>
        <a:stretch>
          <a:fillRect/>
        </a:stretch>
      </xdr:blipFill>
      <xdr:spPr>
        <a:xfrm>
          <a:off x="0" y="0"/>
          <a:ext cx="855345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455295</xdr:colOff>
      <xdr:row>2</xdr:row>
      <xdr:rowOff>43815</xdr:rowOff>
    </xdr:to>
    <xdr:pic>
      <xdr:nvPicPr>
        <xdr:cNvPr id="135" name="ID_4DE15D1F6C1749DF8F2AC1F4390813BF" descr="upload_post_object_v2_1152774040"/>
        <xdr:cNvPicPr/>
      </xdr:nvPicPr>
      <xdr:blipFill>
        <a:blip r:embed="rId107"/>
        <a:stretch>
          <a:fillRect/>
        </a:stretch>
      </xdr:blipFill>
      <xdr:spPr>
        <a:xfrm>
          <a:off x="0" y="0"/>
          <a:ext cx="1141095" cy="386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531495</xdr:colOff>
      <xdr:row>2</xdr:row>
      <xdr:rowOff>100965</xdr:rowOff>
    </xdr:to>
    <xdr:pic>
      <xdr:nvPicPr>
        <xdr:cNvPr id="136" name="ID_040760192798401DA542319720E96BE5" descr="upload_post_object_v2_1571248941"/>
        <xdr:cNvPicPr/>
      </xdr:nvPicPr>
      <xdr:blipFill>
        <a:blip r:embed="rId108"/>
        <a:stretch>
          <a:fillRect/>
        </a:stretch>
      </xdr:blipFill>
      <xdr:spPr>
        <a:xfrm>
          <a:off x="0" y="0"/>
          <a:ext cx="1217295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2</xdr:row>
      <xdr:rowOff>72390</xdr:rowOff>
    </xdr:to>
    <xdr:pic>
      <xdr:nvPicPr>
        <xdr:cNvPr id="137" name="ID_2BDE90E29738414C854540E1498BF1C1" descr="upload_post_object_v2_1435347824"/>
        <xdr:cNvPicPr/>
      </xdr:nvPicPr>
      <xdr:blipFill>
        <a:blip r:embed="rId109"/>
        <a:stretch>
          <a:fillRect/>
        </a:stretch>
      </xdr:blipFill>
      <xdr:spPr>
        <a:xfrm>
          <a:off x="0" y="0"/>
          <a:ext cx="1036320" cy="415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4</xdr:row>
      <xdr:rowOff>1905</xdr:rowOff>
    </xdr:to>
    <xdr:pic>
      <xdr:nvPicPr>
        <xdr:cNvPr id="138" name="ID_4CB11F7B16664C33B9349BC90AE24564" descr="upload_post_object_v2_1278484508"/>
        <xdr:cNvPicPr/>
      </xdr:nvPicPr>
      <xdr:blipFill>
        <a:blip r:embed="rId110"/>
        <a:stretch>
          <a:fillRect/>
        </a:stretch>
      </xdr:blipFill>
      <xdr:spPr>
        <a:xfrm>
          <a:off x="0" y="0"/>
          <a:ext cx="552450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409575</xdr:colOff>
      <xdr:row>4</xdr:row>
      <xdr:rowOff>20955</xdr:rowOff>
    </xdr:to>
    <xdr:pic>
      <xdr:nvPicPr>
        <xdr:cNvPr id="139" name="ID_3F62787AD34448A0B374CF579919346A" descr="upload_post_object_v2_2617843892"/>
        <xdr:cNvPicPr/>
      </xdr:nvPicPr>
      <xdr:blipFill>
        <a:blip r:embed="rId111"/>
        <a:stretch>
          <a:fillRect/>
        </a:stretch>
      </xdr:blipFill>
      <xdr:spPr>
        <a:xfrm>
          <a:off x="0" y="0"/>
          <a:ext cx="409575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179070</xdr:colOff>
      <xdr:row>1</xdr:row>
      <xdr:rowOff>121920</xdr:rowOff>
    </xdr:to>
    <xdr:pic>
      <xdr:nvPicPr>
        <xdr:cNvPr id="140" name="ID_B035712430494740A27F9B5614441448" descr="upload_post_object_v2_1529295589"/>
        <xdr:cNvPicPr/>
      </xdr:nvPicPr>
      <xdr:blipFill>
        <a:blip r:embed="rId112"/>
        <a:stretch>
          <a:fillRect/>
        </a:stretch>
      </xdr:blipFill>
      <xdr:spPr>
        <a:xfrm>
          <a:off x="0" y="0"/>
          <a:ext cx="864870" cy="293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3</xdr:row>
      <xdr:rowOff>22860</xdr:rowOff>
    </xdr:to>
    <xdr:pic>
      <xdr:nvPicPr>
        <xdr:cNvPr id="141" name="ID_74E5A1365C8A490E8FA5738C7509F9E6" descr="upload_post_object_v2_1377605700"/>
        <xdr:cNvPicPr/>
      </xdr:nvPicPr>
      <xdr:blipFill>
        <a:blip r:embed="rId113"/>
        <a:stretch>
          <a:fillRect/>
        </a:stretch>
      </xdr:blipFill>
      <xdr:spPr>
        <a:xfrm>
          <a:off x="0" y="0"/>
          <a:ext cx="788670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1</xdr:row>
      <xdr:rowOff>74295</xdr:rowOff>
    </xdr:to>
    <xdr:pic>
      <xdr:nvPicPr>
        <xdr:cNvPr id="142" name="ID_ADEF198A686742FAA6AD7BAD4DA2B841" descr="upload_post_object_v2_82784193"/>
        <xdr:cNvPicPr/>
      </xdr:nvPicPr>
      <xdr:blipFill>
        <a:blip r:embed="rId114"/>
        <a:stretch>
          <a:fillRect/>
        </a:stretch>
      </xdr:blipFill>
      <xdr:spPr>
        <a:xfrm>
          <a:off x="0" y="0"/>
          <a:ext cx="798195" cy="245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4</xdr:row>
      <xdr:rowOff>1905</xdr:rowOff>
    </xdr:to>
    <xdr:pic>
      <xdr:nvPicPr>
        <xdr:cNvPr id="143" name="ID_F6B577847EA448B99FEC8FA60C132EB0" descr="upload_post_object_v2_1417073740"/>
        <xdr:cNvPicPr/>
      </xdr:nvPicPr>
      <xdr:blipFill>
        <a:blip r:embed="rId115"/>
        <a:stretch>
          <a:fillRect/>
        </a:stretch>
      </xdr:blipFill>
      <xdr:spPr>
        <a:xfrm>
          <a:off x="0" y="0"/>
          <a:ext cx="54292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4</xdr:row>
      <xdr:rowOff>3810</xdr:rowOff>
    </xdr:to>
    <xdr:pic>
      <xdr:nvPicPr>
        <xdr:cNvPr id="144" name="ID_4BDAF232781749779936207C701675E7" descr="upload_post_object_v2_2321347930"/>
        <xdr:cNvPicPr/>
      </xdr:nvPicPr>
      <xdr:blipFill>
        <a:blip r:embed="rId116"/>
        <a:stretch>
          <a:fillRect/>
        </a:stretch>
      </xdr:blipFill>
      <xdr:spPr>
        <a:xfrm>
          <a:off x="0" y="0"/>
          <a:ext cx="55245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108585</xdr:rowOff>
    </xdr:to>
    <xdr:pic>
      <xdr:nvPicPr>
        <xdr:cNvPr id="145" name="ID_1B7BD0D7220A4E6194F6A36A027FE360" descr="upload_post_object_v2_3878743055"/>
        <xdr:cNvPicPr/>
      </xdr:nvPicPr>
      <xdr:blipFill>
        <a:blip r:embed="rId117"/>
        <a:stretch>
          <a:fillRect/>
        </a:stretch>
      </xdr:blipFill>
      <xdr:spPr>
        <a:xfrm>
          <a:off x="0" y="0"/>
          <a:ext cx="70294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70485</xdr:rowOff>
    </xdr:to>
    <xdr:pic>
      <xdr:nvPicPr>
        <xdr:cNvPr id="146" name="ID_98EC6C33368541E69F5E84E8C35E252C" descr="upload_post_object_v2_2728180794"/>
        <xdr:cNvPicPr/>
      </xdr:nvPicPr>
      <xdr:blipFill>
        <a:blip r:embed="rId118"/>
        <a:stretch>
          <a:fillRect/>
        </a:stretch>
      </xdr:blipFill>
      <xdr:spPr>
        <a:xfrm>
          <a:off x="0" y="0"/>
          <a:ext cx="702945" cy="584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15240</xdr:rowOff>
    </xdr:to>
    <xdr:pic>
      <xdr:nvPicPr>
        <xdr:cNvPr id="147" name="ID_68657923ECD64434A682D9E3CEB3BBE0" descr="upload_post_object_v2_3337234630"/>
        <xdr:cNvPicPr/>
      </xdr:nvPicPr>
      <xdr:blipFill>
        <a:blip r:embed="rId119"/>
        <a:stretch>
          <a:fillRect/>
        </a:stretch>
      </xdr:blipFill>
      <xdr:spPr>
        <a:xfrm>
          <a:off x="0" y="0"/>
          <a:ext cx="826770" cy="358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2</xdr:row>
      <xdr:rowOff>81915</xdr:rowOff>
    </xdr:to>
    <xdr:pic>
      <xdr:nvPicPr>
        <xdr:cNvPr id="148" name="ID_26858ACF0E484E55AAB55E7EC73EAB69" descr="upload_post_object_v2_872118042"/>
        <xdr:cNvPicPr/>
      </xdr:nvPicPr>
      <xdr:blipFill>
        <a:blip r:embed="rId120"/>
        <a:stretch>
          <a:fillRect/>
        </a:stretch>
      </xdr:blipFill>
      <xdr:spPr>
        <a:xfrm>
          <a:off x="0" y="0"/>
          <a:ext cx="845820" cy="424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388620</xdr:colOff>
      <xdr:row>2</xdr:row>
      <xdr:rowOff>34290</xdr:rowOff>
    </xdr:to>
    <xdr:pic>
      <xdr:nvPicPr>
        <xdr:cNvPr id="149" name="ID_6F6A21BB7C3244B9B4AB483FED3D706D" descr="upload_post_object_v2_4176825470"/>
        <xdr:cNvPicPr/>
      </xdr:nvPicPr>
      <xdr:blipFill>
        <a:blip r:embed="rId121"/>
        <a:stretch>
          <a:fillRect/>
        </a:stretch>
      </xdr:blipFill>
      <xdr:spPr>
        <a:xfrm>
          <a:off x="0" y="0"/>
          <a:ext cx="1074420" cy="377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398145</xdr:colOff>
      <xdr:row>2</xdr:row>
      <xdr:rowOff>120015</xdr:rowOff>
    </xdr:to>
    <xdr:pic>
      <xdr:nvPicPr>
        <xdr:cNvPr id="150" name="ID_50BCD7604D79401DA75EDE926A4857FA" descr="upload_post_object_v2_3844417510"/>
        <xdr:cNvPicPr/>
      </xdr:nvPicPr>
      <xdr:blipFill>
        <a:blip r:embed="rId122"/>
        <a:stretch>
          <a:fillRect/>
        </a:stretch>
      </xdr:blipFill>
      <xdr:spPr>
        <a:xfrm>
          <a:off x="0" y="0"/>
          <a:ext cx="108394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2</xdr:row>
      <xdr:rowOff>148590</xdr:rowOff>
    </xdr:to>
    <xdr:pic>
      <xdr:nvPicPr>
        <xdr:cNvPr id="151" name="ID_37A9E90F27704CB397DE704F355F36A8" descr="upload_post_object_v2_3842799361"/>
        <xdr:cNvPicPr/>
      </xdr:nvPicPr>
      <xdr:blipFill>
        <a:blip r:embed="rId123"/>
        <a:stretch>
          <a:fillRect/>
        </a:stretch>
      </xdr:blipFill>
      <xdr:spPr>
        <a:xfrm>
          <a:off x="0" y="0"/>
          <a:ext cx="798195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11430</xdr:rowOff>
    </xdr:to>
    <xdr:pic>
      <xdr:nvPicPr>
        <xdr:cNvPr id="152" name="ID_69E5198F36EA459E95D837091573ED5E" descr="upload_post_object_v2_4280738823"/>
        <xdr:cNvPicPr/>
      </xdr:nvPicPr>
      <xdr:blipFill>
        <a:blip r:embed="rId124"/>
        <a:stretch>
          <a:fillRect/>
        </a:stretch>
      </xdr:blipFill>
      <xdr:spPr>
        <a:xfrm>
          <a:off x="0" y="0"/>
          <a:ext cx="702945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590550</xdr:colOff>
      <xdr:row>4</xdr:row>
      <xdr:rowOff>11430</xdr:rowOff>
    </xdr:to>
    <xdr:pic>
      <xdr:nvPicPr>
        <xdr:cNvPr id="153" name="ID_DFF6ADBAD2DD47D287F09088C9A9A732" descr="upload_post_object_v2_565715730"/>
        <xdr:cNvPicPr/>
      </xdr:nvPicPr>
      <xdr:blipFill>
        <a:blip r:embed="rId125"/>
        <a:stretch>
          <a:fillRect/>
        </a:stretch>
      </xdr:blipFill>
      <xdr:spPr>
        <a:xfrm>
          <a:off x="0" y="0"/>
          <a:ext cx="59055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2</xdr:row>
      <xdr:rowOff>129540</xdr:rowOff>
    </xdr:to>
    <xdr:pic>
      <xdr:nvPicPr>
        <xdr:cNvPr id="154" name="ID_58F9C3488DDC4147B489FDB80AF9A91B" descr="upload_post_object_v2_527664534"/>
        <xdr:cNvPicPr/>
      </xdr:nvPicPr>
      <xdr:blipFill>
        <a:blip r:embed="rId126"/>
        <a:stretch>
          <a:fillRect/>
        </a:stretch>
      </xdr:blipFill>
      <xdr:spPr>
        <a:xfrm>
          <a:off x="0" y="0"/>
          <a:ext cx="817245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2</xdr:row>
      <xdr:rowOff>139065</xdr:rowOff>
    </xdr:to>
    <xdr:pic>
      <xdr:nvPicPr>
        <xdr:cNvPr id="155" name="ID_4E7C4535430F4D3FBC39DC4FFF0EB89A" descr="upload_post_object_v2_1151651764"/>
        <xdr:cNvPicPr/>
      </xdr:nvPicPr>
      <xdr:blipFill>
        <a:blip r:embed="rId127"/>
        <a:stretch>
          <a:fillRect/>
        </a:stretch>
      </xdr:blipFill>
      <xdr:spPr>
        <a:xfrm>
          <a:off x="0" y="0"/>
          <a:ext cx="788670" cy="481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15240</xdr:rowOff>
    </xdr:to>
    <xdr:pic>
      <xdr:nvPicPr>
        <xdr:cNvPr id="156" name="ID_9BB4334FFBD94CC8A0BBE47632EE2AE9" descr="upload_post_object_v2_3086966910"/>
        <xdr:cNvPicPr/>
      </xdr:nvPicPr>
      <xdr:blipFill>
        <a:blip r:embed="rId128"/>
        <a:stretch>
          <a:fillRect/>
        </a:stretch>
      </xdr:blipFill>
      <xdr:spPr>
        <a:xfrm>
          <a:off x="0" y="0"/>
          <a:ext cx="826770" cy="358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118110</xdr:rowOff>
    </xdr:to>
    <xdr:pic>
      <xdr:nvPicPr>
        <xdr:cNvPr id="157" name="ID_A9CE86D5BF5A4D04948E070C89303407" descr="upload_post_object_v2_679928509"/>
        <xdr:cNvPicPr/>
      </xdr:nvPicPr>
      <xdr:blipFill>
        <a:blip r:embed="rId129"/>
        <a:stretch>
          <a:fillRect/>
        </a:stretch>
      </xdr:blipFill>
      <xdr:spPr>
        <a:xfrm>
          <a:off x="0" y="0"/>
          <a:ext cx="70294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3</xdr:row>
      <xdr:rowOff>41910</xdr:rowOff>
    </xdr:to>
    <xdr:pic>
      <xdr:nvPicPr>
        <xdr:cNvPr id="158" name="ID_F9A9801FEDDE4EA185F701ED756480BD" descr="upload_post_object_v2_1530270474"/>
        <xdr:cNvPicPr/>
      </xdr:nvPicPr>
      <xdr:blipFill>
        <a:blip r:embed="rId130"/>
        <a:stretch>
          <a:fillRect/>
        </a:stretch>
      </xdr:blipFill>
      <xdr:spPr>
        <a:xfrm>
          <a:off x="0" y="0"/>
          <a:ext cx="788670" cy="55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3</xdr:row>
      <xdr:rowOff>99060</xdr:rowOff>
    </xdr:to>
    <xdr:pic>
      <xdr:nvPicPr>
        <xdr:cNvPr id="159" name="ID_F002A7010E7F469CAA7A109B43E1F105" descr="upload_post_object_v2_1938474634"/>
        <xdr:cNvPicPr/>
      </xdr:nvPicPr>
      <xdr:blipFill>
        <a:blip r:embed="rId131"/>
        <a:stretch>
          <a:fillRect/>
        </a:stretch>
      </xdr:blipFill>
      <xdr:spPr>
        <a:xfrm>
          <a:off x="0" y="0"/>
          <a:ext cx="82677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4</xdr:row>
      <xdr:rowOff>11430</xdr:rowOff>
    </xdr:to>
    <xdr:pic>
      <xdr:nvPicPr>
        <xdr:cNvPr id="160" name="ID_6E52D42620CB4F70B07D0DBA0EAB287F" descr="upload_post_object_v2_1488139735"/>
        <xdr:cNvPicPr/>
      </xdr:nvPicPr>
      <xdr:blipFill>
        <a:blip r:embed="rId132"/>
        <a:stretch>
          <a:fillRect/>
        </a:stretch>
      </xdr:blipFill>
      <xdr:spPr>
        <a:xfrm>
          <a:off x="0" y="0"/>
          <a:ext cx="51435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2</xdr:row>
      <xdr:rowOff>158115</xdr:rowOff>
    </xdr:to>
    <xdr:pic>
      <xdr:nvPicPr>
        <xdr:cNvPr id="161" name="ID_09E7E1F14E8D433CAC5B725FD91B829A" descr="upload_post_object_v2_2985486051"/>
        <xdr:cNvPicPr/>
      </xdr:nvPicPr>
      <xdr:blipFill>
        <a:blip r:embed="rId133"/>
        <a:stretch>
          <a:fillRect/>
        </a:stretch>
      </xdr:blipFill>
      <xdr:spPr>
        <a:xfrm>
          <a:off x="0" y="0"/>
          <a:ext cx="79819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1</xdr:row>
      <xdr:rowOff>26670</xdr:rowOff>
    </xdr:to>
    <xdr:pic>
      <xdr:nvPicPr>
        <xdr:cNvPr id="162" name="ID_DDD8C47570204663BD444A5D08F4D830" descr="upload_post_object_v2_3272586958"/>
        <xdr:cNvPicPr/>
      </xdr:nvPicPr>
      <xdr:blipFill>
        <a:blip r:embed="rId134"/>
        <a:stretch>
          <a:fillRect/>
        </a:stretch>
      </xdr:blipFill>
      <xdr:spPr>
        <a:xfrm>
          <a:off x="0" y="0"/>
          <a:ext cx="798195" cy="198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146685</xdr:rowOff>
    </xdr:to>
    <xdr:pic>
      <xdr:nvPicPr>
        <xdr:cNvPr id="163" name="ID_60EE38B533434B7BB7678037272B1F48" descr="upload_post_object_v2_1508033921"/>
        <xdr:cNvPicPr/>
      </xdr:nvPicPr>
      <xdr:blipFill>
        <a:blip r:embed="rId135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2</xdr:row>
      <xdr:rowOff>148590</xdr:rowOff>
    </xdr:to>
    <xdr:pic>
      <xdr:nvPicPr>
        <xdr:cNvPr id="164" name="ID_945534B9676A41588AB3544785E7C45A" descr="upload_post_object_v2_1929625633"/>
        <xdr:cNvPicPr/>
      </xdr:nvPicPr>
      <xdr:blipFill>
        <a:blip r:embed="rId123"/>
        <a:stretch>
          <a:fillRect/>
        </a:stretch>
      </xdr:blipFill>
      <xdr:spPr>
        <a:xfrm>
          <a:off x="0" y="0"/>
          <a:ext cx="798195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2</xdr:row>
      <xdr:rowOff>158115</xdr:rowOff>
    </xdr:to>
    <xdr:pic>
      <xdr:nvPicPr>
        <xdr:cNvPr id="165" name="ID_82DFE8EA08B0407B8BFEF3FB554A86FA" descr="upload_post_object_v2_4249350928"/>
        <xdr:cNvPicPr/>
      </xdr:nvPicPr>
      <xdr:blipFill>
        <a:blip r:embed="rId136"/>
        <a:stretch>
          <a:fillRect/>
        </a:stretch>
      </xdr:blipFill>
      <xdr:spPr>
        <a:xfrm>
          <a:off x="0" y="0"/>
          <a:ext cx="83629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7620</xdr:rowOff>
    </xdr:to>
    <xdr:pic>
      <xdr:nvPicPr>
        <xdr:cNvPr id="166" name="ID_C52D304FAF52440AB11C895BF734901D" descr="upload_post_object_v2_25630863"/>
        <xdr:cNvPicPr/>
      </xdr:nvPicPr>
      <xdr:blipFill>
        <a:blip r:embed="rId137"/>
        <a:stretch>
          <a:fillRect/>
        </a:stretch>
      </xdr:blipFill>
      <xdr:spPr>
        <a:xfrm>
          <a:off x="0" y="0"/>
          <a:ext cx="826770" cy="350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1</xdr:row>
      <xdr:rowOff>140970</xdr:rowOff>
    </xdr:to>
    <xdr:pic>
      <xdr:nvPicPr>
        <xdr:cNvPr id="167" name="ID_4FBF4AD5F05D4CAA8B77ED629922AC21" descr="upload_post_object_v2_2439373450"/>
        <xdr:cNvPicPr/>
      </xdr:nvPicPr>
      <xdr:blipFill>
        <a:blip r:embed="rId138"/>
        <a:stretch>
          <a:fillRect/>
        </a:stretch>
      </xdr:blipFill>
      <xdr:spPr>
        <a:xfrm>
          <a:off x="0" y="0"/>
          <a:ext cx="798195" cy="312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1</xdr:row>
      <xdr:rowOff>140970</xdr:rowOff>
    </xdr:to>
    <xdr:pic>
      <xdr:nvPicPr>
        <xdr:cNvPr id="168" name="ID_5544246F567E43338EEF20A1E05B2FB1" descr="upload_post_object_v2_756101579"/>
        <xdr:cNvPicPr/>
      </xdr:nvPicPr>
      <xdr:blipFill>
        <a:blip r:embed="rId139"/>
        <a:stretch>
          <a:fillRect/>
        </a:stretch>
      </xdr:blipFill>
      <xdr:spPr>
        <a:xfrm>
          <a:off x="0" y="0"/>
          <a:ext cx="788670" cy="312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4</xdr:row>
      <xdr:rowOff>3810</xdr:rowOff>
    </xdr:to>
    <xdr:pic>
      <xdr:nvPicPr>
        <xdr:cNvPr id="169" name="ID_908CFFC1196B46A297F4E7B9AD3F0FA4" descr="upload_post_object_v2_893941078"/>
        <xdr:cNvPicPr/>
      </xdr:nvPicPr>
      <xdr:blipFill>
        <a:blip r:embed="rId140"/>
        <a:stretch>
          <a:fillRect/>
        </a:stretch>
      </xdr:blipFill>
      <xdr:spPr>
        <a:xfrm>
          <a:off x="0" y="0"/>
          <a:ext cx="57150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4</xdr:row>
      <xdr:rowOff>1905</xdr:rowOff>
    </xdr:to>
    <xdr:pic>
      <xdr:nvPicPr>
        <xdr:cNvPr id="170" name="ID_5918C4BCE1994731A04FCEF9888A7B53" descr="upload_post_object_v2_2738591761"/>
        <xdr:cNvPicPr/>
      </xdr:nvPicPr>
      <xdr:blipFill>
        <a:blip r:embed="rId141"/>
        <a:stretch>
          <a:fillRect/>
        </a:stretch>
      </xdr:blipFill>
      <xdr:spPr>
        <a:xfrm>
          <a:off x="0" y="0"/>
          <a:ext cx="495300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419100</xdr:colOff>
      <xdr:row>4</xdr:row>
      <xdr:rowOff>3810</xdr:rowOff>
    </xdr:to>
    <xdr:pic>
      <xdr:nvPicPr>
        <xdr:cNvPr id="171" name="ID_64EE0858E5B34FB4994B96B2BF58EB05" descr="upload_post_object_v2_4055658947"/>
        <xdr:cNvPicPr/>
      </xdr:nvPicPr>
      <xdr:blipFill>
        <a:blip r:embed="rId142"/>
        <a:stretch>
          <a:fillRect/>
        </a:stretch>
      </xdr:blipFill>
      <xdr:spPr>
        <a:xfrm>
          <a:off x="0" y="0"/>
          <a:ext cx="41910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4</xdr:row>
      <xdr:rowOff>3810</xdr:rowOff>
    </xdr:to>
    <xdr:pic>
      <xdr:nvPicPr>
        <xdr:cNvPr id="172" name="ID_9A93E6FCC95C4ECF9CB0E0089F580E4E" descr="upload_post_object_v2_3839327799"/>
        <xdr:cNvPicPr/>
      </xdr:nvPicPr>
      <xdr:blipFill>
        <a:blip r:embed="rId140"/>
        <a:stretch>
          <a:fillRect/>
        </a:stretch>
      </xdr:blipFill>
      <xdr:spPr>
        <a:xfrm>
          <a:off x="0" y="0"/>
          <a:ext cx="57150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207645</xdr:colOff>
      <xdr:row>3</xdr:row>
      <xdr:rowOff>60960</xdr:rowOff>
    </xdr:to>
    <xdr:pic>
      <xdr:nvPicPr>
        <xdr:cNvPr id="173" name="ID_97AD8966C4524BE48E7B396AD5FBA4EC" descr="upload_post_object_v2_27421003"/>
        <xdr:cNvPicPr/>
      </xdr:nvPicPr>
      <xdr:blipFill>
        <a:blip r:embed="rId143"/>
        <a:stretch>
          <a:fillRect/>
        </a:stretch>
      </xdr:blipFill>
      <xdr:spPr>
        <a:xfrm>
          <a:off x="0" y="0"/>
          <a:ext cx="893445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2</xdr:row>
      <xdr:rowOff>34290</xdr:rowOff>
    </xdr:to>
    <xdr:pic>
      <xdr:nvPicPr>
        <xdr:cNvPr id="174" name="ID_D19D94BAF6F8491FA836ADBA47AC3351" descr="upload_post_object_v2_2129617232"/>
        <xdr:cNvPicPr/>
      </xdr:nvPicPr>
      <xdr:blipFill>
        <a:blip r:embed="rId144"/>
        <a:stretch>
          <a:fillRect/>
        </a:stretch>
      </xdr:blipFill>
      <xdr:spPr>
        <a:xfrm>
          <a:off x="0" y="0"/>
          <a:ext cx="807720" cy="377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127635</xdr:rowOff>
    </xdr:to>
    <xdr:pic>
      <xdr:nvPicPr>
        <xdr:cNvPr id="175" name="ID_5D49C5AFFF4B43C19DCD14C6851E047B" descr="upload_post_object_v2_1143050350"/>
        <xdr:cNvPicPr/>
      </xdr:nvPicPr>
      <xdr:blipFill>
        <a:blip r:embed="rId145"/>
        <a:stretch>
          <a:fillRect/>
        </a:stretch>
      </xdr:blipFill>
      <xdr:spPr>
        <a:xfrm>
          <a:off x="0" y="0"/>
          <a:ext cx="70294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1</xdr:row>
      <xdr:rowOff>17145</xdr:rowOff>
    </xdr:to>
    <xdr:pic>
      <xdr:nvPicPr>
        <xdr:cNvPr id="176" name="ID_8AA46021CABC476B93D01F12CF857DA7" descr="upload_post_object_v2_3260473699"/>
        <xdr:cNvPicPr/>
      </xdr:nvPicPr>
      <xdr:blipFill>
        <a:blip r:embed="rId146"/>
        <a:stretch>
          <a:fillRect/>
        </a:stretch>
      </xdr:blipFill>
      <xdr:spPr>
        <a:xfrm>
          <a:off x="0" y="0"/>
          <a:ext cx="826770" cy="188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3</xdr:row>
      <xdr:rowOff>80010</xdr:rowOff>
    </xdr:to>
    <xdr:pic>
      <xdr:nvPicPr>
        <xdr:cNvPr id="177" name="ID_6F245DCB07294BC3AF9E0055906B70AE" descr="upload_post_object_v2_1065425301"/>
        <xdr:cNvPicPr/>
      </xdr:nvPicPr>
      <xdr:blipFill>
        <a:blip r:embed="rId147"/>
        <a:stretch>
          <a:fillRect/>
        </a:stretch>
      </xdr:blipFill>
      <xdr:spPr>
        <a:xfrm>
          <a:off x="0" y="0"/>
          <a:ext cx="807720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4</xdr:row>
      <xdr:rowOff>1905</xdr:rowOff>
    </xdr:to>
    <xdr:pic>
      <xdr:nvPicPr>
        <xdr:cNvPr id="178" name="ID_0C7D669E43D44824B3A060DBC38B36B5" descr="upload_post_object_v2_411876992"/>
        <xdr:cNvPicPr/>
      </xdr:nvPicPr>
      <xdr:blipFill>
        <a:blip r:embed="rId148"/>
        <a:stretch>
          <a:fillRect/>
        </a:stretch>
      </xdr:blipFill>
      <xdr:spPr>
        <a:xfrm>
          <a:off x="0" y="0"/>
          <a:ext cx="807720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3</xdr:row>
      <xdr:rowOff>13335</xdr:rowOff>
    </xdr:to>
    <xdr:pic>
      <xdr:nvPicPr>
        <xdr:cNvPr id="179" name="ID_65CA3D2EC98541D5A0F5A6C6589A3747" descr="upload_post_object_v2_3698919935"/>
        <xdr:cNvPicPr/>
      </xdr:nvPicPr>
      <xdr:blipFill>
        <a:blip r:embed="rId149"/>
        <a:stretch>
          <a:fillRect/>
        </a:stretch>
      </xdr:blipFill>
      <xdr:spPr>
        <a:xfrm>
          <a:off x="0" y="0"/>
          <a:ext cx="817245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0</xdr:row>
      <xdr:rowOff>142875</xdr:rowOff>
    </xdr:to>
    <xdr:pic>
      <xdr:nvPicPr>
        <xdr:cNvPr id="180" name="ID_E5A7E3764FE840B39FDBDC47E559869F" descr="upload_post_object_v2_3784144198"/>
        <xdr:cNvPicPr/>
      </xdr:nvPicPr>
      <xdr:blipFill>
        <a:blip r:embed="rId150"/>
        <a:stretch>
          <a:fillRect/>
        </a:stretch>
      </xdr:blipFill>
      <xdr:spPr>
        <a:xfrm>
          <a:off x="0" y="0"/>
          <a:ext cx="836295" cy="142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0</xdr:row>
      <xdr:rowOff>114300</xdr:rowOff>
    </xdr:to>
    <xdr:pic>
      <xdr:nvPicPr>
        <xdr:cNvPr id="181" name="ID_15FA8BA42C774125985AC2469865AEC9" descr="upload_post_object_v2_480813987"/>
        <xdr:cNvPicPr/>
      </xdr:nvPicPr>
      <xdr:blipFill>
        <a:blip r:embed="rId151"/>
        <a:stretch>
          <a:fillRect/>
        </a:stretch>
      </xdr:blipFill>
      <xdr:spPr>
        <a:xfrm>
          <a:off x="0" y="0"/>
          <a:ext cx="826770" cy="114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169545</xdr:colOff>
      <xdr:row>1</xdr:row>
      <xdr:rowOff>0</xdr:rowOff>
    </xdr:to>
    <xdr:pic>
      <xdr:nvPicPr>
        <xdr:cNvPr id="182" name="ID_6D3D21D5392943F981AC0562CFDF0F85" descr="upload_post_object_v2_1313313983"/>
        <xdr:cNvPicPr/>
      </xdr:nvPicPr>
      <xdr:blipFill>
        <a:blip r:embed="rId152"/>
        <a:stretch>
          <a:fillRect/>
        </a:stretch>
      </xdr:blipFill>
      <xdr:spPr>
        <a:xfrm>
          <a:off x="0" y="0"/>
          <a:ext cx="855345" cy="17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2</xdr:row>
      <xdr:rowOff>129540</xdr:rowOff>
    </xdr:to>
    <xdr:pic>
      <xdr:nvPicPr>
        <xdr:cNvPr id="183" name="ID_F34D4221BFC24F6F935038B806D634C4" descr="upload_post_object_v2_3788682320"/>
        <xdr:cNvPicPr/>
      </xdr:nvPicPr>
      <xdr:blipFill>
        <a:blip r:embed="rId153"/>
        <a:stretch>
          <a:fillRect/>
        </a:stretch>
      </xdr:blipFill>
      <xdr:spPr>
        <a:xfrm>
          <a:off x="0" y="0"/>
          <a:ext cx="80772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2</xdr:row>
      <xdr:rowOff>81915</xdr:rowOff>
    </xdr:to>
    <xdr:pic>
      <xdr:nvPicPr>
        <xdr:cNvPr id="184" name="ID_236143A9D927482185ADC8B8BAD709BC" descr="upload_post_object_v2_2172615897"/>
        <xdr:cNvPicPr/>
      </xdr:nvPicPr>
      <xdr:blipFill>
        <a:blip r:embed="rId154"/>
        <a:stretch>
          <a:fillRect/>
        </a:stretch>
      </xdr:blipFill>
      <xdr:spPr>
        <a:xfrm>
          <a:off x="0" y="0"/>
          <a:ext cx="788670" cy="424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1</xdr:row>
      <xdr:rowOff>45720</xdr:rowOff>
    </xdr:to>
    <xdr:pic>
      <xdr:nvPicPr>
        <xdr:cNvPr id="185" name="ID_F7BBFAD0B5B64EDCA2C95F89E63B6EA4" descr="upload_post_object_v2_353865536"/>
        <xdr:cNvPicPr/>
      </xdr:nvPicPr>
      <xdr:blipFill>
        <a:blip r:embed="rId155"/>
        <a:stretch>
          <a:fillRect/>
        </a:stretch>
      </xdr:blipFill>
      <xdr:spPr>
        <a:xfrm>
          <a:off x="0" y="0"/>
          <a:ext cx="845820" cy="217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1</xdr:row>
      <xdr:rowOff>55245</xdr:rowOff>
    </xdr:to>
    <xdr:pic>
      <xdr:nvPicPr>
        <xdr:cNvPr id="186" name="ID_9310E1A180684FE6B9F13AC7C6BB88D7" descr="upload_post_object_v2_621719257"/>
        <xdr:cNvPicPr/>
      </xdr:nvPicPr>
      <xdr:blipFill>
        <a:blip r:embed="rId156"/>
        <a:stretch>
          <a:fillRect/>
        </a:stretch>
      </xdr:blipFill>
      <xdr:spPr>
        <a:xfrm>
          <a:off x="0" y="0"/>
          <a:ext cx="845820" cy="22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3</xdr:row>
      <xdr:rowOff>137160</xdr:rowOff>
    </xdr:to>
    <xdr:pic>
      <xdr:nvPicPr>
        <xdr:cNvPr id="187" name="ID_0CE80387404240A484E25DD6B18C880B" descr="upload_post_object_v2_4200410103"/>
        <xdr:cNvPicPr/>
      </xdr:nvPicPr>
      <xdr:blipFill>
        <a:blip r:embed="rId157"/>
        <a:stretch>
          <a:fillRect/>
        </a:stretch>
      </xdr:blipFill>
      <xdr:spPr>
        <a:xfrm>
          <a:off x="0" y="0"/>
          <a:ext cx="73152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3</xdr:row>
      <xdr:rowOff>137160</xdr:rowOff>
    </xdr:to>
    <xdr:pic>
      <xdr:nvPicPr>
        <xdr:cNvPr id="188" name="ID_9DACABC6CC204928BE7B7389ACA106F5" descr="upload_post_object_v2_742564983"/>
        <xdr:cNvPicPr/>
      </xdr:nvPicPr>
      <xdr:blipFill>
        <a:blip r:embed="rId157"/>
        <a:stretch>
          <a:fillRect/>
        </a:stretch>
      </xdr:blipFill>
      <xdr:spPr>
        <a:xfrm>
          <a:off x="0" y="0"/>
          <a:ext cx="73152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55245</xdr:colOff>
      <xdr:row>3</xdr:row>
      <xdr:rowOff>127635</xdr:rowOff>
    </xdr:to>
    <xdr:pic>
      <xdr:nvPicPr>
        <xdr:cNvPr id="189" name="ID_5C171A43E7CF43588911E7D81DB50CCF" descr="upload_post_object_v2_3216915347"/>
        <xdr:cNvPicPr/>
      </xdr:nvPicPr>
      <xdr:blipFill>
        <a:blip r:embed="rId158"/>
        <a:stretch>
          <a:fillRect/>
        </a:stretch>
      </xdr:blipFill>
      <xdr:spPr>
        <a:xfrm>
          <a:off x="0" y="0"/>
          <a:ext cx="74104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3</xdr:row>
      <xdr:rowOff>108585</xdr:rowOff>
    </xdr:to>
    <xdr:pic>
      <xdr:nvPicPr>
        <xdr:cNvPr id="190" name="ID_A843354EBBE94E1F8806A6686A0A3E80" descr="upload_post_object_v2_1126140138"/>
        <xdr:cNvPicPr/>
      </xdr:nvPicPr>
      <xdr:blipFill>
        <a:blip r:embed="rId159"/>
        <a:stretch>
          <a:fillRect/>
        </a:stretch>
      </xdr:blipFill>
      <xdr:spPr>
        <a:xfrm>
          <a:off x="0" y="0"/>
          <a:ext cx="731520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146685</xdr:rowOff>
    </xdr:to>
    <xdr:pic>
      <xdr:nvPicPr>
        <xdr:cNvPr id="191" name="ID_6ED5DD6333634B6AA35FF014070A72E0" descr="upload_post_object_v2_2759540309"/>
        <xdr:cNvPicPr/>
      </xdr:nvPicPr>
      <xdr:blipFill>
        <a:blip r:embed="rId160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0</xdr:row>
      <xdr:rowOff>114300</xdr:rowOff>
    </xdr:to>
    <xdr:pic>
      <xdr:nvPicPr>
        <xdr:cNvPr id="192" name="ID_DC979AF53FEC4D26AB1FB30F1893C9E3" descr="upload_post_object_v2_3745425017"/>
        <xdr:cNvPicPr/>
      </xdr:nvPicPr>
      <xdr:blipFill>
        <a:blip r:embed="rId161"/>
        <a:stretch>
          <a:fillRect/>
        </a:stretch>
      </xdr:blipFill>
      <xdr:spPr>
        <a:xfrm>
          <a:off x="0" y="0"/>
          <a:ext cx="788670" cy="114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0</xdr:row>
      <xdr:rowOff>95250</xdr:rowOff>
    </xdr:to>
    <xdr:pic>
      <xdr:nvPicPr>
        <xdr:cNvPr id="193" name="ID_CBDBA49DA94647938103C209E1651744" descr="upload_post_object_v2_589344526"/>
        <xdr:cNvPicPr/>
      </xdr:nvPicPr>
      <xdr:blipFill>
        <a:blip r:embed="rId162"/>
        <a:stretch>
          <a:fillRect/>
        </a:stretch>
      </xdr:blipFill>
      <xdr:spPr>
        <a:xfrm>
          <a:off x="0" y="0"/>
          <a:ext cx="845820" cy="95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1</xdr:row>
      <xdr:rowOff>55245</xdr:rowOff>
    </xdr:to>
    <xdr:pic>
      <xdr:nvPicPr>
        <xdr:cNvPr id="194" name="ID_ECEE6429ABFB43C0AFBA27FF82FF610D" descr="upload_post_object_v2_111209632"/>
        <xdr:cNvPicPr/>
      </xdr:nvPicPr>
      <xdr:blipFill>
        <a:blip r:embed="rId163"/>
        <a:stretch>
          <a:fillRect/>
        </a:stretch>
      </xdr:blipFill>
      <xdr:spPr>
        <a:xfrm>
          <a:off x="0" y="0"/>
          <a:ext cx="826770" cy="22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3</xdr:row>
      <xdr:rowOff>99060</xdr:rowOff>
    </xdr:to>
    <xdr:pic>
      <xdr:nvPicPr>
        <xdr:cNvPr id="195" name="ID_C98F340BAEEC4A208558503F761D1D7B" descr="upload_post_object_v2_4176479981"/>
        <xdr:cNvPicPr/>
      </xdr:nvPicPr>
      <xdr:blipFill>
        <a:blip r:embed="rId164"/>
        <a:stretch>
          <a:fillRect/>
        </a:stretch>
      </xdr:blipFill>
      <xdr:spPr>
        <a:xfrm>
          <a:off x="0" y="0"/>
          <a:ext cx="73152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198120</xdr:colOff>
      <xdr:row>2</xdr:row>
      <xdr:rowOff>91440</xdr:rowOff>
    </xdr:to>
    <xdr:pic>
      <xdr:nvPicPr>
        <xdr:cNvPr id="196" name="ID_11B55B9345384A4A8BA59B29B3A634BD" descr="upload_post_object_v2_1272417531"/>
        <xdr:cNvPicPr/>
      </xdr:nvPicPr>
      <xdr:blipFill>
        <a:blip r:embed="rId165"/>
        <a:stretch>
          <a:fillRect/>
        </a:stretch>
      </xdr:blipFill>
      <xdr:spPr>
        <a:xfrm>
          <a:off x="0" y="0"/>
          <a:ext cx="883920" cy="434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447675</xdr:colOff>
      <xdr:row>4</xdr:row>
      <xdr:rowOff>1905</xdr:rowOff>
    </xdr:to>
    <xdr:pic>
      <xdr:nvPicPr>
        <xdr:cNvPr id="197" name="ID_BF15B82D08024355B373F7F18111571E" descr="upload_post_object_v2_2223692725"/>
        <xdr:cNvPicPr/>
      </xdr:nvPicPr>
      <xdr:blipFill>
        <a:blip r:embed="rId166"/>
        <a:stretch>
          <a:fillRect/>
        </a:stretch>
      </xdr:blipFill>
      <xdr:spPr>
        <a:xfrm>
          <a:off x="0" y="0"/>
          <a:ext cx="44767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</xdr:colOff>
      <xdr:row>2</xdr:row>
      <xdr:rowOff>100965</xdr:rowOff>
    </xdr:to>
    <xdr:pic>
      <xdr:nvPicPr>
        <xdr:cNvPr id="198" name="ID_BE035973A4584B6FA455A916008B41E5" descr="upload_post_object_v2_693303448"/>
        <xdr:cNvPicPr/>
      </xdr:nvPicPr>
      <xdr:blipFill>
        <a:blip r:embed="rId167"/>
        <a:stretch>
          <a:fillRect/>
        </a:stretch>
      </xdr:blipFill>
      <xdr:spPr>
        <a:xfrm>
          <a:off x="0" y="0"/>
          <a:ext cx="779145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3</xdr:row>
      <xdr:rowOff>5715</xdr:rowOff>
    </xdr:to>
    <xdr:pic>
      <xdr:nvPicPr>
        <xdr:cNvPr id="199" name="ID_D1FCEEFC6216457B9B52AE94600C4749" descr="upload_post_object_v2_1134589860"/>
        <xdr:cNvPicPr/>
      </xdr:nvPicPr>
      <xdr:blipFill>
        <a:blip r:embed="rId168"/>
        <a:stretch>
          <a:fillRect/>
        </a:stretch>
      </xdr:blipFill>
      <xdr:spPr>
        <a:xfrm>
          <a:off x="0" y="0"/>
          <a:ext cx="81724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245745</xdr:colOff>
      <xdr:row>1</xdr:row>
      <xdr:rowOff>131445</xdr:rowOff>
    </xdr:to>
    <xdr:pic>
      <xdr:nvPicPr>
        <xdr:cNvPr id="200" name="ID_282C3A2FEFF944838CF1ADD2E61F468D" descr="upload_post_object_v2_2350764709"/>
        <xdr:cNvPicPr/>
      </xdr:nvPicPr>
      <xdr:blipFill>
        <a:blip r:embed="rId169"/>
        <a:stretch>
          <a:fillRect/>
        </a:stretch>
      </xdr:blipFill>
      <xdr:spPr>
        <a:xfrm>
          <a:off x="0" y="0"/>
          <a:ext cx="931545" cy="302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3</xdr:row>
      <xdr:rowOff>137160</xdr:rowOff>
    </xdr:to>
    <xdr:pic>
      <xdr:nvPicPr>
        <xdr:cNvPr id="201" name="ID_5CC607DD469D4C2F945968F3E4669160" descr="upload_post_object_v2_446827319"/>
        <xdr:cNvPicPr/>
      </xdr:nvPicPr>
      <xdr:blipFill>
        <a:blip r:embed="rId170"/>
        <a:stretch>
          <a:fillRect/>
        </a:stretch>
      </xdr:blipFill>
      <xdr:spPr>
        <a:xfrm>
          <a:off x="0" y="0"/>
          <a:ext cx="71247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3</xdr:row>
      <xdr:rowOff>137160</xdr:rowOff>
    </xdr:to>
    <xdr:pic>
      <xdr:nvPicPr>
        <xdr:cNvPr id="202" name="ID_AFB6A950FE4B49C58354E35D74246FB8" descr="upload_post_object_v2_3579890949"/>
        <xdr:cNvPicPr/>
      </xdr:nvPicPr>
      <xdr:blipFill>
        <a:blip r:embed="rId170"/>
        <a:stretch>
          <a:fillRect/>
        </a:stretch>
      </xdr:blipFill>
      <xdr:spPr>
        <a:xfrm>
          <a:off x="0" y="0"/>
          <a:ext cx="71247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1</xdr:row>
      <xdr:rowOff>93345</xdr:rowOff>
    </xdr:to>
    <xdr:pic>
      <xdr:nvPicPr>
        <xdr:cNvPr id="203" name="ID_ABE761078B7046AEB755EBCDEF961C5A" descr="upload_post_object_v2_1421699519"/>
        <xdr:cNvPicPr/>
      </xdr:nvPicPr>
      <xdr:blipFill>
        <a:blip r:embed="rId171"/>
        <a:stretch>
          <a:fillRect/>
        </a:stretch>
      </xdr:blipFill>
      <xdr:spPr>
        <a:xfrm>
          <a:off x="0" y="0"/>
          <a:ext cx="836295" cy="26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3</xdr:row>
      <xdr:rowOff>137160</xdr:rowOff>
    </xdr:to>
    <xdr:pic>
      <xdr:nvPicPr>
        <xdr:cNvPr id="204" name="ID_3D34A639EC004FAF961CE5A42E376ADD" descr="upload_post_object_v2_620283983"/>
        <xdr:cNvPicPr/>
      </xdr:nvPicPr>
      <xdr:blipFill>
        <a:blip r:embed="rId172"/>
        <a:stretch>
          <a:fillRect/>
        </a:stretch>
      </xdr:blipFill>
      <xdr:spPr>
        <a:xfrm>
          <a:off x="0" y="0"/>
          <a:ext cx="71247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165735</xdr:rowOff>
    </xdr:to>
    <xdr:pic>
      <xdr:nvPicPr>
        <xdr:cNvPr id="205" name="ID_19ED05E14342457F98DC087BBF568E79" descr="upload_post_object_v2_45276228"/>
        <xdr:cNvPicPr/>
      </xdr:nvPicPr>
      <xdr:blipFill>
        <a:blip r:embed="rId173"/>
        <a:stretch>
          <a:fillRect/>
        </a:stretch>
      </xdr:blipFill>
      <xdr:spPr>
        <a:xfrm>
          <a:off x="0" y="0"/>
          <a:ext cx="76009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398145</xdr:colOff>
      <xdr:row>2</xdr:row>
      <xdr:rowOff>167640</xdr:rowOff>
    </xdr:to>
    <xdr:pic>
      <xdr:nvPicPr>
        <xdr:cNvPr id="206" name="ID_748BAA7DBA824EC8845029D8313B056E" descr="upload_post_object_v2_3349244180"/>
        <xdr:cNvPicPr/>
      </xdr:nvPicPr>
      <xdr:blipFill>
        <a:blip r:embed="rId174"/>
        <a:stretch>
          <a:fillRect/>
        </a:stretch>
      </xdr:blipFill>
      <xdr:spPr>
        <a:xfrm>
          <a:off x="0" y="0"/>
          <a:ext cx="1083945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2</xdr:row>
      <xdr:rowOff>62865</xdr:rowOff>
    </xdr:to>
    <xdr:pic>
      <xdr:nvPicPr>
        <xdr:cNvPr id="207" name="ID_5DF188C072C149FCB9DD131E8EB10EAC" descr="upload_post_object_v2_2842110831"/>
        <xdr:cNvPicPr/>
      </xdr:nvPicPr>
      <xdr:blipFill>
        <a:blip r:embed="rId175"/>
        <a:stretch>
          <a:fillRect/>
        </a:stretch>
      </xdr:blipFill>
      <xdr:spPr>
        <a:xfrm>
          <a:off x="0" y="0"/>
          <a:ext cx="817245" cy="405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3</xdr:row>
      <xdr:rowOff>127635</xdr:rowOff>
    </xdr:to>
    <xdr:pic>
      <xdr:nvPicPr>
        <xdr:cNvPr id="208" name="ID_B54933663ED74018BB0CA0E68A10FD19" descr="upload_post_object_v2_1779370276"/>
        <xdr:cNvPicPr/>
      </xdr:nvPicPr>
      <xdr:blipFill>
        <a:blip r:embed="rId176"/>
        <a:stretch>
          <a:fillRect/>
        </a:stretch>
      </xdr:blipFill>
      <xdr:spPr>
        <a:xfrm>
          <a:off x="0" y="0"/>
          <a:ext cx="514350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169545</xdr:colOff>
      <xdr:row>0</xdr:row>
      <xdr:rowOff>114300</xdr:rowOff>
    </xdr:to>
    <xdr:pic>
      <xdr:nvPicPr>
        <xdr:cNvPr id="209" name="ID_CFC0D5E412DA4678B1BD1383D696F22E" descr="upload_post_object_v2_2665612849"/>
        <xdr:cNvPicPr/>
      </xdr:nvPicPr>
      <xdr:blipFill>
        <a:blip r:embed="rId177"/>
        <a:stretch>
          <a:fillRect/>
        </a:stretch>
      </xdr:blipFill>
      <xdr:spPr>
        <a:xfrm>
          <a:off x="0" y="0"/>
          <a:ext cx="855345" cy="114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0</xdr:row>
      <xdr:rowOff>95250</xdr:rowOff>
    </xdr:to>
    <xdr:pic>
      <xdr:nvPicPr>
        <xdr:cNvPr id="210" name="ID_8AA2E95DF0CC4D49B08829E6336C4347" descr="upload_post_object_v2_1754512108"/>
        <xdr:cNvPicPr/>
      </xdr:nvPicPr>
      <xdr:blipFill>
        <a:blip r:embed="rId178"/>
        <a:stretch>
          <a:fillRect/>
        </a:stretch>
      </xdr:blipFill>
      <xdr:spPr>
        <a:xfrm>
          <a:off x="0" y="0"/>
          <a:ext cx="826770" cy="95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226695</xdr:colOff>
      <xdr:row>0</xdr:row>
      <xdr:rowOff>152400</xdr:rowOff>
    </xdr:to>
    <xdr:pic>
      <xdr:nvPicPr>
        <xdr:cNvPr id="211" name="ID_3C2718BC6D8F4AB7BAE8D46CB09E5261" descr="upload_post_object_v2_862524126"/>
        <xdr:cNvPicPr/>
      </xdr:nvPicPr>
      <xdr:blipFill>
        <a:blip r:embed="rId179"/>
        <a:stretch>
          <a:fillRect/>
        </a:stretch>
      </xdr:blipFill>
      <xdr:spPr>
        <a:xfrm>
          <a:off x="0" y="0"/>
          <a:ext cx="912495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3</xdr:row>
      <xdr:rowOff>127635</xdr:rowOff>
    </xdr:to>
    <xdr:pic>
      <xdr:nvPicPr>
        <xdr:cNvPr id="212" name="ID_2D0A9B242DAE43B99F85DD95A6A79364" descr="upload_post_object_v2_1844648988"/>
        <xdr:cNvPicPr/>
      </xdr:nvPicPr>
      <xdr:blipFill>
        <a:blip r:embed="rId180"/>
        <a:stretch>
          <a:fillRect/>
        </a:stretch>
      </xdr:blipFill>
      <xdr:spPr>
        <a:xfrm>
          <a:off x="0" y="0"/>
          <a:ext cx="58102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118110</xdr:rowOff>
    </xdr:to>
    <xdr:pic>
      <xdr:nvPicPr>
        <xdr:cNvPr id="213" name="ID_FE14936291234FE5A071730C9B83BA47" descr="upload_post_object_v2_512207540"/>
        <xdr:cNvPicPr/>
      </xdr:nvPicPr>
      <xdr:blipFill>
        <a:blip r:embed="rId181"/>
        <a:stretch>
          <a:fillRect/>
        </a:stretch>
      </xdr:blipFill>
      <xdr:spPr>
        <a:xfrm>
          <a:off x="0" y="0"/>
          <a:ext cx="70294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4</xdr:row>
      <xdr:rowOff>3810</xdr:rowOff>
    </xdr:to>
    <xdr:pic>
      <xdr:nvPicPr>
        <xdr:cNvPr id="214" name="ID_73F2D60C7DAA461DB1DC5EC736E4EC50" descr="upload_post_object_v2_2823112777"/>
        <xdr:cNvPicPr/>
      </xdr:nvPicPr>
      <xdr:blipFill>
        <a:blip r:embed="rId182"/>
        <a:stretch>
          <a:fillRect/>
        </a:stretch>
      </xdr:blipFill>
      <xdr:spPr>
        <a:xfrm>
          <a:off x="0" y="0"/>
          <a:ext cx="73152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167640</xdr:rowOff>
    </xdr:to>
    <xdr:pic>
      <xdr:nvPicPr>
        <xdr:cNvPr id="215" name="ID_483DB78F469244C1829A54BC2E3099A0" descr="upload_post_object_v2_722721493"/>
        <xdr:cNvPicPr/>
      </xdr:nvPicPr>
      <xdr:blipFill>
        <a:blip r:embed="rId183"/>
        <a:stretch>
          <a:fillRect/>
        </a:stretch>
      </xdr:blipFill>
      <xdr:spPr>
        <a:xfrm>
          <a:off x="0" y="0"/>
          <a:ext cx="826770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3</xdr:row>
      <xdr:rowOff>156210</xdr:rowOff>
    </xdr:to>
    <xdr:pic>
      <xdr:nvPicPr>
        <xdr:cNvPr id="216" name="ID_310DCB8066E04AC6907C0F3B66BA9106" descr="upload_post_object_v2_1870930885"/>
        <xdr:cNvPicPr/>
      </xdr:nvPicPr>
      <xdr:blipFill>
        <a:blip r:embed="rId184"/>
        <a:stretch>
          <a:fillRect/>
        </a:stretch>
      </xdr:blipFill>
      <xdr:spPr>
        <a:xfrm>
          <a:off x="0" y="0"/>
          <a:ext cx="75057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3</xdr:row>
      <xdr:rowOff>108585</xdr:rowOff>
    </xdr:to>
    <xdr:pic>
      <xdr:nvPicPr>
        <xdr:cNvPr id="217" name="ID_9AD2B200FDF1445B979E91894BC369BA" descr="upload_post_object_v2_1989346366"/>
        <xdr:cNvPicPr/>
      </xdr:nvPicPr>
      <xdr:blipFill>
        <a:blip r:embed="rId185"/>
        <a:stretch>
          <a:fillRect/>
        </a:stretch>
      </xdr:blipFill>
      <xdr:spPr>
        <a:xfrm>
          <a:off x="0" y="0"/>
          <a:ext cx="769620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255270</xdr:colOff>
      <xdr:row>2</xdr:row>
      <xdr:rowOff>91440</xdr:rowOff>
    </xdr:to>
    <xdr:pic>
      <xdr:nvPicPr>
        <xdr:cNvPr id="218" name="ID_77FF014C1B024DBD99A7101682189101" descr="upload_post_object_v2_361607749"/>
        <xdr:cNvPicPr/>
      </xdr:nvPicPr>
      <xdr:blipFill>
        <a:blip r:embed="rId186"/>
        <a:stretch>
          <a:fillRect/>
        </a:stretch>
      </xdr:blipFill>
      <xdr:spPr>
        <a:xfrm>
          <a:off x="0" y="0"/>
          <a:ext cx="941070" cy="434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283845</xdr:colOff>
      <xdr:row>1</xdr:row>
      <xdr:rowOff>64770</xdr:rowOff>
    </xdr:to>
    <xdr:pic>
      <xdr:nvPicPr>
        <xdr:cNvPr id="219" name="ID_CE2AAB8CE7B248F0987093CB05DF9696" descr="upload_post_object_v2_4161189439"/>
        <xdr:cNvPicPr/>
      </xdr:nvPicPr>
      <xdr:blipFill>
        <a:blip r:embed="rId187"/>
        <a:stretch>
          <a:fillRect/>
        </a:stretch>
      </xdr:blipFill>
      <xdr:spPr>
        <a:xfrm>
          <a:off x="0" y="0"/>
          <a:ext cx="969645" cy="236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1</xdr:row>
      <xdr:rowOff>17145</xdr:rowOff>
    </xdr:to>
    <xdr:pic>
      <xdr:nvPicPr>
        <xdr:cNvPr id="220" name="ID_5CE36B05883845909ADC8D27F59F038E" descr="upload_post_object_v2_197050081"/>
        <xdr:cNvPicPr/>
      </xdr:nvPicPr>
      <xdr:blipFill>
        <a:blip r:embed="rId188"/>
        <a:stretch>
          <a:fillRect/>
        </a:stretch>
      </xdr:blipFill>
      <xdr:spPr>
        <a:xfrm>
          <a:off x="0" y="0"/>
          <a:ext cx="845820" cy="188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274320</xdr:colOff>
      <xdr:row>0</xdr:row>
      <xdr:rowOff>123825</xdr:rowOff>
    </xdr:to>
    <xdr:pic>
      <xdr:nvPicPr>
        <xdr:cNvPr id="221" name="ID_FB5A19190F2E4AECB34C3C150F94E76C" descr="upload_post_object_v2_1655848646"/>
        <xdr:cNvPicPr/>
      </xdr:nvPicPr>
      <xdr:blipFill>
        <a:blip r:embed="rId189"/>
        <a:stretch>
          <a:fillRect/>
        </a:stretch>
      </xdr:blipFill>
      <xdr:spPr>
        <a:xfrm>
          <a:off x="0" y="0"/>
          <a:ext cx="960120" cy="123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3</xdr:row>
      <xdr:rowOff>165735</xdr:rowOff>
    </xdr:to>
    <xdr:pic>
      <xdr:nvPicPr>
        <xdr:cNvPr id="222" name="ID_ABD3AD0411BC4BD9BC1795C3B570F909" descr="upload_post_object_v2_3353801208"/>
        <xdr:cNvPicPr/>
      </xdr:nvPicPr>
      <xdr:blipFill>
        <a:blip r:embed="rId190"/>
        <a:stretch>
          <a:fillRect/>
        </a:stretch>
      </xdr:blipFill>
      <xdr:spPr>
        <a:xfrm>
          <a:off x="0" y="0"/>
          <a:ext cx="769620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1</xdr:row>
      <xdr:rowOff>169545</xdr:rowOff>
    </xdr:to>
    <xdr:pic>
      <xdr:nvPicPr>
        <xdr:cNvPr id="223" name="ID_31D8224544164DD4A72EB781D0874AB0" descr="upload_post_object_v2_3329994626"/>
        <xdr:cNvPicPr/>
      </xdr:nvPicPr>
      <xdr:blipFill>
        <a:blip r:embed="rId191"/>
        <a:stretch>
          <a:fillRect/>
        </a:stretch>
      </xdr:blipFill>
      <xdr:spPr>
        <a:xfrm>
          <a:off x="0" y="0"/>
          <a:ext cx="817245" cy="3409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274320</xdr:colOff>
      <xdr:row>1</xdr:row>
      <xdr:rowOff>160020</xdr:rowOff>
    </xdr:to>
    <xdr:pic>
      <xdr:nvPicPr>
        <xdr:cNvPr id="224" name="ID_8A8EDA126DF44CC384A4B4F3935E1105" descr="upload_post_object_v2_2559098136"/>
        <xdr:cNvPicPr/>
      </xdr:nvPicPr>
      <xdr:blipFill>
        <a:blip r:embed="rId192"/>
        <a:stretch>
          <a:fillRect/>
        </a:stretch>
      </xdr:blipFill>
      <xdr:spPr>
        <a:xfrm>
          <a:off x="0" y="0"/>
          <a:ext cx="960120" cy="3314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3</xdr:row>
      <xdr:rowOff>13335</xdr:rowOff>
    </xdr:to>
    <xdr:pic>
      <xdr:nvPicPr>
        <xdr:cNvPr id="225" name="ID_0C429F7BB78C43A0AEC84E56D0CF562D" descr="upload_post_object_v2_2858240124"/>
        <xdr:cNvPicPr/>
      </xdr:nvPicPr>
      <xdr:blipFill>
        <a:blip r:embed="rId193"/>
        <a:stretch>
          <a:fillRect/>
        </a:stretch>
      </xdr:blipFill>
      <xdr:spPr>
        <a:xfrm>
          <a:off x="0" y="0"/>
          <a:ext cx="817245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3</xdr:row>
      <xdr:rowOff>165735</xdr:rowOff>
    </xdr:to>
    <xdr:pic>
      <xdr:nvPicPr>
        <xdr:cNvPr id="226" name="ID_CBB8CE3AE0CC42928DF123DDE96A6DF8" descr="upload_post_object_v2_363549629"/>
        <xdr:cNvPicPr/>
      </xdr:nvPicPr>
      <xdr:blipFill>
        <a:blip r:embed="rId194"/>
        <a:stretch>
          <a:fillRect/>
        </a:stretch>
      </xdr:blipFill>
      <xdr:spPr>
        <a:xfrm>
          <a:off x="0" y="0"/>
          <a:ext cx="750570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</xdr:colOff>
      <xdr:row>3</xdr:row>
      <xdr:rowOff>156210</xdr:rowOff>
    </xdr:to>
    <xdr:pic>
      <xdr:nvPicPr>
        <xdr:cNvPr id="227" name="ID_40676E4A7AEA4F2DA1E2B833E9B867BB" descr="upload_post_object_v2_1570081777"/>
        <xdr:cNvPicPr/>
      </xdr:nvPicPr>
      <xdr:blipFill>
        <a:blip r:embed="rId195"/>
        <a:stretch>
          <a:fillRect/>
        </a:stretch>
      </xdr:blipFill>
      <xdr:spPr>
        <a:xfrm>
          <a:off x="0" y="0"/>
          <a:ext cx="779145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3</xdr:row>
      <xdr:rowOff>118110</xdr:rowOff>
    </xdr:to>
    <xdr:pic>
      <xdr:nvPicPr>
        <xdr:cNvPr id="228" name="ID_8CA3F0D14FAA4ED0AAF3BF2C379A5B2D" descr="upload_post_object_v2_184861218"/>
        <xdr:cNvPicPr/>
      </xdr:nvPicPr>
      <xdr:blipFill>
        <a:blip r:embed="rId196"/>
        <a:stretch>
          <a:fillRect/>
        </a:stretch>
      </xdr:blipFill>
      <xdr:spPr>
        <a:xfrm>
          <a:off x="0" y="0"/>
          <a:ext cx="81724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20955</xdr:rowOff>
    </xdr:to>
    <xdr:pic>
      <xdr:nvPicPr>
        <xdr:cNvPr id="229" name="ID_AC83A2225E044E9BA2C06491D0767C0D" descr="upload_post_object_v2_554823824"/>
        <xdr:cNvPicPr/>
      </xdr:nvPicPr>
      <xdr:blipFill>
        <a:blip r:embed="rId197"/>
        <a:stretch>
          <a:fillRect/>
        </a:stretch>
      </xdr:blipFill>
      <xdr:spPr>
        <a:xfrm>
          <a:off x="0" y="0"/>
          <a:ext cx="702945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</xdr:colOff>
      <xdr:row>4</xdr:row>
      <xdr:rowOff>20955</xdr:rowOff>
    </xdr:to>
    <xdr:pic>
      <xdr:nvPicPr>
        <xdr:cNvPr id="230" name="ID_1EA1AA765C1344719E85258C465C6733" descr="upload_post_object_v2_2644873060"/>
        <xdr:cNvPicPr/>
      </xdr:nvPicPr>
      <xdr:blipFill>
        <a:blip r:embed="rId198"/>
        <a:stretch>
          <a:fillRect/>
        </a:stretch>
      </xdr:blipFill>
      <xdr:spPr>
        <a:xfrm>
          <a:off x="0" y="0"/>
          <a:ext cx="779145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3</xdr:row>
      <xdr:rowOff>137160</xdr:rowOff>
    </xdr:to>
    <xdr:pic>
      <xdr:nvPicPr>
        <xdr:cNvPr id="231" name="ID_A74636410B9B445498D0AA9E65E56BA5" descr="upload_post_object_v2_3877913863"/>
        <xdr:cNvPicPr/>
      </xdr:nvPicPr>
      <xdr:blipFill>
        <a:blip r:embed="rId199"/>
        <a:stretch>
          <a:fillRect/>
        </a:stretch>
      </xdr:blipFill>
      <xdr:spPr>
        <a:xfrm>
          <a:off x="0" y="0"/>
          <a:ext cx="798195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3</xdr:row>
      <xdr:rowOff>22860</xdr:rowOff>
    </xdr:to>
    <xdr:pic>
      <xdr:nvPicPr>
        <xdr:cNvPr id="232" name="ID_BE408F2469DA419498D5348E61E103C4" descr="upload_post_object_v2_203720351"/>
        <xdr:cNvPicPr/>
      </xdr:nvPicPr>
      <xdr:blipFill>
        <a:blip r:embed="rId200"/>
        <a:stretch>
          <a:fillRect/>
        </a:stretch>
      </xdr:blipFill>
      <xdr:spPr>
        <a:xfrm>
          <a:off x="0" y="0"/>
          <a:ext cx="836295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3</xdr:row>
      <xdr:rowOff>118110</xdr:rowOff>
    </xdr:to>
    <xdr:pic>
      <xdr:nvPicPr>
        <xdr:cNvPr id="233" name="ID_03E42DC740F84C32924D38A0746A6064" descr="upload_post_object_v2_622832082"/>
        <xdr:cNvPicPr/>
      </xdr:nvPicPr>
      <xdr:blipFill>
        <a:blip r:embed="rId201"/>
        <a:stretch>
          <a:fillRect/>
        </a:stretch>
      </xdr:blipFill>
      <xdr:spPr>
        <a:xfrm>
          <a:off x="0" y="0"/>
          <a:ext cx="83629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4</xdr:row>
      <xdr:rowOff>1905</xdr:rowOff>
    </xdr:to>
    <xdr:pic>
      <xdr:nvPicPr>
        <xdr:cNvPr id="234" name="ID_820E5DC4A4CB49D2AF6E6234C5014276" descr="upload_post_object_v2_3709117737"/>
        <xdr:cNvPicPr/>
      </xdr:nvPicPr>
      <xdr:blipFill>
        <a:blip r:embed="rId202"/>
        <a:stretch>
          <a:fillRect/>
        </a:stretch>
      </xdr:blipFill>
      <xdr:spPr>
        <a:xfrm>
          <a:off x="0" y="0"/>
          <a:ext cx="571500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198120</xdr:colOff>
      <xdr:row>1</xdr:row>
      <xdr:rowOff>160020</xdr:rowOff>
    </xdr:to>
    <xdr:pic>
      <xdr:nvPicPr>
        <xdr:cNvPr id="235" name="ID_7AAEF80C00B846D1AED867479D8F71C2" descr="upload_post_object_v2_3231520028"/>
        <xdr:cNvPicPr/>
      </xdr:nvPicPr>
      <xdr:blipFill>
        <a:blip r:embed="rId203"/>
        <a:stretch>
          <a:fillRect/>
        </a:stretch>
      </xdr:blipFill>
      <xdr:spPr>
        <a:xfrm>
          <a:off x="0" y="0"/>
          <a:ext cx="883920" cy="3314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285750</xdr:colOff>
      <xdr:row>3</xdr:row>
      <xdr:rowOff>165735</xdr:rowOff>
    </xdr:to>
    <xdr:pic>
      <xdr:nvPicPr>
        <xdr:cNvPr id="236" name="ID_03EAB70124D648C7AACECF571FAFD488" descr="upload_post_object_v2_3970306467"/>
        <xdr:cNvPicPr/>
      </xdr:nvPicPr>
      <xdr:blipFill>
        <a:blip r:embed="rId204"/>
        <a:stretch>
          <a:fillRect/>
        </a:stretch>
      </xdr:blipFill>
      <xdr:spPr>
        <a:xfrm>
          <a:off x="0" y="0"/>
          <a:ext cx="285750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1</xdr:row>
      <xdr:rowOff>121920</xdr:rowOff>
    </xdr:to>
    <xdr:pic>
      <xdr:nvPicPr>
        <xdr:cNvPr id="237" name="ID_F2BD4E281AA04DDEB93BDFACE206DDBB" descr="upload_post_object_v2_1101604642"/>
        <xdr:cNvPicPr/>
      </xdr:nvPicPr>
      <xdr:blipFill>
        <a:blip r:embed="rId205"/>
        <a:stretch>
          <a:fillRect/>
        </a:stretch>
      </xdr:blipFill>
      <xdr:spPr>
        <a:xfrm>
          <a:off x="0" y="0"/>
          <a:ext cx="807720" cy="293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36195</xdr:colOff>
      <xdr:row>4</xdr:row>
      <xdr:rowOff>3810</xdr:rowOff>
    </xdr:to>
    <xdr:pic>
      <xdr:nvPicPr>
        <xdr:cNvPr id="238" name="ID_6EEFBEDDF9AC49489A0DD0C46755A123" descr="upload_post_object_v2_626294806"/>
        <xdr:cNvPicPr/>
      </xdr:nvPicPr>
      <xdr:blipFill>
        <a:blip r:embed="rId206"/>
        <a:stretch>
          <a:fillRect/>
        </a:stretch>
      </xdr:blipFill>
      <xdr:spPr>
        <a:xfrm>
          <a:off x="0" y="0"/>
          <a:ext cx="72199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1</xdr:row>
      <xdr:rowOff>140970</xdr:rowOff>
    </xdr:to>
    <xdr:pic>
      <xdr:nvPicPr>
        <xdr:cNvPr id="239" name="ID_B68003646EC44804A45A1D1D7472BB44" descr="upload_post_object_v2_2632874386"/>
        <xdr:cNvPicPr/>
      </xdr:nvPicPr>
      <xdr:blipFill>
        <a:blip r:embed="rId207"/>
        <a:stretch>
          <a:fillRect/>
        </a:stretch>
      </xdr:blipFill>
      <xdr:spPr>
        <a:xfrm>
          <a:off x="0" y="0"/>
          <a:ext cx="817245" cy="312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255270</xdr:colOff>
      <xdr:row>1</xdr:row>
      <xdr:rowOff>140970</xdr:rowOff>
    </xdr:to>
    <xdr:pic>
      <xdr:nvPicPr>
        <xdr:cNvPr id="240" name="ID_F8811BA26541439EAE91D3F703F644A8" descr="upload_post_object_v2_212728748"/>
        <xdr:cNvPicPr/>
      </xdr:nvPicPr>
      <xdr:blipFill>
        <a:blip r:embed="rId208"/>
        <a:stretch>
          <a:fillRect/>
        </a:stretch>
      </xdr:blipFill>
      <xdr:spPr>
        <a:xfrm>
          <a:off x="0" y="0"/>
          <a:ext cx="941070" cy="312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217170</xdr:colOff>
      <xdr:row>1</xdr:row>
      <xdr:rowOff>64770</xdr:rowOff>
    </xdr:to>
    <xdr:pic>
      <xdr:nvPicPr>
        <xdr:cNvPr id="241" name="ID_C76149A26F214850BF4AED681CF5F240" descr="upload_post_object_v2_2035222492"/>
        <xdr:cNvPicPr/>
      </xdr:nvPicPr>
      <xdr:blipFill>
        <a:blip r:embed="rId209"/>
        <a:stretch>
          <a:fillRect/>
        </a:stretch>
      </xdr:blipFill>
      <xdr:spPr>
        <a:xfrm>
          <a:off x="0" y="0"/>
          <a:ext cx="902970" cy="236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4</xdr:row>
      <xdr:rowOff>1905</xdr:rowOff>
    </xdr:to>
    <xdr:pic>
      <xdr:nvPicPr>
        <xdr:cNvPr id="242" name="ID_F770A836722C49ABA871F8EA40F54E15" descr="upload_post_object_v2_2761437330"/>
        <xdr:cNvPicPr/>
      </xdr:nvPicPr>
      <xdr:blipFill>
        <a:blip r:embed="rId210"/>
        <a:stretch>
          <a:fillRect/>
        </a:stretch>
      </xdr:blipFill>
      <xdr:spPr>
        <a:xfrm>
          <a:off x="0" y="0"/>
          <a:ext cx="304800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295275</xdr:colOff>
      <xdr:row>4</xdr:row>
      <xdr:rowOff>3810</xdr:rowOff>
    </xdr:to>
    <xdr:pic>
      <xdr:nvPicPr>
        <xdr:cNvPr id="243" name="ID_4481B6A540CF48D98EF3035151C2E050" descr="upload_post_object_v2_3453277022"/>
        <xdr:cNvPicPr/>
      </xdr:nvPicPr>
      <xdr:blipFill>
        <a:blip r:embed="rId211"/>
        <a:stretch>
          <a:fillRect/>
        </a:stretch>
      </xdr:blipFill>
      <xdr:spPr>
        <a:xfrm>
          <a:off x="0" y="0"/>
          <a:ext cx="29527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1</xdr:row>
      <xdr:rowOff>64770</xdr:rowOff>
    </xdr:to>
    <xdr:pic>
      <xdr:nvPicPr>
        <xdr:cNvPr id="244" name="ID_9E8B62A77BBE408D85B25C7793FF343E" descr="upload_post_object_v2_3970073285"/>
        <xdr:cNvPicPr/>
      </xdr:nvPicPr>
      <xdr:blipFill>
        <a:blip r:embed="rId212"/>
        <a:stretch>
          <a:fillRect/>
        </a:stretch>
      </xdr:blipFill>
      <xdr:spPr>
        <a:xfrm>
          <a:off x="0" y="0"/>
          <a:ext cx="836295" cy="236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4</xdr:row>
      <xdr:rowOff>3810</xdr:rowOff>
    </xdr:to>
    <xdr:pic>
      <xdr:nvPicPr>
        <xdr:cNvPr id="245" name="ID_AE11B7FD35BB47C6959F2F078003648D" descr="upload_post_object_v2_849136988"/>
        <xdr:cNvPicPr/>
      </xdr:nvPicPr>
      <xdr:blipFill>
        <a:blip r:embed="rId213"/>
        <a:stretch>
          <a:fillRect/>
        </a:stretch>
      </xdr:blipFill>
      <xdr:spPr>
        <a:xfrm>
          <a:off x="0" y="0"/>
          <a:ext cx="79819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4</xdr:row>
      <xdr:rowOff>1905</xdr:rowOff>
    </xdr:to>
    <xdr:pic>
      <xdr:nvPicPr>
        <xdr:cNvPr id="246" name="ID_9C7610446C8B4A42A2D672D483853884" descr="upload_post_object_v2_32338070"/>
        <xdr:cNvPicPr/>
      </xdr:nvPicPr>
      <xdr:blipFill>
        <a:blip r:embed="rId214"/>
        <a:stretch>
          <a:fillRect/>
        </a:stretch>
      </xdr:blipFill>
      <xdr:spPr>
        <a:xfrm>
          <a:off x="0" y="0"/>
          <a:ext cx="48577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3810</xdr:rowOff>
    </xdr:to>
    <xdr:pic>
      <xdr:nvPicPr>
        <xdr:cNvPr id="247" name="ID_83BD7C9681BA4BA9B624FFE4703A1147" descr="upload_post_object_v2_2272284567"/>
        <xdr:cNvPicPr/>
      </xdr:nvPicPr>
      <xdr:blipFill>
        <a:blip r:embed="rId215"/>
        <a:stretch>
          <a:fillRect/>
        </a:stretch>
      </xdr:blipFill>
      <xdr:spPr>
        <a:xfrm>
          <a:off x="0" y="0"/>
          <a:ext cx="70294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371475</xdr:colOff>
      <xdr:row>4</xdr:row>
      <xdr:rowOff>11430</xdr:rowOff>
    </xdr:to>
    <xdr:pic>
      <xdr:nvPicPr>
        <xdr:cNvPr id="248" name="ID_4FD9C8CC256C41F99DE63145C21939DF" descr="upload_post_object_v2_3937650976"/>
        <xdr:cNvPicPr/>
      </xdr:nvPicPr>
      <xdr:blipFill>
        <a:blip r:embed="rId216"/>
        <a:stretch>
          <a:fillRect/>
        </a:stretch>
      </xdr:blipFill>
      <xdr:spPr>
        <a:xfrm>
          <a:off x="0" y="0"/>
          <a:ext cx="371475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409575</xdr:colOff>
      <xdr:row>4</xdr:row>
      <xdr:rowOff>11430</xdr:rowOff>
    </xdr:to>
    <xdr:pic>
      <xdr:nvPicPr>
        <xdr:cNvPr id="249" name="ID_90372B467B454A98B7808BB4A2395555" descr="upload_post_object_v2_1957923525"/>
        <xdr:cNvPicPr/>
      </xdr:nvPicPr>
      <xdr:blipFill>
        <a:blip r:embed="rId217"/>
        <a:stretch>
          <a:fillRect/>
        </a:stretch>
      </xdr:blipFill>
      <xdr:spPr>
        <a:xfrm>
          <a:off x="0" y="0"/>
          <a:ext cx="409575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207645</xdr:colOff>
      <xdr:row>3</xdr:row>
      <xdr:rowOff>3810</xdr:rowOff>
    </xdr:to>
    <xdr:pic>
      <xdr:nvPicPr>
        <xdr:cNvPr id="250" name="ID_B2D84D1DFD7E4679BC0192C28A24FCAB" descr="upload_post_object_v2_1374896694"/>
        <xdr:cNvPicPr/>
      </xdr:nvPicPr>
      <xdr:blipFill>
        <a:blip r:embed="rId218"/>
        <a:stretch>
          <a:fillRect/>
        </a:stretch>
      </xdr:blipFill>
      <xdr:spPr>
        <a:xfrm>
          <a:off x="0" y="0"/>
          <a:ext cx="893445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2</xdr:row>
      <xdr:rowOff>167640</xdr:rowOff>
    </xdr:to>
    <xdr:pic>
      <xdr:nvPicPr>
        <xdr:cNvPr id="251" name="ID_BD9863DE3D2D4C71BCD776C3E3D2E3C1" descr="upload_post_object_v2_630676933"/>
        <xdr:cNvPicPr/>
      </xdr:nvPicPr>
      <xdr:blipFill>
        <a:blip r:embed="rId219"/>
        <a:stretch>
          <a:fillRect/>
        </a:stretch>
      </xdr:blipFill>
      <xdr:spPr>
        <a:xfrm>
          <a:off x="0" y="0"/>
          <a:ext cx="750570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3</xdr:row>
      <xdr:rowOff>127635</xdr:rowOff>
    </xdr:to>
    <xdr:pic>
      <xdr:nvPicPr>
        <xdr:cNvPr id="252" name="ID_BA3A483F9C4A46BDA18A9C0E2870273F" descr="upload_post_object_v2_3230842414"/>
        <xdr:cNvPicPr/>
      </xdr:nvPicPr>
      <xdr:blipFill>
        <a:blip r:embed="rId220"/>
        <a:stretch>
          <a:fillRect/>
        </a:stretch>
      </xdr:blipFill>
      <xdr:spPr>
        <a:xfrm>
          <a:off x="0" y="0"/>
          <a:ext cx="769620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590550</xdr:colOff>
      <xdr:row>3</xdr:row>
      <xdr:rowOff>156210</xdr:rowOff>
    </xdr:to>
    <xdr:pic>
      <xdr:nvPicPr>
        <xdr:cNvPr id="253" name="ID_09B262E7357A4DD582BA63B968179449" descr="upload_post_object_v2_3977528045"/>
        <xdr:cNvPicPr/>
      </xdr:nvPicPr>
      <xdr:blipFill>
        <a:blip r:embed="rId221"/>
        <a:stretch>
          <a:fillRect/>
        </a:stretch>
      </xdr:blipFill>
      <xdr:spPr>
        <a:xfrm>
          <a:off x="0" y="0"/>
          <a:ext cx="59055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129540</xdr:rowOff>
    </xdr:to>
    <xdr:pic>
      <xdr:nvPicPr>
        <xdr:cNvPr id="254" name="ID_F670D4230CF14ECAAEDED74D9E08603D" descr="upload_post_object_v2_887984109"/>
        <xdr:cNvPicPr/>
      </xdr:nvPicPr>
      <xdr:blipFill>
        <a:blip r:embed="rId222"/>
        <a:stretch>
          <a:fillRect/>
        </a:stretch>
      </xdr:blipFill>
      <xdr:spPr>
        <a:xfrm>
          <a:off x="0" y="0"/>
          <a:ext cx="82677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274320</xdr:colOff>
      <xdr:row>1</xdr:row>
      <xdr:rowOff>140970</xdr:rowOff>
    </xdr:to>
    <xdr:pic>
      <xdr:nvPicPr>
        <xdr:cNvPr id="255" name="ID_1F14E9EBD9B94BE794B2AA41EBE49EB7" descr="upload_post_object_v2_79830492"/>
        <xdr:cNvPicPr/>
      </xdr:nvPicPr>
      <xdr:blipFill>
        <a:blip r:embed="rId223"/>
        <a:stretch>
          <a:fillRect/>
        </a:stretch>
      </xdr:blipFill>
      <xdr:spPr>
        <a:xfrm>
          <a:off x="0" y="0"/>
          <a:ext cx="960120" cy="312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3</xdr:row>
      <xdr:rowOff>137160</xdr:rowOff>
    </xdr:to>
    <xdr:pic>
      <xdr:nvPicPr>
        <xdr:cNvPr id="256" name="ID_7EDC39FE27AB48DEA3B6209B974DB096" descr="upload_post_object_v2_3131252093"/>
        <xdr:cNvPicPr/>
      </xdr:nvPicPr>
      <xdr:blipFill>
        <a:blip r:embed="rId224"/>
        <a:stretch>
          <a:fillRect/>
        </a:stretch>
      </xdr:blipFill>
      <xdr:spPr>
        <a:xfrm>
          <a:off x="0" y="0"/>
          <a:ext cx="798195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4</xdr:row>
      <xdr:rowOff>1905</xdr:rowOff>
    </xdr:to>
    <xdr:pic>
      <xdr:nvPicPr>
        <xdr:cNvPr id="257" name="ID_408B4C641FE748038F6FC99D05A568F9" descr="upload_post_object_v2_420183690"/>
        <xdr:cNvPicPr/>
      </xdr:nvPicPr>
      <xdr:blipFill>
        <a:blip r:embed="rId225"/>
        <a:stretch>
          <a:fillRect/>
        </a:stretch>
      </xdr:blipFill>
      <xdr:spPr>
        <a:xfrm>
          <a:off x="0" y="0"/>
          <a:ext cx="769620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4</xdr:row>
      <xdr:rowOff>11430</xdr:rowOff>
    </xdr:to>
    <xdr:pic>
      <xdr:nvPicPr>
        <xdr:cNvPr id="258" name="ID_1B622667A4704AF6B166F23EFCD633DB" descr="upload_post_object_v2_3474015796"/>
        <xdr:cNvPicPr/>
      </xdr:nvPicPr>
      <xdr:blipFill>
        <a:blip r:embed="rId226"/>
        <a:stretch>
          <a:fillRect/>
        </a:stretch>
      </xdr:blipFill>
      <xdr:spPr>
        <a:xfrm>
          <a:off x="0" y="0"/>
          <a:ext cx="798195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3</xdr:row>
      <xdr:rowOff>137160</xdr:rowOff>
    </xdr:to>
    <xdr:pic>
      <xdr:nvPicPr>
        <xdr:cNvPr id="259" name="ID_0897AFA82D9147D6BDBEBB8D39288EA0" descr="upload_post_object_v2_4148449145"/>
        <xdr:cNvPicPr/>
      </xdr:nvPicPr>
      <xdr:blipFill>
        <a:blip r:embed="rId224"/>
        <a:stretch>
          <a:fillRect/>
        </a:stretch>
      </xdr:blipFill>
      <xdr:spPr>
        <a:xfrm>
          <a:off x="0" y="0"/>
          <a:ext cx="798195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245745</xdr:colOff>
      <xdr:row>1</xdr:row>
      <xdr:rowOff>93345</xdr:rowOff>
    </xdr:to>
    <xdr:pic>
      <xdr:nvPicPr>
        <xdr:cNvPr id="260" name="ID_21FF13919BCD4DB39A00FDBD7D118DFB" descr="upload_post_object_v2_826971386"/>
        <xdr:cNvPicPr/>
      </xdr:nvPicPr>
      <xdr:blipFill>
        <a:blip r:embed="rId227"/>
        <a:stretch>
          <a:fillRect/>
        </a:stretch>
      </xdr:blipFill>
      <xdr:spPr>
        <a:xfrm>
          <a:off x="0" y="0"/>
          <a:ext cx="931545" cy="26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169545</xdr:colOff>
      <xdr:row>3</xdr:row>
      <xdr:rowOff>5715</xdr:rowOff>
    </xdr:to>
    <xdr:pic>
      <xdr:nvPicPr>
        <xdr:cNvPr id="261" name="ID_9374EAF93A514EB590DF458CB9244DCC" descr="upload_post_object_v2_2746814444"/>
        <xdr:cNvPicPr/>
      </xdr:nvPicPr>
      <xdr:blipFill>
        <a:blip r:embed="rId228"/>
        <a:stretch>
          <a:fillRect/>
        </a:stretch>
      </xdr:blipFill>
      <xdr:spPr>
        <a:xfrm>
          <a:off x="0" y="0"/>
          <a:ext cx="85534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2</xdr:row>
      <xdr:rowOff>62865</xdr:rowOff>
    </xdr:to>
    <xdr:pic>
      <xdr:nvPicPr>
        <xdr:cNvPr id="262" name="ID_1D69D5DAECD247EE890A5BBC963D4D80" descr="upload_post_object_v2_3882370049"/>
        <xdr:cNvPicPr/>
      </xdr:nvPicPr>
      <xdr:blipFill>
        <a:blip r:embed="rId229"/>
        <a:stretch>
          <a:fillRect/>
        </a:stretch>
      </xdr:blipFill>
      <xdr:spPr>
        <a:xfrm>
          <a:off x="0" y="0"/>
          <a:ext cx="769620" cy="405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2</xdr:row>
      <xdr:rowOff>167640</xdr:rowOff>
    </xdr:to>
    <xdr:pic>
      <xdr:nvPicPr>
        <xdr:cNvPr id="263" name="ID_430F478C12B5433BB356255BED8454B7" descr="upload_post_object_v2_3750831205"/>
        <xdr:cNvPicPr/>
      </xdr:nvPicPr>
      <xdr:blipFill>
        <a:blip r:embed="rId230"/>
        <a:stretch>
          <a:fillRect/>
        </a:stretch>
      </xdr:blipFill>
      <xdr:spPr>
        <a:xfrm>
          <a:off x="0" y="0"/>
          <a:ext cx="702945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3</xdr:row>
      <xdr:rowOff>146685</xdr:rowOff>
    </xdr:to>
    <xdr:pic>
      <xdr:nvPicPr>
        <xdr:cNvPr id="264" name="ID_0656A122917E4F67BC6264B55756F1C4" descr="upload_post_object_v2_1655958655"/>
        <xdr:cNvPicPr/>
      </xdr:nvPicPr>
      <xdr:blipFill>
        <a:blip r:embed="rId231"/>
        <a:stretch>
          <a:fillRect/>
        </a:stretch>
      </xdr:blipFill>
      <xdr:spPr>
        <a:xfrm>
          <a:off x="0" y="0"/>
          <a:ext cx="83629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340995</xdr:colOff>
      <xdr:row>2</xdr:row>
      <xdr:rowOff>139065</xdr:rowOff>
    </xdr:to>
    <xdr:pic>
      <xdr:nvPicPr>
        <xdr:cNvPr id="265" name="ID_A96B1956582C457392F51EE7F21B7D75" descr="upload_post_object_v2_2818233742"/>
        <xdr:cNvPicPr/>
      </xdr:nvPicPr>
      <xdr:blipFill>
        <a:blip r:embed="rId232"/>
        <a:stretch>
          <a:fillRect/>
        </a:stretch>
      </xdr:blipFill>
      <xdr:spPr>
        <a:xfrm>
          <a:off x="0" y="0"/>
          <a:ext cx="1026795" cy="481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3810</xdr:rowOff>
    </xdr:to>
    <xdr:pic>
      <xdr:nvPicPr>
        <xdr:cNvPr id="266" name="ID_7CDC445FBCD2420A9947E8B169BC8C90" descr="upload_post_object_v2_648084687"/>
        <xdr:cNvPicPr/>
      </xdr:nvPicPr>
      <xdr:blipFill>
        <a:blip r:embed="rId233"/>
        <a:stretch>
          <a:fillRect/>
        </a:stretch>
      </xdr:blipFill>
      <xdr:spPr>
        <a:xfrm>
          <a:off x="0" y="0"/>
          <a:ext cx="70294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466725</xdr:colOff>
      <xdr:row>3</xdr:row>
      <xdr:rowOff>89535</xdr:rowOff>
    </xdr:to>
    <xdr:pic>
      <xdr:nvPicPr>
        <xdr:cNvPr id="267" name="ID_7F00DB73563B4A719E26BA6B4EC876BA" descr="upload_post_object_v2_4066848276"/>
        <xdr:cNvPicPr/>
      </xdr:nvPicPr>
      <xdr:blipFill>
        <a:blip r:embed="rId234"/>
        <a:stretch>
          <a:fillRect/>
        </a:stretch>
      </xdr:blipFill>
      <xdr:spPr>
        <a:xfrm>
          <a:off x="0" y="0"/>
          <a:ext cx="46672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4</xdr:row>
      <xdr:rowOff>49530</xdr:rowOff>
    </xdr:to>
    <xdr:pic>
      <xdr:nvPicPr>
        <xdr:cNvPr id="268" name="ID_112040F58AF146DE99E7B72D3D879720" descr="upload_post_object_v2_29924650"/>
        <xdr:cNvPicPr/>
      </xdr:nvPicPr>
      <xdr:blipFill>
        <a:blip r:embed="rId235"/>
        <a:stretch>
          <a:fillRect/>
        </a:stretch>
      </xdr:blipFill>
      <xdr:spPr>
        <a:xfrm>
          <a:off x="0" y="0"/>
          <a:ext cx="609600" cy="735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514350</xdr:colOff>
      <xdr:row>4</xdr:row>
      <xdr:rowOff>11430</xdr:rowOff>
    </xdr:to>
    <xdr:pic>
      <xdr:nvPicPr>
        <xdr:cNvPr id="269" name="ID_AC080BD8BC0B4A60B5697C316CA1E9D5" descr="upload_post_object_v2_1854053484"/>
        <xdr:cNvPicPr/>
      </xdr:nvPicPr>
      <xdr:blipFill>
        <a:blip r:embed="rId236"/>
        <a:stretch>
          <a:fillRect/>
        </a:stretch>
      </xdr:blipFill>
      <xdr:spPr>
        <a:xfrm>
          <a:off x="0" y="0"/>
          <a:ext cx="51435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3</xdr:row>
      <xdr:rowOff>41910</xdr:rowOff>
    </xdr:to>
    <xdr:pic>
      <xdr:nvPicPr>
        <xdr:cNvPr id="270" name="ID_3A8E85EEAA334F658A94D1E8288749E9" descr="upload_post_object_v2_2090229555"/>
        <xdr:cNvPicPr/>
      </xdr:nvPicPr>
      <xdr:blipFill>
        <a:blip r:embed="rId237"/>
        <a:stretch>
          <a:fillRect/>
        </a:stretch>
      </xdr:blipFill>
      <xdr:spPr>
        <a:xfrm>
          <a:off x="0" y="0"/>
          <a:ext cx="428625" cy="55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4</xdr:row>
      <xdr:rowOff>20955</xdr:rowOff>
    </xdr:to>
    <xdr:pic>
      <xdr:nvPicPr>
        <xdr:cNvPr id="271" name="ID_EB07BDEBE86644309EEA962DA1AEB593" descr="upload_post_object_v2_1338638295"/>
        <xdr:cNvPicPr/>
      </xdr:nvPicPr>
      <xdr:blipFill>
        <a:blip r:embed="rId238"/>
        <a:stretch>
          <a:fillRect/>
        </a:stretch>
      </xdr:blipFill>
      <xdr:spPr>
        <a:xfrm>
          <a:off x="0" y="0"/>
          <a:ext cx="826770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2</xdr:row>
      <xdr:rowOff>167640</xdr:rowOff>
    </xdr:to>
    <xdr:pic>
      <xdr:nvPicPr>
        <xdr:cNvPr id="272" name="ID_754D05F785B942619DB7BC2783F1FABD" descr="upload_post_object_v2_364999559"/>
        <xdr:cNvPicPr/>
      </xdr:nvPicPr>
      <xdr:blipFill>
        <a:blip r:embed="rId239"/>
        <a:stretch>
          <a:fillRect/>
        </a:stretch>
      </xdr:blipFill>
      <xdr:spPr>
        <a:xfrm>
          <a:off x="0" y="0"/>
          <a:ext cx="807720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53340</xdr:rowOff>
    </xdr:to>
    <xdr:pic>
      <xdr:nvPicPr>
        <xdr:cNvPr id="273" name="ID_DEC34F6DC6994FAFB4EC9EFAD80B9020" descr="upload_post_object_v2_566806639"/>
        <xdr:cNvPicPr/>
      </xdr:nvPicPr>
      <xdr:blipFill>
        <a:blip r:embed="rId240"/>
        <a:stretch>
          <a:fillRect/>
        </a:stretch>
      </xdr:blipFill>
      <xdr:spPr>
        <a:xfrm>
          <a:off x="0" y="0"/>
          <a:ext cx="826770" cy="396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4</xdr:row>
      <xdr:rowOff>11430</xdr:rowOff>
    </xdr:to>
    <xdr:pic>
      <xdr:nvPicPr>
        <xdr:cNvPr id="274" name="ID_B076B8E1EF9A41188AF728A31A13494C" descr="upload_post_object_v2_1370051585"/>
        <xdr:cNvPicPr/>
      </xdr:nvPicPr>
      <xdr:blipFill>
        <a:blip r:embed="rId241"/>
        <a:stretch>
          <a:fillRect/>
        </a:stretch>
      </xdr:blipFill>
      <xdr:spPr>
        <a:xfrm>
          <a:off x="0" y="0"/>
          <a:ext cx="60960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3</xdr:row>
      <xdr:rowOff>22860</xdr:rowOff>
    </xdr:to>
    <xdr:pic>
      <xdr:nvPicPr>
        <xdr:cNvPr id="275" name="ID_691303BE269B47B4A512F25516DAD0BC" descr="upload_post_object_v2_3262165475"/>
        <xdr:cNvPicPr/>
      </xdr:nvPicPr>
      <xdr:blipFill>
        <a:blip r:embed="rId242"/>
        <a:stretch>
          <a:fillRect/>
        </a:stretch>
      </xdr:blipFill>
      <xdr:spPr>
        <a:xfrm>
          <a:off x="0" y="0"/>
          <a:ext cx="807720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2</xdr:row>
      <xdr:rowOff>62865</xdr:rowOff>
    </xdr:to>
    <xdr:pic>
      <xdr:nvPicPr>
        <xdr:cNvPr id="276" name="ID_49554AE84AB74EA484B7BF291FF0223C" descr="upload_post_object_v2_2807090256"/>
        <xdr:cNvPicPr/>
      </xdr:nvPicPr>
      <xdr:blipFill>
        <a:blip r:embed="rId243"/>
        <a:stretch>
          <a:fillRect/>
        </a:stretch>
      </xdr:blipFill>
      <xdr:spPr>
        <a:xfrm>
          <a:off x="0" y="0"/>
          <a:ext cx="817245" cy="405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2</xdr:row>
      <xdr:rowOff>158115</xdr:rowOff>
    </xdr:to>
    <xdr:pic>
      <xdr:nvPicPr>
        <xdr:cNvPr id="277" name="ID_277CCBA4C30D4E1CA0AFDD0DFDE2346F" descr="upload_post_object_v2_1209978776"/>
        <xdr:cNvPicPr/>
      </xdr:nvPicPr>
      <xdr:blipFill>
        <a:blip r:embed="rId244"/>
        <a:stretch>
          <a:fillRect/>
        </a:stretch>
      </xdr:blipFill>
      <xdr:spPr>
        <a:xfrm>
          <a:off x="0" y="0"/>
          <a:ext cx="788670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2</xdr:row>
      <xdr:rowOff>43815</xdr:rowOff>
    </xdr:to>
    <xdr:pic>
      <xdr:nvPicPr>
        <xdr:cNvPr id="278" name="ID_7D611D8C65DC48B199FCEA1120765BAB" descr="upload_post_object_v2_1042355335"/>
        <xdr:cNvPicPr/>
      </xdr:nvPicPr>
      <xdr:blipFill>
        <a:blip r:embed="rId245"/>
        <a:stretch>
          <a:fillRect/>
        </a:stretch>
      </xdr:blipFill>
      <xdr:spPr>
        <a:xfrm>
          <a:off x="0" y="0"/>
          <a:ext cx="836295" cy="386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2</xdr:row>
      <xdr:rowOff>148590</xdr:rowOff>
    </xdr:to>
    <xdr:pic>
      <xdr:nvPicPr>
        <xdr:cNvPr id="279" name="ID_7E80D7869DD94E39A7D700068F15DCE5" descr="upload_post_object_v2_403329985"/>
        <xdr:cNvPicPr/>
      </xdr:nvPicPr>
      <xdr:blipFill>
        <a:blip r:embed="rId246"/>
        <a:stretch>
          <a:fillRect/>
        </a:stretch>
      </xdr:blipFill>
      <xdr:spPr>
        <a:xfrm>
          <a:off x="0" y="0"/>
          <a:ext cx="495300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146685</xdr:rowOff>
    </xdr:to>
    <xdr:pic>
      <xdr:nvPicPr>
        <xdr:cNvPr id="280" name="ID_E751C5B926004BF19FD851B4BBAD61B3" descr="upload_post_object_v2_2660591591"/>
        <xdr:cNvPicPr/>
      </xdr:nvPicPr>
      <xdr:blipFill>
        <a:blip r:embed="rId247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108585</xdr:rowOff>
    </xdr:to>
    <xdr:pic>
      <xdr:nvPicPr>
        <xdr:cNvPr id="281" name="ID_46352DB03A504FFB8927622EBAB39C55" descr="upload_post_object_v2_1394003707"/>
        <xdr:cNvPicPr/>
      </xdr:nvPicPr>
      <xdr:blipFill>
        <a:blip r:embed="rId248"/>
        <a:stretch>
          <a:fillRect/>
        </a:stretch>
      </xdr:blipFill>
      <xdr:spPr>
        <a:xfrm>
          <a:off x="0" y="0"/>
          <a:ext cx="70294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407670</xdr:colOff>
      <xdr:row>0</xdr:row>
      <xdr:rowOff>114300</xdr:rowOff>
    </xdr:to>
    <xdr:pic>
      <xdr:nvPicPr>
        <xdr:cNvPr id="282" name="ID_6406DE6E673B445DA9E8522EFCE74BB1" descr="upload_post_object_v2_543506337"/>
        <xdr:cNvPicPr/>
      </xdr:nvPicPr>
      <xdr:blipFill>
        <a:blip r:embed="rId249"/>
        <a:stretch>
          <a:fillRect/>
        </a:stretch>
      </xdr:blipFill>
      <xdr:spPr>
        <a:xfrm>
          <a:off x="0" y="0"/>
          <a:ext cx="1093470" cy="114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1</xdr:row>
      <xdr:rowOff>55245</xdr:rowOff>
    </xdr:to>
    <xdr:pic>
      <xdr:nvPicPr>
        <xdr:cNvPr id="283" name="ID_31F24C7CA14E4B5EA32B1C33C77A7EF4" descr="upload_post_object_v2_3933175024"/>
        <xdr:cNvPicPr/>
      </xdr:nvPicPr>
      <xdr:blipFill>
        <a:blip r:embed="rId250"/>
        <a:stretch>
          <a:fillRect/>
        </a:stretch>
      </xdr:blipFill>
      <xdr:spPr>
        <a:xfrm>
          <a:off x="0" y="0"/>
          <a:ext cx="807720" cy="22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3</xdr:row>
      <xdr:rowOff>118110</xdr:rowOff>
    </xdr:to>
    <xdr:pic>
      <xdr:nvPicPr>
        <xdr:cNvPr id="284" name="ID_05995CA3C830465F9BE8FAC35A7FEE46" descr="upload_post_object_v2_156511293"/>
        <xdr:cNvPicPr/>
      </xdr:nvPicPr>
      <xdr:blipFill>
        <a:blip r:embed="rId251"/>
        <a:stretch>
          <a:fillRect/>
        </a:stretch>
      </xdr:blipFill>
      <xdr:spPr>
        <a:xfrm>
          <a:off x="0" y="0"/>
          <a:ext cx="83629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</xdr:colOff>
      <xdr:row>2</xdr:row>
      <xdr:rowOff>158115</xdr:rowOff>
    </xdr:to>
    <xdr:pic>
      <xdr:nvPicPr>
        <xdr:cNvPr id="285" name="ID_A0579A98DD214AAF8E89F4FD250AB6C0" descr="upload_post_object_v2_2919470635"/>
        <xdr:cNvPicPr/>
      </xdr:nvPicPr>
      <xdr:blipFill>
        <a:blip r:embed="rId252"/>
        <a:stretch>
          <a:fillRect/>
        </a:stretch>
      </xdr:blipFill>
      <xdr:spPr>
        <a:xfrm>
          <a:off x="0" y="0"/>
          <a:ext cx="77914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2</xdr:row>
      <xdr:rowOff>24765</xdr:rowOff>
    </xdr:to>
    <xdr:pic>
      <xdr:nvPicPr>
        <xdr:cNvPr id="286" name="ID_CA64C3E19D2040219273FAC7D3E60242" descr="upload_post_object_v2_4113887290"/>
        <xdr:cNvPicPr/>
      </xdr:nvPicPr>
      <xdr:blipFill>
        <a:blip r:embed="rId253"/>
        <a:stretch>
          <a:fillRect/>
        </a:stretch>
      </xdr:blipFill>
      <xdr:spPr>
        <a:xfrm>
          <a:off x="0" y="0"/>
          <a:ext cx="807720" cy="367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2</xdr:row>
      <xdr:rowOff>24765</xdr:rowOff>
    </xdr:to>
    <xdr:pic>
      <xdr:nvPicPr>
        <xdr:cNvPr id="287" name="ID_B8F51494AC3342E9BA0994EC8BF22EC6" descr="upload_post_object_v2_4261288842"/>
        <xdr:cNvPicPr/>
      </xdr:nvPicPr>
      <xdr:blipFill>
        <a:blip r:embed="rId254"/>
        <a:stretch>
          <a:fillRect/>
        </a:stretch>
      </xdr:blipFill>
      <xdr:spPr>
        <a:xfrm>
          <a:off x="0" y="0"/>
          <a:ext cx="798195" cy="367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2</xdr:row>
      <xdr:rowOff>34290</xdr:rowOff>
    </xdr:to>
    <xdr:pic>
      <xdr:nvPicPr>
        <xdr:cNvPr id="288" name="ID_BB4B489B9EC44DF5BF51EC9B2F438388" descr="upload_post_object_v2_3049532512"/>
        <xdr:cNvPicPr/>
      </xdr:nvPicPr>
      <xdr:blipFill>
        <a:blip r:embed="rId255"/>
        <a:stretch>
          <a:fillRect/>
        </a:stretch>
      </xdr:blipFill>
      <xdr:spPr>
        <a:xfrm>
          <a:off x="0" y="0"/>
          <a:ext cx="769620" cy="377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2</xdr:row>
      <xdr:rowOff>81915</xdr:rowOff>
    </xdr:to>
    <xdr:pic>
      <xdr:nvPicPr>
        <xdr:cNvPr id="289" name="ID_FED0E4C9384A43B6A8D6EF92392CAA6E" descr="upload_post_object_v2_244384246"/>
        <xdr:cNvPicPr/>
      </xdr:nvPicPr>
      <xdr:blipFill>
        <a:blip r:embed="rId256"/>
        <a:stretch>
          <a:fillRect/>
        </a:stretch>
      </xdr:blipFill>
      <xdr:spPr>
        <a:xfrm>
          <a:off x="0" y="0"/>
          <a:ext cx="788670" cy="424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89535</xdr:rowOff>
    </xdr:to>
    <xdr:pic>
      <xdr:nvPicPr>
        <xdr:cNvPr id="290" name="ID_8A2D5019C4CD4BC99B962B115A169C3B" descr="upload_post_object_v2_393979009"/>
        <xdr:cNvPicPr/>
      </xdr:nvPicPr>
      <xdr:blipFill>
        <a:blip r:embed="rId257"/>
        <a:stretch>
          <a:fillRect/>
        </a:stretch>
      </xdr:blipFill>
      <xdr:spPr>
        <a:xfrm>
          <a:off x="0" y="0"/>
          <a:ext cx="70294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146685</xdr:rowOff>
    </xdr:to>
    <xdr:pic>
      <xdr:nvPicPr>
        <xdr:cNvPr id="291" name="ID_1E491DFF95C04C09954E94D963BC9AE0" descr="upload_post_object_v2_989734948"/>
        <xdr:cNvPicPr/>
      </xdr:nvPicPr>
      <xdr:blipFill>
        <a:blip r:embed="rId258"/>
        <a:stretch>
          <a:fillRect/>
        </a:stretch>
      </xdr:blipFill>
      <xdr:spPr>
        <a:xfrm>
          <a:off x="0" y="0"/>
          <a:ext cx="70294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293370</xdr:colOff>
      <xdr:row>0</xdr:row>
      <xdr:rowOff>76200</xdr:rowOff>
    </xdr:to>
    <xdr:pic>
      <xdr:nvPicPr>
        <xdr:cNvPr id="292" name="ID_29FB53193907440B84FE7B66EC6E9E62" descr="upload_post_object_v2_1618587510"/>
        <xdr:cNvPicPr/>
      </xdr:nvPicPr>
      <xdr:blipFill>
        <a:blip r:embed="rId259"/>
        <a:stretch>
          <a:fillRect/>
        </a:stretch>
      </xdr:blipFill>
      <xdr:spPr>
        <a:xfrm>
          <a:off x="0" y="0"/>
          <a:ext cx="979170" cy="76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2</xdr:row>
      <xdr:rowOff>43815</xdr:rowOff>
    </xdr:to>
    <xdr:pic>
      <xdr:nvPicPr>
        <xdr:cNvPr id="293" name="ID_16296F775F354229B4F2DF2D9E482742" descr="upload_post_object_v2_1265085370"/>
        <xdr:cNvPicPr/>
      </xdr:nvPicPr>
      <xdr:blipFill>
        <a:blip r:embed="rId260"/>
        <a:stretch>
          <a:fillRect/>
        </a:stretch>
      </xdr:blipFill>
      <xdr:spPr>
        <a:xfrm>
          <a:off x="0" y="0"/>
          <a:ext cx="826770" cy="386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</xdr:colOff>
      <xdr:row>2</xdr:row>
      <xdr:rowOff>53340</xdr:rowOff>
    </xdr:to>
    <xdr:pic>
      <xdr:nvPicPr>
        <xdr:cNvPr id="294" name="ID_4D240B7D5CFA4178888AE7EED4992E1E" descr="upload_post_object_v2_3168342635"/>
        <xdr:cNvPicPr/>
      </xdr:nvPicPr>
      <xdr:blipFill>
        <a:blip r:embed="rId261"/>
        <a:stretch>
          <a:fillRect/>
        </a:stretch>
      </xdr:blipFill>
      <xdr:spPr>
        <a:xfrm>
          <a:off x="0" y="0"/>
          <a:ext cx="845820" cy="396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3</xdr:row>
      <xdr:rowOff>99060</xdr:rowOff>
    </xdr:to>
    <xdr:pic>
      <xdr:nvPicPr>
        <xdr:cNvPr id="295" name="ID_97CDDB4F8D8A4BA5AE7AED84DAF47ED4" descr="upload_post_object_v2_3767405246"/>
        <xdr:cNvPicPr/>
      </xdr:nvPicPr>
      <xdr:blipFill>
        <a:blip r:embed="rId262"/>
        <a:stretch>
          <a:fillRect/>
        </a:stretch>
      </xdr:blipFill>
      <xdr:spPr>
        <a:xfrm>
          <a:off x="0" y="0"/>
          <a:ext cx="82677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80010</xdr:rowOff>
    </xdr:to>
    <xdr:pic>
      <xdr:nvPicPr>
        <xdr:cNvPr id="296" name="ID_7F49425236704AF69E796A5116FA94EF" descr="upload_post_object_v2_595359019"/>
        <xdr:cNvPicPr/>
      </xdr:nvPicPr>
      <xdr:blipFill>
        <a:blip r:embed="rId263"/>
        <a:stretch>
          <a:fillRect/>
        </a:stretch>
      </xdr:blipFill>
      <xdr:spPr>
        <a:xfrm>
          <a:off x="0" y="0"/>
          <a:ext cx="760095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2</xdr:row>
      <xdr:rowOff>100965</xdr:rowOff>
    </xdr:to>
    <xdr:pic>
      <xdr:nvPicPr>
        <xdr:cNvPr id="297" name="ID_B965ADA2AF3443CA879DD6AAE6D2662F" descr="upload_post_object_v2_1029824984"/>
        <xdr:cNvPicPr/>
      </xdr:nvPicPr>
      <xdr:blipFill>
        <a:blip r:embed="rId264"/>
        <a:stretch>
          <a:fillRect/>
        </a:stretch>
      </xdr:blipFill>
      <xdr:spPr>
        <a:xfrm>
          <a:off x="0" y="0"/>
          <a:ext cx="798195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3</xdr:row>
      <xdr:rowOff>51435</xdr:rowOff>
    </xdr:to>
    <xdr:pic>
      <xdr:nvPicPr>
        <xdr:cNvPr id="298" name="ID_FB81457FEE534A2B8D52B37389E2A363" descr="upload_post_object_v2_4044103050"/>
        <xdr:cNvPicPr/>
      </xdr:nvPicPr>
      <xdr:blipFill>
        <a:blip r:embed="rId265"/>
        <a:stretch>
          <a:fillRect/>
        </a:stretch>
      </xdr:blipFill>
      <xdr:spPr>
        <a:xfrm>
          <a:off x="0" y="0"/>
          <a:ext cx="533400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140970</xdr:colOff>
      <xdr:row>1</xdr:row>
      <xdr:rowOff>93345</xdr:rowOff>
    </xdr:to>
    <xdr:pic>
      <xdr:nvPicPr>
        <xdr:cNvPr id="299" name="ID_D61BC2E2F4BB4E07A09606E16320A744" descr="upload_post_object_v2_123932938"/>
        <xdr:cNvPicPr/>
      </xdr:nvPicPr>
      <xdr:blipFill>
        <a:blip r:embed="rId266"/>
        <a:stretch>
          <a:fillRect/>
        </a:stretch>
      </xdr:blipFill>
      <xdr:spPr>
        <a:xfrm>
          <a:off x="0" y="0"/>
          <a:ext cx="826770" cy="26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264795</xdr:colOff>
      <xdr:row>3</xdr:row>
      <xdr:rowOff>22860</xdr:rowOff>
    </xdr:to>
    <xdr:pic>
      <xdr:nvPicPr>
        <xdr:cNvPr id="300" name="ID_12AE2E8953564C01B10F4748BA5B74D7" descr="upload_post_object_v2_2634593603"/>
        <xdr:cNvPicPr/>
      </xdr:nvPicPr>
      <xdr:blipFill>
        <a:blip r:embed="rId267"/>
        <a:stretch>
          <a:fillRect/>
        </a:stretch>
      </xdr:blipFill>
      <xdr:spPr>
        <a:xfrm>
          <a:off x="0" y="0"/>
          <a:ext cx="950595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398145</xdr:colOff>
      <xdr:row>3</xdr:row>
      <xdr:rowOff>146685</xdr:rowOff>
    </xdr:to>
    <xdr:pic>
      <xdr:nvPicPr>
        <xdr:cNvPr id="301" name="ID_73EAF7D3426D48A6AC9F8CF74B95AF67" descr="upload_post_object_v2_1189044708"/>
        <xdr:cNvPicPr/>
      </xdr:nvPicPr>
      <xdr:blipFill>
        <a:blip r:embed="rId268"/>
        <a:stretch>
          <a:fillRect/>
        </a:stretch>
      </xdr:blipFill>
      <xdr:spPr>
        <a:xfrm>
          <a:off x="0" y="0"/>
          <a:ext cx="1083945" cy="661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598170</xdr:colOff>
      <xdr:row>3</xdr:row>
      <xdr:rowOff>165735</xdr:rowOff>
    </xdr:to>
    <xdr:pic>
      <xdr:nvPicPr>
        <xdr:cNvPr id="302" name="ID_41B6F633498E4CCD81DF1B9A6AACE4EE" descr="upload_post_object_v2_1934438332"/>
        <xdr:cNvPicPr/>
      </xdr:nvPicPr>
      <xdr:blipFill>
        <a:blip r:embed="rId269"/>
        <a:stretch>
          <a:fillRect/>
        </a:stretch>
      </xdr:blipFill>
      <xdr:spPr>
        <a:xfrm>
          <a:off x="0" y="0"/>
          <a:ext cx="1283970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502920</xdr:colOff>
      <xdr:row>3</xdr:row>
      <xdr:rowOff>99060</xdr:rowOff>
    </xdr:to>
    <xdr:pic>
      <xdr:nvPicPr>
        <xdr:cNvPr id="303" name="ID_39622B8926E74BDF8BA75D460161CF2E" descr="upload_post_object_v2_642479396"/>
        <xdr:cNvPicPr/>
      </xdr:nvPicPr>
      <xdr:blipFill>
        <a:blip r:embed="rId270"/>
        <a:stretch>
          <a:fillRect/>
        </a:stretch>
      </xdr:blipFill>
      <xdr:spPr>
        <a:xfrm>
          <a:off x="0" y="0"/>
          <a:ext cx="118872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579120</xdr:colOff>
      <xdr:row>4</xdr:row>
      <xdr:rowOff>40005</xdr:rowOff>
    </xdr:to>
    <xdr:pic>
      <xdr:nvPicPr>
        <xdr:cNvPr id="304" name="ID_6F2EB2D12B604AF58CABABEEF842C9B5" descr="upload_post_object_v2_3730001982"/>
        <xdr:cNvPicPr/>
      </xdr:nvPicPr>
      <xdr:blipFill>
        <a:blip r:embed="rId271"/>
        <a:stretch>
          <a:fillRect/>
        </a:stretch>
      </xdr:blipFill>
      <xdr:spPr>
        <a:xfrm>
          <a:off x="0" y="0"/>
          <a:ext cx="1264920" cy="725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398145</xdr:colOff>
      <xdr:row>4</xdr:row>
      <xdr:rowOff>68580</xdr:rowOff>
    </xdr:to>
    <xdr:pic>
      <xdr:nvPicPr>
        <xdr:cNvPr id="305" name="ID_1AEF3A8A44C441F1B4D00DD9C43B055D" descr="upload_post_object_v2_1993775410"/>
        <xdr:cNvPicPr/>
      </xdr:nvPicPr>
      <xdr:blipFill>
        <a:blip r:embed="rId272"/>
        <a:stretch>
          <a:fillRect/>
        </a:stretch>
      </xdr:blipFill>
      <xdr:spPr>
        <a:xfrm>
          <a:off x="0" y="0"/>
          <a:ext cx="1083945" cy="754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379095</xdr:colOff>
      <xdr:row>3</xdr:row>
      <xdr:rowOff>165735</xdr:rowOff>
    </xdr:to>
    <xdr:pic>
      <xdr:nvPicPr>
        <xdr:cNvPr id="306" name="ID_C7945A2A4377449EB673ACB6F3DB16B3" descr="upload_post_object_v2_2536555640"/>
        <xdr:cNvPicPr/>
      </xdr:nvPicPr>
      <xdr:blipFill>
        <a:blip r:embed="rId273"/>
        <a:stretch>
          <a:fillRect/>
        </a:stretch>
      </xdr:blipFill>
      <xdr:spPr>
        <a:xfrm>
          <a:off x="0" y="0"/>
          <a:ext cx="1064895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379095</xdr:colOff>
      <xdr:row>4</xdr:row>
      <xdr:rowOff>3810</xdr:rowOff>
    </xdr:to>
    <xdr:pic>
      <xdr:nvPicPr>
        <xdr:cNvPr id="307" name="ID_254F5B1AA8CA4DF6B977E08A0EA18FD8" descr="upload_post_object_v2_350739318"/>
        <xdr:cNvPicPr/>
      </xdr:nvPicPr>
      <xdr:blipFill>
        <a:blip r:embed="rId274"/>
        <a:stretch>
          <a:fillRect/>
        </a:stretch>
      </xdr:blipFill>
      <xdr:spPr>
        <a:xfrm>
          <a:off x="0" y="0"/>
          <a:ext cx="106489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274320</xdr:colOff>
      <xdr:row>3</xdr:row>
      <xdr:rowOff>13335</xdr:rowOff>
    </xdr:to>
    <xdr:pic>
      <xdr:nvPicPr>
        <xdr:cNvPr id="308" name="ID_665C356F5ED44CDFBE6A5FCC2383E4E9" descr="upload_post_object_v2_3964144329"/>
        <xdr:cNvPicPr/>
      </xdr:nvPicPr>
      <xdr:blipFill>
        <a:blip r:embed="rId275"/>
        <a:stretch>
          <a:fillRect/>
        </a:stretch>
      </xdr:blipFill>
      <xdr:spPr>
        <a:xfrm>
          <a:off x="0" y="0"/>
          <a:ext cx="960120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3</xdr:row>
      <xdr:rowOff>70485</xdr:rowOff>
    </xdr:to>
    <xdr:pic>
      <xdr:nvPicPr>
        <xdr:cNvPr id="309" name="ID_97124AA2F84D451D96C2F1B4A3D4D5F1" descr="upload_post_object_v2_1430096366"/>
        <xdr:cNvPicPr/>
      </xdr:nvPicPr>
      <xdr:blipFill>
        <a:blip r:embed="rId276"/>
        <a:stretch>
          <a:fillRect/>
        </a:stretch>
      </xdr:blipFill>
      <xdr:spPr>
        <a:xfrm>
          <a:off x="0" y="0"/>
          <a:ext cx="428625" cy="584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</xdr:colOff>
      <xdr:row>1</xdr:row>
      <xdr:rowOff>131445</xdr:rowOff>
    </xdr:to>
    <xdr:pic>
      <xdr:nvPicPr>
        <xdr:cNvPr id="310" name="ID_CB80DD7429DA491CBE7CAECA197C6002" descr="upload_post_object_v2_1453401067"/>
        <xdr:cNvPicPr/>
      </xdr:nvPicPr>
      <xdr:blipFill>
        <a:blip r:embed="rId277"/>
        <a:stretch>
          <a:fillRect/>
        </a:stretch>
      </xdr:blipFill>
      <xdr:spPr>
        <a:xfrm>
          <a:off x="0" y="0"/>
          <a:ext cx="1405890" cy="302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2</xdr:row>
      <xdr:rowOff>158115</xdr:rowOff>
    </xdr:to>
    <xdr:pic>
      <xdr:nvPicPr>
        <xdr:cNvPr id="311" name="ID_428635232A904FB38E2EA52851AC7110" descr="upload_post_object_v2_776130463"/>
        <xdr:cNvPicPr/>
      </xdr:nvPicPr>
      <xdr:blipFill>
        <a:blip r:embed="rId278"/>
        <a:stretch>
          <a:fillRect/>
        </a:stretch>
      </xdr:blipFill>
      <xdr:spPr>
        <a:xfrm>
          <a:off x="0" y="0"/>
          <a:ext cx="70294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226695</xdr:colOff>
      <xdr:row>3</xdr:row>
      <xdr:rowOff>13335</xdr:rowOff>
    </xdr:to>
    <xdr:pic>
      <xdr:nvPicPr>
        <xdr:cNvPr id="312" name="ID_059A6B40DBAB4F6293070DC421A67E0B" descr="upload_post_object_v2_1333475640"/>
        <xdr:cNvPicPr/>
      </xdr:nvPicPr>
      <xdr:blipFill>
        <a:blip r:embed="rId279"/>
        <a:stretch>
          <a:fillRect/>
        </a:stretch>
      </xdr:blipFill>
      <xdr:spPr>
        <a:xfrm>
          <a:off x="0" y="0"/>
          <a:ext cx="912495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72390</xdr:colOff>
      <xdr:row>4</xdr:row>
      <xdr:rowOff>59055</xdr:rowOff>
    </xdr:to>
    <xdr:pic>
      <xdr:nvPicPr>
        <xdr:cNvPr id="313" name="ID_C10256DB28B349C5BE639F1231BDEF03" descr="upload_post_object_v2_350531258"/>
        <xdr:cNvPicPr/>
      </xdr:nvPicPr>
      <xdr:blipFill>
        <a:blip r:embed="rId280"/>
        <a:stretch>
          <a:fillRect/>
        </a:stretch>
      </xdr:blipFill>
      <xdr:spPr>
        <a:xfrm>
          <a:off x="0" y="0"/>
          <a:ext cx="1443990" cy="744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464820</xdr:colOff>
      <xdr:row>3</xdr:row>
      <xdr:rowOff>22860</xdr:rowOff>
    </xdr:to>
    <xdr:pic>
      <xdr:nvPicPr>
        <xdr:cNvPr id="314" name="ID_125FD58F19574227977CD614A6902643" descr="upload_post_object_v2_2612227781"/>
        <xdr:cNvPicPr/>
      </xdr:nvPicPr>
      <xdr:blipFill>
        <a:blip r:embed="rId281"/>
        <a:stretch>
          <a:fillRect/>
        </a:stretch>
      </xdr:blipFill>
      <xdr:spPr>
        <a:xfrm>
          <a:off x="0" y="0"/>
          <a:ext cx="1150620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</xdr:colOff>
      <xdr:row>3</xdr:row>
      <xdr:rowOff>13335</xdr:rowOff>
    </xdr:to>
    <xdr:pic>
      <xdr:nvPicPr>
        <xdr:cNvPr id="315" name="ID_502054C58B8E48C48D12362267E9CF12" descr="upload_post_object_v2_1724340342"/>
        <xdr:cNvPicPr/>
      </xdr:nvPicPr>
      <xdr:blipFill>
        <a:blip r:embed="rId282"/>
        <a:stretch>
          <a:fillRect/>
        </a:stretch>
      </xdr:blipFill>
      <xdr:spPr>
        <a:xfrm>
          <a:off x="0" y="0"/>
          <a:ext cx="1405890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502920</xdr:colOff>
      <xdr:row>3</xdr:row>
      <xdr:rowOff>80010</xdr:rowOff>
    </xdr:to>
    <xdr:pic>
      <xdr:nvPicPr>
        <xdr:cNvPr id="316" name="ID_25FE95B2CA52436585EBEF36B17D34A1" descr="upload_post_object_v2_539356672"/>
        <xdr:cNvPicPr/>
      </xdr:nvPicPr>
      <xdr:blipFill>
        <a:blip r:embed="rId283"/>
        <a:stretch>
          <a:fillRect/>
        </a:stretch>
      </xdr:blipFill>
      <xdr:spPr>
        <a:xfrm>
          <a:off x="0" y="0"/>
          <a:ext cx="1188720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283845</xdr:colOff>
      <xdr:row>3</xdr:row>
      <xdr:rowOff>60960</xdr:rowOff>
    </xdr:to>
    <xdr:pic>
      <xdr:nvPicPr>
        <xdr:cNvPr id="317" name="ID_06528268881F4ECDA2D9DE7C7367A2F3" descr="upload_post_object_v2_3738655113"/>
        <xdr:cNvPicPr/>
      </xdr:nvPicPr>
      <xdr:blipFill>
        <a:blip r:embed="rId284"/>
        <a:stretch>
          <a:fillRect/>
        </a:stretch>
      </xdr:blipFill>
      <xdr:spPr>
        <a:xfrm>
          <a:off x="0" y="0"/>
          <a:ext cx="969645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3</xdr:row>
      <xdr:rowOff>156210</xdr:rowOff>
    </xdr:to>
    <xdr:pic>
      <xdr:nvPicPr>
        <xdr:cNvPr id="318" name="ID_0F53F04B3CA64BCD90F73776F2E56E39" descr="upload_post_object_v2_1814019362"/>
        <xdr:cNvPicPr/>
      </xdr:nvPicPr>
      <xdr:blipFill>
        <a:blip r:embed="rId285"/>
        <a:stretch>
          <a:fillRect/>
        </a:stretch>
      </xdr:blipFill>
      <xdr:spPr>
        <a:xfrm>
          <a:off x="0" y="0"/>
          <a:ext cx="1045845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3</xdr:row>
      <xdr:rowOff>118110</xdr:rowOff>
    </xdr:to>
    <xdr:pic>
      <xdr:nvPicPr>
        <xdr:cNvPr id="319" name="ID_9EC1BAF6EF444841A45253ACE006C64D" descr="upload_post_object_v2_735770575"/>
        <xdr:cNvPicPr/>
      </xdr:nvPicPr>
      <xdr:blipFill>
        <a:blip r:embed="rId286"/>
        <a:stretch>
          <a:fillRect/>
        </a:stretch>
      </xdr:blipFill>
      <xdr:spPr>
        <a:xfrm>
          <a:off x="0" y="0"/>
          <a:ext cx="104584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369570</xdr:colOff>
      <xdr:row>3</xdr:row>
      <xdr:rowOff>99060</xdr:rowOff>
    </xdr:to>
    <xdr:pic>
      <xdr:nvPicPr>
        <xdr:cNvPr id="320" name="ID_C68118BF10AE4755AF8BEDD160F513C0" descr="upload_post_object_v2_3438729159"/>
        <xdr:cNvPicPr/>
      </xdr:nvPicPr>
      <xdr:blipFill>
        <a:blip r:embed="rId287"/>
        <a:stretch>
          <a:fillRect/>
        </a:stretch>
      </xdr:blipFill>
      <xdr:spPr>
        <a:xfrm>
          <a:off x="0" y="0"/>
          <a:ext cx="105537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455295</xdr:colOff>
      <xdr:row>4</xdr:row>
      <xdr:rowOff>1905</xdr:rowOff>
    </xdr:to>
    <xdr:pic>
      <xdr:nvPicPr>
        <xdr:cNvPr id="321" name="ID_948C667FD15D499CB7C7106FC503E217" descr="upload_post_object_v2_3900213247"/>
        <xdr:cNvPicPr/>
      </xdr:nvPicPr>
      <xdr:blipFill>
        <a:blip r:embed="rId288"/>
        <a:stretch>
          <a:fillRect/>
        </a:stretch>
      </xdr:blipFill>
      <xdr:spPr>
        <a:xfrm>
          <a:off x="0" y="0"/>
          <a:ext cx="114109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4</xdr:row>
      <xdr:rowOff>3810</xdr:rowOff>
    </xdr:to>
    <xdr:pic>
      <xdr:nvPicPr>
        <xdr:cNvPr id="322" name="ID_2B5EE47505314246BEC80A4C0F865F87" descr="upload_post_object_v2_20322737"/>
        <xdr:cNvPicPr/>
      </xdr:nvPicPr>
      <xdr:blipFill>
        <a:blip r:embed="rId289"/>
        <a:stretch>
          <a:fillRect/>
        </a:stretch>
      </xdr:blipFill>
      <xdr:spPr>
        <a:xfrm>
          <a:off x="0" y="0"/>
          <a:ext cx="103632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369570</xdr:colOff>
      <xdr:row>3</xdr:row>
      <xdr:rowOff>89535</xdr:rowOff>
    </xdr:to>
    <xdr:pic>
      <xdr:nvPicPr>
        <xdr:cNvPr id="323" name="ID_1BF9CA615C8044C5B2D3DDB622990B65" descr="upload_post_object_v2_979262235"/>
        <xdr:cNvPicPr/>
      </xdr:nvPicPr>
      <xdr:blipFill>
        <a:blip r:embed="rId290"/>
        <a:stretch>
          <a:fillRect/>
        </a:stretch>
      </xdr:blipFill>
      <xdr:spPr>
        <a:xfrm>
          <a:off x="0" y="0"/>
          <a:ext cx="105537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531495</xdr:colOff>
      <xdr:row>4</xdr:row>
      <xdr:rowOff>1905</xdr:rowOff>
    </xdr:to>
    <xdr:pic>
      <xdr:nvPicPr>
        <xdr:cNvPr id="324" name="ID_5F92943E7D144FD4A3C203AC201BCC7A" descr="upload_post_object_v2_697289820"/>
        <xdr:cNvPicPr/>
      </xdr:nvPicPr>
      <xdr:blipFill>
        <a:blip r:embed="rId291"/>
        <a:stretch>
          <a:fillRect/>
        </a:stretch>
      </xdr:blipFill>
      <xdr:spPr>
        <a:xfrm>
          <a:off x="0" y="0"/>
          <a:ext cx="121729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108585</xdr:rowOff>
    </xdr:to>
    <xdr:pic>
      <xdr:nvPicPr>
        <xdr:cNvPr id="325" name="ID_95353E9D94024F9289D81B6C94A0E712" descr="upload_post_object_v2_590708205"/>
        <xdr:cNvPicPr/>
      </xdr:nvPicPr>
      <xdr:blipFill>
        <a:blip r:embed="rId292"/>
        <a:stretch>
          <a:fillRect/>
        </a:stretch>
      </xdr:blipFill>
      <xdr:spPr>
        <a:xfrm>
          <a:off x="0" y="0"/>
          <a:ext cx="1036320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388620</xdr:colOff>
      <xdr:row>4</xdr:row>
      <xdr:rowOff>3810</xdr:rowOff>
    </xdr:to>
    <xdr:pic>
      <xdr:nvPicPr>
        <xdr:cNvPr id="326" name="ID_E2C1A6DEB9004F27AB7F06723A7A4602" descr="upload_post_object_v2_2725941342"/>
        <xdr:cNvPicPr/>
      </xdr:nvPicPr>
      <xdr:blipFill>
        <a:blip r:embed="rId293"/>
        <a:stretch>
          <a:fillRect/>
        </a:stretch>
      </xdr:blipFill>
      <xdr:spPr>
        <a:xfrm>
          <a:off x="0" y="0"/>
          <a:ext cx="107442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436245</xdr:colOff>
      <xdr:row>3</xdr:row>
      <xdr:rowOff>80010</xdr:rowOff>
    </xdr:to>
    <xdr:pic>
      <xdr:nvPicPr>
        <xdr:cNvPr id="327" name="ID_D574A91F70E2446CA10067E05518E1A5" descr="upload_post_object_v2_2307127625"/>
        <xdr:cNvPicPr/>
      </xdr:nvPicPr>
      <xdr:blipFill>
        <a:blip r:embed="rId294"/>
        <a:stretch>
          <a:fillRect/>
        </a:stretch>
      </xdr:blipFill>
      <xdr:spPr>
        <a:xfrm>
          <a:off x="0" y="0"/>
          <a:ext cx="1122045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369570</xdr:colOff>
      <xdr:row>3</xdr:row>
      <xdr:rowOff>118110</xdr:rowOff>
    </xdr:to>
    <xdr:pic>
      <xdr:nvPicPr>
        <xdr:cNvPr id="328" name="ID_2CCCD858377E42A0A25978E243E40783" descr="upload_post_object_v2_2433171707"/>
        <xdr:cNvPicPr/>
      </xdr:nvPicPr>
      <xdr:blipFill>
        <a:blip r:embed="rId295"/>
        <a:stretch>
          <a:fillRect/>
        </a:stretch>
      </xdr:blipFill>
      <xdr:spPr>
        <a:xfrm>
          <a:off x="0" y="0"/>
          <a:ext cx="1055370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3</xdr:row>
      <xdr:rowOff>127635</xdr:rowOff>
    </xdr:to>
    <xdr:pic>
      <xdr:nvPicPr>
        <xdr:cNvPr id="329" name="ID_C4431656CB8C4B6181103E6914E8927A" descr="upload_post_object_v2_629207391"/>
        <xdr:cNvPicPr/>
      </xdr:nvPicPr>
      <xdr:blipFill>
        <a:blip r:embed="rId296"/>
        <a:stretch>
          <a:fillRect/>
        </a:stretch>
      </xdr:blipFill>
      <xdr:spPr>
        <a:xfrm>
          <a:off x="0" y="0"/>
          <a:ext cx="1045845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302895</xdr:colOff>
      <xdr:row>3</xdr:row>
      <xdr:rowOff>108585</xdr:rowOff>
    </xdr:to>
    <xdr:pic>
      <xdr:nvPicPr>
        <xdr:cNvPr id="330" name="ID_45364533C26B46968A54398C9549EB43" descr="upload_post_object_v2_3183340990"/>
        <xdr:cNvPicPr/>
      </xdr:nvPicPr>
      <xdr:blipFill>
        <a:blip r:embed="rId297"/>
        <a:stretch>
          <a:fillRect/>
        </a:stretch>
      </xdr:blipFill>
      <xdr:spPr>
        <a:xfrm>
          <a:off x="0" y="0"/>
          <a:ext cx="98869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293370</xdr:colOff>
      <xdr:row>3</xdr:row>
      <xdr:rowOff>108585</xdr:rowOff>
    </xdr:to>
    <xdr:pic>
      <xdr:nvPicPr>
        <xdr:cNvPr id="331" name="ID_B2A3041367094463BEC645D470B37463" descr="upload_post_object_v2_1295728360"/>
        <xdr:cNvPicPr/>
      </xdr:nvPicPr>
      <xdr:blipFill>
        <a:blip r:embed="rId298"/>
        <a:stretch>
          <a:fillRect/>
        </a:stretch>
      </xdr:blipFill>
      <xdr:spPr>
        <a:xfrm>
          <a:off x="0" y="0"/>
          <a:ext cx="979170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588645</xdr:colOff>
      <xdr:row>5</xdr:row>
      <xdr:rowOff>95250</xdr:rowOff>
    </xdr:to>
    <xdr:pic>
      <xdr:nvPicPr>
        <xdr:cNvPr id="332" name="ID_E64CC708380C4B1793778C455B441C74" descr="upload_post_object_v2_1965559974"/>
        <xdr:cNvPicPr/>
      </xdr:nvPicPr>
      <xdr:blipFill>
        <a:blip r:embed="rId299"/>
        <a:stretch>
          <a:fillRect/>
        </a:stretch>
      </xdr:blipFill>
      <xdr:spPr>
        <a:xfrm>
          <a:off x="0" y="0"/>
          <a:ext cx="1274445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588645</xdr:colOff>
      <xdr:row>5</xdr:row>
      <xdr:rowOff>95250</xdr:rowOff>
    </xdr:to>
    <xdr:pic>
      <xdr:nvPicPr>
        <xdr:cNvPr id="333" name="ID_790FD60780AE44FD9B3B167D44919275" descr="upload_post_object_v2_682112289"/>
        <xdr:cNvPicPr/>
      </xdr:nvPicPr>
      <xdr:blipFill>
        <a:blip r:embed="rId300"/>
        <a:stretch>
          <a:fillRect/>
        </a:stretch>
      </xdr:blipFill>
      <xdr:spPr>
        <a:xfrm>
          <a:off x="0" y="0"/>
          <a:ext cx="1274445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588645</xdr:colOff>
      <xdr:row>5</xdr:row>
      <xdr:rowOff>95250</xdr:rowOff>
    </xdr:to>
    <xdr:pic>
      <xdr:nvPicPr>
        <xdr:cNvPr id="334" name="ID_267A6B37596D41F29A74CB9513200884" descr="upload_post_object_v2_321908191"/>
        <xdr:cNvPicPr/>
      </xdr:nvPicPr>
      <xdr:blipFill>
        <a:blip r:embed="rId301"/>
        <a:stretch>
          <a:fillRect/>
        </a:stretch>
      </xdr:blipFill>
      <xdr:spPr>
        <a:xfrm>
          <a:off x="0" y="0"/>
          <a:ext cx="1274445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321945</xdr:colOff>
      <xdr:row>4</xdr:row>
      <xdr:rowOff>20955</xdr:rowOff>
    </xdr:to>
    <xdr:pic>
      <xdr:nvPicPr>
        <xdr:cNvPr id="335" name="ID_BBD8417616BA4911BB03B940C81684C0" descr="upload_post_object_v2_10194336"/>
        <xdr:cNvPicPr/>
      </xdr:nvPicPr>
      <xdr:blipFill>
        <a:blip r:embed="rId302"/>
        <a:stretch>
          <a:fillRect/>
        </a:stretch>
      </xdr:blipFill>
      <xdr:spPr>
        <a:xfrm>
          <a:off x="0" y="0"/>
          <a:ext cx="1007745" cy="706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60960</xdr:rowOff>
    </xdr:to>
    <xdr:pic>
      <xdr:nvPicPr>
        <xdr:cNvPr id="336" name="ID_AFB2A57EAD73446B9B0CBB697B84F7D1" descr="upload_post_object_v2_3532288228"/>
        <xdr:cNvPicPr/>
      </xdr:nvPicPr>
      <xdr:blipFill>
        <a:blip r:embed="rId303"/>
        <a:stretch>
          <a:fillRect/>
        </a:stretch>
      </xdr:blipFill>
      <xdr:spPr>
        <a:xfrm>
          <a:off x="0" y="0"/>
          <a:ext cx="1036320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369570</xdr:colOff>
      <xdr:row>3</xdr:row>
      <xdr:rowOff>156210</xdr:rowOff>
    </xdr:to>
    <xdr:pic>
      <xdr:nvPicPr>
        <xdr:cNvPr id="337" name="ID_F7F5216666B54161A51FDAB8D14F4312" descr="upload_post_object_v2_1646501698"/>
        <xdr:cNvPicPr/>
      </xdr:nvPicPr>
      <xdr:blipFill>
        <a:blip r:embed="rId304"/>
        <a:stretch>
          <a:fillRect/>
        </a:stretch>
      </xdr:blipFill>
      <xdr:spPr>
        <a:xfrm>
          <a:off x="0" y="0"/>
          <a:ext cx="105537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417195</xdr:colOff>
      <xdr:row>3</xdr:row>
      <xdr:rowOff>89535</xdr:rowOff>
    </xdr:to>
    <xdr:pic>
      <xdr:nvPicPr>
        <xdr:cNvPr id="338" name="ID_C1A5B255EC1C4FD09369A30B5BE7007B" descr="upload_post_object_v2_1533001388"/>
        <xdr:cNvPicPr/>
      </xdr:nvPicPr>
      <xdr:blipFill>
        <a:blip r:embed="rId305"/>
        <a:stretch>
          <a:fillRect/>
        </a:stretch>
      </xdr:blipFill>
      <xdr:spPr>
        <a:xfrm>
          <a:off x="0" y="0"/>
          <a:ext cx="110299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3</xdr:row>
      <xdr:rowOff>60960</xdr:rowOff>
    </xdr:to>
    <xdr:pic>
      <xdr:nvPicPr>
        <xdr:cNvPr id="339" name="ID_1D1E82BECD8B42F2ADC549BEDD40F755" descr="upload_post_object_v2_1739914684"/>
        <xdr:cNvPicPr/>
      </xdr:nvPicPr>
      <xdr:blipFill>
        <a:blip r:embed="rId306"/>
        <a:stretch>
          <a:fillRect/>
        </a:stretch>
      </xdr:blipFill>
      <xdr:spPr>
        <a:xfrm>
          <a:off x="0" y="0"/>
          <a:ext cx="542925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312420</xdr:colOff>
      <xdr:row>2</xdr:row>
      <xdr:rowOff>129540</xdr:rowOff>
    </xdr:to>
    <xdr:pic>
      <xdr:nvPicPr>
        <xdr:cNvPr id="340" name="ID_68B10F33385743E59EF8A6AA17D58D5E" descr="upload_post_object_v2_101080166"/>
        <xdr:cNvPicPr/>
      </xdr:nvPicPr>
      <xdr:blipFill>
        <a:blip r:embed="rId307"/>
        <a:stretch>
          <a:fillRect/>
        </a:stretch>
      </xdr:blipFill>
      <xdr:spPr>
        <a:xfrm>
          <a:off x="0" y="0"/>
          <a:ext cx="99822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561975</xdr:colOff>
      <xdr:row>3</xdr:row>
      <xdr:rowOff>99060</xdr:rowOff>
    </xdr:to>
    <xdr:pic>
      <xdr:nvPicPr>
        <xdr:cNvPr id="341" name="ID_ECAC43D51A7A4AAFAA0C5076C7253337" descr="upload_post_object_v2_1378567327"/>
        <xdr:cNvPicPr/>
      </xdr:nvPicPr>
      <xdr:blipFill>
        <a:blip r:embed="rId308"/>
        <a:stretch>
          <a:fillRect/>
        </a:stretch>
      </xdr:blipFill>
      <xdr:spPr>
        <a:xfrm>
          <a:off x="0" y="0"/>
          <a:ext cx="561975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60960</xdr:rowOff>
    </xdr:to>
    <xdr:pic>
      <xdr:nvPicPr>
        <xdr:cNvPr id="342" name="ID_E5183FF54164433E9947F58CBEC91884" descr="upload_post_object_v2_1005031766"/>
        <xdr:cNvPicPr/>
      </xdr:nvPicPr>
      <xdr:blipFill>
        <a:blip r:embed="rId309"/>
        <a:stretch>
          <a:fillRect/>
        </a:stretch>
      </xdr:blipFill>
      <xdr:spPr>
        <a:xfrm>
          <a:off x="0" y="0"/>
          <a:ext cx="702945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3</xdr:row>
      <xdr:rowOff>32385</xdr:rowOff>
    </xdr:to>
    <xdr:pic>
      <xdr:nvPicPr>
        <xdr:cNvPr id="343" name="ID_DFDAF6DC514645079FD5BADB3D07766A" descr="upload_post_object_v2_1485043959"/>
        <xdr:cNvPicPr/>
      </xdr:nvPicPr>
      <xdr:blipFill>
        <a:blip r:embed="rId310"/>
        <a:stretch>
          <a:fillRect/>
        </a:stretch>
      </xdr:blipFill>
      <xdr:spPr>
        <a:xfrm>
          <a:off x="0" y="0"/>
          <a:ext cx="523875" cy="546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350520</xdr:colOff>
      <xdr:row>3</xdr:row>
      <xdr:rowOff>32385</xdr:rowOff>
    </xdr:to>
    <xdr:pic>
      <xdr:nvPicPr>
        <xdr:cNvPr id="344" name="ID_55657DF417304932AA85552BA93BAC4D" descr="upload_post_object_v2_413239870"/>
        <xdr:cNvPicPr/>
      </xdr:nvPicPr>
      <xdr:blipFill>
        <a:blip r:embed="rId311"/>
        <a:stretch>
          <a:fillRect/>
        </a:stretch>
      </xdr:blipFill>
      <xdr:spPr>
        <a:xfrm>
          <a:off x="0" y="0"/>
          <a:ext cx="1036320" cy="546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283845</xdr:colOff>
      <xdr:row>2</xdr:row>
      <xdr:rowOff>158115</xdr:rowOff>
    </xdr:to>
    <xdr:pic>
      <xdr:nvPicPr>
        <xdr:cNvPr id="345" name="ID_6B6B16C4FA4B4B8B89694FFDC87BFBE3" descr="upload_post_object_v2_2388680843"/>
        <xdr:cNvPicPr/>
      </xdr:nvPicPr>
      <xdr:blipFill>
        <a:blip r:embed="rId1"/>
        <a:stretch>
          <a:fillRect/>
        </a:stretch>
      </xdr:blipFill>
      <xdr:spPr>
        <a:xfrm>
          <a:off x="0" y="0"/>
          <a:ext cx="969645" cy="501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2</xdr:row>
      <xdr:rowOff>100965</xdr:rowOff>
    </xdr:to>
    <xdr:pic>
      <xdr:nvPicPr>
        <xdr:cNvPr id="346" name="ID_8FE94ACA647642CD956D85F203645F70" descr="upload_post_object_v2_2782113976"/>
        <xdr:cNvPicPr/>
      </xdr:nvPicPr>
      <xdr:blipFill>
        <a:blip r:embed="rId312"/>
        <a:stretch>
          <a:fillRect/>
        </a:stretch>
      </xdr:blipFill>
      <xdr:spPr>
        <a:xfrm>
          <a:off x="0" y="0"/>
          <a:ext cx="702945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36195</xdr:colOff>
      <xdr:row>3</xdr:row>
      <xdr:rowOff>32385</xdr:rowOff>
    </xdr:to>
    <xdr:pic>
      <xdr:nvPicPr>
        <xdr:cNvPr id="347" name="ID_F0EA65887D414FBD88E7003B0A02AFF3" descr="upload_post_object_v2_1268807176"/>
        <xdr:cNvPicPr/>
      </xdr:nvPicPr>
      <xdr:blipFill>
        <a:blip r:embed="rId313"/>
        <a:stretch>
          <a:fillRect/>
        </a:stretch>
      </xdr:blipFill>
      <xdr:spPr>
        <a:xfrm>
          <a:off x="0" y="0"/>
          <a:ext cx="721995" cy="546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3</xdr:row>
      <xdr:rowOff>22860</xdr:rowOff>
    </xdr:to>
    <xdr:pic>
      <xdr:nvPicPr>
        <xdr:cNvPr id="348" name="ID_C2634432D5F8470D94EBC8DCEA3AC690" descr="upload_post_object_v2_2421071400"/>
        <xdr:cNvPicPr/>
      </xdr:nvPicPr>
      <xdr:blipFill>
        <a:blip r:embed="rId314"/>
        <a:stretch>
          <a:fillRect/>
        </a:stretch>
      </xdr:blipFill>
      <xdr:spPr>
        <a:xfrm>
          <a:off x="0" y="0"/>
          <a:ext cx="428625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2</xdr:row>
      <xdr:rowOff>167640</xdr:rowOff>
    </xdr:to>
    <xdr:pic>
      <xdr:nvPicPr>
        <xdr:cNvPr id="349" name="ID_CF02C89252324C018514166078A94805" descr="upload_post_object_v2_2824447378"/>
        <xdr:cNvPicPr/>
      </xdr:nvPicPr>
      <xdr:blipFill>
        <a:blip r:embed="rId315"/>
        <a:stretch>
          <a:fillRect/>
        </a:stretch>
      </xdr:blipFill>
      <xdr:spPr>
        <a:xfrm>
          <a:off x="0" y="0"/>
          <a:ext cx="533400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80010</xdr:rowOff>
    </xdr:to>
    <xdr:pic>
      <xdr:nvPicPr>
        <xdr:cNvPr id="350" name="ID_745DB565B82B4711AA974B3E3591D4E1" descr="upload_post_object_v2_293674660"/>
        <xdr:cNvPicPr/>
      </xdr:nvPicPr>
      <xdr:blipFill>
        <a:blip r:embed="rId316"/>
        <a:stretch>
          <a:fillRect/>
        </a:stretch>
      </xdr:blipFill>
      <xdr:spPr>
        <a:xfrm>
          <a:off x="0" y="0"/>
          <a:ext cx="702945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3</xdr:row>
      <xdr:rowOff>118110</xdr:rowOff>
    </xdr:to>
    <xdr:pic>
      <xdr:nvPicPr>
        <xdr:cNvPr id="351" name="ID_32A27F73F46047C8969CD2866D9955D3" descr="upload_post_object_v2_1265676280"/>
        <xdr:cNvPicPr/>
      </xdr:nvPicPr>
      <xdr:blipFill>
        <a:blip r:embed="rId317"/>
        <a:stretch>
          <a:fillRect/>
        </a:stretch>
      </xdr:blipFill>
      <xdr:spPr>
        <a:xfrm>
          <a:off x="0" y="0"/>
          <a:ext cx="58102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32385</xdr:rowOff>
    </xdr:to>
    <xdr:pic>
      <xdr:nvPicPr>
        <xdr:cNvPr id="352" name="ID_0B5834FE48B24586813C530B349AC09B" descr="upload_post_object_v2_274567188"/>
        <xdr:cNvPicPr/>
      </xdr:nvPicPr>
      <xdr:blipFill>
        <a:blip r:embed="rId318"/>
        <a:stretch>
          <a:fillRect/>
        </a:stretch>
      </xdr:blipFill>
      <xdr:spPr>
        <a:xfrm>
          <a:off x="0" y="0"/>
          <a:ext cx="702945" cy="546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3810</xdr:rowOff>
    </xdr:to>
    <xdr:pic>
      <xdr:nvPicPr>
        <xdr:cNvPr id="353" name="ID_AA5B34CBC225478795798F5B047E221C" descr="upload_post_object_v2_3179365555"/>
        <xdr:cNvPicPr/>
      </xdr:nvPicPr>
      <xdr:blipFill>
        <a:blip r:embed="rId319"/>
        <a:stretch>
          <a:fillRect/>
        </a:stretch>
      </xdr:blipFill>
      <xdr:spPr>
        <a:xfrm>
          <a:off x="0" y="0"/>
          <a:ext cx="70294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3</xdr:row>
      <xdr:rowOff>137160</xdr:rowOff>
    </xdr:to>
    <xdr:pic>
      <xdr:nvPicPr>
        <xdr:cNvPr id="354" name="ID_FB614F5E6C6C4DA695E98E76D90969E3" descr="upload_post_object_v2_1895170601"/>
        <xdr:cNvPicPr/>
      </xdr:nvPicPr>
      <xdr:blipFill>
        <a:blip r:embed="rId320"/>
        <a:stretch>
          <a:fillRect/>
        </a:stretch>
      </xdr:blipFill>
      <xdr:spPr>
        <a:xfrm>
          <a:off x="0" y="0"/>
          <a:ext cx="788670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3</xdr:row>
      <xdr:rowOff>60960</xdr:rowOff>
    </xdr:to>
    <xdr:pic>
      <xdr:nvPicPr>
        <xdr:cNvPr id="355" name="ID_2F549D4391284DE89FA5AF61D8FFBEBE" descr="upload_post_object_v2_1405703467"/>
        <xdr:cNvPicPr/>
      </xdr:nvPicPr>
      <xdr:blipFill>
        <a:blip r:embed="rId321"/>
        <a:stretch>
          <a:fillRect/>
        </a:stretch>
      </xdr:blipFill>
      <xdr:spPr>
        <a:xfrm>
          <a:off x="0" y="0"/>
          <a:ext cx="552450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457200</xdr:colOff>
      <xdr:row>3</xdr:row>
      <xdr:rowOff>13335</xdr:rowOff>
    </xdr:to>
    <xdr:pic>
      <xdr:nvPicPr>
        <xdr:cNvPr id="356" name="ID_874FB425E2B142E5831E2C22D2A0C7DB" descr="upload_post_object_v2_1886403633"/>
        <xdr:cNvPicPr/>
      </xdr:nvPicPr>
      <xdr:blipFill>
        <a:blip r:embed="rId322"/>
        <a:stretch>
          <a:fillRect/>
        </a:stretch>
      </xdr:blipFill>
      <xdr:spPr>
        <a:xfrm>
          <a:off x="0" y="0"/>
          <a:ext cx="457200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3</xdr:row>
      <xdr:rowOff>89535</xdr:rowOff>
    </xdr:to>
    <xdr:pic>
      <xdr:nvPicPr>
        <xdr:cNvPr id="357" name="ID_AC2CE519F2DA48B8BE1152F4470C1397" descr="upload_post_object_v2_1806352234"/>
        <xdr:cNvPicPr/>
      </xdr:nvPicPr>
      <xdr:blipFill>
        <a:blip r:embed="rId323"/>
        <a:stretch>
          <a:fillRect/>
        </a:stretch>
      </xdr:blipFill>
      <xdr:spPr>
        <a:xfrm>
          <a:off x="0" y="0"/>
          <a:ext cx="58102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55245</xdr:colOff>
      <xdr:row>4</xdr:row>
      <xdr:rowOff>3810</xdr:rowOff>
    </xdr:to>
    <xdr:pic>
      <xdr:nvPicPr>
        <xdr:cNvPr id="358" name="ID_5DF9D5C8671B44538AC5D5471D0F5F4F" descr="upload_post_object_v2_243889168"/>
        <xdr:cNvPicPr/>
      </xdr:nvPicPr>
      <xdr:blipFill>
        <a:blip r:embed="rId324"/>
        <a:stretch>
          <a:fillRect/>
        </a:stretch>
      </xdr:blipFill>
      <xdr:spPr>
        <a:xfrm>
          <a:off x="0" y="0"/>
          <a:ext cx="74104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590550</xdr:colOff>
      <xdr:row>3</xdr:row>
      <xdr:rowOff>22860</xdr:rowOff>
    </xdr:to>
    <xdr:pic>
      <xdr:nvPicPr>
        <xdr:cNvPr id="359" name="ID_E36A17B71E7E4BC687D67895DFDC1011" descr="upload_post_object_v2_816614640"/>
        <xdr:cNvPicPr/>
      </xdr:nvPicPr>
      <xdr:blipFill>
        <a:blip r:embed="rId325"/>
        <a:stretch>
          <a:fillRect/>
        </a:stretch>
      </xdr:blipFill>
      <xdr:spPr>
        <a:xfrm>
          <a:off x="0" y="0"/>
          <a:ext cx="590550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179070</xdr:colOff>
      <xdr:row>2</xdr:row>
      <xdr:rowOff>139065</xdr:rowOff>
    </xdr:to>
    <xdr:pic>
      <xdr:nvPicPr>
        <xdr:cNvPr id="360" name="ID_CB076EEA3F11448FB6EFD66B270BAB7C" descr="upload_post_object_v2_1767437220"/>
        <xdr:cNvPicPr/>
      </xdr:nvPicPr>
      <xdr:blipFill>
        <a:blip r:embed="rId326"/>
        <a:stretch>
          <a:fillRect/>
        </a:stretch>
      </xdr:blipFill>
      <xdr:spPr>
        <a:xfrm>
          <a:off x="0" y="0"/>
          <a:ext cx="864870" cy="481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3</xdr:row>
      <xdr:rowOff>32385</xdr:rowOff>
    </xdr:to>
    <xdr:pic>
      <xdr:nvPicPr>
        <xdr:cNvPr id="361" name="ID_2612B1D56C7A4C79A70B63CC3389FE42" descr="upload_post_object_v2_2866711804"/>
        <xdr:cNvPicPr/>
      </xdr:nvPicPr>
      <xdr:blipFill>
        <a:blip r:embed="rId327"/>
        <a:stretch>
          <a:fillRect/>
        </a:stretch>
      </xdr:blipFill>
      <xdr:spPr>
        <a:xfrm>
          <a:off x="0" y="0"/>
          <a:ext cx="769620" cy="546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36195</xdr:colOff>
      <xdr:row>3</xdr:row>
      <xdr:rowOff>70485</xdr:rowOff>
    </xdr:to>
    <xdr:pic>
      <xdr:nvPicPr>
        <xdr:cNvPr id="362" name="ID_BCE0AF53F03A4CDBB66CC875E432543D" descr="upload_post_object_v2_3766523965"/>
        <xdr:cNvPicPr/>
      </xdr:nvPicPr>
      <xdr:blipFill>
        <a:blip r:embed="rId328"/>
        <a:stretch>
          <a:fillRect/>
        </a:stretch>
      </xdr:blipFill>
      <xdr:spPr>
        <a:xfrm>
          <a:off x="0" y="0"/>
          <a:ext cx="721995" cy="584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3</xdr:row>
      <xdr:rowOff>60960</xdr:rowOff>
    </xdr:to>
    <xdr:pic>
      <xdr:nvPicPr>
        <xdr:cNvPr id="363" name="ID_5B37FD293022479AB7094F4A3BAF3335" descr="upload_post_object_v2_3746918254"/>
        <xdr:cNvPicPr/>
      </xdr:nvPicPr>
      <xdr:blipFill>
        <a:blip r:embed="rId329"/>
        <a:stretch>
          <a:fillRect/>
        </a:stretch>
      </xdr:blipFill>
      <xdr:spPr>
        <a:xfrm>
          <a:off x="0" y="0"/>
          <a:ext cx="817245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137160</xdr:rowOff>
    </xdr:to>
    <xdr:pic>
      <xdr:nvPicPr>
        <xdr:cNvPr id="364" name="ID_AE927983D05D414FA7ECC092712BE40B" descr="upload_post_object_v2_2029431818"/>
        <xdr:cNvPicPr/>
      </xdr:nvPicPr>
      <xdr:blipFill>
        <a:blip r:embed="rId330"/>
        <a:stretch>
          <a:fillRect/>
        </a:stretch>
      </xdr:blipFill>
      <xdr:spPr>
        <a:xfrm>
          <a:off x="0" y="0"/>
          <a:ext cx="702945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80010</xdr:rowOff>
    </xdr:to>
    <xdr:pic>
      <xdr:nvPicPr>
        <xdr:cNvPr id="365" name="ID_A60754604D9845D092C090C02088DE3B" descr="upload_post_object_v2_165234654"/>
        <xdr:cNvPicPr/>
      </xdr:nvPicPr>
      <xdr:blipFill>
        <a:blip r:embed="rId331"/>
        <a:stretch>
          <a:fillRect/>
        </a:stretch>
      </xdr:blipFill>
      <xdr:spPr>
        <a:xfrm>
          <a:off x="0" y="0"/>
          <a:ext cx="760095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99060</xdr:rowOff>
    </xdr:to>
    <xdr:pic>
      <xdr:nvPicPr>
        <xdr:cNvPr id="366" name="ID_A8DE022D494E4CA58B27116046E35C5C" descr="upload_post_object_v2_3897663567"/>
        <xdr:cNvPicPr/>
      </xdr:nvPicPr>
      <xdr:blipFill>
        <a:blip r:embed="rId332"/>
        <a:stretch>
          <a:fillRect/>
        </a:stretch>
      </xdr:blipFill>
      <xdr:spPr>
        <a:xfrm>
          <a:off x="0" y="0"/>
          <a:ext cx="702945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99060</xdr:rowOff>
    </xdr:to>
    <xdr:pic>
      <xdr:nvPicPr>
        <xdr:cNvPr id="367" name="ID_842636CCA3A9420F97B9D38FAB5398E4" descr="upload_post_object_v2_3894851447"/>
        <xdr:cNvPicPr/>
      </xdr:nvPicPr>
      <xdr:blipFill>
        <a:blip r:embed="rId333"/>
        <a:stretch>
          <a:fillRect/>
        </a:stretch>
      </xdr:blipFill>
      <xdr:spPr>
        <a:xfrm>
          <a:off x="0" y="0"/>
          <a:ext cx="702945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466725</xdr:colOff>
      <xdr:row>3</xdr:row>
      <xdr:rowOff>70485</xdr:rowOff>
    </xdr:to>
    <xdr:pic>
      <xdr:nvPicPr>
        <xdr:cNvPr id="368" name="ID_82D82D5E0FF14328BD66F7157A7977B9" descr="upload_post_object_v2_2544968739"/>
        <xdr:cNvPicPr/>
      </xdr:nvPicPr>
      <xdr:blipFill>
        <a:blip r:embed="rId334"/>
        <a:stretch>
          <a:fillRect/>
        </a:stretch>
      </xdr:blipFill>
      <xdr:spPr>
        <a:xfrm>
          <a:off x="0" y="0"/>
          <a:ext cx="466725" cy="584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55245</xdr:colOff>
      <xdr:row>3</xdr:row>
      <xdr:rowOff>5715</xdr:rowOff>
    </xdr:to>
    <xdr:pic>
      <xdr:nvPicPr>
        <xdr:cNvPr id="369" name="ID_353C71C1CBCF4AAB91E96F2A91B2086B" descr="upload_post_object_v2_408862924"/>
        <xdr:cNvPicPr/>
      </xdr:nvPicPr>
      <xdr:blipFill>
        <a:blip r:embed="rId335"/>
        <a:stretch>
          <a:fillRect/>
        </a:stretch>
      </xdr:blipFill>
      <xdr:spPr>
        <a:xfrm>
          <a:off x="0" y="0"/>
          <a:ext cx="74104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2</xdr:row>
      <xdr:rowOff>139065</xdr:rowOff>
    </xdr:to>
    <xdr:pic>
      <xdr:nvPicPr>
        <xdr:cNvPr id="370" name="ID_99402CBAEFA74B30B46EAADD916293AC" descr="upload_post_object_v2_3325350684"/>
        <xdr:cNvPicPr/>
      </xdr:nvPicPr>
      <xdr:blipFill>
        <a:blip r:embed="rId336"/>
        <a:stretch>
          <a:fillRect/>
        </a:stretch>
      </xdr:blipFill>
      <xdr:spPr>
        <a:xfrm>
          <a:off x="0" y="0"/>
          <a:ext cx="760095" cy="481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55245</xdr:colOff>
      <xdr:row>3</xdr:row>
      <xdr:rowOff>5715</xdr:rowOff>
    </xdr:to>
    <xdr:pic>
      <xdr:nvPicPr>
        <xdr:cNvPr id="371" name="ID_9DB3E0628C6C482E97694BE6D94B66A2" descr="upload_post_object_v2_4250854055"/>
        <xdr:cNvPicPr/>
      </xdr:nvPicPr>
      <xdr:blipFill>
        <a:blip r:embed="rId335"/>
        <a:stretch>
          <a:fillRect/>
        </a:stretch>
      </xdr:blipFill>
      <xdr:spPr>
        <a:xfrm>
          <a:off x="0" y="0"/>
          <a:ext cx="74104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36195</xdr:colOff>
      <xdr:row>2</xdr:row>
      <xdr:rowOff>100965</xdr:rowOff>
    </xdr:to>
    <xdr:pic>
      <xdr:nvPicPr>
        <xdr:cNvPr id="372" name="ID_6F35E7324FE241CF9740B1F58C1901C3" descr="upload_post_object_v2_3595773147"/>
        <xdr:cNvPicPr/>
      </xdr:nvPicPr>
      <xdr:blipFill>
        <a:blip r:embed="rId337"/>
        <a:stretch>
          <a:fillRect/>
        </a:stretch>
      </xdr:blipFill>
      <xdr:spPr>
        <a:xfrm>
          <a:off x="0" y="0"/>
          <a:ext cx="721995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4</xdr:row>
      <xdr:rowOff>11430</xdr:rowOff>
    </xdr:to>
    <xdr:pic>
      <xdr:nvPicPr>
        <xdr:cNvPr id="373" name="ID_C553DC26AFCF43389914D771C3A2228C" descr="upload_post_object_v2_1049923648"/>
        <xdr:cNvPicPr/>
      </xdr:nvPicPr>
      <xdr:blipFill>
        <a:blip r:embed="rId338"/>
        <a:stretch>
          <a:fillRect/>
        </a:stretch>
      </xdr:blipFill>
      <xdr:spPr>
        <a:xfrm>
          <a:off x="0" y="0"/>
          <a:ext cx="702945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3</xdr:row>
      <xdr:rowOff>41910</xdr:rowOff>
    </xdr:to>
    <xdr:pic>
      <xdr:nvPicPr>
        <xdr:cNvPr id="374" name="ID_06DC40AD45A043DABB05292CC4E7786D" descr="upload_post_object_v2_3729926299"/>
        <xdr:cNvPicPr/>
      </xdr:nvPicPr>
      <xdr:blipFill>
        <a:blip r:embed="rId339"/>
        <a:stretch>
          <a:fillRect/>
        </a:stretch>
      </xdr:blipFill>
      <xdr:spPr>
        <a:xfrm>
          <a:off x="0" y="0"/>
          <a:ext cx="609600" cy="55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2</xdr:row>
      <xdr:rowOff>120015</xdr:rowOff>
    </xdr:to>
    <xdr:pic>
      <xdr:nvPicPr>
        <xdr:cNvPr id="375" name="ID_F8D7BD56BD9C4739BA64128F900B7C0C" descr="upload_post_object_v2_1495185765"/>
        <xdr:cNvPicPr/>
      </xdr:nvPicPr>
      <xdr:blipFill>
        <a:blip r:embed="rId340"/>
        <a:stretch>
          <a:fillRect/>
        </a:stretch>
      </xdr:blipFill>
      <xdr:spPr>
        <a:xfrm>
          <a:off x="0" y="0"/>
          <a:ext cx="70294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3</xdr:row>
      <xdr:rowOff>22860</xdr:rowOff>
    </xdr:to>
    <xdr:pic>
      <xdr:nvPicPr>
        <xdr:cNvPr id="376" name="ID_533EC456924442BD9A4924A4E3684D7C" descr="upload_post_object_v2_3243532107"/>
        <xdr:cNvPicPr/>
      </xdr:nvPicPr>
      <xdr:blipFill>
        <a:blip r:embed="rId341"/>
        <a:stretch>
          <a:fillRect/>
        </a:stretch>
      </xdr:blipFill>
      <xdr:spPr>
        <a:xfrm>
          <a:off x="0" y="0"/>
          <a:ext cx="495300" cy="537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121920</xdr:colOff>
      <xdr:row>2</xdr:row>
      <xdr:rowOff>24765</xdr:rowOff>
    </xdr:to>
    <xdr:pic>
      <xdr:nvPicPr>
        <xdr:cNvPr id="377" name="ID_A095E048115E4230A5098DD4252295AF" descr="upload_post_object_v2_3468156756"/>
        <xdr:cNvPicPr/>
      </xdr:nvPicPr>
      <xdr:blipFill>
        <a:blip r:embed="rId342"/>
        <a:stretch>
          <a:fillRect/>
        </a:stretch>
      </xdr:blipFill>
      <xdr:spPr>
        <a:xfrm>
          <a:off x="0" y="0"/>
          <a:ext cx="807720" cy="367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2</xdr:row>
      <xdr:rowOff>81915</xdr:rowOff>
    </xdr:to>
    <xdr:pic>
      <xdr:nvPicPr>
        <xdr:cNvPr id="378" name="ID_39FBA0FA05C84292AB6B4BEDE7A43250" descr="upload_post_object_v2_2305344046"/>
        <xdr:cNvPicPr/>
      </xdr:nvPicPr>
      <xdr:blipFill>
        <a:blip r:embed="rId343"/>
        <a:stretch>
          <a:fillRect/>
        </a:stretch>
      </xdr:blipFill>
      <xdr:spPr>
        <a:xfrm>
          <a:off x="0" y="0"/>
          <a:ext cx="817245" cy="424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150495</xdr:colOff>
      <xdr:row>3</xdr:row>
      <xdr:rowOff>5715</xdr:rowOff>
    </xdr:to>
    <xdr:pic>
      <xdr:nvPicPr>
        <xdr:cNvPr id="379" name="ID_0C5B4E5496B446BC99850A6205D9CCAB" descr="upload_post_object_v2_2905524573"/>
        <xdr:cNvPicPr/>
      </xdr:nvPicPr>
      <xdr:blipFill>
        <a:blip r:embed="rId344"/>
        <a:stretch>
          <a:fillRect/>
        </a:stretch>
      </xdr:blipFill>
      <xdr:spPr>
        <a:xfrm>
          <a:off x="0" y="0"/>
          <a:ext cx="83629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3</xdr:row>
      <xdr:rowOff>13335</xdr:rowOff>
    </xdr:to>
    <xdr:pic>
      <xdr:nvPicPr>
        <xdr:cNvPr id="380" name="ID_48CE83A4F18B486992B6FA4525FC452D" descr="upload_post_object_v2_1304835628"/>
        <xdr:cNvPicPr/>
      </xdr:nvPicPr>
      <xdr:blipFill>
        <a:blip r:embed="rId345"/>
        <a:stretch>
          <a:fillRect/>
        </a:stretch>
      </xdr:blipFill>
      <xdr:spPr>
        <a:xfrm>
          <a:off x="0" y="0"/>
          <a:ext cx="750570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3</xdr:row>
      <xdr:rowOff>3810</xdr:rowOff>
    </xdr:to>
    <xdr:pic>
      <xdr:nvPicPr>
        <xdr:cNvPr id="381" name="ID_833C30FF772A46EDAF611826D78B2482" descr="upload_post_object_v2_611283884"/>
        <xdr:cNvPicPr/>
      </xdr:nvPicPr>
      <xdr:blipFill>
        <a:blip r:embed="rId346"/>
        <a:stretch>
          <a:fillRect/>
        </a:stretch>
      </xdr:blipFill>
      <xdr:spPr>
        <a:xfrm>
          <a:off x="0" y="0"/>
          <a:ext cx="523875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2</xdr:row>
      <xdr:rowOff>120015</xdr:rowOff>
    </xdr:to>
    <xdr:pic>
      <xdr:nvPicPr>
        <xdr:cNvPr id="382" name="ID_A795A2B5AE2641E0B5E181416F19E319" descr="upload_post_object_v2_3021452743"/>
        <xdr:cNvPicPr/>
      </xdr:nvPicPr>
      <xdr:blipFill>
        <a:blip r:embed="rId347"/>
        <a:stretch>
          <a:fillRect/>
        </a:stretch>
      </xdr:blipFill>
      <xdr:spPr>
        <a:xfrm>
          <a:off x="0" y="0"/>
          <a:ext cx="533400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5715</xdr:rowOff>
    </xdr:to>
    <xdr:pic>
      <xdr:nvPicPr>
        <xdr:cNvPr id="383" name="ID_0684888A734548CB8CBA2966956BE895" descr="upload_post_object_v2_2128526556"/>
        <xdr:cNvPicPr/>
      </xdr:nvPicPr>
      <xdr:blipFill>
        <a:blip r:embed="rId348"/>
        <a:stretch>
          <a:fillRect/>
        </a:stretch>
      </xdr:blipFill>
      <xdr:spPr>
        <a:xfrm>
          <a:off x="0" y="0"/>
          <a:ext cx="76009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3</xdr:row>
      <xdr:rowOff>127635</xdr:rowOff>
    </xdr:to>
    <xdr:pic>
      <xdr:nvPicPr>
        <xdr:cNvPr id="384" name="ID_EABDAAE6FFCF40A899C663441ECD4974" descr="upload_post_object_v2_2797031203"/>
        <xdr:cNvPicPr/>
      </xdr:nvPicPr>
      <xdr:blipFill>
        <a:blip r:embed="rId349"/>
        <a:stretch>
          <a:fillRect/>
        </a:stretch>
      </xdr:blipFill>
      <xdr:spPr>
        <a:xfrm>
          <a:off x="0" y="0"/>
          <a:ext cx="533400" cy="641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590550</xdr:colOff>
      <xdr:row>3</xdr:row>
      <xdr:rowOff>3810</xdr:rowOff>
    </xdr:to>
    <xdr:pic>
      <xdr:nvPicPr>
        <xdr:cNvPr id="385" name="ID_A8B656F1C78140A986BCBCF0528DBCAD" descr="upload_post_object_v2_1833250177"/>
        <xdr:cNvPicPr/>
      </xdr:nvPicPr>
      <xdr:blipFill>
        <a:blip r:embed="rId350"/>
        <a:stretch>
          <a:fillRect/>
        </a:stretch>
      </xdr:blipFill>
      <xdr:spPr>
        <a:xfrm>
          <a:off x="0" y="0"/>
          <a:ext cx="59055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2</xdr:row>
      <xdr:rowOff>43815</xdr:rowOff>
    </xdr:to>
    <xdr:pic>
      <xdr:nvPicPr>
        <xdr:cNvPr id="386" name="ID_78EA6292A86A49DE810C08F497ACB3BA" descr="upload_post_object_v2_4267334797"/>
        <xdr:cNvPicPr/>
      </xdr:nvPicPr>
      <xdr:blipFill>
        <a:blip r:embed="rId351"/>
        <a:stretch>
          <a:fillRect/>
        </a:stretch>
      </xdr:blipFill>
      <xdr:spPr>
        <a:xfrm>
          <a:off x="0" y="0"/>
          <a:ext cx="750570" cy="386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80010</xdr:rowOff>
    </xdr:to>
    <xdr:pic>
      <xdr:nvPicPr>
        <xdr:cNvPr id="387" name="ID_7D32CB1B8CC74264932F0CA497DD1B62" descr="upload_post_object_v2_3600110634"/>
        <xdr:cNvPicPr/>
      </xdr:nvPicPr>
      <xdr:blipFill>
        <a:blip r:embed="rId352"/>
        <a:stretch>
          <a:fillRect/>
        </a:stretch>
      </xdr:blipFill>
      <xdr:spPr>
        <a:xfrm>
          <a:off x="0" y="0"/>
          <a:ext cx="702945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32385</xdr:rowOff>
    </xdr:to>
    <xdr:pic>
      <xdr:nvPicPr>
        <xdr:cNvPr id="388" name="ID_DFC6DF3E3D6749D9922DD1F7276A1895" descr="upload_post_object_v2_544043249"/>
        <xdr:cNvPicPr/>
      </xdr:nvPicPr>
      <xdr:blipFill>
        <a:blip r:embed="rId353"/>
        <a:stretch>
          <a:fillRect/>
        </a:stretch>
      </xdr:blipFill>
      <xdr:spPr>
        <a:xfrm>
          <a:off x="0" y="0"/>
          <a:ext cx="702945" cy="546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2</xdr:row>
      <xdr:rowOff>167640</xdr:rowOff>
    </xdr:to>
    <xdr:pic>
      <xdr:nvPicPr>
        <xdr:cNvPr id="389" name="ID_B95023C6E9324BCD882DF3050F66A2E5" descr="upload_post_object_v2_3789616735"/>
        <xdr:cNvPicPr/>
      </xdr:nvPicPr>
      <xdr:blipFill>
        <a:blip r:embed="rId354"/>
        <a:stretch>
          <a:fillRect/>
        </a:stretch>
      </xdr:blipFill>
      <xdr:spPr>
        <a:xfrm>
          <a:off x="0" y="0"/>
          <a:ext cx="788670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3</xdr:row>
      <xdr:rowOff>3810</xdr:rowOff>
    </xdr:to>
    <xdr:pic>
      <xdr:nvPicPr>
        <xdr:cNvPr id="390" name="ID_8DA5CEABB3984060932420E7516144D4" descr="upload_post_object_v2_596074430"/>
        <xdr:cNvPicPr/>
      </xdr:nvPicPr>
      <xdr:blipFill>
        <a:blip r:embed="rId355"/>
        <a:stretch>
          <a:fillRect/>
        </a:stretch>
      </xdr:blipFill>
      <xdr:spPr>
        <a:xfrm>
          <a:off x="0" y="0"/>
          <a:ext cx="71247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3</xdr:row>
      <xdr:rowOff>13335</xdr:rowOff>
    </xdr:to>
    <xdr:pic>
      <xdr:nvPicPr>
        <xdr:cNvPr id="391" name="ID_804AE914AB3847D2A102549677A81EE6" descr="upload_post_object_v2_3053208232"/>
        <xdr:cNvPicPr/>
      </xdr:nvPicPr>
      <xdr:blipFill>
        <a:blip r:embed="rId356"/>
        <a:stretch>
          <a:fillRect/>
        </a:stretch>
      </xdr:blipFill>
      <xdr:spPr>
        <a:xfrm>
          <a:off x="0" y="0"/>
          <a:ext cx="581025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13335</xdr:rowOff>
    </xdr:to>
    <xdr:pic>
      <xdr:nvPicPr>
        <xdr:cNvPr id="392" name="ID_6AD4E7B28D2941B980E6AB35944228F9" descr="upload_post_object_v2_335649641"/>
        <xdr:cNvPicPr/>
      </xdr:nvPicPr>
      <xdr:blipFill>
        <a:blip r:embed="rId357"/>
        <a:stretch>
          <a:fillRect/>
        </a:stretch>
      </xdr:blipFill>
      <xdr:spPr>
        <a:xfrm>
          <a:off x="0" y="0"/>
          <a:ext cx="702945" cy="52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</xdr:colOff>
      <xdr:row>3</xdr:row>
      <xdr:rowOff>5715</xdr:rowOff>
    </xdr:to>
    <xdr:pic>
      <xdr:nvPicPr>
        <xdr:cNvPr id="393" name="ID_BA306B473CD54201851EDC7A9BEB86C4" descr="upload_post_object_v2_227433514"/>
        <xdr:cNvPicPr/>
      </xdr:nvPicPr>
      <xdr:blipFill>
        <a:blip r:embed="rId358"/>
        <a:stretch>
          <a:fillRect/>
        </a:stretch>
      </xdr:blipFill>
      <xdr:spPr>
        <a:xfrm>
          <a:off x="0" y="0"/>
          <a:ext cx="798195" cy="520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2</xdr:row>
      <xdr:rowOff>110490</xdr:rowOff>
    </xdr:to>
    <xdr:pic>
      <xdr:nvPicPr>
        <xdr:cNvPr id="394" name="ID_2F40AC44AE12468C8F39E0E2C5CB4C90" descr="upload_post_object_v2_2317843157"/>
        <xdr:cNvPicPr/>
      </xdr:nvPicPr>
      <xdr:blipFill>
        <a:blip r:embed="rId359"/>
        <a:stretch>
          <a:fillRect/>
        </a:stretch>
      </xdr:blipFill>
      <xdr:spPr>
        <a:xfrm>
          <a:off x="0" y="0"/>
          <a:ext cx="581025" cy="4533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80010</xdr:rowOff>
    </xdr:to>
    <xdr:pic>
      <xdr:nvPicPr>
        <xdr:cNvPr id="395" name="ID_8A80BE17CF0446D4AA6FB494A91F28B5" descr="upload_post_object_v2_87770538"/>
        <xdr:cNvPicPr/>
      </xdr:nvPicPr>
      <xdr:blipFill>
        <a:blip r:embed="rId360"/>
        <a:stretch>
          <a:fillRect/>
        </a:stretch>
      </xdr:blipFill>
      <xdr:spPr>
        <a:xfrm>
          <a:off x="0" y="0"/>
          <a:ext cx="702945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2</xdr:row>
      <xdr:rowOff>34290</xdr:rowOff>
    </xdr:to>
    <xdr:pic>
      <xdr:nvPicPr>
        <xdr:cNvPr id="396" name="ID_6924EDB86E67465F8FB1FB9A86DD6655" descr="upload_post_object_v2_163136812"/>
        <xdr:cNvPicPr/>
      </xdr:nvPicPr>
      <xdr:blipFill>
        <a:blip r:embed="rId361"/>
        <a:stretch>
          <a:fillRect/>
        </a:stretch>
      </xdr:blipFill>
      <xdr:spPr>
        <a:xfrm>
          <a:off x="0" y="0"/>
          <a:ext cx="788670" cy="377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</xdr:colOff>
      <xdr:row>2</xdr:row>
      <xdr:rowOff>100965</xdr:rowOff>
    </xdr:to>
    <xdr:pic>
      <xdr:nvPicPr>
        <xdr:cNvPr id="397" name="ID_794B66885793491E88BADFB5BA09E1CA" descr="upload_post_object_v2_1280760725"/>
        <xdr:cNvPicPr/>
      </xdr:nvPicPr>
      <xdr:blipFill>
        <a:blip r:embed="rId362"/>
        <a:stretch>
          <a:fillRect/>
        </a:stretch>
      </xdr:blipFill>
      <xdr:spPr>
        <a:xfrm>
          <a:off x="0" y="0"/>
          <a:ext cx="712470" cy="443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64770</xdr:colOff>
      <xdr:row>3</xdr:row>
      <xdr:rowOff>80010</xdr:rowOff>
    </xdr:to>
    <xdr:pic>
      <xdr:nvPicPr>
        <xdr:cNvPr id="398" name="ID_9F94EB0BAC4F42D9B01943BD63E6F47B" descr="upload_post_object_v2_2647583556"/>
        <xdr:cNvPicPr/>
      </xdr:nvPicPr>
      <xdr:blipFill>
        <a:blip r:embed="rId363"/>
        <a:stretch>
          <a:fillRect/>
        </a:stretch>
      </xdr:blipFill>
      <xdr:spPr>
        <a:xfrm>
          <a:off x="0" y="0"/>
          <a:ext cx="750570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600075</xdr:colOff>
      <xdr:row>3</xdr:row>
      <xdr:rowOff>3810</xdr:rowOff>
    </xdr:to>
    <xdr:pic>
      <xdr:nvPicPr>
        <xdr:cNvPr id="399" name="ID_F1BEA163CABD42AAAFF172AEC37F91C8" descr="upload_post_object_v2_161258443"/>
        <xdr:cNvPicPr/>
      </xdr:nvPicPr>
      <xdr:blipFill>
        <a:blip r:embed="rId364"/>
        <a:stretch>
          <a:fillRect/>
        </a:stretch>
      </xdr:blipFill>
      <xdr:spPr>
        <a:xfrm>
          <a:off x="0" y="0"/>
          <a:ext cx="600075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3</xdr:row>
      <xdr:rowOff>3810</xdr:rowOff>
    </xdr:to>
    <xdr:pic>
      <xdr:nvPicPr>
        <xdr:cNvPr id="400" name="ID_6737849078134CEC9F439833E9A53B7E" descr="upload_post_object_v2_3847263839"/>
        <xdr:cNvPicPr/>
      </xdr:nvPicPr>
      <xdr:blipFill>
        <a:blip r:embed="rId365"/>
        <a:stretch>
          <a:fillRect/>
        </a:stretch>
      </xdr:blipFill>
      <xdr:spPr>
        <a:xfrm>
          <a:off x="0" y="0"/>
          <a:ext cx="76962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</xdr:colOff>
      <xdr:row>3</xdr:row>
      <xdr:rowOff>51435</xdr:rowOff>
    </xdr:to>
    <xdr:pic>
      <xdr:nvPicPr>
        <xdr:cNvPr id="401" name="ID_00D8AA44ACAF45848FCC012D4820E73A" descr="upload_post_object_v2_2936301536"/>
        <xdr:cNvPicPr/>
      </xdr:nvPicPr>
      <xdr:blipFill>
        <a:blip r:embed="rId366"/>
        <a:stretch>
          <a:fillRect/>
        </a:stretch>
      </xdr:blipFill>
      <xdr:spPr>
        <a:xfrm>
          <a:off x="0" y="0"/>
          <a:ext cx="702945" cy="565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102870</xdr:colOff>
      <xdr:row>3</xdr:row>
      <xdr:rowOff>99060</xdr:rowOff>
    </xdr:to>
    <xdr:pic>
      <xdr:nvPicPr>
        <xdr:cNvPr id="402" name="ID_F8BE3957FC4E4BE2B4142C110478568A" descr="upload_post_object_v2_2038301221"/>
        <xdr:cNvPicPr/>
      </xdr:nvPicPr>
      <xdr:blipFill>
        <a:blip r:embed="rId367"/>
        <a:stretch>
          <a:fillRect/>
        </a:stretch>
      </xdr:blipFill>
      <xdr:spPr>
        <a:xfrm>
          <a:off x="0" y="0"/>
          <a:ext cx="78867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179070</xdr:colOff>
      <xdr:row>3</xdr:row>
      <xdr:rowOff>41910</xdr:rowOff>
    </xdr:to>
    <xdr:pic>
      <xdr:nvPicPr>
        <xdr:cNvPr id="403" name="ID_E4819AA4033A4F65AFE678DCCDF74B80" descr="upload_post_object_v2_1365073424"/>
        <xdr:cNvPicPr/>
      </xdr:nvPicPr>
      <xdr:blipFill>
        <a:blip r:embed="rId368"/>
        <a:stretch>
          <a:fillRect/>
        </a:stretch>
      </xdr:blipFill>
      <xdr:spPr>
        <a:xfrm>
          <a:off x="0" y="0"/>
          <a:ext cx="864870" cy="55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131445</xdr:colOff>
      <xdr:row>4</xdr:row>
      <xdr:rowOff>1905</xdr:rowOff>
    </xdr:to>
    <xdr:pic>
      <xdr:nvPicPr>
        <xdr:cNvPr id="404" name="ID_474804668E924D46915EDAEB9D7E89D9" descr="upload_post_object_v2_642370477"/>
        <xdr:cNvPicPr/>
      </xdr:nvPicPr>
      <xdr:blipFill>
        <a:blip r:embed="rId369"/>
        <a:stretch>
          <a:fillRect/>
        </a:stretch>
      </xdr:blipFill>
      <xdr:spPr>
        <a:xfrm>
          <a:off x="0" y="0"/>
          <a:ext cx="817245" cy="68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</xdr:colOff>
      <xdr:row>3</xdr:row>
      <xdr:rowOff>89535</xdr:rowOff>
    </xdr:to>
    <xdr:pic>
      <xdr:nvPicPr>
        <xdr:cNvPr id="405" name="ID_99EEF22C199942BB876E04057BC7DA34" descr="upload_post_object_v2_1603945635"/>
        <xdr:cNvPicPr/>
      </xdr:nvPicPr>
      <xdr:blipFill>
        <a:blip r:embed="rId370"/>
        <a:stretch>
          <a:fillRect/>
        </a:stretch>
      </xdr:blipFill>
      <xdr:spPr>
        <a:xfrm>
          <a:off x="0" y="0"/>
          <a:ext cx="140589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466725</xdr:colOff>
      <xdr:row>3</xdr:row>
      <xdr:rowOff>89535</xdr:rowOff>
    </xdr:to>
    <xdr:pic>
      <xdr:nvPicPr>
        <xdr:cNvPr id="406" name="ID_147D4E7BAA9541EDBA62F5F53D5E8EE8" descr="upload_post_object_v2_87821200"/>
        <xdr:cNvPicPr/>
      </xdr:nvPicPr>
      <xdr:blipFill>
        <a:blip r:embed="rId371"/>
        <a:stretch>
          <a:fillRect/>
        </a:stretch>
      </xdr:blipFill>
      <xdr:spPr>
        <a:xfrm>
          <a:off x="0" y="0"/>
          <a:ext cx="46672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4</xdr:row>
      <xdr:rowOff>59055</xdr:rowOff>
    </xdr:to>
    <xdr:pic>
      <xdr:nvPicPr>
        <xdr:cNvPr id="407" name="ID_76F3F86CC145416EAACB95F504B6A3F3" descr="upload_post_object_v2_1719611147"/>
        <xdr:cNvPicPr/>
      </xdr:nvPicPr>
      <xdr:blipFill>
        <a:blip r:embed="rId372"/>
        <a:stretch>
          <a:fillRect/>
        </a:stretch>
      </xdr:blipFill>
      <xdr:spPr>
        <a:xfrm>
          <a:off x="0" y="0"/>
          <a:ext cx="609600" cy="744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4</xdr:row>
      <xdr:rowOff>3810</xdr:rowOff>
    </xdr:to>
    <xdr:pic>
      <xdr:nvPicPr>
        <xdr:cNvPr id="408" name="ID_CCECD8DF9CF74AC0A5B4391F62A455D4" descr="upload_post_object_v2_1358046626"/>
        <xdr:cNvPicPr/>
      </xdr:nvPicPr>
      <xdr:blipFill>
        <a:blip r:embed="rId373"/>
        <a:stretch>
          <a:fillRect/>
        </a:stretch>
      </xdr:blipFill>
      <xdr:spPr>
        <a:xfrm>
          <a:off x="0" y="0"/>
          <a:ext cx="542925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74295</xdr:colOff>
      <xdr:row>3</xdr:row>
      <xdr:rowOff>156210</xdr:rowOff>
    </xdr:to>
    <xdr:pic>
      <xdr:nvPicPr>
        <xdr:cNvPr id="409" name="ID_75C10B8CD9334FFDB3DC03F8EB9CDC77" descr="upload_post_object_v2_3652087887"/>
        <xdr:cNvPicPr/>
      </xdr:nvPicPr>
      <xdr:blipFill>
        <a:blip r:embed="rId374"/>
        <a:stretch>
          <a:fillRect/>
        </a:stretch>
      </xdr:blipFill>
      <xdr:spPr>
        <a:xfrm>
          <a:off x="0" y="0"/>
          <a:ext cx="760095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245745</xdr:colOff>
      <xdr:row>3</xdr:row>
      <xdr:rowOff>108585</xdr:rowOff>
    </xdr:to>
    <xdr:pic>
      <xdr:nvPicPr>
        <xdr:cNvPr id="410" name="ID_AA13D2F409114E95BE6C61E973A35C6F" descr="upload_post_object_v2_3975248834"/>
        <xdr:cNvPicPr/>
      </xdr:nvPicPr>
      <xdr:blipFill>
        <a:blip r:embed="rId375"/>
        <a:stretch>
          <a:fillRect/>
        </a:stretch>
      </xdr:blipFill>
      <xdr:spPr>
        <a:xfrm>
          <a:off x="0" y="0"/>
          <a:ext cx="93154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314325</xdr:colOff>
      <xdr:row>3</xdr:row>
      <xdr:rowOff>118110</xdr:rowOff>
    </xdr:to>
    <xdr:pic>
      <xdr:nvPicPr>
        <xdr:cNvPr id="411" name="ID_582EECE49FE54679AFB3355D867FEA25" descr="upload_post_object_v2_4076548632"/>
        <xdr:cNvPicPr/>
      </xdr:nvPicPr>
      <xdr:blipFill>
        <a:blip r:embed="rId376"/>
        <a:stretch>
          <a:fillRect/>
        </a:stretch>
      </xdr:blipFill>
      <xdr:spPr>
        <a:xfrm>
          <a:off x="0" y="0"/>
          <a:ext cx="314325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198120</xdr:colOff>
      <xdr:row>3</xdr:row>
      <xdr:rowOff>99060</xdr:rowOff>
    </xdr:to>
    <xdr:pic>
      <xdr:nvPicPr>
        <xdr:cNvPr id="412" name="ID_BAA5FDDCD8004A308E90FC1E999A5D02" descr="upload_post_object_v2_4132132215"/>
        <xdr:cNvPicPr/>
      </xdr:nvPicPr>
      <xdr:blipFill>
        <a:blip r:embed="rId377"/>
        <a:stretch>
          <a:fillRect/>
        </a:stretch>
      </xdr:blipFill>
      <xdr:spPr>
        <a:xfrm>
          <a:off x="0" y="0"/>
          <a:ext cx="88392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2</xdr:row>
      <xdr:rowOff>158115</xdr:rowOff>
    </xdr:to>
    <xdr:pic>
      <xdr:nvPicPr>
        <xdr:cNvPr id="413" name="ID_78F153490C5F4E3F986F87830727CEC5" descr="upload_post_object_v2_1818955339"/>
        <xdr:cNvPicPr/>
      </xdr:nvPicPr>
      <xdr:blipFill>
        <a:blip r:embed="rId378"/>
        <a:stretch>
          <a:fillRect/>
        </a:stretch>
      </xdr:blipFill>
      <xdr:spPr>
        <a:xfrm>
          <a:off x="0" y="0"/>
          <a:ext cx="523875" cy="501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37"/>
  <sheetViews>
    <sheetView zoomScale="50" zoomScaleNormal="50" workbookViewId="0">
      <pane ySplit="1" topLeftCell="A78" activePane="bottomLeft" state="frozen"/>
      <selection/>
      <selection pane="bottomLeft" activeCell="G139" sqref="G139:H139"/>
    </sheetView>
  </sheetViews>
  <sheetFormatPr defaultColWidth="9" defaultRowHeight="13.5"/>
  <cols>
    <col min="1" max="1" width="15.1333333333333" customWidth="1"/>
    <col min="2" max="2" width="18.3333333333333" customWidth="1"/>
    <col min="3" max="17" width="15.1333333333333" customWidth="1"/>
    <col min="18" max="18" width="18.9666666666667" customWidth="1"/>
    <col min="19" max="19" width="15.1333333333333" hidden="1" customWidth="1"/>
    <col min="20" max="20" width="17.9666666666667" customWidth="1"/>
    <col min="21" max="21" width="15.1333333333333" hidden="1" customWidth="1"/>
    <col min="22" max="22" width="18.5916666666667" customWidth="1"/>
    <col min="23" max="26" width="15.1333333333333" customWidth="1"/>
    <col min="27" max="29" width="15.1333333333333" hidden="1" customWidth="1"/>
    <col min="30" max="31" width="15.1333333333333" customWidth="1"/>
    <col min="32" max="32" width="25" customWidth="1"/>
    <col min="33" max="40" width="15.1333333333333" customWidth="1"/>
    <col min="41" max="42" width="15.1333333333333" hidden="1" customWidth="1"/>
    <col min="43" max="43" width="20.9666666666667" customWidth="1"/>
    <col min="44" max="44" width="15.1333333333333" customWidth="1"/>
    <col min="45" max="45" width="23.575" customWidth="1"/>
    <col min="46" max="48" width="15.1333333333333" customWidth="1"/>
    <col min="49" max="49" width="22.0333333333333" customWidth="1"/>
    <col min="50" max="50" width="29.1083333333333" customWidth="1"/>
    <col min="51" max="51" width="22.325" customWidth="1"/>
    <col min="52" max="52" width="35" style="773" customWidth="1"/>
  </cols>
  <sheetData>
    <row r="1" ht="68.55" customHeight="1" spans="1:52">
      <c r="A1" s="362" t="s">
        <v>0</v>
      </c>
      <c r="B1" s="362" t="s">
        <v>1</v>
      </c>
      <c r="C1" s="362" t="s">
        <v>2</v>
      </c>
      <c r="D1" s="362" t="s">
        <v>3</v>
      </c>
      <c r="E1" s="362" t="s">
        <v>4</v>
      </c>
      <c r="F1" s="362" t="s">
        <v>5</v>
      </c>
      <c r="G1" s="362" t="s">
        <v>6</v>
      </c>
      <c r="H1" s="504" t="s">
        <v>7</v>
      </c>
      <c r="I1" s="362" t="s">
        <v>8</v>
      </c>
      <c r="J1" s="440" t="s">
        <v>9</v>
      </c>
      <c r="K1" s="774" t="s">
        <v>10</v>
      </c>
      <c r="L1" s="775" t="s">
        <v>8</v>
      </c>
      <c r="M1" s="362" t="s">
        <v>11</v>
      </c>
      <c r="N1" s="443" t="s">
        <v>12</v>
      </c>
      <c r="O1" s="448" t="s">
        <v>13</v>
      </c>
      <c r="P1" s="439" t="s">
        <v>14</v>
      </c>
      <c r="Q1" s="439" t="s">
        <v>15</v>
      </c>
      <c r="R1" s="439" t="s">
        <v>16</v>
      </c>
      <c r="S1" s="440" t="s">
        <v>17</v>
      </c>
      <c r="T1" s="440" t="s">
        <v>18</v>
      </c>
      <c r="U1" s="444" t="s">
        <v>19</v>
      </c>
      <c r="V1" s="440" t="s">
        <v>20</v>
      </c>
      <c r="W1" s="776" t="s">
        <v>21</v>
      </c>
      <c r="X1" s="448" t="s">
        <v>22</v>
      </c>
      <c r="Y1" s="776" t="s">
        <v>23</v>
      </c>
      <c r="Z1" s="776" t="s">
        <v>24</v>
      </c>
      <c r="AA1" s="441" t="s">
        <v>25</v>
      </c>
      <c r="AB1" s="441" t="s">
        <v>26</v>
      </c>
      <c r="AC1" s="441" t="s">
        <v>27</v>
      </c>
      <c r="AD1" s="441" t="s">
        <v>28</v>
      </c>
      <c r="AE1" s="442" t="s">
        <v>29</v>
      </c>
      <c r="AF1" s="362" t="s">
        <v>30</v>
      </c>
      <c r="AG1" s="362" t="s">
        <v>31</v>
      </c>
      <c r="AH1" s="362" t="s">
        <v>32</v>
      </c>
      <c r="AI1" s="443" t="s">
        <v>33</v>
      </c>
      <c r="AJ1" s="362" t="s">
        <v>34</v>
      </c>
      <c r="AK1" s="443" t="s">
        <v>35</v>
      </c>
      <c r="AL1" s="439" t="s">
        <v>36</v>
      </c>
      <c r="AM1" s="444" t="s">
        <v>37</v>
      </c>
      <c r="AN1" s="439" t="s">
        <v>38</v>
      </c>
      <c r="AO1" s="448" t="s">
        <v>10</v>
      </c>
      <c r="AP1" s="673" t="s">
        <v>8</v>
      </c>
      <c r="AQ1" s="777" t="s">
        <v>39</v>
      </c>
      <c r="AR1" s="777" t="s">
        <v>40</v>
      </c>
      <c r="AS1" s="777" t="s">
        <v>41</v>
      </c>
      <c r="AT1" s="777" t="s">
        <v>42</v>
      </c>
      <c r="AU1" s="777" t="s">
        <v>43</v>
      </c>
      <c r="AV1" s="778" t="s">
        <v>44</v>
      </c>
      <c r="AW1" s="779" t="s">
        <v>45</v>
      </c>
      <c r="AX1" s="777" t="s">
        <v>46</v>
      </c>
      <c r="AY1" s="780" t="s">
        <v>47</v>
      </c>
      <c r="AZ1" s="781" t="s">
        <v>48</v>
      </c>
    </row>
    <row r="2" ht="76.9" customHeight="1" spans="1:52">
      <c r="A2" s="782">
        <v>1</v>
      </c>
      <c r="B2" s="783">
        <v>3923900000</v>
      </c>
      <c r="C2" s="783">
        <v>392390</v>
      </c>
      <c r="D2" s="782"/>
      <c r="E2" s="782" t="s">
        <v>49</v>
      </c>
      <c r="F2" s="782" t="s">
        <v>50</v>
      </c>
      <c r="G2" s="784"/>
      <c r="H2" s="785"/>
      <c r="I2" s="786" t="s">
        <v>51</v>
      </c>
      <c r="J2" s="787">
        <v>4400</v>
      </c>
      <c r="K2" s="783">
        <v>4400</v>
      </c>
      <c r="L2" s="783" t="s">
        <v>52</v>
      </c>
      <c r="M2" s="782" t="s">
        <v>53</v>
      </c>
      <c r="N2" s="788"/>
      <c r="O2" s="782"/>
      <c r="P2" s="789">
        <v>56</v>
      </c>
      <c r="Q2" s="790">
        <v>246400</v>
      </c>
      <c r="R2" s="791">
        <v>246400</v>
      </c>
      <c r="T2" s="791">
        <v>10620</v>
      </c>
      <c r="V2" s="791">
        <v>10296</v>
      </c>
      <c r="W2" s="792" t="s">
        <v>54</v>
      </c>
      <c r="X2" s="793" t="s">
        <v>54</v>
      </c>
      <c r="Y2" s="794">
        <v>22</v>
      </c>
      <c r="Z2" s="795">
        <v>200</v>
      </c>
      <c r="AA2" s="795">
        <v>119</v>
      </c>
      <c r="AB2" s="795">
        <v>99</v>
      </c>
      <c r="AC2" s="795">
        <v>243</v>
      </c>
      <c r="AD2" s="796">
        <v>2.8610895989123</v>
      </c>
      <c r="AE2" s="797">
        <v>62.94</v>
      </c>
      <c r="AF2" s="798" t="str">
        <f>_xlfn.DISPIMG("ID_6B6B16C4FA4B4B8B89694FFDC87BFBE3",1)</f>
        <v>=DISPIMG("ID_6B6B16C4FA4B4B8B89694FFDC87BFBE3",1)</v>
      </c>
      <c r="AG2" s="783"/>
      <c r="AH2" s="799" t="s">
        <v>55</v>
      </c>
      <c r="AI2" s="799">
        <v>45996</v>
      </c>
      <c r="AJ2" s="799" t="s">
        <v>56</v>
      </c>
      <c r="AK2" s="799">
        <v>45996</v>
      </c>
      <c r="AL2" s="790">
        <v>56</v>
      </c>
      <c r="AM2" s="790">
        <v>246400</v>
      </c>
      <c r="AN2" s="790">
        <v>246400</v>
      </c>
      <c r="AO2" s="783">
        <v>4400</v>
      </c>
      <c r="AP2" s="783" t="s">
        <v>52</v>
      </c>
      <c r="AQ2" s="786" t="s">
        <v>57</v>
      </c>
      <c r="AR2" s="800">
        <v>45659</v>
      </c>
      <c r="AS2" s="783" t="s">
        <v>58</v>
      </c>
      <c r="AT2" s="800">
        <v>45674</v>
      </c>
      <c r="AU2" s="800">
        <v>45677</v>
      </c>
      <c r="AV2" s="800" t="s">
        <v>59</v>
      </c>
      <c r="AW2" s="783" t="s">
        <v>60</v>
      </c>
      <c r="AX2" s="801">
        <v>16188</v>
      </c>
      <c r="AY2" s="802"/>
      <c r="AZ2" s="803" t="s">
        <v>61</v>
      </c>
    </row>
    <row r="3" ht="76.9" customHeight="1" spans="1:52">
      <c r="A3" s="804"/>
      <c r="B3" s="805"/>
      <c r="C3" s="805"/>
      <c r="D3" s="804"/>
      <c r="E3" s="804"/>
      <c r="F3" s="804"/>
      <c r="G3" s="806"/>
      <c r="H3" s="807"/>
      <c r="I3" s="808"/>
      <c r="J3" s="809"/>
      <c r="K3" s="810"/>
      <c r="L3" s="811"/>
      <c r="M3" s="810"/>
      <c r="N3" s="812"/>
      <c r="O3" s="810"/>
      <c r="P3" s="813"/>
      <c r="Q3" s="809">
        <v>246400</v>
      </c>
      <c r="R3" s="809">
        <v>246400</v>
      </c>
      <c r="T3" s="809">
        <v>10620</v>
      </c>
      <c r="V3" s="809">
        <v>10296</v>
      </c>
      <c r="W3" s="814"/>
      <c r="X3" s="810"/>
      <c r="Y3" s="809">
        <v>22</v>
      </c>
      <c r="Z3" s="810"/>
      <c r="AA3" s="815"/>
      <c r="AB3" s="810"/>
      <c r="AC3" s="810"/>
      <c r="AD3" s="816"/>
      <c r="AE3" s="809">
        <v>62.94</v>
      </c>
      <c r="AF3" s="810"/>
      <c r="AG3" s="810"/>
      <c r="AH3" s="811"/>
      <c r="AI3" s="812"/>
      <c r="AJ3" s="810"/>
      <c r="AK3" s="812"/>
      <c r="AL3" s="809"/>
      <c r="AM3" s="809">
        <v>246400</v>
      </c>
      <c r="AN3" s="809">
        <v>246400</v>
      </c>
      <c r="AO3" s="810"/>
      <c r="AP3" s="811"/>
      <c r="AQ3" s="817"/>
      <c r="AR3" s="807"/>
      <c r="AS3" s="807"/>
      <c r="AT3" s="818"/>
      <c r="AU3" s="807"/>
      <c r="AV3" s="807"/>
      <c r="AW3" s="807"/>
      <c r="AX3" s="819"/>
      <c r="AY3" s="820"/>
      <c r="AZ3" s="821"/>
    </row>
    <row r="4" ht="76.9" customHeight="1" spans="1:52">
      <c r="A4" s="822"/>
      <c r="B4" s="822"/>
      <c r="C4" s="822"/>
      <c r="D4" s="822"/>
      <c r="E4" s="822"/>
      <c r="F4" s="823"/>
      <c r="G4" s="824"/>
      <c r="H4" s="807"/>
      <c r="I4" s="825"/>
      <c r="J4" s="826"/>
      <c r="K4" s="823"/>
      <c r="L4" s="823"/>
      <c r="M4" s="823"/>
      <c r="N4" s="827"/>
      <c r="O4" s="823"/>
      <c r="P4" s="826"/>
      <c r="Q4" s="826"/>
      <c r="R4" s="828"/>
      <c r="T4" s="826"/>
      <c r="V4" s="826"/>
      <c r="W4" s="829"/>
      <c r="X4" s="830"/>
      <c r="Y4" s="823"/>
      <c r="Z4" s="823"/>
      <c r="AA4" s="823"/>
      <c r="AB4" s="823"/>
      <c r="AC4" s="823"/>
      <c r="AD4" s="823"/>
      <c r="AE4" s="823"/>
      <c r="AF4" s="823"/>
      <c r="AG4" s="823"/>
      <c r="AH4" s="831"/>
      <c r="AI4" s="832"/>
      <c r="AJ4" s="831"/>
      <c r="AK4" s="832"/>
      <c r="AL4" s="826"/>
      <c r="AM4" s="826"/>
      <c r="AN4" s="833"/>
      <c r="AO4" s="823"/>
      <c r="AP4" s="823"/>
      <c r="AQ4" s="817"/>
      <c r="AR4" s="807"/>
      <c r="AS4" s="807"/>
      <c r="AT4" s="807"/>
      <c r="AU4" s="807"/>
      <c r="AV4" s="807"/>
      <c r="AW4" s="807"/>
      <c r="AX4" s="819"/>
      <c r="AY4" s="820"/>
      <c r="AZ4" s="821"/>
    </row>
    <row r="5" ht="76.9" customHeight="1" spans="1:52">
      <c r="A5" s="834"/>
      <c r="B5" s="834"/>
      <c r="C5" s="805"/>
      <c r="D5" s="805"/>
      <c r="E5" s="805"/>
      <c r="F5" s="804"/>
      <c r="G5" s="806"/>
      <c r="H5" s="807"/>
      <c r="I5" s="835"/>
      <c r="J5" s="836"/>
      <c r="K5" s="804"/>
      <c r="L5" s="804"/>
      <c r="M5" s="804"/>
      <c r="N5" s="804"/>
      <c r="O5" s="804"/>
      <c r="P5" s="836"/>
      <c r="Q5" s="836"/>
      <c r="R5" s="804" t="s">
        <v>62</v>
      </c>
      <c r="T5" s="836">
        <v>10620</v>
      </c>
      <c r="V5" s="836">
        <v>10296</v>
      </c>
      <c r="W5" s="837"/>
      <c r="X5" s="838"/>
      <c r="Y5" s="836">
        <v>22</v>
      </c>
      <c r="Z5" s="805"/>
      <c r="AA5" s="805"/>
      <c r="AB5" s="805"/>
      <c r="AC5" s="805"/>
      <c r="AD5" s="839"/>
      <c r="AE5" s="836">
        <v>62.94</v>
      </c>
      <c r="AF5" s="804"/>
      <c r="AG5" s="804"/>
      <c r="AH5" s="840"/>
      <c r="AI5" s="841"/>
      <c r="AJ5" s="840"/>
      <c r="AK5" s="841"/>
      <c r="AL5" s="836"/>
      <c r="AM5" s="836">
        <v>246400</v>
      </c>
      <c r="AN5" s="836">
        <v>246400</v>
      </c>
      <c r="AO5" s="804"/>
      <c r="AP5" s="804"/>
      <c r="AQ5" s="817"/>
      <c r="AR5" s="807"/>
      <c r="AS5" s="807"/>
      <c r="AT5" s="807"/>
      <c r="AU5" s="807"/>
      <c r="AV5" s="807"/>
      <c r="AW5" s="807"/>
      <c r="AX5" s="819"/>
      <c r="AY5" s="820"/>
      <c r="AZ5" s="821"/>
    </row>
    <row r="6" ht="79.7" customHeight="1" spans="1:52">
      <c r="A6" s="782">
        <v>1</v>
      </c>
      <c r="B6" s="783">
        <v>3923900000</v>
      </c>
      <c r="C6" s="783">
        <v>392390</v>
      </c>
      <c r="D6" s="782"/>
      <c r="E6" s="782" t="s">
        <v>49</v>
      </c>
      <c r="F6" s="782" t="s">
        <v>50</v>
      </c>
      <c r="G6" s="784"/>
      <c r="H6" s="783"/>
      <c r="I6" s="786" t="s">
        <v>51</v>
      </c>
      <c r="J6" s="787">
        <v>4400</v>
      </c>
      <c r="K6" s="783">
        <v>4400</v>
      </c>
      <c r="L6" s="783" t="s">
        <v>52</v>
      </c>
      <c r="M6" s="782" t="s">
        <v>53</v>
      </c>
      <c r="N6" s="788"/>
      <c r="O6" s="782"/>
      <c r="P6" s="789">
        <v>56</v>
      </c>
      <c r="Q6" s="790">
        <v>246400</v>
      </c>
      <c r="R6" s="791">
        <v>246400</v>
      </c>
      <c r="T6" s="791">
        <v>10560</v>
      </c>
      <c r="V6" s="791">
        <v>10296</v>
      </c>
      <c r="W6" s="792" t="s">
        <v>54</v>
      </c>
      <c r="X6" s="793" t="s">
        <v>54</v>
      </c>
      <c r="Y6" s="794">
        <v>22</v>
      </c>
      <c r="Z6" s="795">
        <v>200</v>
      </c>
      <c r="AA6" s="795">
        <v>119</v>
      </c>
      <c r="AB6" s="795">
        <v>99</v>
      </c>
      <c r="AC6" s="795">
        <v>243</v>
      </c>
      <c r="AD6" s="796">
        <v>2.8610895989123</v>
      </c>
      <c r="AE6" s="797">
        <v>62.94</v>
      </c>
      <c r="AF6" s="798" t="str">
        <f>_xlfn.DISPIMG("ID_6B6B16C4FA4B4B8B89694FFDC87BFBE3",1)</f>
        <v>=DISPIMG("ID_6B6B16C4FA4B4B8B89694FFDC87BFBE3",1)</v>
      </c>
      <c r="AG6" s="783"/>
      <c r="AH6" s="799" t="s">
        <v>63</v>
      </c>
      <c r="AI6" s="799">
        <v>45631</v>
      </c>
      <c r="AJ6" s="799" t="s">
        <v>64</v>
      </c>
      <c r="AK6" s="799">
        <v>45631</v>
      </c>
      <c r="AL6" s="790">
        <v>56</v>
      </c>
      <c r="AM6" s="790">
        <v>246400</v>
      </c>
      <c r="AN6" s="790">
        <v>246400</v>
      </c>
      <c r="AO6" s="783">
        <v>4400</v>
      </c>
      <c r="AP6" s="783" t="s">
        <v>52</v>
      </c>
      <c r="AQ6" s="842" t="s">
        <v>65</v>
      </c>
      <c r="AR6" s="843">
        <v>45660</v>
      </c>
      <c r="AS6" s="795" t="s">
        <v>66</v>
      </c>
      <c r="AT6" s="800">
        <v>45674</v>
      </c>
      <c r="AU6" s="800">
        <v>45677</v>
      </c>
      <c r="AV6" s="800" t="s">
        <v>59</v>
      </c>
      <c r="AW6" s="795" t="s">
        <v>60</v>
      </c>
      <c r="AX6" s="801">
        <v>16188</v>
      </c>
      <c r="AY6" s="802"/>
      <c r="AZ6" s="803" t="s">
        <v>61</v>
      </c>
    </row>
    <row r="7" ht="79.7" customHeight="1" spans="1:52">
      <c r="A7" s="804"/>
      <c r="B7" s="805"/>
      <c r="C7" s="805"/>
      <c r="D7" s="804"/>
      <c r="E7" s="804"/>
      <c r="F7" s="804"/>
      <c r="G7" s="806"/>
      <c r="H7" s="804"/>
      <c r="I7" s="808"/>
      <c r="J7" s="809"/>
      <c r="K7" s="810"/>
      <c r="L7" s="811"/>
      <c r="M7" s="810"/>
      <c r="N7" s="812"/>
      <c r="O7" s="810"/>
      <c r="P7" s="813"/>
      <c r="Q7" s="809">
        <v>246400</v>
      </c>
      <c r="R7" s="809">
        <v>246400</v>
      </c>
      <c r="T7" s="809">
        <v>10560</v>
      </c>
      <c r="V7" s="809">
        <v>10296</v>
      </c>
      <c r="W7" s="814"/>
      <c r="X7" s="810"/>
      <c r="Y7" s="809">
        <v>22</v>
      </c>
      <c r="Z7" s="810"/>
      <c r="AA7" s="815"/>
      <c r="AB7" s="810"/>
      <c r="AC7" s="810"/>
      <c r="AD7" s="816"/>
      <c r="AE7" s="809">
        <v>62.94</v>
      </c>
      <c r="AF7" s="810"/>
      <c r="AG7" s="810"/>
      <c r="AH7" s="811"/>
      <c r="AI7" s="812"/>
      <c r="AJ7" s="810"/>
      <c r="AK7" s="812"/>
      <c r="AL7" s="809"/>
      <c r="AM7" s="809">
        <v>246400</v>
      </c>
      <c r="AN7" s="809">
        <v>246400</v>
      </c>
      <c r="AO7" s="810"/>
      <c r="AP7" s="811"/>
      <c r="AQ7" s="817"/>
      <c r="AR7" s="807"/>
      <c r="AS7" s="807"/>
      <c r="AT7" s="807"/>
      <c r="AU7" s="807"/>
      <c r="AV7" s="807"/>
      <c r="AW7" s="807"/>
      <c r="AX7" s="819"/>
      <c r="AY7" s="820"/>
      <c r="AZ7" s="821"/>
    </row>
    <row r="8" ht="79.7" customHeight="1" spans="1:52">
      <c r="A8" s="822"/>
      <c r="B8" s="822"/>
      <c r="C8" s="822"/>
      <c r="D8" s="822"/>
      <c r="E8" s="822"/>
      <c r="F8" s="823"/>
      <c r="G8" s="824"/>
      <c r="H8" s="823"/>
      <c r="I8" s="825"/>
      <c r="J8" s="826"/>
      <c r="K8" s="823"/>
      <c r="L8" s="823"/>
      <c r="M8" s="823"/>
      <c r="N8" s="827"/>
      <c r="O8" s="823"/>
      <c r="P8" s="826"/>
      <c r="Q8" s="826"/>
      <c r="R8" s="828"/>
      <c r="T8" s="826"/>
      <c r="V8" s="826"/>
      <c r="W8" s="829"/>
      <c r="X8" s="830"/>
      <c r="Y8" s="823"/>
      <c r="Z8" s="823"/>
      <c r="AA8" s="823"/>
      <c r="AB8" s="823"/>
      <c r="AC8" s="823"/>
      <c r="AD8" s="823"/>
      <c r="AE8" s="823"/>
      <c r="AF8" s="823"/>
      <c r="AG8" s="823"/>
      <c r="AH8" s="831"/>
      <c r="AI8" s="832"/>
      <c r="AJ8" s="831"/>
      <c r="AK8" s="832"/>
      <c r="AL8" s="826"/>
      <c r="AM8" s="826"/>
      <c r="AN8" s="833"/>
      <c r="AO8" s="823"/>
      <c r="AP8" s="823"/>
      <c r="AQ8" s="817"/>
      <c r="AR8" s="807"/>
      <c r="AS8" s="807"/>
      <c r="AT8" s="807"/>
      <c r="AU8" s="807"/>
      <c r="AV8" s="807"/>
      <c r="AW8" s="807"/>
      <c r="AX8" s="819"/>
      <c r="AY8" s="820"/>
      <c r="AZ8" s="821"/>
    </row>
    <row r="9" ht="79.7" customHeight="1" spans="1:52">
      <c r="A9" s="834"/>
      <c r="B9" s="834"/>
      <c r="C9" s="805"/>
      <c r="D9" s="805"/>
      <c r="E9" s="805"/>
      <c r="F9" s="804"/>
      <c r="G9" s="806"/>
      <c r="H9" s="804"/>
      <c r="I9" s="835"/>
      <c r="J9" s="836"/>
      <c r="K9" s="804"/>
      <c r="L9" s="804"/>
      <c r="M9" s="804"/>
      <c r="N9" s="804"/>
      <c r="O9" s="804"/>
      <c r="P9" s="836"/>
      <c r="Q9" s="836"/>
      <c r="R9" s="804" t="s">
        <v>62</v>
      </c>
      <c r="T9" s="836">
        <v>10560</v>
      </c>
      <c r="V9" s="836">
        <v>10296</v>
      </c>
      <c r="W9" s="837"/>
      <c r="X9" s="838"/>
      <c r="Y9" s="836">
        <v>22</v>
      </c>
      <c r="Z9" s="805"/>
      <c r="AA9" s="805"/>
      <c r="AB9" s="805"/>
      <c r="AC9" s="805"/>
      <c r="AD9" s="839"/>
      <c r="AE9" s="836">
        <v>62.94</v>
      </c>
      <c r="AF9" s="804"/>
      <c r="AG9" s="804"/>
      <c r="AH9" s="840"/>
      <c r="AI9" s="841"/>
      <c r="AJ9" s="840"/>
      <c r="AK9" s="841"/>
      <c r="AL9" s="836"/>
      <c r="AM9" s="836">
        <v>246400</v>
      </c>
      <c r="AN9" s="836">
        <v>246400</v>
      </c>
      <c r="AO9" s="804"/>
      <c r="AP9" s="804"/>
      <c r="AQ9" s="817"/>
      <c r="AR9" s="807"/>
      <c r="AS9" s="807"/>
      <c r="AT9" s="807"/>
      <c r="AU9" s="807"/>
      <c r="AV9" s="807"/>
      <c r="AW9" s="807"/>
      <c r="AX9" s="819"/>
      <c r="AY9" s="820"/>
      <c r="AZ9" s="821"/>
    </row>
    <row r="10" ht="57" spans="1:52">
      <c r="A10" s="782">
        <v>1</v>
      </c>
      <c r="B10" s="783">
        <v>8480790090</v>
      </c>
      <c r="C10" s="783">
        <v>848079</v>
      </c>
      <c r="D10" s="844" t="s">
        <v>67</v>
      </c>
      <c r="E10" s="844" t="s">
        <v>68</v>
      </c>
      <c r="F10" s="844" t="s">
        <v>69</v>
      </c>
      <c r="G10" s="845"/>
      <c r="H10" s="785"/>
      <c r="I10" s="846" t="s">
        <v>51</v>
      </c>
      <c r="J10" s="844">
        <v>4</v>
      </c>
      <c r="K10" s="847">
        <v>4</v>
      </c>
      <c r="L10" s="847" t="s">
        <v>52</v>
      </c>
      <c r="M10" s="782" t="s">
        <v>70</v>
      </c>
      <c r="N10" s="848"/>
      <c r="O10" s="849"/>
      <c r="P10" s="844">
        <v>120</v>
      </c>
      <c r="Q10" s="850">
        <v>480</v>
      </c>
      <c r="R10" s="791">
        <v>26320</v>
      </c>
      <c r="T10" s="850">
        <v>0.97</v>
      </c>
      <c r="V10" s="791">
        <v>0.91</v>
      </c>
      <c r="W10" s="851">
        <v>2</v>
      </c>
      <c r="X10" s="852" t="s">
        <v>71</v>
      </c>
      <c r="Y10" s="852">
        <v>1</v>
      </c>
      <c r="Z10" s="851">
        <v>4</v>
      </c>
      <c r="AA10" s="853"/>
      <c r="AB10" s="853"/>
      <c r="AC10" s="853"/>
      <c r="AD10" s="854">
        <v>0</v>
      </c>
      <c r="AE10" s="854">
        <v>0.1</v>
      </c>
      <c r="AF10" s="855" t="str">
        <f>_xlfn.DISPIMG("ID_8FE94ACA647642CD956D85F203645F70",1)</f>
        <v>=DISPIMG("ID_8FE94ACA647642CD956D85F203645F70",1)</v>
      </c>
      <c r="AG10" s="795"/>
      <c r="AH10" s="783" t="s">
        <v>72</v>
      </c>
      <c r="AI10" s="800">
        <v>45631</v>
      </c>
      <c r="AJ10" s="783" t="s">
        <v>73</v>
      </c>
      <c r="AK10" s="800">
        <v>45631</v>
      </c>
      <c r="AL10" s="791">
        <v>120</v>
      </c>
      <c r="AM10" s="791">
        <v>480</v>
      </c>
      <c r="AN10" s="791">
        <v>13830</v>
      </c>
      <c r="AO10" s="847">
        <v>4</v>
      </c>
      <c r="AP10" s="847" t="s">
        <v>52</v>
      </c>
      <c r="AQ10" s="842" t="s">
        <v>74</v>
      </c>
      <c r="AR10" s="843">
        <v>45660</v>
      </c>
      <c r="AS10" s="795" t="s">
        <v>75</v>
      </c>
      <c r="AT10" s="800">
        <v>45674</v>
      </c>
      <c r="AU10" s="800">
        <v>45677</v>
      </c>
      <c r="AV10" s="795" t="s">
        <v>76</v>
      </c>
      <c r="AW10" s="795" t="s">
        <v>60</v>
      </c>
      <c r="AX10" s="856" t="s">
        <v>77</v>
      </c>
      <c r="AY10" s="857"/>
      <c r="AZ10" s="858" t="s">
        <v>78</v>
      </c>
    </row>
    <row r="11" ht="85.5" spans="1:52">
      <c r="A11" s="782">
        <v>2</v>
      </c>
      <c r="B11" s="783">
        <v>8480790090</v>
      </c>
      <c r="C11" s="783">
        <v>848079</v>
      </c>
      <c r="D11" s="844" t="s">
        <v>67</v>
      </c>
      <c r="E11" s="844" t="s">
        <v>79</v>
      </c>
      <c r="F11" s="844" t="s">
        <v>80</v>
      </c>
      <c r="G11" s="845"/>
      <c r="H11" s="785"/>
      <c r="I11" s="846" t="s">
        <v>51</v>
      </c>
      <c r="J11" s="844">
        <v>2</v>
      </c>
      <c r="K11" s="847">
        <v>2</v>
      </c>
      <c r="L11" s="847" t="s">
        <v>52</v>
      </c>
      <c r="M11" s="782"/>
      <c r="N11" s="848"/>
      <c r="O11" s="849"/>
      <c r="P11" s="844">
        <v>700</v>
      </c>
      <c r="Q11" s="850">
        <v>1400</v>
      </c>
      <c r="R11" s="791"/>
      <c r="T11" s="850">
        <v>3.36</v>
      </c>
      <c r="V11" s="791">
        <v>3.3</v>
      </c>
      <c r="W11" s="851"/>
      <c r="X11" s="852"/>
      <c r="Y11" s="852"/>
      <c r="Z11" s="851">
        <v>2</v>
      </c>
      <c r="AA11" s="853"/>
      <c r="AB11" s="853"/>
      <c r="AC11" s="853"/>
      <c r="AD11" s="854"/>
      <c r="AE11" s="854"/>
      <c r="AF11" s="855" t="str">
        <f>_xlfn.DISPIMG("ID_F0EA65887D414FBD88E7003B0A02AFF3",1)</f>
        <v>=DISPIMG("ID_F0EA65887D414FBD88E7003B0A02AFF3",1)</v>
      </c>
      <c r="AG11" s="795"/>
      <c r="AH11" s="783"/>
      <c r="AI11" s="800"/>
      <c r="AJ11" s="783"/>
      <c r="AK11" s="800"/>
      <c r="AL11" s="791">
        <v>700</v>
      </c>
      <c r="AM11" s="791">
        <v>1400</v>
      </c>
      <c r="AN11" s="791"/>
      <c r="AO11" s="847">
        <v>2</v>
      </c>
      <c r="AP11" s="847" t="s">
        <v>52</v>
      </c>
      <c r="AQ11" s="842" t="s">
        <v>74</v>
      </c>
      <c r="AR11" s="843">
        <v>45660</v>
      </c>
      <c r="AS11" s="795" t="s">
        <v>75</v>
      </c>
      <c r="AT11" s="800">
        <v>45674</v>
      </c>
      <c r="AU11" s="800">
        <v>45677</v>
      </c>
      <c r="AV11" s="795" t="s">
        <v>76</v>
      </c>
      <c r="AW11" s="795" t="s">
        <v>60</v>
      </c>
      <c r="AX11" s="859"/>
      <c r="AY11" s="860"/>
      <c r="AZ11" s="861"/>
    </row>
    <row r="12" ht="47.25" customHeight="1" spans="1:52">
      <c r="A12" s="782">
        <v>3</v>
      </c>
      <c r="B12" s="783">
        <v>9405990000</v>
      </c>
      <c r="C12" s="783">
        <v>940599</v>
      </c>
      <c r="D12" s="844" t="s">
        <v>67</v>
      </c>
      <c r="E12" s="844" t="s">
        <v>81</v>
      </c>
      <c r="F12" s="844" t="s">
        <v>82</v>
      </c>
      <c r="G12" s="845"/>
      <c r="H12" s="785"/>
      <c r="I12" s="846" t="s">
        <v>51</v>
      </c>
      <c r="J12" s="844">
        <v>2</v>
      </c>
      <c r="K12" s="847">
        <v>2</v>
      </c>
      <c r="L12" s="847" t="s">
        <v>52</v>
      </c>
      <c r="M12" s="782"/>
      <c r="N12" s="848"/>
      <c r="O12" s="849"/>
      <c r="P12" s="844">
        <v>110</v>
      </c>
      <c r="Q12" s="850">
        <v>220</v>
      </c>
      <c r="R12" s="791"/>
      <c r="T12" s="850">
        <v>1.32</v>
      </c>
      <c r="V12" s="850">
        <v>1.26</v>
      </c>
      <c r="W12" s="851"/>
      <c r="X12" s="852"/>
      <c r="Y12" s="852"/>
      <c r="Z12" s="851">
        <v>2</v>
      </c>
      <c r="AA12" s="853"/>
      <c r="AB12" s="853"/>
      <c r="AC12" s="853"/>
      <c r="AD12" s="854"/>
      <c r="AE12" s="854"/>
      <c r="AF12" s="855" t="str">
        <f>_xlfn.DISPIMG("ID_C2634432D5F8470D94EBC8DCEA3AC690",1)</f>
        <v>=DISPIMG("ID_C2634432D5F8470D94EBC8DCEA3AC690",1)</v>
      </c>
      <c r="AG12" s="795"/>
      <c r="AH12" s="783"/>
      <c r="AI12" s="800"/>
      <c r="AJ12" s="783"/>
      <c r="AK12" s="800"/>
      <c r="AL12" s="791">
        <v>110</v>
      </c>
      <c r="AM12" s="791">
        <v>220</v>
      </c>
      <c r="AN12" s="791"/>
      <c r="AO12" s="847">
        <v>2</v>
      </c>
      <c r="AP12" s="847" t="s">
        <v>52</v>
      </c>
      <c r="AQ12" s="842" t="s">
        <v>74</v>
      </c>
      <c r="AR12" s="843">
        <v>45660</v>
      </c>
      <c r="AS12" s="795" t="s">
        <v>75</v>
      </c>
      <c r="AT12" s="800">
        <v>45674</v>
      </c>
      <c r="AU12" s="800">
        <v>45677</v>
      </c>
      <c r="AV12" s="795" t="s">
        <v>76</v>
      </c>
      <c r="AW12" s="795" t="s">
        <v>60</v>
      </c>
      <c r="AX12" s="859"/>
      <c r="AY12" s="860"/>
      <c r="AZ12" s="861"/>
    </row>
    <row r="13" ht="83.45" customHeight="1" spans="1:52">
      <c r="A13" s="782">
        <v>4</v>
      </c>
      <c r="B13" s="783">
        <v>8480790090</v>
      </c>
      <c r="C13" s="783">
        <v>848079</v>
      </c>
      <c r="D13" s="844" t="s">
        <v>67</v>
      </c>
      <c r="E13" s="844" t="s">
        <v>83</v>
      </c>
      <c r="F13" s="844" t="s">
        <v>84</v>
      </c>
      <c r="G13" s="845"/>
      <c r="H13" s="785"/>
      <c r="I13" s="846" t="s">
        <v>51</v>
      </c>
      <c r="J13" s="844">
        <v>2</v>
      </c>
      <c r="K13" s="847">
        <v>2</v>
      </c>
      <c r="L13" s="847" t="s">
        <v>52</v>
      </c>
      <c r="M13" s="782"/>
      <c r="N13" s="848"/>
      <c r="O13" s="849"/>
      <c r="P13" s="844">
        <v>500</v>
      </c>
      <c r="Q13" s="850">
        <v>1000</v>
      </c>
      <c r="R13" s="791"/>
      <c r="T13" s="850">
        <v>1.86</v>
      </c>
      <c r="V13" s="850">
        <v>1.8</v>
      </c>
      <c r="W13" s="851"/>
      <c r="X13" s="852"/>
      <c r="Y13" s="852"/>
      <c r="Z13" s="851">
        <v>2</v>
      </c>
      <c r="AA13" s="853"/>
      <c r="AB13" s="853"/>
      <c r="AC13" s="853"/>
      <c r="AD13" s="854"/>
      <c r="AE13" s="854"/>
      <c r="AF13" s="855" t="str">
        <f>_xlfn.DISPIMG("ID_CF02C89252324C018514166078A94805",1)</f>
        <v>=DISPIMG("ID_CF02C89252324C018514166078A94805",1)</v>
      </c>
      <c r="AG13" s="795"/>
      <c r="AH13" s="783"/>
      <c r="AI13" s="800"/>
      <c r="AJ13" s="783"/>
      <c r="AK13" s="800"/>
      <c r="AL13" s="791">
        <v>500</v>
      </c>
      <c r="AM13" s="791">
        <v>1000</v>
      </c>
      <c r="AN13" s="791"/>
      <c r="AO13" s="847">
        <v>2</v>
      </c>
      <c r="AP13" s="847" t="s">
        <v>52</v>
      </c>
      <c r="AQ13" s="842" t="s">
        <v>74</v>
      </c>
      <c r="AR13" s="843">
        <v>45660</v>
      </c>
      <c r="AS13" s="795" t="s">
        <v>75</v>
      </c>
      <c r="AT13" s="800">
        <v>45674</v>
      </c>
      <c r="AU13" s="800">
        <v>45677</v>
      </c>
      <c r="AV13" s="795" t="s">
        <v>76</v>
      </c>
      <c r="AW13" s="795" t="s">
        <v>60</v>
      </c>
      <c r="AX13" s="859"/>
      <c r="AY13" s="860"/>
      <c r="AZ13" s="861"/>
    </row>
    <row r="14" ht="83.45" customHeight="1" spans="1:52">
      <c r="A14" s="782">
        <v>5</v>
      </c>
      <c r="B14" s="783">
        <v>8480790090</v>
      </c>
      <c r="C14" s="783">
        <v>848079</v>
      </c>
      <c r="D14" s="844" t="s">
        <v>67</v>
      </c>
      <c r="E14" s="844" t="s">
        <v>85</v>
      </c>
      <c r="F14" s="844" t="s">
        <v>86</v>
      </c>
      <c r="G14" s="845"/>
      <c r="H14" s="785"/>
      <c r="I14" s="846" t="s">
        <v>51</v>
      </c>
      <c r="J14" s="844">
        <v>2</v>
      </c>
      <c r="K14" s="847">
        <v>2</v>
      </c>
      <c r="L14" s="847" t="s">
        <v>52</v>
      </c>
      <c r="M14" s="782"/>
      <c r="N14" s="848"/>
      <c r="O14" s="849"/>
      <c r="P14" s="844">
        <v>500</v>
      </c>
      <c r="Q14" s="850">
        <v>1000</v>
      </c>
      <c r="R14" s="791"/>
      <c r="T14" s="850">
        <v>0.76</v>
      </c>
      <c r="V14" s="850">
        <v>0.7</v>
      </c>
      <c r="W14" s="851"/>
      <c r="X14" s="852"/>
      <c r="Y14" s="852"/>
      <c r="Z14" s="851">
        <v>2</v>
      </c>
      <c r="AA14" s="853"/>
      <c r="AB14" s="853"/>
      <c r="AC14" s="853"/>
      <c r="AD14" s="854"/>
      <c r="AE14" s="854"/>
      <c r="AF14" s="855" t="str">
        <f>_xlfn.DISPIMG("ID_745DB565B82B4711AA974B3E3591D4E1",1)</f>
        <v>=DISPIMG("ID_745DB565B82B4711AA974B3E3591D4E1",1)</v>
      </c>
      <c r="AG14" s="795"/>
      <c r="AH14" s="783"/>
      <c r="AI14" s="800"/>
      <c r="AJ14" s="783"/>
      <c r="AK14" s="800"/>
      <c r="AL14" s="791">
        <v>500</v>
      </c>
      <c r="AM14" s="791">
        <v>1000</v>
      </c>
      <c r="AN14" s="791"/>
      <c r="AO14" s="847">
        <v>2</v>
      </c>
      <c r="AP14" s="847" t="s">
        <v>52</v>
      </c>
      <c r="AQ14" s="842" t="s">
        <v>74</v>
      </c>
      <c r="AR14" s="843">
        <v>45660</v>
      </c>
      <c r="AS14" s="795" t="s">
        <v>75</v>
      </c>
      <c r="AT14" s="800">
        <v>45674</v>
      </c>
      <c r="AU14" s="800">
        <v>45677</v>
      </c>
      <c r="AV14" s="795" t="s">
        <v>76</v>
      </c>
      <c r="AW14" s="795" t="s">
        <v>60</v>
      </c>
      <c r="AX14" s="859"/>
      <c r="AY14" s="860"/>
      <c r="AZ14" s="861"/>
    </row>
    <row r="15" ht="83.45" customHeight="1" spans="1:52">
      <c r="A15" s="782">
        <v>6</v>
      </c>
      <c r="B15" s="783">
        <v>8480790090</v>
      </c>
      <c r="C15" s="783">
        <v>848079</v>
      </c>
      <c r="D15" s="844" t="s">
        <v>87</v>
      </c>
      <c r="E15" s="844" t="s">
        <v>88</v>
      </c>
      <c r="F15" s="844" t="s">
        <v>89</v>
      </c>
      <c r="G15" s="845"/>
      <c r="H15" s="785"/>
      <c r="I15" s="846" t="s">
        <v>51</v>
      </c>
      <c r="J15" s="844">
        <v>2</v>
      </c>
      <c r="K15" s="847">
        <v>2</v>
      </c>
      <c r="L15" s="847" t="s">
        <v>52</v>
      </c>
      <c r="M15" s="782"/>
      <c r="N15" s="848"/>
      <c r="O15" s="849"/>
      <c r="P15" s="844">
        <v>475</v>
      </c>
      <c r="Q15" s="850">
        <v>950</v>
      </c>
      <c r="R15" s="791"/>
      <c r="T15" s="850">
        <v>2.56</v>
      </c>
      <c r="V15" s="850">
        <v>2.5</v>
      </c>
      <c r="W15" s="851"/>
      <c r="X15" s="852"/>
      <c r="Y15" s="852"/>
      <c r="Z15" s="851">
        <v>2</v>
      </c>
      <c r="AA15" s="853"/>
      <c r="AB15" s="853"/>
      <c r="AC15" s="853"/>
      <c r="AD15" s="854"/>
      <c r="AE15" s="854"/>
      <c r="AF15" s="862" t="str">
        <f>_xlfn.DISPIMG("ID_32A27F73F46047C8969CD2866D9955D3",1)</f>
        <v>=DISPIMG("ID_32A27F73F46047C8969CD2866D9955D3",1)</v>
      </c>
      <c r="AG15" s="795"/>
      <c r="AH15" s="783"/>
      <c r="AI15" s="800"/>
      <c r="AJ15" s="783"/>
      <c r="AK15" s="800"/>
      <c r="AL15" s="791">
        <v>475</v>
      </c>
      <c r="AM15" s="791">
        <v>950</v>
      </c>
      <c r="AN15" s="791"/>
      <c r="AO15" s="847">
        <v>2</v>
      </c>
      <c r="AP15" s="847" t="s">
        <v>52</v>
      </c>
      <c r="AQ15" s="842" t="s">
        <v>74</v>
      </c>
      <c r="AR15" s="843">
        <v>45660</v>
      </c>
      <c r="AS15" s="795" t="s">
        <v>75</v>
      </c>
      <c r="AT15" s="800">
        <v>45674</v>
      </c>
      <c r="AU15" s="800">
        <v>45677</v>
      </c>
      <c r="AV15" s="795" t="s">
        <v>76</v>
      </c>
      <c r="AW15" s="795" t="s">
        <v>60</v>
      </c>
      <c r="AX15" s="859"/>
      <c r="AY15" s="860"/>
      <c r="AZ15" s="861"/>
    </row>
    <row r="16" ht="78" spans="1:52">
      <c r="A16" s="782">
        <v>7</v>
      </c>
      <c r="B16" s="783">
        <v>8480790090</v>
      </c>
      <c r="C16" s="783">
        <v>848079</v>
      </c>
      <c r="D16" s="844" t="s">
        <v>87</v>
      </c>
      <c r="E16" s="844" t="s">
        <v>90</v>
      </c>
      <c r="F16" s="844" t="s">
        <v>91</v>
      </c>
      <c r="G16" s="845"/>
      <c r="H16" s="785"/>
      <c r="I16" s="846" t="s">
        <v>51</v>
      </c>
      <c r="J16" s="844">
        <v>1</v>
      </c>
      <c r="K16" s="847">
        <v>1</v>
      </c>
      <c r="L16" s="847" t="s">
        <v>52</v>
      </c>
      <c r="M16" s="782"/>
      <c r="N16" s="848"/>
      <c r="O16" s="849"/>
      <c r="P16" s="844">
        <v>160</v>
      </c>
      <c r="Q16" s="850">
        <v>160</v>
      </c>
      <c r="R16" s="791"/>
      <c r="T16" s="850">
        <v>0.5</v>
      </c>
      <c r="V16" s="850">
        <v>0.44</v>
      </c>
      <c r="W16" s="851"/>
      <c r="X16" s="852"/>
      <c r="Y16" s="852"/>
      <c r="Z16" s="851">
        <v>1</v>
      </c>
      <c r="AA16" s="853"/>
      <c r="AB16" s="853"/>
      <c r="AC16" s="853"/>
      <c r="AD16" s="854"/>
      <c r="AE16" s="854"/>
      <c r="AF16" s="862" t="str">
        <f>_xlfn.DISPIMG("ID_0B5834FE48B24586813C530B349AC09B",1)</f>
        <v>=DISPIMG("ID_0B5834FE48B24586813C530B349AC09B",1)</v>
      </c>
      <c r="AG16" s="795"/>
      <c r="AH16" s="783"/>
      <c r="AI16" s="800"/>
      <c r="AJ16" s="783"/>
      <c r="AK16" s="800"/>
      <c r="AL16" s="791">
        <v>160</v>
      </c>
      <c r="AM16" s="791">
        <v>160</v>
      </c>
      <c r="AN16" s="791"/>
      <c r="AO16" s="847">
        <v>1</v>
      </c>
      <c r="AP16" s="847" t="s">
        <v>52</v>
      </c>
      <c r="AQ16" s="842" t="s">
        <v>74</v>
      </c>
      <c r="AR16" s="843">
        <v>45660</v>
      </c>
      <c r="AS16" s="795" t="s">
        <v>75</v>
      </c>
      <c r="AT16" s="800">
        <v>45674</v>
      </c>
      <c r="AU16" s="800">
        <v>45677</v>
      </c>
      <c r="AV16" s="795" t="s">
        <v>76</v>
      </c>
      <c r="AW16" s="795" t="s">
        <v>60</v>
      </c>
      <c r="AX16" s="859"/>
      <c r="AY16" s="860"/>
      <c r="AZ16" s="861"/>
    </row>
    <row r="17" ht="63" customHeight="1" spans="1:52">
      <c r="A17" s="782">
        <v>8</v>
      </c>
      <c r="B17" s="783">
        <v>8480790090</v>
      </c>
      <c r="C17" s="783">
        <v>848079</v>
      </c>
      <c r="D17" s="844" t="s">
        <v>87</v>
      </c>
      <c r="E17" s="844" t="s">
        <v>92</v>
      </c>
      <c r="F17" s="844" t="s">
        <v>93</v>
      </c>
      <c r="G17" s="845"/>
      <c r="H17" s="785"/>
      <c r="I17" s="846" t="s">
        <v>51</v>
      </c>
      <c r="J17" s="844">
        <v>6</v>
      </c>
      <c r="K17" s="847">
        <v>6</v>
      </c>
      <c r="L17" s="847" t="s">
        <v>52</v>
      </c>
      <c r="M17" s="782"/>
      <c r="N17" s="848"/>
      <c r="O17" s="849"/>
      <c r="P17" s="844">
        <v>160</v>
      </c>
      <c r="Q17" s="850">
        <v>960</v>
      </c>
      <c r="R17" s="791"/>
      <c r="T17" s="850">
        <v>2.22</v>
      </c>
      <c r="V17" s="850">
        <v>2.16</v>
      </c>
      <c r="W17" s="851"/>
      <c r="X17" s="852"/>
      <c r="Y17" s="852"/>
      <c r="Z17" s="851">
        <v>6</v>
      </c>
      <c r="AA17" s="853"/>
      <c r="AB17" s="853"/>
      <c r="AC17" s="853"/>
      <c r="AD17" s="854"/>
      <c r="AE17" s="854"/>
      <c r="AF17" s="862" t="str">
        <f>_xlfn.DISPIMG("ID_AA5B34CBC225478795798F5B047E221C",1)</f>
        <v>=DISPIMG("ID_AA5B34CBC225478795798F5B047E221C",1)</v>
      </c>
      <c r="AG17" s="795"/>
      <c r="AH17" s="783"/>
      <c r="AI17" s="800"/>
      <c r="AJ17" s="783"/>
      <c r="AK17" s="800"/>
      <c r="AL17" s="791">
        <v>160</v>
      </c>
      <c r="AM17" s="791">
        <v>960</v>
      </c>
      <c r="AN17" s="791"/>
      <c r="AO17" s="847">
        <v>6</v>
      </c>
      <c r="AP17" s="847" t="s">
        <v>52</v>
      </c>
      <c r="AQ17" s="842" t="s">
        <v>74</v>
      </c>
      <c r="AR17" s="843">
        <v>45660</v>
      </c>
      <c r="AS17" s="795" t="s">
        <v>75</v>
      </c>
      <c r="AT17" s="800">
        <v>45674</v>
      </c>
      <c r="AU17" s="800">
        <v>45677</v>
      </c>
      <c r="AV17" s="795" t="s">
        <v>76</v>
      </c>
      <c r="AW17" s="795" t="s">
        <v>60</v>
      </c>
      <c r="AX17" s="859"/>
      <c r="AY17" s="860"/>
      <c r="AZ17" s="861"/>
    </row>
    <row r="18" ht="78" spans="1:52">
      <c r="A18" s="782">
        <v>9</v>
      </c>
      <c r="B18" s="783">
        <v>8480790090</v>
      </c>
      <c r="C18" s="783">
        <v>848079</v>
      </c>
      <c r="D18" s="844" t="s">
        <v>87</v>
      </c>
      <c r="E18" s="844" t="s">
        <v>94</v>
      </c>
      <c r="F18" s="844" t="s">
        <v>95</v>
      </c>
      <c r="G18" s="845"/>
      <c r="H18" s="785"/>
      <c r="I18" s="846" t="s">
        <v>51</v>
      </c>
      <c r="J18" s="844">
        <v>1</v>
      </c>
      <c r="K18" s="847">
        <v>1</v>
      </c>
      <c r="L18" s="847" t="s">
        <v>52</v>
      </c>
      <c r="M18" s="782"/>
      <c r="N18" s="848"/>
      <c r="O18" s="849"/>
      <c r="P18" s="844">
        <v>160</v>
      </c>
      <c r="Q18" s="850">
        <v>160</v>
      </c>
      <c r="R18" s="791"/>
      <c r="T18" s="850">
        <v>0.44</v>
      </c>
      <c r="V18" s="850">
        <v>0.38</v>
      </c>
      <c r="W18" s="851"/>
      <c r="X18" s="852"/>
      <c r="Y18" s="852"/>
      <c r="Z18" s="851">
        <v>1</v>
      </c>
      <c r="AA18" s="853"/>
      <c r="AB18" s="853"/>
      <c r="AC18" s="853"/>
      <c r="AD18" s="854"/>
      <c r="AE18" s="854"/>
      <c r="AF18" s="862" t="str">
        <f>_xlfn.DISPIMG("ID_FB614F5E6C6C4DA695E98E76D90969E3",1)</f>
        <v>=DISPIMG("ID_FB614F5E6C6C4DA695E98E76D90969E3",1)</v>
      </c>
      <c r="AG18" s="795"/>
      <c r="AH18" s="783"/>
      <c r="AI18" s="800"/>
      <c r="AJ18" s="783"/>
      <c r="AK18" s="800"/>
      <c r="AL18" s="791">
        <v>160</v>
      </c>
      <c r="AM18" s="791">
        <v>160</v>
      </c>
      <c r="AN18" s="791"/>
      <c r="AO18" s="847">
        <v>1</v>
      </c>
      <c r="AP18" s="847" t="s">
        <v>52</v>
      </c>
      <c r="AQ18" s="842" t="s">
        <v>74</v>
      </c>
      <c r="AR18" s="843">
        <v>45660</v>
      </c>
      <c r="AS18" s="795" t="s">
        <v>75</v>
      </c>
      <c r="AT18" s="800">
        <v>45674</v>
      </c>
      <c r="AU18" s="800">
        <v>45677</v>
      </c>
      <c r="AV18" s="795" t="s">
        <v>76</v>
      </c>
      <c r="AW18" s="795" t="s">
        <v>60</v>
      </c>
      <c r="AX18" s="859"/>
      <c r="AY18" s="860"/>
      <c r="AZ18" s="861"/>
    </row>
    <row r="19" ht="63" customHeight="1" spans="1:52">
      <c r="A19" s="782">
        <v>10</v>
      </c>
      <c r="B19" s="783">
        <v>9405990000</v>
      </c>
      <c r="C19" s="783">
        <v>940599</v>
      </c>
      <c r="D19" s="844" t="s">
        <v>87</v>
      </c>
      <c r="E19" s="844" t="s">
        <v>81</v>
      </c>
      <c r="F19" s="844" t="s">
        <v>82</v>
      </c>
      <c r="G19" s="845"/>
      <c r="H19" s="785"/>
      <c r="I19" s="846" t="s">
        <v>51</v>
      </c>
      <c r="J19" s="844">
        <v>3</v>
      </c>
      <c r="K19" s="847">
        <v>3</v>
      </c>
      <c r="L19" s="847" t="s">
        <v>52</v>
      </c>
      <c r="M19" s="782"/>
      <c r="N19" s="848"/>
      <c r="O19" s="849"/>
      <c r="P19" s="844">
        <v>130</v>
      </c>
      <c r="Q19" s="850">
        <v>390</v>
      </c>
      <c r="R19" s="791"/>
      <c r="T19" s="850">
        <v>1.68</v>
      </c>
      <c r="V19" s="850">
        <v>1.62</v>
      </c>
      <c r="W19" s="851"/>
      <c r="X19" s="852"/>
      <c r="Y19" s="852"/>
      <c r="Z19" s="851">
        <v>3</v>
      </c>
      <c r="AA19" s="853"/>
      <c r="AB19" s="853"/>
      <c r="AC19" s="853"/>
      <c r="AD19" s="854"/>
      <c r="AE19" s="854"/>
      <c r="AF19" s="862" t="str">
        <f>_xlfn.DISPIMG("ID_2F549D4391284DE89FA5AF61D8FFBEBE",1)</f>
        <v>=DISPIMG("ID_2F549D4391284DE89FA5AF61D8FFBEBE",1)</v>
      </c>
      <c r="AG19" s="795"/>
      <c r="AH19" s="783"/>
      <c r="AI19" s="800"/>
      <c r="AJ19" s="783"/>
      <c r="AK19" s="800"/>
      <c r="AL19" s="791">
        <v>130</v>
      </c>
      <c r="AM19" s="791">
        <v>390</v>
      </c>
      <c r="AN19" s="791"/>
      <c r="AO19" s="847">
        <v>3</v>
      </c>
      <c r="AP19" s="847" t="s">
        <v>52</v>
      </c>
      <c r="AQ19" s="842" t="s">
        <v>74</v>
      </c>
      <c r="AR19" s="843">
        <v>45660</v>
      </c>
      <c r="AS19" s="795" t="s">
        <v>75</v>
      </c>
      <c r="AT19" s="800">
        <v>45674</v>
      </c>
      <c r="AU19" s="800">
        <v>45677</v>
      </c>
      <c r="AV19" s="795" t="s">
        <v>76</v>
      </c>
      <c r="AW19" s="795" t="s">
        <v>60</v>
      </c>
      <c r="AX19" s="859"/>
      <c r="AY19" s="860"/>
      <c r="AZ19" s="861"/>
    </row>
    <row r="20" ht="75.95" customHeight="1" spans="1:52">
      <c r="A20" s="782">
        <v>11</v>
      </c>
      <c r="B20" s="783">
        <v>8480790090</v>
      </c>
      <c r="C20" s="783">
        <v>848079</v>
      </c>
      <c r="D20" s="844" t="s">
        <v>96</v>
      </c>
      <c r="E20" s="844" t="s">
        <v>88</v>
      </c>
      <c r="F20" s="844" t="s">
        <v>89</v>
      </c>
      <c r="G20" s="845"/>
      <c r="H20" s="785"/>
      <c r="I20" s="846" t="s">
        <v>51</v>
      </c>
      <c r="J20" s="844">
        <v>2</v>
      </c>
      <c r="K20" s="847">
        <v>2</v>
      </c>
      <c r="L20" s="847" t="s">
        <v>52</v>
      </c>
      <c r="M20" s="782"/>
      <c r="N20" s="848"/>
      <c r="O20" s="849"/>
      <c r="P20" s="844">
        <v>525</v>
      </c>
      <c r="Q20" s="850">
        <v>1050</v>
      </c>
      <c r="R20" s="791"/>
      <c r="T20" s="850">
        <v>1.96</v>
      </c>
      <c r="V20" s="850">
        <v>1.9</v>
      </c>
      <c r="W20" s="851"/>
      <c r="X20" s="852"/>
      <c r="Y20" s="852"/>
      <c r="Z20" s="851">
        <v>2</v>
      </c>
      <c r="AA20" s="853"/>
      <c r="AB20" s="853"/>
      <c r="AC20" s="853"/>
      <c r="AD20" s="854"/>
      <c r="AE20" s="854"/>
      <c r="AF20" s="862" t="str">
        <f>_xlfn.DISPIMG("ID_874FB425E2B142E5831E2C22D2A0C7DB",1)</f>
        <v>=DISPIMG("ID_874FB425E2B142E5831E2C22D2A0C7DB",1)</v>
      </c>
      <c r="AG20" s="795"/>
      <c r="AH20" s="783"/>
      <c r="AI20" s="800"/>
      <c r="AJ20" s="783"/>
      <c r="AK20" s="800"/>
      <c r="AL20" s="791">
        <v>525</v>
      </c>
      <c r="AM20" s="791">
        <v>1050</v>
      </c>
      <c r="AN20" s="791"/>
      <c r="AO20" s="847">
        <v>2</v>
      </c>
      <c r="AP20" s="847" t="s">
        <v>52</v>
      </c>
      <c r="AQ20" s="842" t="s">
        <v>74</v>
      </c>
      <c r="AR20" s="843">
        <v>45660</v>
      </c>
      <c r="AS20" s="795" t="s">
        <v>75</v>
      </c>
      <c r="AT20" s="800">
        <v>45674</v>
      </c>
      <c r="AU20" s="800">
        <v>45677</v>
      </c>
      <c r="AV20" s="795" t="s">
        <v>76</v>
      </c>
      <c r="AW20" s="795" t="s">
        <v>60</v>
      </c>
      <c r="AX20" s="859"/>
      <c r="AY20" s="860"/>
      <c r="AZ20" s="861"/>
    </row>
    <row r="21" ht="62.4" spans="1:52">
      <c r="A21" s="782">
        <v>12</v>
      </c>
      <c r="B21" s="783">
        <v>8480790090</v>
      </c>
      <c r="C21" s="783">
        <v>848079</v>
      </c>
      <c r="D21" s="844" t="s">
        <v>96</v>
      </c>
      <c r="E21" s="844" t="s">
        <v>97</v>
      </c>
      <c r="F21" s="844" t="s">
        <v>98</v>
      </c>
      <c r="G21" s="845"/>
      <c r="H21" s="785"/>
      <c r="I21" s="846" t="s">
        <v>51</v>
      </c>
      <c r="J21" s="844">
        <v>6</v>
      </c>
      <c r="K21" s="847">
        <v>6</v>
      </c>
      <c r="L21" s="847" t="s">
        <v>52</v>
      </c>
      <c r="M21" s="782"/>
      <c r="N21" s="848"/>
      <c r="O21" s="849"/>
      <c r="P21" s="844">
        <v>300</v>
      </c>
      <c r="Q21" s="850">
        <v>1800</v>
      </c>
      <c r="R21" s="791"/>
      <c r="T21" s="850">
        <v>3.54</v>
      </c>
      <c r="V21" s="850">
        <v>3.48</v>
      </c>
      <c r="W21" s="851"/>
      <c r="X21" s="852"/>
      <c r="Y21" s="852"/>
      <c r="Z21" s="851">
        <v>6</v>
      </c>
      <c r="AA21" s="853"/>
      <c r="AB21" s="853"/>
      <c r="AC21" s="853"/>
      <c r="AD21" s="854"/>
      <c r="AE21" s="854"/>
      <c r="AF21" s="862" t="str">
        <f>_xlfn.DISPIMG("ID_AC2CE519F2DA48B8BE1152F4470C1397",1)</f>
        <v>=DISPIMG("ID_AC2CE519F2DA48B8BE1152F4470C1397",1)</v>
      </c>
      <c r="AG21" s="795"/>
      <c r="AH21" s="783"/>
      <c r="AI21" s="800"/>
      <c r="AJ21" s="783"/>
      <c r="AK21" s="800"/>
      <c r="AL21" s="791">
        <v>300</v>
      </c>
      <c r="AM21" s="791">
        <v>1800</v>
      </c>
      <c r="AN21" s="791"/>
      <c r="AO21" s="847">
        <v>6</v>
      </c>
      <c r="AP21" s="847" t="s">
        <v>52</v>
      </c>
      <c r="AQ21" s="842" t="s">
        <v>74</v>
      </c>
      <c r="AR21" s="843">
        <v>45660</v>
      </c>
      <c r="AS21" s="795" t="s">
        <v>75</v>
      </c>
      <c r="AT21" s="800">
        <v>45674</v>
      </c>
      <c r="AU21" s="800">
        <v>45677</v>
      </c>
      <c r="AV21" s="795" t="s">
        <v>76</v>
      </c>
      <c r="AW21" s="795" t="s">
        <v>60</v>
      </c>
      <c r="AX21" s="859"/>
      <c r="AY21" s="860"/>
      <c r="AZ21" s="861"/>
    </row>
    <row r="22" ht="63" customHeight="1" spans="1:52">
      <c r="A22" s="782">
        <v>13</v>
      </c>
      <c r="B22" s="783">
        <v>8480790090</v>
      </c>
      <c r="C22" s="783">
        <v>848079</v>
      </c>
      <c r="D22" s="844" t="s">
        <v>96</v>
      </c>
      <c r="E22" s="844" t="s">
        <v>94</v>
      </c>
      <c r="F22" s="844" t="s">
        <v>95</v>
      </c>
      <c r="G22" s="845"/>
      <c r="H22" s="785"/>
      <c r="I22" s="846" t="s">
        <v>51</v>
      </c>
      <c r="J22" s="844">
        <v>1</v>
      </c>
      <c r="K22" s="847">
        <v>2</v>
      </c>
      <c r="L22" s="847" t="s">
        <v>52</v>
      </c>
      <c r="M22" s="782"/>
      <c r="N22" s="848"/>
      <c r="O22" s="849"/>
      <c r="P22" s="844">
        <v>160</v>
      </c>
      <c r="Q22" s="850">
        <v>160</v>
      </c>
      <c r="R22" s="791"/>
      <c r="T22" s="850">
        <v>0.32</v>
      </c>
      <c r="V22" s="850">
        <v>0.26</v>
      </c>
      <c r="W22" s="851"/>
      <c r="X22" s="852"/>
      <c r="Y22" s="852"/>
      <c r="Z22" s="851">
        <v>2</v>
      </c>
      <c r="AA22" s="853"/>
      <c r="AB22" s="853"/>
      <c r="AC22" s="853"/>
      <c r="AD22" s="854"/>
      <c r="AE22" s="854"/>
      <c r="AF22" s="862" t="str">
        <f>_xlfn.DISPIMG("ID_5DF9D5C8671B44538AC5D5471D0F5F4F",1)</f>
        <v>=DISPIMG("ID_5DF9D5C8671B44538AC5D5471D0F5F4F",1)</v>
      </c>
      <c r="AG22" s="795"/>
      <c r="AH22" s="783"/>
      <c r="AI22" s="800"/>
      <c r="AJ22" s="783"/>
      <c r="AK22" s="800"/>
      <c r="AL22" s="791">
        <v>160</v>
      </c>
      <c r="AM22" s="791">
        <v>160</v>
      </c>
      <c r="AN22" s="791"/>
      <c r="AO22" s="847">
        <v>2</v>
      </c>
      <c r="AP22" s="847" t="s">
        <v>52</v>
      </c>
      <c r="AQ22" s="842" t="s">
        <v>74</v>
      </c>
      <c r="AR22" s="843">
        <v>45660</v>
      </c>
      <c r="AS22" s="795" t="s">
        <v>75</v>
      </c>
      <c r="AT22" s="800">
        <v>45674</v>
      </c>
      <c r="AU22" s="800">
        <v>45677</v>
      </c>
      <c r="AV22" s="795" t="s">
        <v>76</v>
      </c>
      <c r="AW22" s="795" t="s">
        <v>60</v>
      </c>
      <c r="AX22" s="859"/>
      <c r="AY22" s="860"/>
      <c r="AZ22" s="861"/>
    </row>
    <row r="23" ht="62.4" spans="1:52">
      <c r="A23" s="782">
        <v>14</v>
      </c>
      <c r="B23" s="783">
        <v>9405990000</v>
      </c>
      <c r="C23" s="783">
        <v>940599</v>
      </c>
      <c r="D23" s="844" t="s">
        <v>96</v>
      </c>
      <c r="E23" s="844" t="s">
        <v>81</v>
      </c>
      <c r="F23" s="844" t="s">
        <v>82</v>
      </c>
      <c r="G23" s="845"/>
      <c r="H23" s="785"/>
      <c r="I23" s="846" t="s">
        <v>51</v>
      </c>
      <c r="J23" s="844">
        <v>3</v>
      </c>
      <c r="K23" s="847">
        <v>3</v>
      </c>
      <c r="L23" s="847" t="s">
        <v>52</v>
      </c>
      <c r="M23" s="782"/>
      <c r="N23" s="848"/>
      <c r="O23" s="849"/>
      <c r="P23" s="844">
        <v>130</v>
      </c>
      <c r="Q23" s="850">
        <v>390</v>
      </c>
      <c r="R23" s="791"/>
      <c r="T23" s="850">
        <v>1.47</v>
      </c>
      <c r="V23" s="850">
        <v>1.41</v>
      </c>
      <c r="W23" s="851"/>
      <c r="X23" s="852"/>
      <c r="Y23" s="852"/>
      <c r="Z23" s="851">
        <v>3</v>
      </c>
      <c r="AA23" s="853"/>
      <c r="AB23" s="853"/>
      <c r="AC23" s="853"/>
      <c r="AD23" s="854"/>
      <c r="AE23" s="854"/>
      <c r="AF23" s="862" t="str">
        <f>_xlfn.DISPIMG("ID_E36A17B71E7E4BC687D67895DFDC1011",1)</f>
        <v>=DISPIMG("ID_E36A17B71E7E4BC687D67895DFDC1011",1)</v>
      </c>
      <c r="AG23" s="795"/>
      <c r="AH23" s="783"/>
      <c r="AI23" s="800"/>
      <c r="AJ23" s="783"/>
      <c r="AK23" s="800"/>
      <c r="AL23" s="791">
        <v>130</v>
      </c>
      <c r="AM23" s="791">
        <v>390</v>
      </c>
      <c r="AN23" s="791"/>
      <c r="AO23" s="847">
        <v>3</v>
      </c>
      <c r="AP23" s="847" t="s">
        <v>52</v>
      </c>
      <c r="AQ23" s="842" t="s">
        <v>74</v>
      </c>
      <c r="AR23" s="843">
        <v>45660</v>
      </c>
      <c r="AS23" s="795" t="s">
        <v>75</v>
      </c>
      <c r="AT23" s="800">
        <v>45674</v>
      </c>
      <c r="AU23" s="800">
        <v>45677</v>
      </c>
      <c r="AV23" s="795" t="s">
        <v>76</v>
      </c>
      <c r="AW23" s="795" t="s">
        <v>60</v>
      </c>
      <c r="AX23" s="859"/>
      <c r="AY23" s="860"/>
      <c r="AZ23" s="861"/>
    </row>
    <row r="24" ht="78.75" customHeight="1" spans="1:52">
      <c r="A24" s="782">
        <v>15</v>
      </c>
      <c r="B24" s="783">
        <v>8480790090</v>
      </c>
      <c r="C24" s="782">
        <v>848079</v>
      </c>
      <c r="D24" s="844" t="s">
        <v>99</v>
      </c>
      <c r="E24" s="844" t="s">
        <v>100</v>
      </c>
      <c r="F24" s="844" t="s">
        <v>101</v>
      </c>
      <c r="G24" s="845"/>
      <c r="H24" s="785"/>
      <c r="I24" s="846" t="s">
        <v>51</v>
      </c>
      <c r="J24" s="844">
        <v>1</v>
      </c>
      <c r="K24" s="847">
        <v>1</v>
      </c>
      <c r="L24" s="847" t="s">
        <v>52</v>
      </c>
      <c r="M24" s="782"/>
      <c r="N24" s="848"/>
      <c r="O24" s="849"/>
      <c r="P24" s="844">
        <v>460</v>
      </c>
      <c r="Q24" s="850">
        <v>460</v>
      </c>
      <c r="R24" s="791"/>
      <c r="T24" s="850">
        <v>0.83</v>
      </c>
      <c r="V24" s="850">
        <v>0.77</v>
      </c>
      <c r="W24" s="851"/>
      <c r="X24" s="852"/>
      <c r="Y24" s="852"/>
      <c r="Z24" s="851">
        <v>1</v>
      </c>
      <c r="AA24" s="853"/>
      <c r="AB24" s="853"/>
      <c r="AC24" s="853"/>
      <c r="AD24" s="854"/>
      <c r="AE24" s="854"/>
      <c r="AF24" s="862" t="str">
        <f>_xlfn.DISPIMG("ID_CB076EEA3F11448FB6EFD66B270BAB7C",1)</f>
        <v>=DISPIMG("ID_CB076EEA3F11448FB6EFD66B270BAB7C",1)</v>
      </c>
      <c r="AG24" s="795"/>
      <c r="AH24" s="783"/>
      <c r="AI24" s="800"/>
      <c r="AJ24" s="783"/>
      <c r="AK24" s="800"/>
      <c r="AL24" s="791">
        <v>460</v>
      </c>
      <c r="AM24" s="791">
        <v>460</v>
      </c>
      <c r="AN24" s="791"/>
      <c r="AO24" s="847">
        <v>1</v>
      </c>
      <c r="AP24" s="847" t="s">
        <v>52</v>
      </c>
      <c r="AQ24" s="842" t="s">
        <v>74</v>
      </c>
      <c r="AR24" s="843">
        <v>45660</v>
      </c>
      <c r="AS24" s="795" t="s">
        <v>75</v>
      </c>
      <c r="AT24" s="800">
        <v>45674</v>
      </c>
      <c r="AU24" s="800">
        <v>45677</v>
      </c>
      <c r="AV24" s="795" t="s">
        <v>76</v>
      </c>
      <c r="AW24" s="795" t="s">
        <v>60</v>
      </c>
      <c r="AX24" s="859"/>
      <c r="AY24" s="860"/>
      <c r="AZ24" s="861"/>
    </row>
    <row r="25" ht="78.75" spans="1:52">
      <c r="A25" s="782">
        <v>16</v>
      </c>
      <c r="B25" s="783">
        <v>8480790090</v>
      </c>
      <c r="C25" s="782">
        <v>848079</v>
      </c>
      <c r="D25" s="844" t="s">
        <v>99</v>
      </c>
      <c r="E25" s="844" t="s">
        <v>102</v>
      </c>
      <c r="F25" s="844" t="s">
        <v>103</v>
      </c>
      <c r="G25" s="845"/>
      <c r="H25" s="785"/>
      <c r="I25" s="846" t="s">
        <v>51</v>
      </c>
      <c r="J25" s="844">
        <v>2</v>
      </c>
      <c r="K25" s="847">
        <v>2</v>
      </c>
      <c r="L25" s="847" t="s">
        <v>52</v>
      </c>
      <c r="M25" s="782"/>
      <c r="N25" s="848"/>
      <c r="O25" s="849"/>
      <c r="P25" s="844">
        <v>460</v>
      </c>
      <c r="Q25" s="850">
        <v>920</v>
      </c>
      <c r="R25" s="791"/>
      <c r="T25" s="850">
        <v>1.6</v>
      </c>
      <c r="V25" s="850">
        <v>1.54</v>
      </c>
      <c r="W25" s="851"/>
      <c r="X25" s="852"/>
      <c r="Y25" s="852"/>
      <c r="Z25" s="851">
        <v>2</v>
      </c>
      <c r="AA25" s="853"/>
      <c r="AB25" s="853"/>
      <c r="AC25" s="853"/>
      <c r="AD25" s="854"/>
      <c r="AE25" s="854"/>
      <c r="AF25" s="862" t="str">
        <f>_xlfn.DISPIMG("ID_2612B1D56C7A4C79A70B63CC3389FE42",1)</f>
        <v>=DISPIMG("ID_2612B1D56C7A4C79A70B63CC3389FE42",1)</v>
      </c>
      <c r="AG25" s="795"/>
      <c r="AH25" s="783"/>
      <c r="AI25" s="800"/>
      <c r="AJ25" s="783"/>
      <c r="AK25" s="800"/>
      <c r="AL25" s="791">
        <v>460</v>
      </c>
      <c r="AM25" s="791">
        <v>920</v>
      </c>
      <c r="AN25" s="791"/>
      <c r="AO25" s="847">
        <v>2</v>
      </c>
      <c r="AP25" s="847" t="s">
        <v>52</v>
      </c>
      <c r="AQ25" s="842" t="s">
        <v>74</v>
      </c>
      <c r="AR25" s="843">
        <v>45660</v>
      </c>
      <c r="AS25" s="795" t="s">
        <v>75</v>
      </c>
      <c r="AT25" s="800">
        <v>45674</v>
      </c>
      <c r="AU25" s="800">
        <v>45677</v>
      </c>
      <c r="AV25" s="795" t="s">
        <v>76</v>
      </c>
      <c r="AW25" s="795" t="s">
        <v>60</v>
      </c>
      <c r="AX25" s="859"/>
      <c r="AY25" s="860"/>
      <c r="AZ25" s="861"/>
    </row>
    <row r="26" ht="78.75" customHeight="1" spans="1:52">
      <c r="A26" s="782">
        <v>17</v>
      </c>
      <c r="B26" s="783">
        <v>8480790090</v>
      </c>
      <c r="C26" s="783">
        <v>848079</v>
      </c>
      <c r="D26" s="844" t="s">
        <v>99</v>
      </c>
      <c r="E26" s="844" t="s">
        <v>104</v>
      </c>
      <c r="F26" s="844" t="s">
        <v>105</v>
      </c>
      <c r="G26" s="845"/>
      <c r="H26" s="785"/>
      <c r="I26" s="846" t="s">
        <v>51</v>
      </c>
      <c r="J26" s="844">
        <v>2</v>
      </c>
      <c r="K26" s="847">
        <v>2</v>
      </c>
      <c r="L26" s="847" t="s">
        <v>52</v>
      </c>
      <c r="M26" s="782"/>
      <c r="N26" s="848"/>
      <c r="O26" s="849"/>
      <c r="P26" s="844">
        <v>300</v>
      </c>
      <c r="Q26" s="850">
        <v>600</v>
      </c>
      <c r="R26" s="791"/>
      <c r="T26" s="850">
        <v>2.46</v>
      </c>
      <c r="V26" s="850">
        <v>2.4</v>
      </c>
      <c r="W26" s="851"/>
      <c r="X26" s="852"/>
      <c r="Y26" s="852"/>
      <c r="Z26" s="851">
        <v>2</v>
      </c>
      <c r="AA26" s="853"/>
      <c r="AB26" s="853"/>
      <c r="AC26" s="853"/>
      <c r="AD26" s="854"/>
      <c r="AE26" s="854"/>
      <c r="AF26" s="862" t="str">
        <f>_xlfn.DISPIMG("ID_BCE0AF53F03A4CDBB66CC875E432543D",1)</f>
        <v>=DISPIMG("ID_BCE0AF53F03A4CDBB66CC875E432543D",1)</v>
      </c>
      <c r="AG26" s="795"/>
      <c r="AH26" s="783"/>
      <c r="AI26" s="800"/>
      <c r="AJ26" s="783"/>
      <c r="AK26" s="800"/>
      <c r="AL26" s="791">
        <v>300</v>
      </c>
      <c r="AM26" s="791">
        <v>600</v>
      </c>
      <c r="AN26" s="791"/>
      <c r="AO26" s="847">
        <v>2</v>
      </c>
      <c r="AP26" s="847" t="s">
        <v>52</v>
      </c>
      <c r="AQ26" s="842" t="s">
        <v>74</v>
      </c>
      <c r="AR26" s="843">
        <v>45660</v>
      </c>
      <c r="AS26" s="795" t="s">
        <v>75</v>
      </c>
      <c r="AT26" s="800">
        <v>45674</v>
      </c>
      <c r="AU26" s="800">
        <v>45677</v>
      </c>
      <c r="AV26" s="795" t="s">
        <v>76</v>
      </c>
      <c r="AW26" s="795" t="s">
        <v>60</v>
      </c>
      <c r="AX26" s="859"/>
      <c r="AY26" s="860"/>
      <c r="AZ26" s="861"/>
    </row>
    <row r="27" ht="78.75" spans="1:52">
      <c r="A27" s="782">
        <v>18</v>
      </c>
      <c r="B27" s="783">
        <v>8480790090</v>
      </c>
      <c r="C27" s="783">
        <v>848079</v>
      </c>
      <c r="D27" s="844" t="s">
        <v>99</v>
      </c>
      <c r="E27" s="844" t="s">
        <v>106</v>
      </c>
      <c r="F27" s="844" t="s">
        <v>107</v>
      </c>
      <c r="G27" s="845"/>
      <c r="H27" s="785"/>
      <c r="I27" s="846" t="s">
        <v>51</v>
      </c>
      <c r="J27" s="844">
        <v>4</v>
      </c>
      <c r="K27" s="847">
        <v>4</v>
      </c>
      <c r="L27" s="847" t="s">
        <v>52</v>
      </c>
      <c r="M27" s="782"/>
      <c r="N27" s="848"/>
      <c r="O27" s="849"/>
      <c r="P27" s="844">
        <v>320</v>
      </c>
      <c r="Q27" s="850">
        <v>1280</v>
      </c>
      <c r="R27" s="791"/>
      <c r="T27" s="850">
        <v>3.66</v>
      </c>
      <c r="V27" s="850">
        <v>3.6</v>
      </c>
      <c r="W27" s="851"/>
      <c r="X27" s="852"/>
      <c r="Y27" s="852"/>
      <c r="Z27" s="851">
        <v>4</v>
      </c>
      <c r="AA27" s="853"/>
      <c r="AB27" s="853"/>
      <c r="AC27" s="853"/>
      <c r="AD27" s="854"/>
      <c r="AE27" s="854"/>
      <c r="AF27" s="862" t="str">
        <f>_xlfn.DISPIMG("ID_5B37FD293022479AB7094F4A3BAF3335",1)</f>
        <v>=DISPIMG("ID_5B37FD293022479AB7094F4A3BAF3335",1)</v>
      </c>
      <c r="AG27" s="795"/>
      <c r="AH27" s="783"/>
      <c r="AI27" s="800"/>
      <c r="AJ27" s="783"/>
      <c r="AK27" s="800"/>
      <c r="AL27" s="791">
        <v>320</v>
      </c>
      <c r="AM27" s="791">
        <v>1280</v>
      </c>
      <c r="AN27" s="791"/>
      <c r="AO27" s="847">
        <v>4</v>
      </c>
      <c r="AP27" s="847" t="s">
        <v>52</v>
      </c>
      <c r="AQ27" s="842" t="s">
        <v>74</v>
      </c>
      <c r="AR27" s="843">
        <v>45660</v>
      </c>
      <c r="AS27" s="795" t="s">
        <v>75</v>
      </c>
      <c r="AT27" s="800">
        <v>45674</v>
      </c>
      <c r="AU27" s="800">
        <v>45677</v>
      </c>
      <c r="AV27" s="795" t="s">
        <v>76</v>
      </c>
      <c r="AW27" s="795" t="s">
        <v>60</v>
      </c>
      <c r="AX27" s="859"/>
      <c r="AY27" s="860"/>
      <c r="AZ27" s="861"/>
    </row>
    <row r="28" ht="78.75" customHeight="1" spans="1:52">
      <c r="A28" s="782">
        <v>19</v>
      </c>
      <c r="B28" s="783">
        <v>9405990000</v>
      </c>
      <c r="C28" s="783">
        <v>940599</v>
      </c>
      <c r="D28" s="844" t="s">
        <v>99</v>
      </c>
      <c r="E28" s="844" t="s">
        <v>81</v>
      </c>
      <c r="F28" s="844" t="s">
        <v>82</v>
      </c>
      <c r="G28" s="845"/>
      <c r="H28" s="785"/>
      <c r="I28" s="846" t="s">
        <v>51</v>
      </c>
      <c r="J28" s="844">
        <v>3</v>
      </c>
      <c r="K28" s="847">
        <v>3</v>
      </c>
      <c r="L28" s="847" t="s">
        <v>52</v>
      </c>
      <c r="M28" s="782"/>
      <c r="N28" s="848"/>
      <c r="O28" s="849"/>
      <c r="P28" s="844">
        <v>150</v>
      </c>
      <c r="Q28" s="850">
        <v>450</v>
      </c>
      <c r="R28" s="791"/>
      <c r="T28" s="850">
        <v>9.66</v>
      </c>
      <c r="V28" s="850">
        <v>9.6</v>
      </c>
      <c r="W28" s="851"/>
      <c r="X28" s="852"/>
      <c r="Y28" s="852"/>
      <c r="Z28" s="851">
        <v>3</v>
      </c>
      <c r="AA28" s="853"/>
      <c r="AB28" s="853"/>
      <c r="AC28" s="853"/>
      <c r="AD28" s="854"/>
      <c r="AE28" s="854"/>
      <c r="AF28" s="862" t="str">
        <f>_xlfn.DISPIMG("ID_AE927983D05D414FA7ECC092712BE40B",1)</f>
        <v>=DISPIMG("ID_AE927983D05D414FA7ECC092712BE40B",1)</v>
      </c>
      <c r="AG28" s="795"/>
      <c r="AH28" s="783"/>
      <c r="AI28" s="800"/>
      <c r="AJ28" s="783"/>
      <c r="AK28" s="800"/>
      <c r="AL28" s="791">
        <v>150</v>
      </c>
      <c r="AM28" s="791">
        <v>450</v>
      </c>
      <c r="AN28" s="791"/>
      <c r="AO28" s="847">
        <v>3</v>
      </c>
      <c r="AP28" s="847" t="s">
        <v>52</v>
      </c>
      <c r="AQ28" s="842" t="s">
        <v>74</v>
      </c>
      <c r="AR28" s="843">
        <v>45660</v>
      </c>
      <c r="AS28" s="795" t="s">
        <v>75</v>
      </c>
      <c r="AT28" s="800">
        <v>45674</v>
      </c>
      <c r="AU28" s="800">
        <v>45677</v>
      </c>
      <c r="AV28" s="795" t="s">
        <v>76</v>
      </c>
      <c r="AW28" s="795" t="s">
        <v>60</v>
      </c>
      <c r="AX28" s="859"/>
      <c r="AY28" s="860"/>
      <c r="AZ28" s="861"/>
    </row>
    <row r="29" ht="63" customHeight="1" spans="1:52">
      <c r="A29" s="782">
        <v>20</v>
      </c>
      <c r="B29" s="783">
        <v>8480790090</v>
      </c>
      <c r="C29" s="783">
        <v>848079</v>
      </c>
      <c r="D29" s="844" t="s">
        <v>108</v>
      </c>
      <c r="E29" s="844" t="s">
        <v>88</v>
      </c>
      <c r="F29" s="844" t="s">
        <v>89</v>
      </c>
      <c r="G29" s="845"/>
      <c r="H29" s="785"/>
      <c r="I29" s="846" t="s">
        <v>51</v>
      </c>
      <c r="J29" s="844">
        <v>2</v>
      </c>
      <c r="K29" s="847">
        <v>2</v>
      </c>
      <c r="L29" s="847" t="s">
        <v>52</v>
      </c>
      <c r="M29" s="782"/>
      <c r="N29" s="848"/>
      <c r="O29" s="849"/>
      <c r="P29" s="844">
        <v>700</v>
      </c>
      <c r="Q29" s="850">
        <v>1400</v>
      </c>
      <c r="R29" s="791"/>
      <c r="T29" s="850">
        <v>3.36</v>
      </c>
      <c r="V29" s="850">
        <v>3.3</v>
      </c>
      <c r="W29" s="851"/>
      <c r="X29" s="852"/>
      <c r="Y29" s="852"/>
      <c r="Z29" s="851">
        <v>2</v>
      </c>
      <c r="AA29" s="853"/>
      <c r="AB29" s="853"/>
      <c r="AC29" s="853"/>
      <c r="AD29" s="854"/>
      <c r="AE29" s="854"/>
      <c r="AF29" s="862" t="str">
        <f>_xlfn.DISPIMG("ID_A60754604D9845D092C090C02088DE3B",1)</f>
        <v>=DISPIMG("ID_A60754604D9845D092C090C02088DE3B",1)</v>
      </c>
      <c r="AG29" s="795"/>
      <c r="AH29" s="783" t="s">
        <v>109</v>
      </c>
      <c r="AI29" s="800">
        <v>45631</v>
      </c>
      <c r="AJ29" s="783" t="s">
        <v>110</v>
      </c>
      <c r="AK29" s="800">
        <v>45631</v>
      </c>
      <c r="AL29" s="791">
        <v>700</v>
      </c>
      <c r="AM29" s="791">
        <v>1400</v>
      </c>
      <c r="AN29" s="850">
        <v>12490</v>
      </c>
      <c r="AO29" s="847">
        <v>2</v>
      </c>
      <c r="AP29" s="847" t="s">
        <v>52</v>
      </c>
      <c r="AQ29" s="842" t="s">
        <v>74</v>
      </c>
      <c r="AR29" s="843">
        <v>45660</v>
      </c>
      <c r="AS29" s="795" t="s">
        <v>75</v>
      </c>
      <c r="AT29" s="800">
        <v>45674</v>
      </c>
      <c r="AU29" s="800">
        <v>45677</v>
      </c>
      <c r="AV29" s="795" t="s">
        <v>76</v>
      </c>
      <c r="AW29" s="795" t="s">
        <v>60</v>
      </c>
      <c r="AX29" s="859"/>
      <c r="AY29" s="860"/>
      <c r="AZ29" s="861"/>
    </row>
    <row r="30" ht="63" customHeight="1" spans="1:52">
      <c r="A30" s="782">
        <v>21</v>
      </c>
      <c r="B30" s="783">
        <v>8480790090</v>
      </c>
      <c r="C30" s="783">
        <v>848079</v>
      </c>
      <c r="D30" s="844" t="s">
        <v>108</v>
      </c>
      <c r="E30" s="844" t="s">
        <v>94</v>
      </c>
      <c r="F30" s="844" t="s">
        <v>95</v>
      </c>
      <c r="G30" s="845"/>
      <c r="H30" s="785"/>
      <c r="I30" s="846" t="s">
        <v>51</v>
      </c>
      <c r="J30" s="844">
        <v>1</v>
      </c>
      <c r="K30" s="847">
        <v>1</v>
      </c>
      <c r="L30" s="847" t="s">
        <v>52</v>
      </c>
      <c r="M30" s="782"/>
      <c r="N30" s="848"/>
      <c r="O30" s="849"/>
      <c r="P30" s="844">
        <v>160</v>
      </c>
      <c r="Q30" s="850">
        <v>160</v>
      </c>
      <c r="R30" s="791"/>
      <c r="T30" s="850">
        <v>0.43</v>
      </c>
      <c r="V30" s="850">
        <v>0.37</v>
      </c>
      <c r="W30" s="851"/>
      <c r="X30" s="852"/>
      <c r="Y30" s="852"/>
      <c r="Z30" s="851">
        <v>1</v>
      </c>
      <c r="AA30" s="853"/>
      <c r="AB30" s="853"/>
      <c r="AC30" s="853"/>
      <c r="AD30" s="854"/>
      <c r="AE30" s="854"/>
      <c r="AF30" s="862" t="str">
        <f>_xlfn.DISPIMG("ID_A8DE022D494E4CA58B27116046E35C5C",1)</f>
        <v>=DISPIMG("ID_A8DE022D494E4CA58B27116046E35C5C",1)</v>
      </c>
      <c r="AG30" s="795"/>
      <c r="AH30" s="783"/>
      <c r="AI30" s="800"/>
      <c r="AJ30" s="783"/>
      <c r="AK30" s="800"/>
      <c r="AL30" s="791">
        <v>160</v>
      </c>
      <c r="AM30" s="791">
        <v>160</v>
      </c>
      <c r="AN30" s="850"/>
      <c r="AO30" s="847">
        <v>1</v>
      </c>
      <c r="AP30" s="847" t="s">
        <v>52</v>
      </c>
      <c r="AQ30" s="842" t="s">
        <v>74</v>
      </c>
      <c r="AR30" s="843">
        <v>45660</v>
      </c>
      <c r="AS30" s="795" t="s">
        <v>75</v>
      </c>
      <c r="AT30" s="800">
        <v>45674</v>
      </c>
      <c r="AU30" s="800">
        <v>45677</v>
      </c>
      <c r="AV30" s="795" t="s">
        <v>76</v>
      </c>
      <c r="AW30" s="795" t="s">
        <v>60</v>
      </c>
      <c r="AX30" s="859"/>
      <c r="AY30" s="860"/>
      <c r="AZ30" s="861"/>
    </row>
    <row r="31" ht="63" spans="1:52">
      <c r="A31" s="782">
        <v>22</v>
      </c>
      <c r="B31" s="783">
        <v>8480790090</v>
      </c>
      <c r="C31" s="783">
        <v>848079</v>
      </c>
      <c r="D31" s="844" t="s">
        <v>108</v>
      </c>
      <c r="E31" s="844" t="s">
        <v>97</v>
      </c>
      <c r="F31" s="844" t="s">
        <v>98</v>
      </c>
      <c r="G31" s="845"/>
      <c r="H31" s="785"/>
      <c r="I31" s="846" t="s">
        <v>51</v>
      </c>
      <c r="J31" s="844">
        <v>6</v>
      </c>
      <c r="K31" s="847">
        <v>6</v>
      </c>
      <c r="L31" s="847" t="s">
        <v>52</v>
      </c>
      <c r="M31" s="782"/>
      <c r="N31" s="848"/>
      <c r="O31" s="849"/>
      <c r="P31" s="844">
        <v>260</v>
      </c>
      <c r="Q31" s="850">
        <v>1560</v>
      </c>
      <c r="R31" s="791"/>
      <c r="T31" s="850">
        <v>1.86</v>
      </c>
      <c r="V31" s="850">
        <v>1.8</v>
      </c>
      <c r="W31" s="851"/>
      <c r="X31" s="852"/>
      <c r="Y31" s="852"/>
      <c r="Z31" s="851">
        <v>6</v>
      </c>
      <c r="AA31" s="853"/>
      <c r="AB31" s="853"/>
      <c r="AC31" s="853"/>
      <c r="AD31" s="854"/>
      <c r="AE31" s="854"/>
      <c r="AF31" s="862" t="str">
        <f>_xlfn.DISPIMG("ID_842636CCA3A9420F97B9D38FAB5398E4",1)</f>
        <v>=DISPIMG("ID_842636CCA3A9420F97B9D38FAB5398E4",1)</v>
      </c>
      <c r="AG31" s="795"/>
      <c r="AH31" s="783"/>
      <c r="AI31" s="800"/>
      <c r="AJ31" s="783"/>
      <c r="AK31" s="800"/>
      <c r="AL31" s="791">
        <v>260</v>
      </c>
      <c r="AM31" s="791">
        <v>1560</v>
      </c>
      <c r="AN31" s="850"/>
      <c r="AO31" s="847">
        <v>6</v>
      </c>
      <c r="AP31" s="847" t="s">
        <v>52</v>
      </c>
      <c r="AQ31" s="842" t="s">
        <v>74</v>
      </c>
      <c r="AR31" s="843">
        <v>45660</v>
      </c>
      <c r="AS31" s="795" t="s">
        <v>75</v>
      </c>
      <c r="AT31" s="800">
        <v>45674</v>
      </c>
      <c r="AU31" s="800">
        <v>45677</v>
      </c>
      <c r="AV31" s="795" t="s">
        <v>76</v>
      </c>
      <c r="AW31" s="795" t="s">
        <v>60</v>
      </c>
      <c r="AX31" s="859"/>
      <c r="AY31" s="860"/>
      <c r="AZ31" s="861"/>
    </row>
    <row r="32" ht="63" customHeight="1" spans="1:52">
      <c r="A32" s="782">
        <v>23</v>
      </c>
      <c r="B32" s="783">
        <v>9405990000</v>
      </c>
      <c r="C32" s="783">
        <v>940599</v>
      </c>
      <c r="D32" s="844" t="s">
        <v>108</v>
      </c>
      <c r="E32" s="844" t="s">
        <v>81</v>
      </c>
      <c r="F32" s="844" t="s">
        <v>82</v>
      </c>
      <c r="G32" s="845"/>
      <c r="H32" s="785"/>
      <c r="I32" s="846" t="s">
        <v>51</v>
      </c>
      <c r="J32" s="844">
        <v>3</v>
      </c>
      <c r="K32" s="847">
        <v>3</v>
      </c>
      <c r="L32" s="847" t="s">
        <v>52</v>
      </c>
      <c r="M32" s="782"/>
      <c r="N32" s="848"/>
      <c r="O32" s="849"/>
      <c r="P32" s="844">
        <v>140</v>
      </c>
      <c r="Q32" s="850">
        <v>420</v>
      </c>
      <c r="R32" s="791"/>
      <c r="T32" s="850">
        <v>1.94</v>
      </c>
      <c r="V32" s="850">
        <v>1.89</v>
      </c>
      <c r="W32" s="851"/>
      <c r="X32" s="852"/>
      <c r="Y32" s="852"/>
      <c r="Z32" s="851">
        <v>3</v>
      </c>
      <c r="AA32" s="853"/>
      <c r="AB32" s="853"/>
      <c r="AC32" s="853"/>
      <c r="AD32" s="854"/>
      <c r="AE32" s="854"/>
      <c r="AF32" s="862" t="str">
        <f>_xlfn.DISPIMG("ID_82D82D5E0FF14328BD66F7157A7977B9",1)</f>
        <v>=DISPIMG("ID_82D82D5E0FF14328BD66F7157A7977B9",1)</v>
      </c>
      <c r="AG32" s="795"/>
      <c r="AH32" s="783"/>
      <c r="AI32" s="800"/>
      <c r="AJ32" s="783"/>
      <c r="AK32" s="800"/>
      <c r="AL32" s="791">
        <v>140</v>
      </c>
      <c r="AM32" s="791">
        <v>420</v>
      </c>
      <c r="AN32" s="850"/>
      <c r="AO32" s="847">
        <v>3</v>
      </c>
      <c r="AP32" s="847" t="s">
        <v>52</v>
      </c>
      <c r="AQ32" s="842" t="s">
        <v>74</v>
      </c>
      <c r="AR32" s="843">
        <v>45660</v>
      </c>
      <c r="AS32" s="795" t="s">
        <v>75</v>
      </c>
      <c r="AT32" s="800">
        <v>45674</v>
      </c>
      <c r="AU32" s="800">
        <v>45677</v>
      </c>
      <c r="AV32" s="795" t="s">
        <v>76</v>
      </c>
      <c r="AW32" s="795" t="s">
        <v>60</v>
      </c>
      <c r="AX32" s="859"/>
      <c r="AY32" s="860"/>
      <c r="AZ32" s="861"/>
    </row>
    <row r="33" ht="46.8" spans="1:52">
      <c r="A33" s="782">
        <v>24</v>
      </c>
      <c r="B33" s="783">
        <v>8480790090</v>
      </c>
      <c r="C33" s="782">
        <v>848079</v>
      </c>
      <c r="D33" s="844" t="s">
        <v>67</v>
      </c>
      <c r="E33" s="844" t="s">
        <v>111</v>
      </c>
      <c r="F33" s="844" t="s">
        <v>112</v>
      </c>
      <c r="G33" s="845"/>
      <c r="H33" s="785"/>
      <c r="I33" s="846" t="s">
        <v>51</v>
      </c>
      <c r="J33" s="844">
        <v>4</v>
      </c>
      <c r="K33" s="847">
        <v>4</v>
      </c>
      <c r="L33" s="847" t="s">
        <v>52</v>
      </c>
      <c r="M33" s="782"/>
      <c r="N33" s="848"/>
      <c r="O33" s="849"/>
      <c r="P33" s="844">
        <v>380</v>
      </c>
      <c r="Q33" s="850">
        <v>1520</v>
      </c>
      <c r="R33" s="791"/>
      <c r="T33" s="850">
        <v>3.47</v>
      </c>
      <c r="V33" s="850">
        <v>3.12</v>
      </c>
      <c r="W33" s="851"/>
      <c r="X33" s="863" t="s">
        <v>113</v>
      </c>
      <c r="Y33" s="864">
        <v>1</v>
      </c>
      <c r="Z33" s="851">
        <v>4</v>
      </c>
      <c r="AA33" s="853"/>
      <c r="AB33" s="853"/>
      <c r="AC33" s="853"/>
      <c r="AD33" s="854">
        <v>0</v>
      </c>
      <c r="AE33" s="854">
        <v>0.05</v>
      </c>
      <c r="AF33" s="855" t="str">
        <f>_xlfn.DISPIMG("ID_353C71C1CBCF4AAB91E96F2A91B2086B",1)</f>
        <v>=DISPIMG("ID_353C71C1CBCF4AAB91E96F2A91B2086B",1)</v>
      </c>
      <c r="AG33" s="795"/>
      <c r="AH33" s="783"/>
      <c r="AI33" s="800"/>
      <c r="AJ33" s="783"/>
      <c r="AK33" s="800"/>
      <c r="AL33" s="791">
        <v>380</v>
      </c>
      <c r="AM33" s="791">
        <v>1520</v>
      </c>
      <c r="AN33" s="850"/>
      <c r="AO33" s="847">
        <v>4</v>
      </c>
      <c r="AP33" s="847" t="s">
        <v>52</v>
      </c>
      <c r="AQ33" s="842" t="s">
        <v>74</v>
      </c>
      <c r="AR33" s="843">
        <v>45660</v>
      </c>
      <c r="AS33" s="795" t="s">
        <v>75</v>
      </c>
      <c r="AT33" s="800">
        <v>45674</v>
      </c>
      <c r="AU33" s="800">
        <v>45677</v>
      </c>
      <c r="AV33" s="795" t="s">
        <v>76</v>
      </c>
      <c r="AW33" s="795" t="s">
        <v>60</v>
      </c>
      <c r="AX33" s="859"/>
      <c r="AY33" s="860"/>
      <c r="AZ33" s="861"/>
    </row>
    <row r="34" ht="42" customHeight="1" spans="1:52">
      <c r="A34" s="782">
        <v>25</v>
      </c>
      <c r="B34" s="783">
        <v>8516800000</v>
      </c>
      <c r="C34" s="782">
        <v>851680</v>
      </c>
      <c r="D34" s="844" t="s">
        <v>67</v>
      </c>
      <c r="E34" s="844" t="s">
        <v>114</v>
      </c>
      <c r="F34" s="844" t="s">
        <v>115</v>
      </c>
      <c r="G34" s="845"/>
      <c r="H34" s="785"/>
      <c r="I34" s="846" t="s">
        <v>51</v>
      </c>
      <c r="J34" s="844">
        <v>20</v>
      </c>
      <c r="K34" s="847">
        <v>20</v>
      </c>
      <c r="L34" s="847" t="s">
        <v>52</v>
      </c>
      <c r="M34" s="782"/>
      <c r="N34" s="848"/>
      <c r="O34" s="849"/>
      <c r="P34" s="844">
        <v>25</v>
      </c>
      <c r="Q34" s="850">
        <v>500</v>
      </c>
      <c r="R34" s="791"/>
      <c r="T34" s="850">
        <v>0.47</v>
      </c>
      <c r="V34" s="850">
        <v>0.12</v>
      </c>
      <c r="W34" s="851"/>
      <c r="X34" s="863"/>
      <c r="Y34" s="864"/>
      <c r="Z34" s="851">
        <v>20</v>
      </c>
      <c r="AA34" s="853"/>
      <c r="AB34" s="853"/>
      <c r="AC34" s="853"/>
      <c r="AD34" s="854"/>
      <c r="AE34" s="854"/>
      <c r="AF34" s="855" t="str">
        <f>_xlfn.DISPIMG("ID_99402CBAEFA74B30B46EAADD916293AC",1)</f>
        <v>=DISPIMG("ID_99402CBAEFA74B30B46EAADD916293AC",1)</v>
      </c>
      <c r="AG34" s="795"/>
      <c r="AH34" s="783"/>
      <c r="AI34" s="800"/>
      <c r="AJ34" s="783"/>
      <c r="AK34" s="800"/>
      <c r="AL34" s="791">
        <v>25</v>
      </c>
      <c r="AM34" s="791">
        <v>500</v>
      </c>
      <c r="AN34" s="850"/>
      <c r="AO34" s="847">
        <v>20</v>
      </c>
      <c r="AP34" s="847" t="s">
        <v>52</v>
      </c>
      <c r="AQ34" s="842" t="s">
        <v>74</v>
      </c>
      <c r="AR34" s="843">
        <v>45660</v>
      </c>
      <c r="AS34" s="795" t="s">
        <v>75</v>
      </c>
      <c r="AT34" s="800">
        <v>45674</v>
      </c>
      <c r="AU34" s="800">
        <v>45677</v>
      </c>
      <c r="AV34" s="795" t="s">
        <v>76</v>
      </c>
      <c r="AW34" s="795" t="s">
        <v>60</v>
      </c>
      <c r="AX34" s="859"/>
      <c r="AY34" s="860"/>
      <c r="AZ34" s="861"/>
    </row>
    <row r="35" ht="46.8" spans="1:52">
      <c r="A35" s="782">
        <v>26</v>
      </c>
      <c r="B35" s="783">
        <v>8480790090</v>
      </c>
      <c r="C35" s="782">
        <v>848079</v>
      </c>
      <c r="D35" s="844" t="s">
        <v>67</v>
      </c>
      <c r="E35" s="844" t="s">
        <v>111</v>
      </c>
      <c r="F35" s="844" t="s">
        <v>112</v>
      </c>
      <c r="G35" s="845"/>
      <c r="H35" s="785"/>
      <c r="I35" s="846" t="s">
        <v>51</v>
      </c>
      <c r="J35" s="844">
        <v>6</v>
      </c>
      <c r="K35" s="847">
        <v>6</v>
      </c>
      <c r="L35" s="847" t="s">
        <v>52</v>
      </c>
      <c r="M35" s="782"/>
      <c r="N35" s="848"/>
      <c r="O35" s="849"/>
      <c r="P35" s="844">
        <v>380</v>
      </c>
      <c r="Q35" s="850">
        <v>2280</v>
      </c>
      <c r="R35" s="791"/>
      <c r="T35" s="850">
        <v>6.35</v>
      </c>
      <c r="V35" s="850">
        <v>6</v>
      </c>
      <c r="W35" s="851"/>
      <c r="X35" s="863"/>
      <c r="Y35" s="864"/>
      <c r="Z35" s="851">
        <v>6</v>
      </c>
      <c r="AA35" s="853"/>
      <c r="AB35" s="853"/>
      <c r="AC35" s="853"/>
      <c r="AD35" s="854"/>
      <c r="AE35" s="854"/>
      <c r="AF35" s="855" t="str">
        <f>_xlfn.DISPIMG("ID_9DB3E0628C6C482E97694BE6D94B66A2",1)</f>
        <v>=DISPIMG("ID_9DB3E0628C6C482E97694BE6D94B66A2",1)</v>
      </c>
      <c r="AG35" s="795"/>
      <c r="AH35" s="783"/>
      <c r="AI35" s="800"/>
      <c r="AJ35" s="783"/>
      <c r="AK35" s="800"/>
      <c r="AL35" s="791">
        <v>380</v>
      </c>
      <c r="AM35" s="791">
        <v>2280</v>
      </c>
      <c r="AN35" s="850"/>
      <c r="AO35" s="847">
        <v>6</v>
      </c>
      <c r="AP35" s="847" t="s">
        <v>52</v>
      </c>
      <c r="AQ35" s="842" t="s">
        <v>74</v>
      </c>
      <c r="AR35" s="843">
        <v>45660</v>
      </c>
      <c r="AS35" s="795" t="s">
        <v>75</v>
      </c>
      <c r="AT35" s="800">
        <v>45674</v>
      </c>
      <c r="AU35" s="800">
        <v>45677</v>
      </c>
      <c r="AV35" s="795" t="s">
        <v>76</v>
      </c>
      <c r="AW35" s="795" t="s">
        <v>60</v>
      </c>
      <c r="AX35" s="859"/>
      <c r="AY35" s="860"/>
      <c r="AZ35" s="861"/>
    </row>
    <row r="36" ht="46.8" spans="1:52">
      <c r="A36" s="782">
        <v>27</v>
      </c>
      <c r="B36" s="783">
        <v>8516800000</v>
      </c>
      <c r="C36" s="782">
        <v>851680</v>
      </c>
      <c r="D36" s="844" t="s">
        <v>67</v>
      </c>
      <c r="E36" s="844" t="s">
        <v>114</v>
      </c>
      <c r="F36" s="844" t="s">
        <v>115</v>
      </c>
      <c r="G36" s="845"/>
      <c r="H36" s="785"/>
      <c r="I36" s="846" t="s">
        <v>51</v>
      </c>
      <c r="J36" s="844">
        <v>30</v>
      </c>
      <c r="K36" s="847">
        <v>30</v>
      </c>
      <c r="L36" s="847" t="s">
        <v>52</v>
      </c>
      <c r="M36" s="782"/>
      <c r="N36" s="848"/>
      <c r="O36" s="849"/>
      <c r="P36" s="844">
        <v>35</v>
      </c>
      <c r="Q36" s="850">
        <v>1050</v>
      </c>
      <c r="R36" s="791"/>
      <c r="T36" s="850">
        <v>0.61</v>
      </c>
      <c r="V36" s="850">
        <v>0.26</v>
      </c>
      <c r="W36" s="851"/>
      <c r="X36" s="863"/>
      <c r="Y36" s="864"/>
      <c r="Z36" s="851">
        <v>30</v>
      </c>
      <c r="AA36" s="853"/>
      <c r="AB36" s="853"/>
      <c r="AC36" s="853"/>
      <c r="AD36" s="854"/>
      <c r="AE36" s="854"/>
      <c r="AF36" s="855" t="str">
        <f>_xlfn.DISPIMG("ID_6F35E7324FE241CF9740B1F58C1901C3",1)</f>
        <v>=DISPIMG("ID_6F35E7324FE241CF9740B1F58C1901C3",1)</v>
      </c>
      <c r="AG36" s="795"/>
      <c r="AH36" s="783"/>
      <c r="AI36" s="800"/>
      <c r="AJ36" s="783"/>
      <c r="AK36" s="800"/>
      <c r="AL36" s="791">
        <v>35</v>
      </c>
      <c r="AM36" s="791">
        <v>1050</v>
      </c>
      <c r="AN36" s="850"/>
      <c r="AO36" s="847">
        <v>30</v>
      </c>
      <c r="AP36" s="847" t="s">
        <v>52</v>
      </c>
      <c r="AQ36" s="842" t="s">
        <v>74</v>
      </c>
      <c r="AR36" s="843">
        <v>45660</v>
      </c>
      <c r="AS36" s="795" t="s">
        <v>75</v>
      </c>
      <c r="AT36" s="800">
        <v>45674</v>
      </c>
      <c r="AU36" s="800">
        <v>45677</v>
      </c>
      <c r="AV36" s="795" t="s">
        <v>76</v>
      </c>
      <c r="AW36" s="795" t="s">
        <v>60</v>
      </c>
      <c r="AX36" s="859"/>
      <c r="AY36" s="860"/>
      <c r="AZ36" s="861"/>
    </row>
    <row r="37" ht="60.75" customHeight="1" spans="1:52">
      <c r="A37" s="782">
        <v>28</v>
      </c>
      <c r="B37" s="783">
        <v>8480790090</v>
      </c>
      <c r="C37" s="783">
        <v>848079</v>
      </c>
      <c r="D37" s="844" t="s">
        <v>116</v>
      </c>
      <c r="E37" s="844" t="s">
        <v>117</v>
      </c>
      <c r="F37" s="844" t="s">
        <v>118</v>
      </c>
      <c r="G37" s="845"/>
      <c r="H37" s="785"/>
      <c r="I37" s="846" t="s">
        <v>51</v>
      </c>
      <c r="J37" s="844">
        <v>2</v>
      </c>
      <c r="K37" s="847">
        <v>2</v>
      </c>
      <c r="L37" s="847" t="s">
        <v>52</v>
      </c>
      <c r="M37" s="782"/>
      <c r="N37" s="848"/>
      <c r="O37" s="849"/>
      <c r="P37" s="844">
        <v>1800</v>
      </c>
      <c r="Q37" s="850">
        <v>3600</v>
      </c>
      <c r="R37" s="791"/>
      <c r="T37" s="850">
        <v>4.9</v>
      </c>
      <c r="V37" s="850">
        <v>4</v>
      </c>
      <c r="W37" s="851"/>
      <c r="X37" s="865" t="s">
        <v>119</v>
      </c>
      <c r="Y37" s="852">
        <v>1</v>
      </c>
      <c r="Z37" s="851">
        <v>2</v>
      </c>
      <c r="AA37" s="853"/>
      <c r="AB37" s="853"/>
      <c r="AC37" s="853"/>
      <c r="AD37" s="854">
        <v>0</v>
      </c>
      <c r="AE37" s="854">
        <v>0.04</v>
      </c>
      <c r="AF37" s="862" t="str">
        <f>_xlfn.DISPIMG("ID_C553DC26AFCF43389914D771C3A2228C",1)</f>
        <v>=DISPIMG("ID_C553DC26AFCF43389914D771C3A2228C",1)</v>
      </c>
      <c r="AG37" s="795"/>
      <c r="AH37" s="783"/>
      <c r="AI37" s="800"/>
      <c r="AJ37" s="783"/>
      <c r="AK37" s="800"/>
      <c r="AL37" s="791">
        <v>1800</v>
      </c>
      <c r="AM37" s="791">
        <v>3600</v>
      </c>
      <c r="AN37" s="850"/>
      <c r="AO37" s="847">
        <v>2</v>
      </c>
      <c r="AP37" s="847" t="s">
        <v>52</v>
      </c>
      <c r="AQ37" s="842" t="s">
        <v>74</v>
      </c>
      <c r="AR37" s="843">
        <v>45660</v>
      </c>
      <c r="AS37" s="795" t="s">
        <v>75</v>
      </c>
      <c r="AT37" s="800">
        <v>45674</v>
      </c>
      <c r="AU37" s="800">
        <v>45677</v>
      </c>
      <c r="AV37" s="795" t="s">
        <v>76</v>
      </c>
      <c r="AW37" s="795" t="s">
        <v>60</v>
      </c>
      <c r="AX37" s="866"/>
      <c r="AY37" s="867"/>
      <c r="AZ37" s="868"/>
    </row>
    <row r="38" ht="42.85" customHeight="1" spans="1:52">
      <c r="A38" s="777"/>
      <c r="B38" s="869"/>
      <c r="C38" s="869"/>
      <c r="D38" s="870"/>
      <c r="E38" s="870"/>
      <c r="F38" s="870"/>
      <c r="G38" s="871"/>
      <c r="H38" s="807"/>
      <c r="I38" s="872"/>
      <c r="J38" s="809">
        <v>123</v>
      </c>
      <c r="K38" s="873"/>
      <c r="L38" s="873"/>
      <c r="M38" s="874"/>
      <c r="N38" s="875"/>
      <c r="O38" s="876"/>
      <c r="P38" s="870"/>
      <c r="Q38" s="809">
        <v>26320</v>
      </c>
      <c r="R38" s="809">
        <v>26320</v>
      </c>
      <c r="T38" s="809">
        <v>64.56</v>
      </c>
      <c r="V38" s="809">
        <v>60.89</v>
      </c>
      <c r="W38" s="877"/>
      <c r="X38" s="878"/>
      <c r="Y38" s="809">
        <v>3</v>
      </c>
      <c r="Z38" s="879"/>
      <c r="AA38" s="880"/>
      <c r="AB38" s="880"/>
      <c r="AC38" s="880"/>
      <c r="AD38" s="881"/>
      <c r="AE38" s="809">
        <v>0.19</v>
      </c>
      <c r="AF38" s="882"/>
      <c r="AG38" s="878"/>
      <c r="AH38" s="883"/>
      <c r="AI38" s="883"/>
      <c r="AJ38" s="883"/>
      <c r="AK38" s="883"/>
      <c r="AL38" s="884"/>
      <c r="AM38" s="809">
        <v>26320</v>
      </c>
      <c r="AN38" s="809">
        <v>26320</v>
      </c>
      <c r="AO38" s="873"/>
      <c r="AP38" s="873"/>
      <c r="AQ38" s="885"/>
      <c r="AR38" s="886"/>
      <c r="AS38" s="878"/>
      <c r="AT38" s="887"/>
      <c r="AU38" s="869"/>
      <c r="AV38" s="878"/>
      <c r="AW38" s="878"/>
      <c r="AX38" s="888"/>
      <c r="AY38" s="820"/>
      <c r="AZ38" s="821"/>
    </row>
    <row r="39" ht="40.5" spans="1:52">
      <c r="A39" s="782">
        <v>29</v>
      </c>
      <c r="B39" s="783">
        <v>7326909000</v>
      </c>
      <c r="C39" s="783">
        <v>731829</v>
      </c>
      <c r="D39" s="844" t="s">
        <v>120</v>
      </c>
      <c r="E39" s="844" t="s">
        <v>121</v>
      </c>
      <c r="F39" s="844" t="s">
        <v>122</v>
      </c>
      <c r="G39" s="845"/>
      <c r="H39" s="785"/>
      <c r="I39" s="846" t="s">
        <v>123</v>
      </c>
      <c r="J39" s="844">
        <v>8</v>
      </c>
      <c r="K39" s="852">
        <v>40000</v>
      </c>
      <c r="L39" s="852" t="s">
        <v>51</v>
      </c>
      <c r="M39" s="889" t="s">
        <v>124</v>
      </c>
      <c r="N39" s="890"/>
      <c r="O39" s="891"/>
      <c r="P39" s="844">
        <v>75</v>
      </c>
      <c r="Q39" s="850">
        <v>600</v>
      </c>
      <c r="R39" s="791">
        <v>141009.77</v>
      </c>
      <c r="T39" s="791">
        <v>8.47</v>
      </c>
      <c r="V39" s="791">
        <v>8</v>
      </c>
      <c r="W39" s="851">
        <v>1</v>
      </c>
      <c r="X39" s="865" t="s">
        <v>71</v>
      </c>
      <c r="Y39" s="794">
        <v>1</v>
      </c>
      <c r="Z39" s="794" t="s">
        <v>125</v>
      </c>
      <c r="AA39" s="853"/>
      <c r="AB39" s="853"/>
      <c r="AC39" s="853"/>
      <c r="AD39" s="892">
        <v>0</v>
      </c>
      <c r="AE39" s="797">
        <v>0.02</v>
      </c>
      <c r="AF39" s="862" t="str">
        <f>_xlfn.DISPIMG("ID_F8D7BD56BD9C4739BA64128F900B7C0C",1)</f>
        <v>=DISPIMG("ID_F8D7BD56BD9C4739BA64128F900B7C0C",1)</v>
      </c>
      <c r="AG39" s="783"/>
      <c r="AH39" s="783" t="s">
        <v>126</v>
      </c>
      <c r="AI39" s="800">
        <v>45631</v>
      </c>
      <c r="AJ39" s="783" t="s">
        <v>127</v>
      </c>
      <c r="AK39" s="800">
        <v>45631</v>
      </c>
      <c r="AL39" s="791">
        <v>75</v>
      </c>
      <c r="AM39" s="791">
        <v>600</v>
      </c>
      <c r="AN39" s="791">
        <v>126558.19</v>
      </c>
      <c r="AO39" s="852">
        <v>40000</v>
      </c>
      <c r="AP39" s="852" t="s">
        <v>51</v>
      </c>
      <c r="AQ39" s="842" t="s">
        <v>74</v>
      </c>
      <c r="AR39" s="843">
        <v>45660</v>
      </c>
      <c r="AS39" s="795" t="s">
        <v>75</v>
      </c>
      <c r="AT39" s="800">
        <v>45674</v>
      </c>
      <c r="AU39" s="800">
        <v>45677</v>
      </c>
      <c r="AV39" s="795" t="s">
        <v>76</v>
      </c>
      <c r="AW39" s="795" t="s">
        <v>60</v>
      </c>
      <c r="AX39" s="893" t="s">
        <v>128</v>
      </c>
      <c r="AY39" s="857"/>
      <c r="AZ39" s="894">
        <v>351329.77</v>
      </c>
    </row>
    <row r="40" ht="42" spans="1:52">
      <c r="A40" s="782">
        <v>30</v>
      </c>
      <c r="B40" s="783">
        <v>7326909000</v>
      </c>
      <c r="C40" s="783">
        <v>732690</v>
      </c>
      <c r="D40" s="844" t="s">
        <v>120</v>
      </c>
      <c r="E40" s="895" t="s">
        <v>129</v>
      </c>
      <c r="F40" s="895" t="s">
        <v>130</v>
      </c>
      <c r="G40" s="845"/>
      <c r="H40" s="785"/>
      <c r="I40" s="846" t="s">
        <v>123</v>
      </c>
      <c r="J40" s="844">
        <v>58.9</v>
      </c>
      <c r="K40" s="852">
        <v>40000</v>
      </c>
      <c r="L40" s="852" t="s">
        <v>51</v>
      </c>
      <c r="M40" s="889"/>
      <c r="N40" s="890"/>
      <c r="O40" s="891"/>
      <c r="P40" s="844">
        <v>158.3</v>
      </c>
      <c r="Q40" s="850">
        <v>9323.87</v>
      </c>
      <c r="R40" s="791"/>
      <c r="T40" s="791">
        <v>59.39</v>
      </c>
      <c r="V40" s="791">
        <v>58.9</v>
      </c>
      <c r="W40" s="851"/>
      <c r="X40" s="865" t="s">
        <v>113</v>
      </c>
      <c r="Y40" s="794">
        <v>1</v>
      </c>
      <c r="Z40" s="794" t="s">
        <v>131</v>
      </c>
      <c r="AA40" s="853"/>
      <c r="AB40" s="853"/>
      <c r="AC40" s="853"/>
      <c r="AD40" s="892">
        <v>0</v>
      </c>
      <c r="AE40" s="797">
        <v>0.02</v>
      </c>
      <c r="AF40" s="862" t="str">
        <f>_xlfn.DISPIMG("ID_533EC456924442BD9A4924A4E3684D7C",1)</f>
        <v>=DISPIMG("ID_533EC456924442BD9A4924A4E3684D7C",1)</v>
      </c>
      <c r="AG40" s="783"/>
      <c r="AH40" s="783"/>
      <c r="AI40" s="800"/>
      <c r="AJ40" s="783"/>
      <c r="AK40" s="800"/>
      <c r="AL40" s="791">
        <v>158.3</v>
      </c>
      <c r="AM40" s="791">
        <v>9323.87</v>
      </c>
      <c r="AN40" s="791"/>
      <c r="AO40" s="852">
        <v>40000</v>
      </c>
      <c r="AP40" s="852" t="s">
        <v>51</v>
      </c>
      <c r="AQ40" s="842" t="s">
        <v>74</v>
      </c>
      <c r="AR40" s="843">
        <v>45660</v>
      </c>
      <c r="AS40" s="795" t="s">
        <v>75</v>
      </c>
      <c r="AT40" s="800">
        <v>45674</v>
      </c>
      <c r="AU40" s="800">
        <v>45677</v>
      </c>
      <c r="AV40" s="795" t="s">
        <v>76</v>
      </c>
      <c r="AW40" s="795" t="s">
        <v>60</v>
      </c>
      <c r="AX40" s="896"/>
      <c r="AY40" s="860"/>
      <c r="AZ40" s="897"/>
    </row>
    <row r="41" ht="40.5" spans="1:52">
      <c r="A41" s="782">
        <v>31</v>
      </c>
      <c r="B41" s="783">
        <v>7326909000</v>
      </c>
      <c r="C41" s="783">
        <v>732690</v>
      </c>
      <c r="D41" s="844" t="s">
        <v>120</v>
      </c>
      <c r="E41" s="844" t="s">
        <v>132</v>
      </c>
      <c r="F41" s="844" t="s">
        <v>133</v>
      </c>
      <c r="G41" s="845"/>
      <c r="H41" s="785"/>
      <c r="I41" s="846" t="s">
        <v>123</v>
      </c>
      <c r="J41" s="844">
        <v>76</v>
      </c>
      <c r="K41" s="852">
        <v>16000</v>
      </c>
      <c r="L41" s="852" t="s">
        <v>51</v>
      </c>
      <c r="M41" s="889"/>
      <c r="N41" s="890"/>
      <c r="O41" s="891"/>
      <c r="P41" s="844">
        <v>139.42</v>
      </c>
      <c r="Q41" s="850">
        <v>10595.92</v>
      </c>
      <c r="R41" s="791"/>
      <c r="T41" s="791">
        <v>88.94</v>
      </c>
      <c r="V41" s="791">
        <v>76</v>
      </c>
      <c r="W41" s="851"/>
      <c r="X41" s="865" t="s">
        <v>134</v>
      </c>
      <c r="Y41" s="794">
        <v>5</v>
      </c>
      <c r="Z41" s="794" t="s">
        <v>135</v>
      </c>
      <c r="AA41" s="853"/>
      <c r="AB41" s="853"/>
      <c r="AC41" s="853"/>
      <c r="AD41" s="892">
        <v>0</v>
      </c>
      <c r="AE41" s="797">
        <v>0.1</v>
      </c>
      <c r="AF41" s="862" t="str">
        <f>_xlfn.DISPIMG("ID_A095E048115E4230A5098DD4252295AF",1)</f>
        <v>=DISPIMG("ID_A095E048115E4230A5098DD4252295AF",1)</v>
      </c>
      <c r="AG41" s="783"/>
      <c r="AH41" s="783"/>
      <c r="AI41" s="800"/>
      <c r="AJ41" s="783"/>
      <c r="AK41" s="800"/>
      <c r="AL41" s="791">
        <v>139.42</v>
      </c>
      <c r="AM41" s="791">
        <v>10595.92</v>
      </c>
      <c r="AN41" s="791"/>
      <c r="AO41" s="852">
        <v>16000</v>
      </c>
      <c r="AP41" s="852" t="s">
        <v>51</v>
      </c>
      <c r="AQ41" s="842" t="s">
        <v>74</v>
      </c>
      <c r="AR41" s="843">
        <v>45660</v>
      </c>
      <c r="AS41" s="795" t="s">
        <v>75</v>
      </c>
      <c r="AT41" s="800">
        <v>45674</v>
      </c>
      <c r="AU41" s="800">
        <v>45677</v>
      </c>
      <c r="AV41" s="795" t="s">
        <v>76</v>
      </c>
      <c r="AW41" s="795" t="s">
        <v>60</v>
      </c>
      <c r="AX41" s="896"/>
      <c r="AY41" s="860"/>
      <c r="AZ41" s="897"/>
    </row>
    <row r="42" ht="63" spans="1:52">
      <c r="A42" s="782">
        <v>32</v>
      </c>
      <c r="B42" s="783">
        <v>7326909000</v>
      </c>
      <c r="C42" s="783">
        <v>732690</v>
      </c>
      <c r="D42" s="844" t="s">
        <v>136</v>
      </c>
      <c r="E42" s="844" t="s">
        <v>137</v>
      </c>
      <c r="F42" s="844" t="s">
        <v>138</v>
      </c>
      <c r="G42" s="845"/>
      <c r="H42" s="785"/>
      <c r="I42" s="846" t="s">
        <v>123</v>
      </c>
      <c r="J42" s="844">
        <v>64.38</v>
      </c>
      <c r="K42" s="852">
        <v>37000</v>
      </c>
      <c r="L42" s="852" t="s">
        <v>51</v>
      </c>
      <c r="M42" s="889"/>
      <c r="N42" s="890"/>
      <c r="O42" s="891"/>
      <c r="P42" s="844">
        <v>177.5</v>
      </c>
      <c r="Q42" s="850">
        <v>11427.45</v>
      </c>
      <c r="R42" s="791"/>
      <c r="T42" s="791">
        <v>69.72</v>
      </c>
      <c r="V42" s="791">
        <v>64.38</v>
      </c>
      <c r="W42" s="851"/>
      <c r="X42" s="865" t="s">
        <v>139</v>
      </c>
      <c r="Y42" s="794">
        <v>2</v>
      </c>
      <c r="Z42" s="794" t="s">
        <v>140</v>
      </c>
      <c r="AA42" s="853"/>
      <c r="AB42" s="853"/>
      <c r="AC42" s="853"/>
      <c r="AD42" s="892">
        <v>0</v>
      </c>
      <c r="AE42" s="797">
        <v>0.04</v>
      </c>
      <c r="AF42" s="862" t="str">
        <f>_xlfn.DISPIMG("ID_39FBA0FA05C84292AB6B4BEDE7A43250",1)</f>
        <v>=DISPIMG("ID_39FBA0FA05C84292AB6B4BEDE7A43250",1)</v>
      </c>
      <c r="AG42" s="783"/>
      <c r="AH42" s="783"/>
      <c r="AI42" s="800"/>
      <c r="AJ42" s="783"/>
      <c r="AK42" s="800"/>
      <c r="AL42" s="791">
        <v>177.5</v>
      </c>
      <c r="AM42" s="791">
        <v>11427.45</v>
      </c>
      <c r="AN42" s="791"/>
      <c r="AO42" s="852">
        <v>37000</v>
      </c>
      <c r="AP42" s="852" t="s">
        <v>51</v>
      </c>
      <c r="AQ42" s="842" t="s">
        <v>74</v>
      </c>
      <c r="AR42" s="843">
        <v>45660</v>
      </c>
      <c r="AS42" s="795" t="s">
        <v>75</v>
      </c>
      <c r="AT42" s="800">
        <v>45674</v>
      </c>
      <c r="AU42" s="800">
        <v>45677</v>
      </c>
      <c r="AV42" s="795" t="s">
        <v>76</v>
      </c>
      <c r="AW42" s="795" t="s">
        <v>60</v>
      </c>
      <c r="AX42" s="896"/>
      <c r="AY42" s="860"/>
      <c r="AZ42" s="897"/>
    </row>
    <row r="43" ht="63" customHeight="1" spans="1:52">
      <c r="A43" s="782">
        <v>33</v>
      </c>
      <c r="B43" s="783">
        <v>7326909000</v>
      </c>
      <c r="C43" s="783">
        <v>732690</v>
      </c>
      <c r="D43" s="844" t="s">
        <v>141</v>
      </c>
      <c r="E43" s="844" t="s">
        <v>142</v>
      </c>
      <c r="F43" s="844" t="s">
        <v>143</v>
      </c>
      <c r="G43" s="845"/>
      <c r="H43" s="785"/>
      <c r="I43" s="846" t="s">
        <v>123</v>
      </c>
      <c r="J43" s="844">
        <v>58.52</v>
      </c>
      <c r="K43" s="852">
        <v>44000</v>
      </c>
      <c r="L43" s="852" t="s">
        <v>51</v>
      </c>
      <c r="M43" s="889"/>
      <c r="N43" s="890"/>
      <c r="O43" s="891"/>
      <c r="P43" s="844">
        <v>321</v>
      </c>
      <c r="Q43" s="850">
        <v>18784.92</v>
      </c>
      <c r="R43" s="791"/>
      <c r="T43" s="791">
        <v>61.65</v>
      </c>
      <c r="V43" s="791">
        <v>58.52</v>
      </c>
      <c r="W43" s="851"/>
      <c r="X43" s="865" t="s">
        <v>144</v>
      </c>
      <c r="Y43" s="794">
        <v>7</v>
      </c>
      <c r="Z43" s="794" t="s">
        <v>145</v>
      </c>
      <c r="AA43" s="853"/>
      <c r="AB43" s="853"/>
      <c r="AC43" s="853"/>
      <c r="AD43" s="892">
        <v>0</v>
      </c>
      <c r="AE43" s="797">
        <v>0.14</v>
      </c>
      <c r="AF43" s="862" t="str">
        <f>_xlfn.DISPIMG("ID_0C5B4E5496B446BC99850A6205D9CCAB",1)</f>
        <v>=DISPIMG("ID_0C5B4E5496B446BC99850A6205D9CCAB",1)</v>
      </c>
      <c r="AG43" s="783"/>
      <c r="AH43" s="783"/>
      <c r="AI43" s="800"/>
      <c r="AJ43" s="783"/>
      <c r="AK43" s="800"/>
      <c r="AL43" s="791">
        <v>321</v>
      </c>
      <c r="AM43" s="791">
        <v>18784.92</v>
      </c>
      <c r="AN43" s="791"/>
      <c r="AO43" s="852">
        <v>44000</v>
      </c>
      <c r="AP43" s="852" t="s">
        <v>51</v>
      </c>
      <c r="AQ43" s="842" t="s">
        <v>74</v>
      </c>
      <c r="AR43" s="843">
        <v>45660</v>
      </c>
      <c r="AS43" s="795" t="s">
        <v>75</v>
      </c>
      <c r="AT43" s="800">
        <v>45674</v>
      </c>
      <c r="AU43" s="800">
        <v>45677</v>
      </c>
      <c r="AV43" s="795" t="s">
        <v>76</v>
      </c>
      <c r="AW43" s="795" t="s">
        <v>60</v>
      </c>
      <c r="AX43" s="896"/>
      <c r="AY43" s="860"/>
      <c r="AZ43" s="897"/>
    </row>
    <row r="44" ht="63" spans="1:52">
      <c r="A44" s="782">
        <v>34</v>
      </c>
      <c r="B44" s="783">
        <v>7326909000</v>
      </c>
      <c r="C44" s="783">
        <v>732690</v>
      </c>
      <c r="D44" s="844" t="s">
        <v>136</v>
      </c>
      <c r="E44" s="844" t="s">
        <v>146</v>
      </c>
      <c r="F44" s="844" t="s">
        <v>147</v>
      </c>
      <c r="G44" s="845"/>
      <c r="H44" s="785"/>
      <c r="I44" s="846" t="s">
        <v>123</v>
      </c>
      <c r="J44" s="844">
        <v>52.1</v>
      </c>
      <c r="K44" s="852">
        <v>40000</v>
      </c>
      <c r="L44" s="852" t="s">
        <v>51</v>
      </c>
      <c r="M44" s="889"/>
      <c r="N44" s="890"/>
      <c r="O44" s="891"/>
      <c r="P44" s="844">
        <v>288.6</v>
      </c>
      <c r="Q44" s="850">
        <v>15036.06</v>
      </c>
      <c r="R44" s="791"/>
      <c r="T44" s="791">
        <v>56.59</v>
      </c>
      <c r="V44" s="791">
        <v>52.1</v>
      </c>
      <c r="W44" s="851"/>
      <c r="X44" s="865" t="s">
        <v>148</v>
      </c>
      <c r="Y44" s="794">
        <v>2</v>
      </c>
      <c r="Z44" s="794" t="s">
        <v>149</v>
      </c>
      <c r="AA44" s="853"/>
      <c r="AB44" s="853"/>
      <c r="AC44" s="853"/>
      <c r="AD44" s="892">
        <v>0</v>
      </c>
      <c r="AE44" s="797">
        <v>0.04</v>
      </c>
      <c r="AF44" s="862" t="str">
        <f>_xlfn.DISPIMG("ID_48CE83A4F18B486992B6FA4525FC452D",1)</f>
        <v>=DISPIMG("ID_48CE83A4F18B486992B6FA4525FC452D",1)</v>
      </c>
      <c r="AG44" s="783"/>
      <c r="AH44" s="783"/>
      <c r="AI44" s="800"/>
      <c r="AJ44" s="783"/>
      <c r="AK44" s="800"/>
      <c r="AL44" s="791">
        <v>288.6</v>
      </c>
      <c r="AM44" s="791">
        <v>15036.06</v>
      </c>
      <c r="AN44" s="791"/>
      <c r="AO44" s="852">
        <v>40000</v>
      </c>
      <c r="AP44" s="852" t="s">
        <v>51</v>
      </c>
      <c r="AQ44" s="842" t="s">
        <v>74</v>
      </c>
      <c r="AR44" s="843">
        <v>45660</v>
      </c>
      <c r="AS44" s="795" t="s">
        <v>75</v>
      </c>
      <c r="AT44" s="800">
        <v>45674</v>
      </c>
      <c r="AU44" s="800">
        <v>45677</v>
      </c>
      <c r="AV44" s="795" t="s">
        <v>76</v>
      </c>
      <c r="AW44" s="795" t="s">
        <v>60</v>
      </c>
      <c r="AX44" s="896"/>
      <c r="AY44" s="860"/>
      <c r="AZ44" s="897"/>
    </row>
    <row r="45" ht="47.25" customHeight="1" spans="1:52">
      <c r="A45" s="782">
        <v>35</v>
      </c>
      <c r="B45" s="783">
        <v>7326909000</v>
      </c>
      <c r="C45" s="783">
        <v>732690</v>
      </c>
      <c r="D45" s="844" t="s">
        <v>67</v>
      </c>
      <c r="E45" s="844" t="s">
        <v>150</v>
      </c>
      <c r="F45" s="844" t="s">
        <v>151</v>
      </c>
      <c r="G45" s="845"/>
      <c r="H45" s="785"/>
      <c r="I45" s="846" t="s">
        <v>123</v>
      </c>
      <c r="J45" s="844">
        <v>8.3</v>
      </c>
      <c r="K45" s="852">
        <v>60000</v>
      </c>
      <c r="L45" s="852" t="s">
        <v>51</v>
      </c>
      <c r="M45" s="889"/>
      <c r="N45" s="848"/>
      <c r="O45" s="849"/>
      <c r="P45" s="844">
        <v>343.4</v>
      </c>
      <c r="Q45" s="850">
        <v>2850.22</v>
      </c>
      <c r="R45" s="791"/>
      <c r="T45" s="850">
        <v>8.81</v>
      </c>
      <c r="V45" s="791">
        <v>8.3</v>
      </c>
      <c r="W45" s="851"/>
      <c r="X45" s="865" t="s">
        <v>152</v>
      </c>
      <c r="Y45" s="794">
        <v>1</v>
      </c>
      <c r="Z45" s="794" t="s">
        <v>153</v>
      </c>
      <c r="AA45" s="853"/>
      <c r="AB45" s="853"/>
      <c r="AC45" s="853"/>
      <c r="AD45" s="892">
        <v>0</v>
      </c>
      <c r="AE45" s="797">
        <v>0.02</v>
      </c>
      <c r="AF45" s="862" t="str">
        <f>_xlfn.DISPIMG("ID_833C30FF772A46EDAF611826D78B2482",1)</f>
        <v>=DISPIMG("ID_833C30FF772A46EDAF611826D78B2482",1)</v>
      </c>
      <c r="AG45" s="783"/>
      <c r="AH45" s="783"/>
      <c r="AI45" s="800"/>
      <c r="AJ45" s="783"/>
      <c r="AK45" s="800"/>
      <c r="AL45" s="791">
        <v>343.4</v>
      </c>
      <c r="AM45" s="791">
        <v>2850.22</v>
      </c>
      <c r="AN45" s="791"/>
      <c r="AO45" s="852">
        <v>60000</v>
      </c>
      <c r="AP45" s="852" t="s">
        <v>51</v>
      </c>
      <c r="AQ45" s="842" t="s">
        <v>74</v>
      </c>
      <c r="AR45" s="843">
        <v>45660</v>
      </c>
      <c r="AS45" s="795" t="s">
        <v>75</v>
      </c>
      <c r="AT45" s="800">
        <v>45674</v>
      </c>
      <c r="AU45" s="800">
        <v>45677</v>
      </c>
      <c r="AV45" s="795" t="s">
        <v>76</v>
      </c>
      <c r="AW45" s="795" t="s">
        <v>60</v>
      </c>
      <c r="AX45" s="896"/>
      <c r="AY45" s="860"/>
      <c r="AZ45" s="897"/>
    </row>
    <row r="46" ht="47.25" spans="1:52">
      <c r="A46" s="782">
        <v>36</v>
      </c>
      <c r="B46" s="783">
        <v>7326909000</v>
      </c>
      <c r="C46" s="783">
        <v>732690</v>
      </c>
      <c r="D46" s="844" t="s">
        <v>67</v>
      </c>
      <c r="E46" s="844" t="s">
        <v>154</v>
      </c>
      <c r="F46" s="844" t="s">
        <v>155</v>
      </c>
      <c r="G46" s="845"/>
      <c r="H46" s="785"/>
      <c r="I46" s="846" t="s">
        <v>123</v>
      </c>
      <c r="J46" s="844">
        <v>13.6</v>
      </c>
      <c r="K46" s="852">
        <v>60000</v>
      </c>
      <c r="L46" s="852" t="s">
        <v>51</v>
      </c>
      <c r="M46" s="889"/>
      <c r="N46" s="848"/>
      <c r="O46" s="849"/>
      <c r="P46" s="844">
        <v>375.45</v>
      </c>
      <c r="Q46" s="850">
        <v>5106.12</v>
      </c>
      <c r="R46" s="791"/>
      <c r="T46" s="850">
        <v>14.09</v>
      </c>
      <c r="V46" s="791">
        <v>13.6</v>
      </c>
      <c r="W46" s="851"/>
      <c r="X46" s="865" t="s">
        <v>156</v>
      </c>
      <c r="Y46" s="794">
        <v>1</v>
      </c>
      <c r="Z46" s="794" t="s">
        <v>157</v>
      </c>
      <c r="AA46" s="853"/>
      <c r="AB46" s="853"/>
      <c r="AC46" s="853"/>
      <c r="AD46" s="892">
        <v>0</v>
      </c>
      <c r="AE46" s="797">
        <v>0.02</v>
      </c>
      <c r="AF46" s="862" t="str">
        <f>_xlfn.DISPIMG("ID_A795A2B5AE2641E0B5E181416F19E319",1)</f>
        <v>=DISPIMG("ID_A795A2B5AE2641E0B5E181416F19E319",1)</v>
      </c>
      <c r="AG46" s="795"/>
      <c r="AH46" s="783"/>
      <c r="AI46" s="800"/>
      <c r="AJ46" s="783"/>
      <c r="AK46" s="800"/>
      <c r="AL46" s="791">
        <v>375.45</v>
      </c>
      <c r="AM46" s="791">
        <v>5106.12</v>
      </c>
      <c r="AN46" s="791"/>
      <c r="AO46" s="852">
        <v>60000</v>
      </c>
      <c r="AP46" s="852" t="s">
        <v>51</v>
      </c>
      <c r="AQ46" s="842" t="s">
        <v>74</v>
      </c>
      <c r="AR46" s="843">
        <v>45660</v>
      </c>
      <c r="AS46" s="795" t="s">
        <v>75</v>
      </c>
      <c r="AT46" s="800">
        <v>45674</v>
      </c>
      <c r="AU46" s="800">
        <v>45677</v>
      </c>
      <c r="AV46" s="795" t="s">
        <v>76</v>
      </c>
      <c r="AW46" s="795" t="s">
        <v>60</v>
      </c>
      <c r="AX46" s="896"/>
      <c r="AY46" s="860"/>
      <c r="AZ46" s="897"/>
    </row>
    <row r="47" ht="63" customHeight="1" spans="1:52">
      <c r="A47" s="782">
        <v>37</v>
      </c>
      <c r="B47" s="783">
        <v>7326909000</v>
      </c>
      <c r="C47" s="783">
        <v>732690</v>
      </c>
      <c r="D47" s="844" t="s">
        <v>67</v>
      </c>
      <c r="E47" s="844" t="s">
        <v>158</v>
      </c>
      <c r="F47" s="844" t="s">
        <v>159</v>
      </c>
      <c r="G47" s="845"/>
      <c r="H47" s="785"/>
      <c r="I47" s="846" t="s">
        <v>123</v>
      </c>
      <c r="J47" s="844">
        <v>42.1</v>
      </c>
      <c r="K47" s="852">
        <v>120000</v>
      </c>
      <c r="L47" s="852" t="s">
        <v>51</v>
      </c>
      <c r="M47" s="889"/>
      <c r="N47" s="848"/>
      <c r="O47" s="849"/>
      <c r="P47" s="844">
        <v>370.5</v>
      </c>
      <c r="Q47" s="850">
        <v>15598.05</v>
      </c>
      <c r="R47" s="791"/>
      <c r="T47" s="850">
        <v>44</v>
      </c>
      <c r="V47" s="791">
        <v>42.1</v>
      </c>
      <c r="W47" s="851"/>
      <c r="X47" s="865" t="s">
        <v>160</v>
      </c>
      <c r="Y47" s="794">
        <v>4</v>
      </c>
      <c r="Z47" s="794" t="s">
        <v>161</v>
      </c>
      <c r="AA47" s="853"/>
      <c r="AB47" s="853"/>
      <c r="AC47" s="853"/>
      <c r="AD47" s="892">
        <v>0</v>
      </c>
      <c r="AE47" s="797">
        <v>0.08</v>
      </c>
      <c r="AF47" s="862" t="str">
        <f>_xlfn.DISPIMG("ID_0684888A734548CB8CBA2966956BE895",1)</f>
        <v>=DISPIMG("ID_0684888A734548CB8CBA2966956BE895",1)</v>
      </c>
      <c r="AG47" s="795"/>
      <c r="AH47" s="783"/>
      <c r="AI47" s="800"/>
      <c r="AJ47" s="783"/>
      <c r="AK47" s="800"/>
      <c r="AL47" s="791">
        <v>370.5</v>
      </c>
      <c r="AM47" s="791">
        <v>15598.05</v>
      </c>
      <c r="AN47" s="791"/>
      <c r="AO47" s="852">
        <v>120000</v>
      </c>
      <c r="AP47" s="852" t="s">
        <v>51</v>
      </c>
      <c r="AQ47" s="842" t="s">
        <v>74</v>
      </c>
      <c r="AR47" s="843">
        <v>45660</v>
      </c>
      <c r="AS47" s="795" t="s">
        <v>75</v>
      </c>
      <c r="AT47" s="800">
        <v>45674</v>
      </c>
      <c r="AU47" s="800">
        <v>45677</v>
      </c>
      <c r="AV47" s="795" t="s">
        <v>76</v>
      </c>
      <c r="AW47" s="795" t="s">
        <v>60</v>
      </c>
      <c r="AX47" s="896"/>
      <c r="AY47" s="860"/>
      <c r="AZ47" s="897"/>
    </row>
    <row r="48" ht="52.5" customHeight="1" spans="1:52">
      <c r="A48" s="782">
        <v>38</v>
      </c>
      <c r="B48" s="783">
        <v>7326909000</v>
      </c>
      <c r="C48" s="783">
        <v>741533</v>
      </c>
      <c r="D48" s="844" t="s">
        <v>67</v>
      </c>
      <c r="E48" s="844" t="s">
        <v>162</v>
      </c>
      <c r="F48" s="844" t="s">
        <v>163</v>
      </c>
      <c r="G48" s="845"/>
      <c r="H48" s="785"/>
      <c r="I48" s="846" t="s">
        <v>123</v>
      </c>
      <c r="J48" s="844">
        <v>11.6</v>
      </c>
      <c r="K48" s="852">
        <v>60000</v>
      </c>
      <c r="L48" s="852" t="s">
        <v>51</v>
      </c>
      <c r="M48" s="889"/>
      <c r="N48" s="848"/>
      <c r="O48" s="849"/>
      <c r="P48" s="844">
        <v>20.2</v>
      </c>
      <c r="Q48" s="850">
        <v>234.32</v>
      </c>
      <c r="R48" s="791"/>
      <c r="T48" s="850">
        <v>12.11</v>
      </c>
      <c r="V48" s="791">
        <v>11.6</v>
      </c>
      <c r="W48" s="851"/>
      <c r="X48" s="865" t="s">
        <v>164</v>
      </c>
      <c r="Y48" s="794">
        <v>1</v>
      </c>
      <c r="Z48" s="794" t="s">
        <v>165</v>
      </c>
      <c r="AA48" s="853"/>
      <c r="AB48" s="853"/>
      <c r="AC48" s="853"/>
      <c r="AD48" s="892">
        <v>0</v>
      </c>
      <c r="AE48" s="797">
        <v>0.02</v>
      </c>
      <c r="AF48" s="862" t="str">
        <f>_xlfn.DISPIMG("ID_06DC40AD45A043DABB05292CC4E7786D",1)</f>
        <v>=DISPIMG("ID_06DC40AD45A043DABB05292CC4E7786D",1)</v>
      </c>
      <c r="AG48" s="795"/>
      <c r="AH48" s="783"/>
      <c r="AI48" s="800"/>
      <c r="AJ48" s="783"/>
      <c r="AK48" s="800"/>
      <c r="AL48" s="791">
        <v>20.2</v>
      </c>
      <c r="AM48" s="791">
        <v>234.32</v>
      </c>
      <c r="AN48" s="791"/>
      <c r="AO48" s="852">
        <v>60000</v>
      </c>
      <c r="AP48" s="852" t="s">
        <v>51</v>
      </c>
      <c r="AQ48" s="842" t="s">
        <v>74</v>
      </c>
      <c r="AR48" s="843">
        <v>45660</v>
      </c>
      <c r="AS48" s="795" t="s">
        <v>75</v>
      </c>
      <c r="AT48" s="800">
        <v>45674</v>
      </c>
      <c r="AU48" s="800">
        <v>45677</v>
      </c>
      <c r="AV48" s="795" t="s">
        <v>76</v>
      </c>
      <c r="AW48" s="795" t="s">
        <v>60</v>
      </c>
      <c r="AX48" s="896"/>
      <c r="AY48" s="860"/>
      <c r="AZ48" s="897"/>
    </row>
    <row r="49" ht="65.65" customHeight="1" spans="1:52">
      <c r="A49" s="782">
        <v>39</v>
      </c>
      <c r="B49" s="783">
        <v>7326909000</v>
      </c>
      <c r="C49" s="783">
        <v>741533</v>
      </c>
      <c r="D49" s="844" t="s">
        <v>67</v>
      </c>
      <c r="E49" s="844" t="s">
        <v>166</v>
      </c>
      <c r="F49" s="844" t="s">
        <v>167</v>
      </c>
      <c r="G49" s="845"/>
      <c r="H49" s="785"/>
      <c r="I49" s="846" t="s">
        <v>123</v>
      </c>
      <c r="J49" s="844">
        <v>43.7</v>
      </c>
      <c r="K49" s="852">
        <v>180000</v>
      </c>
      <c r="L49" s="852" t="s">
        <v>51</v>
      </c>
      <c r="M49" s="889"/>
      <c r="N49" s="848"/>
      <c r="O49" s="849"/>
      <c r="P49" s="844">
        <v>20.6</v>
      </c>
      <c r="Q49" s="850">
        <v>900.22</v>
      </c>
      <c r="R49" s="791"/>
      <c r="T49" s="850">
        <v>44.21</v>
      </c>
      <c r="V49" s="791">
        <v>43.7</v>
      </c>
      <c r="W49" s="851"/>
      <c r="X49" s="865" t="s">
        <v>168</v>
      </c>
      <c r="Y49" s="794">
        <v>1</v>
      </c>
      <c r="Z49" s="794" t="s">
        <v>169</v>
      </c>
      <c r="AA49" s="853"/>
      <c r="AB49" s="853"/>
      <c r="AC49" s="853"/>
      <c r="AD49" s="892">
        <v>0</v>
      </c>
      <c r="AE49" s="797">
        <v>0.02</v>
      </c>
      <c r="AF49" s="862" t="str">
        <f>_xlfn.DISPIMG("ID_EABDAAE6FFCF40A899C663441ECD4974",1)</f>
        <v>=DISPIMG("ID_EABDAAE6FFCF40A899C663441ECD4974",1)</v>
      </c>
      <c r="AG49" s="795"/>
      <c r="AH49" s="783"/>
      <c r="AI49" s="800"/>
      <c r="AJ49" s="783"/>
      <c r="AK49" s="800"/>
      <c r="AL49" s="791">
        <v>20.6</v>
      </c>
      <c r="AM49" s="791">
        <v>900.22</v>
      </c>
      <c r="AN49" s="791"/>
      <c r="AO49" s="852">
        <v>180000</v>
      </c>
      <c r="AP49" s="852" t="s">
        <v>51</v>
      </c>
      <c r="AQ49" s="842" t="s">
        <v>74</v>
      </c>
      <c r="AR49" s="843">
        <v>45660</v>
      </c>
      <c r="AS49" s="795" t="s">
        <v>75</v>
      </c>
      <c r="AT49" s="800">
        <v>45674</v>
      </c>
      <c r="AU49" s="800">
        <v>45677</v>
      </c>
      <c r="AV49" s="795" t="s">
        <v>76</v>
      </c>
      <c r="AW49" s="795" t="s">
        <v>60</v>
      </c>
      <c r="AX49" s="896"/>
      <c r="AY49" s="860"/>
      <c r="AZ49" s="897"/>
    </row>
    <row r="50" ht="99.75" spans="1:52">
      <c r="A50" s="782">
        <v>40</v>
      </c>
      <c r="B50" s="783">
        <v>7326909000</v>
      </c>
      <c r="C50" s="783">
        <v>732690</v>
      </c>
      <c r="D50" s="844" t="s">
        <v>170</v>
      </c>
      <c r="E50" s="844" t="s">
        <v>171</v>
      </c>
      <c r="F50" s="844" t="s">
        <v>172</v>
      </c>
      <c r="G50" s="845"/>
      <c r="H50" s="785"/>
      <c r="I50" s="846" t="s">
        <v>123</v>
      </c>
      <c r="J50" s="844">
        <v>78.3</v>
      </c>
      <c r="K50" s="852">
        <v>300000</v>
      </c>
      <c r="L50" s="852" t="s">
        <v>51</v>
      </c>
      <c r="M50" s="889"/>
      <c r="N50" s="848"/>
      <c r="O50" s="849"/>
      <c r="P50" s="844">
        <v>100.8</v>
      </c>
      <c r="Q50" s="850">
        <v>7892.64</v>
      </c>
      <c r="R50" s="791"/>
      <c r="T50" s="850">
        <v>79.71</v>
      </c>
      <c r="V50" s="791">
        <v>78.3</v>
      </c>
      <c r="W50" s="851"/>
      <c r="X50" s="865" t="s">
        <v>173</v>
      </c>
      <c r="Y50" s="794">
        <v>3</v>
      </c>
      <c r="Z50" s="794" t="s">
        <v>174</v>
      </c>
      <c r="AA50" s="853"/>
      <c r="AB50" s="853"/>
      <c r="AC50" s="853"/>
      <c r="AD50" s="892">
        <v>0</v>
      </c>
      <c r="AE50" s="797">
        <v>0.06</v>
      </c>
      <c r="AF50" s="898" t="str">
        <f>_xlfn.DISPIMG("ID_A8B656F1C78140A986BCBCF0528DBCAD",1)</f>
        <v>=DISPIMG("ID_A8B656F1C78140A986BCBCF0528DBCAD",1)</v>
      </c>
      <c r="AG50" s="795"/>
      <c r="AH50" s="783"/>
      <c r="AI50" s="800"/>
      <c r="AJ50" s="783"/>
      <c r="AK50" s="800"/>
      <c r="AL50" s="791">
        <v>100.8</v>
      </c>
      <c r="AM50" s="791">
        <v>7892.64</v>
      </c>
      <c r="AN50" s="791"/>
      <c r="AO50" s="852">
        <v>300000</v>
      </c>
      <c r="AP50" s="852" t="s">
        <v>51</v>
      </c>
      <c r="AQ50" s="842" t="s">
        <v>74</v>
      </c>
      <c r="AR50" s="843">
        <v>45660</v>
      </c>
      <c r="AS50" s="795" t="s">
        <v>75</v>
      </c>
      <c r="AT50" s="800">
        <v>45674</v>
      </c>
      <c r="AU50" s="800">
        <v>45677</v>
      </c>
      <c r="AV50" s="795" t="s">
        <v>76</v>
      </c>
      <c r="AW50" s="795" t="s">
        <v>60</v>
      </c>
      <c r="AX50" s="896"/>
      <c r="AY50" s="860"/>
      <c r="AZ50" s="897"/>
    </row>
    <row r="51" ht="78.75" customHeight="1" spans="1:52">
      <c r="A51" s="782">
        <v>41</v>
      </c>
      <c r="B51" s="783">
        <v>7326909000</v>
      </c>
      <c r="C51" s="783">
        <v>732690</v>
      </c>
      <c r="D51" s="844" t="s">
        <v>170</v>
      </c>
      <c r="E51" s="844" t="s">
        <v>175</v>
      </c>
      <c r="F51" s="844" t="s">
        <v>176</v>
      </c>
      <c r="G51" s="845"/>
      <c r="H51" s="785"/>
      <c r="I51" s="846" t="s">
        <v>123</v>
      </c>
      <c r="J51" s="844">
        <v>111.6</v>
      </c>
      <c r="K51" s="852">
        <v>300000</v>
      </c>
      <c r="L51" s="852" t="s">
        <v>51</v>
      </c>
      <c r="M51" s="889"/>
      <c r="N51" s="848"/>
      <c r="O51" s="849"/>
      <c r="P51" s="844">
        <v>182</v>
      </c>
      <c r="Q51" s="850">
        <v>20311.2</v>
      </c>
      <c r="R51" s="791"/>
      <c r="T51" s="850">
        <v>128.3</v>
      </c>
      <c r="V51" s="791">
        <v>111.6</v>
      </c>
      <c r="W51" s="851"/>
      <c r="X51" s="865" t="s">
        <v>177</v>
      </c>
      <c r="Y51" s="794">
        <v>10</v>
      </c>
      <c r="Z51" s="794" t="s">
        <v>178</v>
      </c>
      <c r="AA51" s="853"/>
      <c r="AB51" s="853"/>
      <c r="AC51" s="853"/>
      <c r="AD51" s="892">
        <v>0</v>
      </c>
      <c r="AE51" s="797">
        <v>0.2</v>
      </c>
      <c r="AF51" s="898" t="str">
        <f>_xlfn.DISPIMG("ID_78EA6292A86A49DE810C08F497ACB3BA",1)</f>
        <v>=DISPIMG("ID_78EA6292A86A49DE810C08F497ACB3BA",1)</v>
      </c>
      <c r="AG51" s="795"/>
      <c r="AH51" s="783"/>
      <c r="AI51" s="800"/>
      <c r="AJ51" s="783"/>
      <c r="AK51" s="800"/>
      <c r="AL51" s="791">
        <v>182</v>
      </c>
      <c r="AM51" s="791">
        <v>20311.2</v>
      </c>
      <c r="AN51" s="791"/>
      <c r="AO51" s="852">
        <v>300000</v>
      </c>
      <c r="AP51" s="852" t="s">
        <v>51</v>
      </c>
      <c r="AQ51" s="842" t="s">
        <v>74</v>
      </c>
      <c r="AR51" s="843">
        <v>45660</v>
      </c>
      <c r="AS51" s="795" t="s">
        <v>75</v>
      </c>
      <c r="AT51" s="800">
        <v>45674</v>
      </c>
      <c r="AU51" s="800">
        <v>45677</v>
      </c>
      <c r="AV51" s="795" t="s">
        <v>76</v>
      </c>
      <c r="AW51" s="795" t="s">
        <v>60</v>
      </c>
      <c r="AX51" s="896"/>
      <c r="AY51" s="860"/>
      <c r="AZ51" s="897"/>
    </row>
    <row r="52" ht="71.25" spans="1:52">
      <c r="A52" s="782">
        <v>42</v>
      </c>
      <c r="B52" s="783">
        <v>7326909000</v>
      </c>
      <c r="C52" s="783">
        <v>741533</v>
      </c>
      <c r="D52" s="844" t="s">
        <v>170</v>
      </c>
      <c r="E52" s="844" t="s">
        <v>162</v>
      </c>
      <c r="F52" s="844" t="s">
        <v>163</v>
      </c>
      <c r="G52" s="845"/>
      <c r="H52" s="785"/>
      <c r="I52" s="846" t="s">
        <v>123</v>
      </c>
      <c r="J52" s="844">
        <v>116.5</v>
      </c>
      <c r="K52" s="852">
        <v>600000</v>
      </c>
      <c r="L52" s="852" t="s">
        <v>51</v>
      </c>
      <c r="M52" s="889"/>
      <c r="N52" s="848"/>
      <c r="O52" s="849"/>
      <c r="P52" s="844">
        <v>20.1</v>
      </c>
      <c r="Q52" s="850">
        <v>2341.65</v>
      </c>
      <c r="R52" s="791"/>
      <c r="T52" s="850">
        <v>131.92</v>
      </c>
      <c r="V52" s="791">
        <v>116.5</v>
      </c>
      <c r="W52" s="851"/>
      <c r="X52" s="865" t="s">
        <v>179</v>
      </c>
      <c r="Y52" s="794">
        <v>3</v>
      </c>
      <c r="Z52" s="794" t="s">
        <v>180</v>
      </c>
      <c r="AA52" s="853"/>
      <c r="AB52" s="853"/>
      <c r="AC52" s="853"/>
      <c r="AD52" s="892">
        <v>0</v>
      </c>
      <c r="AE52" s="797">
        <v>0.06</v>
      </c>
      <c r="AF52" s="898" t="str">
        <f>_xlfn.DISPIMG("ID_7D32CB1B8CC74264932F0CA497DD1B62",1)</f>
        <v>=DISPIMG("ID_7D32CB1B8CC74264932F0CA497DD1B62",1)</v>
      </c>
      <c r="AG52" s="795"/>
      <c r="AH52" s="783"/>
      <c r="AI52" s="800"/>
      <c r="AJ52" s="783"/>
      <c r="AK52" s="800"/>
      <c r="AL52" s="791">
        <v>20.1</v>
      </c>
      <c r="AM52" s="791">
        <v>2341.65</v>
      </c>
      <c r="AN52" s="791"/>
      <c r="AO52" s="852">
        <v>600000</v>
      </c>
      <c r="AP52" s="852" t="s">
        <v>51</v>
      </c>
      <c r="AQ52" s="842" t="s">
        <v>74</v>
      </c>
      <c r="AR52" s="843">
        <v>45660</v>
      </c>
      <c r="AS52" s="795" t="s">
        <v>75</v>
      </c>
      <c r="AT52" s="800">
        <v>45674</v>
      </c>
      <c r="AU52" s="800">
        <v>45677</v>
      </c>
      <c r="AV52" s="795" t="s">
        <v>76</v>
      </c>
      <c r="AW52" s="795" t="s">
        <v>60</v>
      </c>
      <c r="AX52" s="896"/>
      <c r="AY52" s="860"/>
      <c r="AZ52" s="897"/>
    </row>
    <row r="53" ht="63" customHeight="1" spans="1:52">
      <c r="A53" s="782">
        <v>43</v>
      </c>
      <c r="B53" s="783">
        <v>7326909000</v>
      </c>
      <c r="C53" s="783">
        <v>741533</v>
      </c>
      <c r="D53" s="844" t="s">
        <v>170</v>
      </c>
      <c r="E53" s="844" t="s">
        <v>181</v>
      </c>
      <c r="F53" s="844" t="s">
        <v>182</v>
      </c>
      <c r="G53" s="845"/>
      <c r="H53" s="785"/>
      <c r="I53" s="846" t="s">
        <v>123</v>
      </c>
      <c r="J53" s="844">
        <v>84</v>
      </c>
      <c r="K53" s="852">
        <v>300000</v>
      </c>
      <c r="L53" s="852" t="s">
        <v>51</v>
      </c>
      <c r="M53" s="889"/>
      <c r="N53" s="848"/>
      <c r="O53" s="849"/>
      <c r="P53" s="844">
        <v>32.5</v>
      </c>
      <c r="Q53" s="850">
        <v>2730</v>
      </c>
      <c r="R53" s="791"/>
      <c r="T53" s="850">
        <v>86.98</v>
      </c>
      <c r="V53" s="791">
        <v>84</v>
      </c>
      <c r="W53" s="851"/>
      <c r="X53" s="865" t="s">
        <v>183</v>
      </c>
      <c r="Y53" s="794">
        <v>2</v>
      </c>
      <c r="Z53" s="794" t="s">
        <v>184</v>
      </c>
      <c r="AA53" s="853"/>
      <c r="AB53" s="853"/>
      <c r="AC53" s="853"/>
      <c r="AD53" s="892">
        <v>0</v>
      </c>
      <c r="AE53" s="797">
        <v>0.04</v>
      </c>
      <c r="AF53" s="898" t="str">
        <f>_xlfn.DISPIMG("ID_DFC6DF3E3D6749D9922DD1F7276A1895",1)</f>
        <v>=DISPIMG("ID_DFC6DF3E3D6749D9922DD1F7276A1895",1)</v>
      </c>
      <c r="AG53" s="795"/>
      <c r="AH53" s="783"/>
      <c r="AI53" s="800"/>
      <c r="AJ53" s="783"/>
      <c r="AK53" s="800"/>
      <c r="AL53" s="791">
        <v>32.5</v>
      </c>
      <c r="AM53" s="791">
        <v>2730</v>
      </c>
      <c r="AN53" s="791"/>
      <c r="AO53" s="852">
        <v>300000</v>
      </c>
      <c r="AP53" s="852" t="s">
        <v>51</v>
      </c>
      <c r="AQ53" s="842" t="s">
        <v>74</v>
      </c>
      <c r="AR53" s="843">
        <v>45660</v>
      </c>
      <c r="AS53" s="795" t="s">
        <v>75</v>
      </c>
      <c r="AT53" s="800">
        <v>45674</v>
      </c>
      <c r="AU53" s="800">
        <v>45677</v>
      </c>
      <c r="AV53" s="795" t="s">
        <v>76</v>
      </c>
      <c r="AW53" s="795" t="s">
        <v>60</v>
      </c>
      <c r="AX53" s="896"/>
      <c r="AY53" s="860"/>
      <c r="AZ53" s="897"/>
    </row>
    <row r="54" ht="71.25" spans="1:52">
      <c r="A54" s="782">
        <v>44</v>
      </c>
      <c r="B54" s="783">
        <v>7326909000</v>
      </c>
      <c r="C54" s="783">
        <v>741533</v>
      </c>
      <c r="D54" s="844" t="s">
        <v>170</v>
      </c>
      <c r="E54" s="844" t="s">
        <v>185</v>
      </c>
      <c r="F54" s="844" t="s">
        <v>186</v>
      </c>
      <c r="G54" s="845"/>
      <c r="H54" s="785"/>
      <c r="I54" s="846" t="s">
        <v>123</v>
      </c>
      <c r="J54" s="844">
        <v>72</v>
      </c>
      <c r="K54" s="852">
        <v>300000</v>
      </c>
      <c r="L54" s="852" t="s">
        <v>51</v>
      </c>
      <c r="M54" s="889"/>
      <c r="N54" s="848"/>
      <c r="O54" s="849"/>
      <c r="P54" s="844">
        <v>29.17</v>
      </c>
      <c r="Q54" s="850">
        <v>2100.24</v>
      </c>
      <c r="R54" s="791"/>
      <c r="T54" s="850">
        <v>73.38</v>
      </c>
      <c r="V54" s="791">
        <v>72</v>
      </c>
      <c r="W54" s="852">
        <v>2</v>
      </c>
      <c r="X54" s="865" t="s">
        <v>187</v>
      </c>
      <c r="Y54" s="794">
        <v>2</v>
      </c>
      <c r="Z54" s="794" t="s">
        <v>188</v>
      </c>
      <c r="AA54" s="853"/>
      <c r="AB54" s="853"/>
      <c r="AC54" s="853"/>
      <c r="AD54" s="892">
        <v>0</v>
      </c>
      <c r="AE54" s="797">
        <v>0.04</v>
      </c>
      <c r="AF54" s="898" t="str">
        <f>_xlfn.DISPIMG("ID_B95023C6E9324BCD882DF3050F66A2E5",1)</f>
        <v>=DISPIMG("ID_B95023C6E9324BCD882DF3050F66A2E5",1)</v>
      </c>
      <c r="AG54" s="795"/>
      <c r="AH54" s="783"/>
      <c r="AI54" s="800"/>
      <c r="AJ54" s="783"/>
      <c r="AK54" s="800"/>
      <c r="AL54" s="791">
        <v>29.17</v>
      </c>
      <c r="AM54" s="791">
        <v>2100.24</v>
      </c>
      <c r="AN54" s="791"/>
      <c r="AO54" s="852">
        <v>300000</v>
      </c>
      <c r="AP54" s="852" t="s">
        <v>51</v>
      </c>
      <c r="AQ54" s="842" t="s">
        <v>74</v>
      </c>
      <c r="AR54" s="843">
        <v>45660</v>
      </c>
      <c r="AS54" s="795" t="s">
        <v>75</v>
      </c>
      <c r="AT54" s="800">
        <v>45674</v>
      </c>
      <c r="AU54" s="800">
        <v>45677</v>
      </c>
      <c r="AV54" s="795" t="s">
        <v>76</v>
      </c>
      <c r="AW54" s="795" t="s">
        <v>60</v>
      </c>
      <c r="AX54" s="896"/>
      <c r="AY54" s="860"/>
      <c r="AZ54" s="897"/>
    </row>
    <row r="55" ht="78" spans="1:52">
      <c r="A55" s="782">
        <v>45</v>
      </c>
      <c r="B55" s="783">
        <v>7326909000</v>
      </c>
      <c r="C55" s="783">
        <v>741533</v>
      </c>
      <c r="D55" s="844" t="s">
        <v>87</v>
      </c>
      <c r="E55" s="844" t="s">
        <v>189</v>
      </c>
      <c r="F55" s="844" t="s">
        <v>190</v>
      </c>
      <c r="G55" s="845"/>
      <c r="H55" s="785"/>
      <c r="I55" s="846" t="s">
        <v>123</v>
      </c>
      <c r="J55" s="844">
        <v>12.45</v>
      </c>
      <c r="K55" s="852">
        <v>79800</v>
      </c>
      <c r="L55" s="852" t="s">
        <v>51</v>
      </c>
      <c r="M55" s="889"/>
      <c r="N55" s="848"/>
      <c r="O55" s="849"/>
      <c r="P55" s="844">
        <v>25</v>
      </c>
      <c r="Q55" s="850">
        <v>311.25</v>
      </c>
      <c r="R55" s="791"/>
      <c r="T55" s="850">
        <v>12.92</v>
      </c>
      <c r="V55" s="791">
        <v>12.45</v>
      </c>
      <c r="W55" s="852"/>
      <c r="X55" s="865" t="s">
        <v>191</v>
      </c>
      <c r="Y55" s="794">
        <v>1</v>
      </c>
      <c r="Z55" s="794" t="s">
        <v>192</v>
      </c>
      <c r="AA55" s="853"/>
      <c r="AB55" s="853"/>
      <c r="AC55" s="853"/>
      <c r="AD55" s="892">
        <v>0</v>
      </c>
      <c r="AE55" s="797">
        <v>0.02</v>
      </c>
      <c r="AF55" s="898" t="str">
        <f>_xlfn.DISPIMG("ID_8DA5CEABB3984060932420E7516144D4",1)</f>
        <v>=DISPIMG("ID_8DA5CEABB3984060932420E7516144D4",1)</v>
      </c>
      <c r="AG55" s="795"/>
      <c r="AH55" s="783"/>
      <c r="AI55" s="800"/>
      <c r="AJ55" s="783"/>
      <c r="AK55" s="800"/>
      <c r="AL55" s="791">
        <v>25</v>
      </c>
      <c r="AM55" s="791">
        <v>311.25</v>
      </c>
      <c r="AN55" s="791"/>
      <c r="AO55" s="852">
        <v>79800</v>
      </c>
      <c r="AP55" s="852" t="s">
        <v>51</v>
      </c>
      <c r="AQ55" s="842" t="s">
        <v>74</v>
      </c>
      <c r="AR55" s="843">
        <v>45660</v>
      </c>
      <c r="AS55" s="795" t="s">
        <v>75</v>
      </c>
      <c r="AT55" s="800">
        <v>45674</v>
      </c>
      <c r="AU55" s="800">
        <v>45677</v>
      </c>
      <c r="AV55" s="795" t="s">
        <v>76</v>
      </c>
      <c r="AW55" s="795" t="s">
        <v>60</v>
      </c>
      <c r="AX55" s="896"/>
      <c r="AY55" s="860"/>
      <c r="AZ55" s="897"/>
    </row>
    <row r="56" ht="78" spans="1:52">
      <c r="A56" s="782">
        <v>46</v>
      </c>
      <c r="B56" s="783">
        <v>7326909000</v>
      </c>
      <c r="C56" s="783">
        <v>741533</v>
      </c>
      <c r="D56" s="844" t="s">
        <v>87</v>
      </c>
      <c r="E56" s="844" t="s">
        <v>193</v>
      </c>
      <c r="F56" s="844" t="s">
        <v>194</v>
      </c>
      <c r="G56" s="845"/>
      <c r="H56" s="785"/>
      <c r="I56" s="846" t="s">
        <v>123</v>
      </c>
      <c r="J56" s="844">
        <v>20.6</v>
      </c>
      <c r="K56" s="852">
        <v>106200</v>
      </c>
      <c r="L56" s="852" t="s">
        <v>51</v>
      </c>
      <c r="M56" s="889"/>
      <c r="N56" s="848"/>
      <c r="O56" s="849"/>
      <c r="P56" s="844">
        <v>20.1</v>
      </c>
      <c r="Q56" s="850">
        <v>414.06</v>
      </c>
      <c r="R56" s="791"/>
      <c r="T56" s="850">
        <v>21.07</v>
      </c>
      <c r="V56" s="791">
        <v>20.6</v>
      </c>
      <c r="W56" s="852"/>
      <c r="X56" s="865" t="s">
        <v>195</v>
      </c>
      <c r="Y56" s="794">
        <v>1</v>
      </c>
      <c r="Z56" s="794" t="s">
        <v>196</v>
      </c>
      <c r="AA56" s="853"/>
      <c r="AB56" s="853"/>
      <c r="AC56" s="853"/>
      <c r="AD56" s="892">
        <v>0</v>
      </c>
      <c r="AE56" s="797">
        <v>0.02</v>
      </c>
      <c r="AF56" s="898" t="str">
        <f>_xlfn.DISPIMG("ID_804AE914AB3847D2A102549677A81EE6",1)</f>
        <v>=DISPIMG("ID_804AE914AB3847D2A102549677A81EE6",1)</v>
      </c>
      <c r="AG56" s="795"/>
      <c r="AH56" s="783"/>
      <c r="AI56" s="800"/>
      <c r="AJ56" s="783"/>
      <c r="AK56" s="800"/>
      <c r="AL56" s="791">
        <v>20.1</v>
      </c>
      <c r="AM56" s="791">
        <v>414.06</v>
      </c>
      <c r="AN56" s="791"/>
      <c r="AO56" s="852">
        <v>106200</v>
      </c>
      <c r="AP56" s="852" t="s">
        <v>51</v>
      </c>
      <c r="AQ56" s="842" t="s">
        <v>74</v>
      </c>
      <c r="AR56" s="843">
        <v>45660</v>
      </c>
      <c r="AS56" s="795" t="s">
        <v>75</v>
      </c>
      <c r="AT56" s="800">
        <v>45674</v>
      </c>
      <c r="AU56" s="800">
        <v>45677</v>
      </c>
      <c r="AV56" s="795" t="s">
        <v>76</v>
      </c>
      <c r="AW56" s="795" t="s">
        <v>60</v>
      </c>
      <c r="AX56" s="896"/>
      <c r="AY56" s="860"/>
      <c r="AZ56" s="897"/>
    </row>
    <row r="57" ht="78" spans="1:52">
      <c r="A57" s="782">
        <v>47</v>
      </c>
      <c r="B57" s="783">
        <v>7326909000</v>
      </c>
      <c r="C57" s="783">
        <v>741533</v>
      </c>
      <c r="D57" s="844" t="s">
        <v>87</v>
      </c>
      <c r="E57" s="844" t="s">
        <v>181</v>
      </c>
      <c r="F57" s="844" t="s">
        <v>182</v>
      </c>
      <c r="G57" s="845"/>
      <c r="H57" s="785"/>
      <c r="I57" s="846" t="s">
        <v>123</v>
      </c>
      <c r="J57" s="844">
        <v>7.5</v>
      </c>
      <c r="K57" s="852">
        <v>26900</v>
      </c>
      <c r="L57" s="852" t="s">
        <v>51</v>
      </c>
      <c r="M57" s="889"/>
      <c r="N57" s="848"/>
      <c r="O57" s="849"/>
      <c r="P57" s="844">
        <v>32.6</v>
      </c>
      <c r="Q57" s="850">
        <v>244.5</v>
      </c>
      <c r="R57" s="791"/>
      <c r="T57" s="850">
        <v>8</v>
      </c>
      <c r="V57" s="791">
        <v>7.5</v>
      </c>
      <c r="W57" s="852"/>
      <c r="X57" s="865" t="s">
        <v>197</v>
      </c>
      <c r="Y57" s="794">
        <v>1</v>
      </c>
      <c r="Z57" s="794" t="s">
        <v>198</v>
      </c>
      <c r="AA57" s="853"/>
      <c r="AB57" s="853"/>
      <c r="AC57" s="853"/>
      <c r="AD57" s="892">
        <v>0</v>
      </c>
      <c r="AE57" s="797">
        <v>0.02</v>
      </c>
      <c r="AF57" s="898" t="str">
        <f>_xlfn.DISPIMG("ID_6AD4E7B28D2941B980E6AB35944228F9",1)</f>
        <v>=DISPIMG("ID_6AD4E7B28D2941B980E6AB35944228F9",1)</v>
      </c>
      <c r="AG57" s="795"/>
      <c r="AH57" s="783" t="s">
        <v>199</v>
      </c>
      <c r="AI57" s="800">
        <v>45631</v>
      </c>
      <c r="AJ57" s="783" t="s">
        <v>200</v>
      </c>
      <c r="AK57" s="800">
        <v>45631</v>
      </c>
      <c r="AL57" s="791">
        <v>32.6</v>
      </c>
      <c r="AM57" s="791">
        <v>244.5</v>
      </c>
      <c r="AN57" s="791">
        <v>14451.58</v>
      </c>
      <c r="AO57" s="852">
        <v>26900</v>
      </c>
      <c r="AP57" s="852" t="s">
        <v>51</v>
      </c>
      <c r="AQ57" s="842" t="s">
        <v>74</v>
      </c>
      <c r="AR57" s="843">
        <v>45660</v>
      </c>
      <c r="AS57" s="795" t="s">
        <v>75</v>
      </c>
      <c r="AT57" s="800">
        <v>45674</v>
      </c>
      <c r="AU57" s="800">
        <v>45677</v>
      </c>
      <c r="AV57" s="795" t="s">
        <v>76</v>
      </c>
      <c r="AW57" s="795" t="s">
        <v>60</v>
      </c>
      <c r="AX57" s="896"/>
      <c r="AY57" s="860"/>
      <c r="AZ57" s="897"/>
    </row>
    <row r="58" ht="78" spans="1:52">
      <c r="A58" s="782">
        <v>48</v>
      </c>
      <c r="B58" s="783">
        <v>7326909000</v>
      </c>
      <c r="C58" s="783">
        <v>741533</v>
      </c>
      <c r="D58" s="844" t="s">
        <v>87</v>
      </c>
      <c r="E58" s="844" t="s">
        <v>185</v>
      </c>
      <c r="F58" s="844" t="s">
        <v>186</v>
      </c>
      <c r="G58" s="845"/>
      <c r="H58" s="785"/>
      <c r="I58" s="846" t="s">
        <v>123</v>
      </c>
      <c r="J58" s="844">
        <v>6.45</v>
      </c>
      <c r="K58" s="852">
        <v>26900</v>
      </c>
      <c r="L58" s="852" t="s">
        <v>51</v>
      </c>
      <c r="M58" s="889"/>
      <c r="N58" s="848"/>
      <c r="O58" s="849"/>
      <c r="P58" s="844">
        <v>29.2</v>
      </c>
      <c r="Q58" s="850">
        <v>188.34</v>
      </c>
      <c r="R58" s="791"/>
      <c r="T58" s="850">
        <v>6.93</v>
      </c>
      <c r="V58" s="791">
        <v>6.45</v>
      </c>
      <c r="W58" s="852"/>
      <c r="X58" s="865" t="s">
        <v>201</v>
      </c>
      <c r="Y58" s="794">
        <v>1</v>
      </c>
      <c r="Z58" s="794" t="s">
        <v>202</v>
      </c>
      <c r="AA58" s="853"/>
      <c r="AB58" s="853"/>
      <c r="AC58" s="853"/>
      <c r="AD58" s="892">
        <v>0</v>
      </c>
      <c r="AE58" s="797">
        <v>0.02</v>
      </c>
      <c r="AF58" s="898" t="str">
        <f>_xlfn.DISPIMG("ID_BA306B473CD54201851EDC7A9BEB86C4",1)</f>
        <v>=DISPIMG("ID_BA306B473CD54201851EDC7A9BEB86C4",1)</v>
      </c>
      <c r="AG58" s="795"/>
      <c r="AH58" s="783"/>
      <c r="AI58" s="800"/>
      <c r="AJ58" s="783"/>
      <c r="AK58" s="800"/>
      <c r="AL58" s="791">
        <v>29.2</v>
      </c>
      <c r="AM58" s="791">
        <v>188.34</v>
      </c>
      <c r="AN58" s="791"/>
      <c r="AO58" s="852">
        <v>26900</v>
      </c>
      <c r="AP58" s="852" t="s">
        <v>51</v>
      </c>
      <c r="AQ58" s="842" t="s">
        <v>74</v>
      </c>
      <c r="AR58" s="843">
        <v>45660</v>
      </c>
      <c r="AS58" s="795" t="s">
        <v>75</v>
      </c>
      <c r="AT58" s="800">
        <v>45674</v>
      </c>
      <c r="AU58" s="800">
        <v>45677</v>
      </c>
      <c r="AV58" s="795" t="s">
        <v>76</v>
      </c>
      <c r="AW58" s="795" t="s">
        <v>60</v>
      </c>
      <c r="AX58" s="896"/>
      <c r="AY58" s="860"/>
      <c r="AZ58" s="897"/>
    </row>
    <row r="59" ht="78" spans="1:52">
      <c r="A59" s="782">
        <v>49</v>
      </c>
      <c r="B59" s="783">
        <v>7326909000</v>
      </c>
      <c r="C59" s="783">
        <v>732690</v>
      </c>
      <c r="D59" s="844" t="s">
        <v>87</v>
      </c>
      <c r="E59" s="844" t="s">
        <v>203</v>
      </c>
      <c r="F59" s="844" t="s">
        <v>204</v>
      </c>
      <c r="G59" s="845"/>
      <c r="H59" s="785"/>
      <c r="I59" s="846" t="s">
        <v>123</v>
      </c>
      <c r="J59" s="844">
        <v>7.6</v>
      </c>
      <c r="K59" s="852">
        <v>26900</v>
      </c>
      <c r="L59" s="852" t="s">
        <v>51</v>
      </c>
      <c r="M59" s="889"/>
      <c r="N59" s="848"/>
      <c r="O59" s="849"/>
      <c r="P59" s="844">
        <v>64.7</v>
      </c>
      <c r="Q59" s="850">
        <v>491.72</v>
      </c>
      <c r="R59" s="791"/>
      <c r="T59" s="850">
        <v>8.08</v>
      </c>
      <c r="V59" s="791">
        <v>7.6</v>
      </c>
      <c r="W59" s="852"/>
      <c r="X59" s="865" t="s">
        <v>205</v>
      </c>
      <c r="Y59" s="794">
        <v>1</v>
      </c>
      <c r="Z59" s="794" t="s">
        <v>206</v>
      </c>
      <c r="AA59" s="853"/>
      <c r="AB59" s="853"/>
      <c r="AC59" s="853"/>
      <c r="AD59" s="892">
        <v>0</v>
      </c>
      <c r="AE59" s="797">
        <v>0.02</v>
      </c>
      <c r="AF59" s="898" t="str">
        <f>_xlfn.DISPIMG("ID_2F40AC44AE12468C8F39E0E2C5CB4C90",1)</f>
        <v>=DISPIMG("ID_2F40AC44AE12468C8F39E0E2C5CB4C90",1)</v>
      </c>
      <c r="AG59" s="795"/>
      <c r="AH59" s="783"/>
      <c r="AI59" s="800"/>
      <c r="AJ59" s="783"/>
      <c r="AK59" s="800"/>
      <c r="AL59" s="791">
        <v>64.7</v>
      </c>
      <c r="AM59" s="791">
        <v>491.72</v>
      </c>
      <c r="AN59" s="791"/>
      <c r="AO59" s="852">
        <v>26900</v>
      </c>
      <c r="AP59" s="852" t="s">
        <v>51</v>
      </c>
      <c r="AQ59" s="842" t="s">
        <v>74</v>
      </c>
      <c r="AR59" s="843">
        <v>45660</v>
      </c>
      <c r="AS59" s="795" t="s">
        <v>75</v>
      </c>
      <c r="AT59" s="800">
        <v>45674</v>
      </c>
      <c r="AU59" s="800">
        <v>45677</v>
      </c>
      <c r="AV59" s="795" t="s">
        <v>76</v>
      </c>
      <c r="AW59" s="795" t="s">
        <v>60</v>
      </c>
      <c r="AX59" s="896"/>
      <c r="AY59" s="860"/>
      <c r="AZ59" s="897"/>
    </row>
    <row r="60" ht="63" customHeight="1" spans="1:52">
      <c r="A60" s="782">
        <v>50</v>
      </c>
      <c r="B60" s="783">
        <v>7326909000</v>
      </c>
      <c r="C60" s="783">
        <v>732690</v>
      </c>
      <c r="D60" s="844" t="s">
        <v>87</v>
      </c>
      <c r="E60" s="844" t="s">
        <v>207</v>
      </c>
      <c r="F60" s="844" t="s">
        <v>208</v>
      </c>
      <c r="G60" s="845"/>
      <c r="H60" s="785"/>
      <c r="I60" s="846" t="s">
        <v>123</v>
      </c>
      <c r="J60" s="844">
        <v>11.36</v>
      </c>
      <c r="K60" s="852">
        <v>26900</v>
      </c>
      <c r="L60" s="852" t="s">
        <v>51</v>
      </c>
      <c r="M60" s="889"/>
      <c r="N60" s="848"/>
      <c r="O60" s="849"/>
      <c r="P60" s="844">
        <v>98</v>
      </c>
      <c r="Q60" s="850">
        <v>1113.28</v>
      </c>
      <c r="R60" s="791"/>
      <c r="T60" s="850">
        <v>11.82</v>
      </c>
      <c r="V60" s="791">
        <v>11.36</v>
      </c>
      <c r="W60" s="852"/>
      <c r="X60" s="865" t="s">
        <v>209</v>
      </c>
      <c r="Y60" s="794">
        <v>1</v>
      </c>
      <c r="Z60" s="794" t="s">
        <v>210</v>
      </c>
      <c r="AA60" s="853"/>
      <c r="AB60" s="853"/>
      <c r="AC60" s="853"/>
      <c r="AD60" s="892">
        <v>0</v>
      </c>
      <c r="AE60" s="797">
        <v>0.02</v>
      </c>
      <c r="AF60" s="898" t="str">
        <f>_xlfn.DISPIMG("ID_8A80BE17CF0446D4AA6FB494A91F28B5",1)</f>
        <v>=DISPIMG("ID_8A80BE17CF0446D4AA6FB494A91F28B5",1)</v>
      </c>
      <c r="AG60" s="795"/>
      <c r="AH60" s="783"/>
      <c r="AI60" s="800"/>
      <c r="AJ60" s="783"/>
      <c r="AK60" s="800"/>
      <c r="AL60" s="791">
        <v>98</v>
      </c>
      <c r="AM60" s="791">
        <v>1113.28</v>
      </c>
      <c r="AN60" s="791"/>
      <c r="AO60" s="852">
        <v>26900</v>
      </c>
      <c r="AP60" s="852" t="s">
        <v>51</v>
      </c>
      <c r="AQ60" s="842" t="s">
        <v>74</v>
      </c>
      <c r="AR60" s="843">
        <v>45660</v>
      </c>
      <c r="AS60" s="795" t="s">
        <v>75</v>
      </c>
      <c r="AT60" s="800">
        <v>45674</v>
      </c>
      <c r="AU60" s="800">
        <v>45677</v>
      </c>
      <c r="AV60" s="795" t="s">
        <v>76</v>
      </c>
      <c r="AW60" s="795" t="s">
        <v>60</v>
      </c>
      <c r="AX60" s="896"/>
      <c r="AY60" s="860"/>
      <c r="AZ60" s="897"/>
    </row>
    <row r="61" ht="63" customHeight="1" spans="1:52">
      <c r="A61" s="782">
        <v>51</v>
      </c>
      <c r="B61" s="869">
        <v>7326909000</v>
      </c>
      <c r="C61" s="869">
        <v>732690</v>
      </c>
      <c r="D61" s="870" t="s">
        <v>87</v>
      </c>
      <c r="E61" s="870" t="s">
        <v>211</v>
      </c>
      <c r="F61" s="870" t="s">
        <v>212</v>
      </c>
      <c r="G61" s="845"/>
      <c r="H61" s="785"/>
      <c r="I61" s="846" t="s">
        <v>123</v>
      </c>
      <c r="J61" s="844">
        <v>16.8</v>
      </c>
      <c r="K61" s="899" t="s">
        <v>213</v>
      </c>
      <c r="L61" s="852" t="s">
        <v>51</v>
      </c>
      <c r="M61" s="889"/>
      <c r="N61" s="848"/>
      <c r="O61" s="849"/>
      <c r="P61" s="844">
        <v>71.1</v>
      </c>
      <c r="Q61" s="850">
        <v>1194.48</v>
      </c>
      <c r="R61" s="791"/>
      <c r="T61" s="850">
        <v>17.3</v>
      </c>
      <c r="V61" s="791">
        <v>16.8</v>
      </c>
      <c r="W61" s="852"/>
      <c r="X61" s="865" t="s">
        <v>214</v>
      </c>
      <c r="Y61" s="794">
        <v>1</v>
      </c>
      <c r="Z61" s="794" t="s">
        <v>215</v>
      </c>
      <c r="AA61" s="853"/>
      <c r="AB61" s="853"/>
      <c r="AC61" s="853"/>
      <c r="AD61" s="892">
        <v>0</v>
      </c>
      <c r="AE61" s="797">
        <v>0.02</v>
      </c>
      <c r="AF61" s="898" t="str">
        <f>_xlfn.DISPIMG("ID_6924EDB86E67465F8FB1FB9A86DD6655",1)</f>
        <v>=DISPIMG("ID_6924EDB86E67465F8FB1FB9A86DD6655",1)</v>
      </c>
      <c r="AG61" s="795"/>
      <c r="AH61" s="783"/>
      <c r="AI61" s="800"/>
      <c r="AJ61" s="783"/>
      <c r="AK61" s="800"/>
      <c r="AL61" s="791">
        <v>71.1</v>
      </c>
      <c r="AM61" s="791">
        <v>1194.48</v>
      </c>
      <c r="AN61" s="791"/>
      <c r="AO61" s="899" t="s">
        <v>213</v>
      </c>
      <c r="AP61" s="852" t="s">
        <v>51</v>
      </c>
      <c r="AQ61" s="842" t="s">
        <v>74</v>
      </c>
      <c r="AR61" s="843">
        <v>45660</v>
      </c>
      <c r="AS61" s="795" t="s">
        <v>75</v>
      </c>
      <c r="AT61" s="800">
        <v>45674</v>
      </c>
      <c r="AU61" s="800">
        <v>45677</v>
      </c>
      <c r="AV61" s="795" t="s">
        <v>76</v>
      </c>
      <c r="AW61" s="795" t="s">
        <v>60</v>
      </c>
      <c r="AX61" s="896"/>
      <c r="AY61" s="860"/>
      <c r="AZ61" s="897"/>
    </row>
    <row r="62" ht="78" spans="1:52">
      <c r="A62" s="782">
        <v>52</v>
      </c>
      <c r="B62" s="783">
        <v>7326909000</v>
      </c>
      <c r="C62" s="783">
        <v>732690</v>
      </c>
      <c r="D62" s="844" t="s">
        <v>87</v>
      </c>
      <c r="E62" s="844" t="s">
        <v>216</v>
      </c>
      <c r="F62" s="844" t="s">
        <v>217</v>
      </c>
      <c r="G62" s="845"/>
      <c r="H62" s="785"/>
      <c r="I62" s="846" t="s">
        <v>123</v>
      </c>
      <c r="J62" s="844">
        <v>17</v>
      </c>
      <c r="K62" s="852">
        <v>26900</v>
      </c>
      <c r="L62" s="852" t="s">
        <v>51</v>
      </c>
      <c r="M62" s="889"/>
      <c r="N62" s="848"/>
      <c r="O62" s="849"/>
      <c r="P62" s="844">
        <v>71.8</v>
      </c>
      <c r="Q62" s="850">
        <v>1220.6</v>
      </c>
      <c r="R62" s="791"/>
      <c r="T62" s="850">
        <v>17.5</v>
      </c>
      <c r="V62" s="791">
        <v>17</v>
      </c>
      <c r="W62" s="852"/>
      <c r="X62" s="865" t="s">
        <v>218</v>
      </c>
      <c r="Y62" s="794">
        <v>1</v>
      </c>
      <c r="Z62" s="794" t="s">
        <v>219</v>
      </c>
      <c r="AA62" s="853"/>
      <c r="AB62" s="853"/>
      <c r="AC62" s="853"/>
      <c r="AD62" s="892">
        <v>0</v>
      </c>
      <c r="AE62" s="797">
        <v>0.02</v>
      </c>
      <c r="AF62" s="898" t="str">
        <f>_xlfn.DISPIMG("ID_794B66885793491E88BADFB5BA09E1CA",1)</f>
        <v>=DISPIMG("ID_794B66885793491E88BADFB5BA09E1CA",1)</v>
      </c>
      <c r="AG62" s="795"/>
      <c r="AH62" s="783"/>
      <c r="AI62" s="800"/>
      <c r="AJ62" s="783"/>
      <c r="AK62" s="800"/>
      <c r="AL62" s="791">
        <v>71.8</v>
      </c>
      <c r="AM62" s="791">
        <v>1220.6</v>
      </c>
      <c r="AN62" s="791"/>
      <c r="AO62" s="852">
        <v>26900</v>
      </c>
      <c r="AP62" s="852" t="s">
        <v>51</v>
      </c>
      <c r="AQ62" s="842" t="s">
        <v>74</v>
      </c>
      <c r="AR62" s="843">
        <v>45660</v>
      </c>
      <c r="AS62" s="795" t="s">
        <v>75</v>
      </c>
      <c r="AT62" s="800">
        <v>45674</v>
      </c>
      <c r="AU62" s="800">
        <v>45677</v>
      </c>
      <c r="AV62" s="795" t="s">
        <v>76</v>
      </c>
      <c r="AW62" s="795" t="s">
        <v>60</v>
      </c>
      <c r="AX62" s="896"/>
      <c r="AY62" s="860"/>
      <c r="AZ62" s="897"/>
    </row>
    <row r="63" ht="63" customHeight="1" spans="1:52">
      <c r="A63" s="782">
        <v>53</v>
      </c>
      <c r="B63" s="783">
        <v>7326909000</v>
      </c>
      <c r="C63" s="783">
        <v>732690</v>
      </c>
      <c r="D63" s="844" t="s">
        <v>108</v>
      </c>
      <c r="E63" s="844" t="s">
        <v>150</v>
      </c>
      <c r="F63" s="844" t="s">
        <v>151</v>
      </c>
      <c r="G63" s="845"/>
      <c r="H63" s="785"/>
      <c r="I63" s="846" t="s">
        <v>123</v>
      </c>
      <c r="J63" s="844">
        <v>3.1</v>
      </c>
      <c r="K63" s="852">
        <v>22200</v>
      </c>
      <c r="L63" s="852" t="s">
        <v>51</v>
      </c>
      <c r="M63" s="889"/>
      <c r="N63" s="848"/>
      <c r="O63" s="849"/>
      <c r="P63" s="844">
        <v>340.4</v>
      </c>
      <c r="Q63" s="850">
        <v>1055.24</v>
      </c>
      <c r="R63" s="791"/>
      <c r="T63" s="850">
        <v>3.56</v>
      </c>
      <c r="V63" s="791">
        <v>3.1</v>
      </c>
      <c r="W63" s="852"/>
      <c r="X63" s="865" t="s">
        <v>220</v>
      </c>
      <c r="Y63" s="794">
        <v>1</v>
      </c>
      <c r="Z63" s="794" t="s">
        <v>221</v>
      </c>
      <c r="AA63" s="853"/>
      <c r="AB63" s="853"/>
      <c r="AC63" s="853"/>
      <c r="AD63" s="892">
        <v>0</v>
      </c>
      <c r="AE63" s="797">
        <v>0.02</v>
      </c>
      <c r="AF63" s="898" t="str">
        <f>_xlfn.DISPIMG("ID_9F94EB0BAC4F42D9B01943BD63E6F47B",1)</f>
        <v>=DISPIMG("ID_9F94EB0BAC4F42D9B01943BD63E6F47B",1)</v>
      </c>
      <c r="AG63" s="795"/>
      <c r="AH63" s="783"/>
      <c r="AI63" s="800"/>
      <c r="AJ63" s="783"/>
      <c r="AK63" s="800"/>
      <c r="AL63" s="791">
        <v>340.4</v>
      </c>
      <c r="AM63" s="791">
        <v>1055.24</v>
      </c>
      <c r="AN63" s="791"/>
      <c r="AO63" s="852">
        <v>22200</v>
      </c>
      <c r="AP63" s="852" t="s">
        <v>51</v>
      </c>
      <c r="AQ63" s="842" t="s">
        <v>74</v>
      </c>
      <c r="AR63" s="843">
        <v>45660</v>
      </c>
      <c r="AS63" s="795" t="s">
        <v>75</v>
      </c>
      <c r="AT63" s="800">
        <v>45674</v>
      </c>
      <c r="AU63" s="800">
        <v>45677</v>
      </c>
      <c r="AV63" s="795" t="s">
        <v>76</v>
      </c>
      <c r="AW63" s="795" t="s">
        <v>60</v>
      </c>
      <c r="AX63" s="896"/>
      <c r="AY63" s="860"/>
      <c r="AZ63" s="897"/>
    </row>
    <row r="64" ht="63" spans="1:52">
      <c r="A64" s="782">
        <v>54</v>
      </c>
      <c r="B64" s="783">
        <v>7326909000</v>
      </c>
      <c r="C64" s="783">
        <v>732690</v>
      </c>
      <c r="D64" s="844" t="s">
        <v>108</v>
      </c>
      <c r="E64" s="844" t="s">
        <v>154</v>
      </c>
      <c r="F64" s="844" t="s">
        <v>155</v>
      </c>
      <c r="G64" s="845"/>
      <c r="H64" s="785"/>
      <c r="I64" s="846" t="s">
        <v>123</v>
      </c>
      <c r="J64" s="844">
        <v>5</v>
      </c>
      <c r="K64" s="852">
        <v>22200</v>
      </c>
      <c r="L64" s="852" t="s">
        <v>51</v>
      </c>
      <c r="M64" s="889"/>
      <c r="N64" s="848"/>
      <c r="O64" s="849"/>
      <c r="P64" s="844">
        <v>377.8</v>
      </c>
      <c r="Q64" s="850">
        <v>1889</v>
      </c>
      <c r="R64" s="791"/>
      <c r="T64" s="850">
        <v>5.51</v>
      </c>
      <c r="V64" s="791">
        <v>5</v>
      </c>
      <c r="W64" s="852"/>
      <c r="X64" s="865" t="s">
        <v>222</v>
      </c>
      <c r="Y64" s="794">
        <v>1</v>
      </c>
      <c r="Z64" s="794" t="s">
        <v>223</v>
      </c>
      <c r="AA64" s="853"/>
      <c r="AB64" s="853"/>
      <c r="AC64" s="853"/>
      <c r="AD64" s="892">
        <v>0</v>
      </c>
      <c r="AE64" s="797">
        <v>0.02</v>
      </c>
      <c r="AF64" s="898" t="str">
        <f>_xlfn.DISPIMG("ID_F1BEA163CABD42AAAFF172AEC37F91C8",1)</f>
        <v>=DISPIMG("ID_F1BEA163CABD42AAAFF172AEC37F91C8",1)</v>
      </c>
      <c r="AG64" s="795"/>
      <c r="AH64" s="783"/>
      <c r="AI64" s="800"/>
      <c r="AJ64" s="783"/>
      <c r="AK64" s="800"/>
      <c r="AL64" s="791">
        <v>377.8</v>
      </c>
      <c r="AM64" s="791">
        <v>1889</v>
      </c>
      <c r="AN64" s="791"/>
      <c r="AO64" s="852">
        <v>22200</v>
      </c>
      <c r="AP64" s="852" t="s">
        <v>51</v>
      </c>
      <c r="AQ64" s="842" t="s">
        <v>74</v>
      </c>
      <c r="AR64" s="843">
        <v>45660</v>
      </c>
      <c r="AS64" s="795" t="s">
        <v>75</v>
      </c>
      <c r="AT64" s="800">
        <v>45674</v>
      </c>
      <c r="AU64" s="800">
        <v>45677</v>
      </c>
      <c r="AV64" s="795" t="s">
        <v>76</v>
      </c>
      <c r="AW64" s="795" t="s">
        <v>60</v>
      </c>
      <c r="AX64" s="896"/>
      <c r="AY64" s="860"/>
      <c r="AZ64" s="897"/>
    </row>
    <row r="65" ht="63" customHeight="1" spans="1:52">
      <c r="A65" s="782">
        <v>55</v>
      </c>
      <c r="B65" s="783">
        <v>7326909000</v>
      </c>
      <c r="C65" s="783">
        <v>732690</v>
      </c>
      <c r="D65" s="844" t="s">
        <v>108</v>
      </c>
      <c r="E65" s="844" t="s">
        <v>158</v>
      </c>
      <c r="F65" s="844" t="s">
        <v>159</v>
      </c>
      <c r="G65" s="845"/>
      <c r="H65" s="785"/>
      <c r="I65" s="846" t="s">
        <v>123</v>
      </c>
      <c r="J65" s="844">
        <v>15.44</v>
      </c>
      <c r="K65" s="852">
        <v>44000</v>
      </c>
      <c r="L65" s="852" t="s">
        <v>51</v>
      </c>
      <c r="M65" s="889"/>
      <c r="N65" s="848"/>
      <c r="O65" s="849"/>
      <c r="P65" s="844">
        <v>370.5</v>
      </c>
      <c r="Q65" s="850">
        <v>5720.52</v>
      </c>
      <c r="R65" s="791"/>
      <c r="T65" s="850">
        <v>17.39</v>
      </c>
      <c r="V65" s="791">
        <v>15.44</v>
      </c>
      <c r="W65" s="852"/>
      <c r="X65" s="865" t="s">
        <v>224</v>
      </c>
      <c r="Y65" s="794">
        <v>2</v>
      </c>
      <c r="Z65" s="794" t="s">
        <v>225</v>
      </c>
      <c r="AA65" s="853"/>
      <c r="AB65" s="853"/>
      <c r="AC65" s="853"/>
      <c r="AD65" s="892">
        <v>0</v>
      </c>
      <c r="AE65" s="797">
        <v>0.04</v>
      </c>
      <c r="AF65" s="898" t="str">
        <f>_xlfn.DISPIMG("ID_6737849078134CEC9F439833E9A53B7E",1)</f>
        <v>=DISPIMG("ID_6737849078134CEC9F439833E9A53B7E",1)</v>
      </c>
      <c r="AG65" s="795"/>
      <c r="AH65" s="783"/>
      <c r="AI65" s="800"/>
      <c r="AJ65" s="783"/>
      <c r="AK65" s="800"/>
      <c r="AL65" s="791">
        <v>370.5</v>
      </c>
      <c r="AM65" s="791">
        <v>5720.52</v>
      </c>
      <c r="AN65" s="791"/>
      <c r="AO65" s="852">
        <v>44000</v>
      </c>
      <c r="AP65" s="852" t="s">
        <v>51</v>
      </c>
      <c r="AQ65" s="842" t="s">
        <v>74</v>
      </c>
      <c r="AR65" s="843">
        <v>45660</v>
      </c>
      <c r="AS65" s="795" t="s">
        <v>75</v>
      </c>
      <c r="AT65" s="800">
        <v>45674</v>
      </c>
      <c r="AU65" s="800">
        <v>45677</v>
      </c>
      <c r="AV65" s="795" t="s">
        <v>76</v>
      </c>
      <c r="AW65" s="795" t="s">
        <v>60</v>
      </c>
      <c r="AX65" s="896"/>
      <c r="AY65" s="860"/>
      <c r="AZ65" s="897"/>
    </row>
    <row r="66" ht="63" spans="1:52">
      <c r="A66" s="782">
        <v>56</v>
      </c>
      <c r="B66" s="783">
        <v>7326909000</v>
      </c>
      <c r="C66" s="783">
        <v>741533</v>
      </c>
      <c r="D66" s="844" t="s">
        <v>108</v>
      </c>
      <c r="E66" s="844" t="s">
        <v>226</v>
      </c>
      <c r="F66" s="844" t="s">
        <v>227</v>
      </c>
      <c r="G66" s="845"/>
      <c r="H66" s="785"/>
      <c r="I66" s="846" t="s">
        <v>123</v>
      </c>
      <c r="J66" s="844">
        <v>16.8</v>
      </c>
      <c r="K66" s="852">
        <v>66000</v>
      </c>
      <c r="L66" s="852" t="s">
        <v>51</v>
      </c>
      <c r="M66" s="889"/>
      <c r="N66" s="848"/>
      <c r="O66" s="849"/>
      <c r="P66" s="844">
        <v>16.1</v>
      </c>
      <c r="Q66" s="850">
        <v>270.48</v>
      </c>
      <c r="R66" s="791"/>
      <c r="T66" s="850">
        <v>17.23</v>
      </c>
      <c r="V66" s="791">
        <v>16.8</v>
      </c>
      <c r="W66" s="852"/>
      <c r="X66" s="865" t="s">
        <v>228</v>
      </c>
      <c r="Y66" s="794">
        <v>1</v>
      </c>
      <c r="Z66" s="794" t="s">
        <v>229</v>
      </c>
      <c r="AA66" s="853"/>
      <c r="AB66" s="853"/>
      <c r="AC66" s="853"/>
      <c r="AD66" s="892">
        <v>0</v>
      </c>
      <c r="AE66" s="797">
        <v>0.02</v>
      </c>
      <c r="AF66" s="898" t="str">
        <f>_xlfn.DISPIMG("ID_00D8AA44ACAF45848FCC012D4820E73A",1)</f>
        <v>=DISPIMG("ID_00D8AA44ACAF45848FCC012D4820E73A",1)</v>
      </c>
      <c r="AG66" s="795"/>
      <c r="AH66" s="783"/>
      <c r="AI66" s="800"/>
      <c r="AJ66" s="783"/>
      <c r="AK66" s="800"/>
      <c r="AL66" s="791">
        <v>16.1</v>
      </c>
      <c r="AM66" s="791">
        <v>270.48</v>
      </c>
      <c r="AN66" s="791"/>
      <c r="AO66" s="852">
        <v>66000</v>
      </c>
      <c r="AP66" s="852" t="s">
        <v>51</v>
      </c>
      <c r="AQ66" s="842" t="s">
        <v>74</v>
      </c>
      <c r="AR66" s="843">
        <v>45660</v>
      </c>
      <c r="AS66" s="795" t="s">
        <v>75</v>
      </c>
      <c r="AT66" s="800">
        <v>45674</v>
      </c>
      <c r="AU66" s="800">
        <v>45677</v>
      </c>
      <c r="AV66" s="795" t="s">
        <v>76</v>
      </c>
      <c r="AW66" s="795" t="s">
        <v>60</v>
      </c>
      <c r="AX66" s="896"/>
      <c r="AY66" s="860"/>
      <c r="AZ66" s="897"/>
    </row>
    <row r="67" ht="63" customHeight="1" spans="1:52">
      <c r="A67" s="782">
        <v>57</v>
      </c>
      <c r="B67" s="783">
        <v>7326909000</v>
      </c>
      <c r="C67" s="783">
        <v>741533</v>
      </c>
      <c r="D67" s="844" t="s">
        <v>108</v>
      </c>
      <c r="E67" s="844" t="s">
        <v>181</v>
      </c>
      <c r="F67" s="844" t="s">
        <v>182</v>
      </c>
      <c r="G67" s="845"/>
      <c r="H67" s="785"/>
      <c r="I67" s="846" t="s">
        <v>123</v>
      </c>
      <c r="J67" s="844">
        <v>18.48</v>
      </c>
      <c r="K67" s="852">
        <v>66000</v>
      </c>
      <c r="L67" s="852" t="s">
        <v>51</v>
      </c>
      <c r="M67" s="889"/>
      <c r="N67" s="848"/>
      <c r="O67" s="849"/>
      <c r="P67" s="844">
        <v>32.5</v>
      </c>
      <c r="Q67" s="850">
        <v>600.6</v>
      </c>
      <c r="R67" s="791"/>
      <c r="T67" s="850">
        <v>18.95</v>
      </c>
      <c r="V67" s="791">
        <v>18.48</v>
      </c>
      <c r="W67" s="852"/>
      <c r="X67" s="865" t="s">
        <v>230</v>
      </c>
      <c r="Y67" s="794">
        <v>1</v>
      </c>
      <c r="Z67" s="794" t="s">
        <v>231</v>
      </c>
      <c r="AA67" s="853"/>
      <c r="AB67" s="853"/>
      <c r="AC67" s="853"/>
      <c r="AD67" s="892">
        <v>0</v>
      </c>
      <c r="AE67" s="797">
        <v>0.02</v>
      </c>
      <c r="AF67" s="898" t="str">
        <f>_xlfn.DISPIMG("ID_F8BE3957FC4E4BE2B4142C110478568A",1)</f>
        <v>=DISPIMG("ID_F8BE3957FC4E4BE2B4142C110478568A",1)</v>
      </c>
      <c r="AG67" s="795"/>
      <c r="AH67" s="783"/>
      <c r="AI67" s="800"/>
      <c r="AJ67" s="783"/>
      <c r="AK67" s="800"/>
      <c r="AL67" s="791">
        <v>32.5</v>
      </c>
      <c r="AM67" s="791">
        <v>600.6</v>
      </c>
      <c r="AN67" s="791"/>
      <c r="AO67" s="852">
        <v>66000</v>
      </c>
      <c r="AP67" s="852" t="s">
        <v>51</v>
      </c>
      <c r="AQ67" s="842" t="s">
        <v>74</v>
      </c>
      <c r="AR67" s="843">
        <v>45660</v>
      </c>
      <c r="AS67" s="795" t="s">
        <v>75</v>
      </c>
      <c r="AT67" s="800">
        <v>45674</v>
      </c>
      <c r="AU67" s="800">
        <v>45677</v>
      </c>
      <c r="AV67" s="795" t="s">
        <v>76</v>
      </c>
      <c r="AW67" s="795" t="s">
        <v>60</v>
      </c>
      <c r="AX67" s="896"/>
      <c r="AY67" s="860"/>
      <c r="AZ67" s="897"/>
    </row>
    <row r="68" ht="63" spans="1:52">
      <c r="A68" s="782">
        <v>58</v>
      </c>
      <c r="B68" s="783">
        <v>7326909000</v>
      </c>
      <c r="C68" s="783">
        <v>741533</v>
      </c>
      <c r="D68" s="844" t="s">
        <v>108</v>
      </c>
      <c r="E68" s="844" t="s">
        <v>185</v>
      </c>
      <c r="F68" s="844" t="s">
        <v>186</v>
      </c>
      <c r="G68" s="845"/>
      <c r="H68" s="785"/>
      <c r="I68" s="846" t="s">
        <v>123</v>
      </c>
      <c r="J68" s="844">
        <v>15.85</v>
      </c>
      <c r="K68" s="852">
        <v>66000</v>
      </c>
      <c r="L68" s="852" t="s">
        <v>51</v>
      </c>
      <c r="M68" s="889"/>
      <c r="N68" s="848"/>
      <c r="O68" s="849"/>
      <c r="P68" s="844">
        <v>29.2</v>
      </c>
      <c r="Q68" s="850">
        <v>462.82</v>
      </c>
      <c r="R68" s="791"/>
      <c r="T68" s="850">
        <v>16.31</v>
      </c>
      <c r="V68" s="791">
        <v>15.85</v>
      </c>
      <c r="W68" s="852"/>
      <c r="X68" s="865" t="s">
        <v>232</v>
      </c>
      <c r="Y68" s="794">
        <v>1</v>
      </c>
      <c r="Z68" s="794" t="s">
        <v>233</v>
      </c>
      <c r="AA68" s="853"/>
      <c r="AB68" s="853"/>
      <c r="AC68" s="853"/>
      <c r="AD68" s="892">
        <v>0</v>
      </c>
      <c r="AE68" s="797">
        <v>0.02</v>
      </c>
      <c r="AF68" s="898" t="str">
        <f>_xlfn.DISPIMG("ID_E4819AA4033A4F65AFE678DCCDF74B80",1)</f>
        <v>=DISPIMG("ID_E4819AA4033A4F65AFE678DCCDF74B80",1)</v>
      </c>
      <c r="AG68" s="795"/>
      <c r="AH68" s="783"/>
      <c r="AI68" s="800"/>
      <c r="AJ68" s="783"/>
      <c r="AK68" s="800"/>
      <c r="AL68" s="791">
        <v>29.2</v>
      </c>
      <c r="AM68" s="791">
        <v>462.82</v>
      </c>
      <c r="AN68" s="791"/>
      <c r="AO68" s="852">
        <v>66000</v>
      </c>
      <c r="AP68" s="852" t="s">
        <v>51</v>
      </c>
      <c r="AQ68" s="842" t="s">
        <v>74</v>
      </c>
      <c r="AR68" s="843">
        <v>45660</v>
      </c>
      <c r="AS68" s="795" t="s">
        <v>75</v>
      </c>
      <c r="AT68" s="800">
        <v>45674</v>
      </c>
      <c r="AU68" s="800">
        <v>45677</v>
      </c>
      <c r="AV68" s="795" t="s">
        <v>76</v>
      </c>
      <c r="AW68" s="795" t="s">
        <v>60</v>
      </c>
      <c r="AX68" s="900"/>
      <c r="AY68" s="867"/>
      <c r="AZ68" s="901"/>
    </row>
    <row r="69" ht="43.5" customHeight="1" spans="1:52">
      <c r="A69" s="902"/>
      <c r="B69" s="805"/>
      <c r="C69" s="805"/>
      <c r="D69" s="804"/>
      <c r="E69" s="804"/>
      <c r="F69" s="804"/>
      <c r="G69" s="806"/>
      <c r="H69" s="807"/>
      <c r="I69" s="835"/>
      <c r="J69" s="809">
        <v>1074.03</v>
      </c>
      <c r="K69" s="810"/>
      <c r="L69" s="811"/>
      <c r="M69" s="810"/>
      <c r="N69" s="812"/>
      <c r="O69" s="810"/>
      <c r="P69" s="810"/>
      <c r="Q69" s="809">
        <v>141009.77</v>
      </c>
      <c r="R69" s="809">
        <v>141009.77</v>
      </c>
      <c r="T69" s="809">
        <v>1150.84</v>
      </c>
      <c r="V69" s="809">
        <v>1074.03</v>
      </c>
      <c r="W69" s="814"/>
      <c r="X69" s="810"/>
      <c r="Y69" s="809">
        <v>61</v>
      </c>
      <c r="Z69" s="810"/>
      <c r="AA69" s="903"/>
      <c r="AB69" s="903"/>
      <c r="AC69" s="903"/>
      <c r="AD69" s="904"/>
      <c r="AE69" s="809">
        <v>1.22</v>
      </c>
      <c r="AF69" s="810"/>
      <c r="AG69" s="810"/>
      <c r="AH69" s="811"/>
      <c r="AI69" s="812"/>
      <c r="AJ69" s="810"/>
      <c r="AK69" s="812"/>
      <c r="AL69" s="812"/>
      <c r="AM69" s="809">
        <v>141009.77</v>
      </c>
      <c r="AN69" s="809">
        <v>141009.77</v>
      </c>
      <c r="AO69" s="810"/>
      <c r="AP69" s="811"/>
      <c r="AQ69" s="817"/>
      <c r="AR69" s="807"/>
      <c r="AS69" s="807"/>
      <c r="AT69" s="807"/>
      <c r="AU69" s="807"/>
      <c r="AV69" s="807"/>
      <c r="AW69" s="807"/>
      <c r="AX69" s="819"/>
      <c r="AY69" s="820"/>
      <c r="AZ69" s="821"/>
    </row>
    <row r="70" ht="43.5" customHeight="1" spans="1:52">
      <c r="A70" s="822"/>
      <c r="B70" s="822"/>
      <c r="C70" s="822"/>
      <c r="D70" s="822"/>
      <c r="E70" s="822"/>
      <c r="F70" s="823"/>
      <c r="G70" s="824"/>
      <c r="H70" s="807"/>
      <c r="I70" s="825"/>
      <c r="J70" s="826"/>
      <c r="K70" s="823"/>
      <c r="L70" s="823"/>
      <c r="M70" s="823"/>
      <c r="N70" s="827"/>
      <c r="O70" s="823"/>
      <c r="P70" s="826"/>
      <c r="Q70" s="826"/>
      <c r="R70" s="828"/>
      <c r="T70" s="826">
        <v>7524.6</v>
      </c>
      <c r="V70" s="826">
        <v>0</v>
      </c>
      <c r="W70" s="905"/>
      <c r="X70" s="830"/>
      <c r="Y70" s="823">
        <v>16</v>
      </c>
      <c r="Z70" s="823"/>
      <c r="AA70" s="903"/>
      <c r="AB70" s="903"/>
      <c r="AC70" s="903"/>
      <c r="AD70" s="906"/>
      <c r="AE70" s="823">
        <v>3.64</v>
      </c>
      <c r="AF70" s="823"/>
      <c r="AG70" s="823"/>
      <c r="AH70" s="831"/>
      <c r="AI70" s="832"/>
      <c r="AJ70" s="831"/>
      <c r="AK70" s="832"/>
      <c r="AL70" s="826"/>
      <c r="AM70" s="826">
        <v>18400</v>
      </c>
      <c r="AN70" s="833">
        <v>184</v>
      </c>
      <c r="AO70" s="823"/>
      <c r="AP70" s="823"/>
      <c r="AQ70" s="817"/>
      <c r="AR70" s="807"/>
      <c r="AS70" s="807"/>
      <c r="AT70" s="807"/>
      <c r="AU70" s="807"/>
      <c r="AV70" s="807"/>
      <c r="AW70" s="807"/>
      <c r="AX70" s="819"/>
      <c r="AY70" s="820"/>
      <c r="AZ70" s="821"/>
    </row>
    <row r="71" ht="43.5" customHeight="1" spans="1:52">
      <c r="A71" s="834"/>
      <c r="B71" s="834"/>
      <c r="C71" s="805"/>
      <c r="D71" s="805"/>
      <c r="E71" s="805"/>
      <c r="F71" s="804"/>
      <c r="G71" s="806"/>
      <c r="H71" s="807"/>
      <c r="I71" s="835"/>
      <c r="J71" s="836"/>
      <c r="K71" s="804"/>
      <c r="L71" s="804"/>
      <c r="M71" s="804"/>
      <c r="N71" s="804"/>
      <c r="O71" s="804"/>
      <c r="P71" s="836"/>
      <c r="Q71" s="836"/>
      <c r="R71" s="804" t="s">
        <v>62</v>
      </c>
      <c r="T71" s="836">
        <v>8740</v>
      </c>
      <c r="V71" s="836">
        <v>1134.92</v>
      </c>
      <c r="W71" s="837"/>
      <c r="X71" s="838"/>
      <c r="Y71" s="836">
        <v>80</v>
      </c>
      <c r="Z71" s="805"/>
      <c r="AA71" s="903"/>
      <c r="AB71" s="903"/>
      <c r="AC71" s="903"/>
      <c r="AD71" s="907"/>
      <c r="AE71" s="836">
        <v>5.05</v>
      </c>
      <c r="AF71" s="804"/>
      <c r="AG71" s="804"/>
      <c r="AH71" s="840"/>
      <c r="AI71" s="841"/>
      <c r="AJ71" s="840"/>
      <c r="AK71" s="841"/>
      <c r="AL71" s="836"/>
      <c r="AM71" s="836" t="e">
        <v>#REF!</v>
      </c>
      <c r="AN71" s="836" t="e">
        <v>#REF!</v>
      </c>
      <c r="AO71" s="804"/>
      <c r="AP71" s="804"/>
      <c r="AQ71" s="817"/>
      <c r="AR71" s="807"/>
      <c r="AS71" s="807"/>
      <c r="AT71" s="807"/>
      <c r="AU71" s="807"/>
      <c r="AV71" s="807"/>
      <c r="AW71" s="807"/>
      <c r="AX71" s="819"/>
      <c r="AY71" s="820"/>
      <c r="AZ71" s="821"/>
    </row>
    <row r="72" ht="63" spans="1:52">
      <c r="A72" s="782">
        <v>1</v>
      </c>
      <c r="B72" s="783">
        <v>3920430090</v>
      </c>
      <c r="C72" s="783">
        <v>392043</v>
      </c>
      <c r="D72" s="844" t="s">
        <v>234</v>
      </c>
      <c r="E72" s="844" t="s">
        <v>235</v>
      </c>
      <c r="F72" s="844" t="s">
        <v>236</v>
      </c>
      <c r="G72" s="845"/>
      <c r="H72" s="785"/>
      <c r="I72" s="846" t="s">
        <v>123</v>
      </c>
      <c r="J72" s="844">
        <v>196.5</v>
      </c>
      <c r="K72" s="847">
        <v>580000</v>
      </c>
      <c r="L72" s="847" t="s">
        <v>51</v>
      </c>
      <c r="M72" s="782" t="s">
        <v>237</v>
      </c>
      <c r="N72" s="848"/>
      <c r="O72" s="849"/>
      <c r="P72" s="844">
        <v>451.62</v>
      </c>
      <c r="Q72" s="850">
        <v>88743.33</v>
      </c>
      <c r="R72" s="791">
        <v>88743.33</v>
      </c>
      <c r="T72" s="850">
        <v>240.05</v>
      </c>
      <c r="V72" s="791">
        <v>196.5</v>
      </c>
      <c r="W72" s="908">
        <v>8</v>
      </c>
      <c r="X72" s="783" t="s">
        <v>238</v>
      </c>
      <c r="Y72" s="794">
        <v>13</v>
      </c>
      <c r="Z72" s="794" t="s">
        <v>239</v>
      </c>
      <c r="AD72" s="892">
        <v>0</v>
      </c>
      <c r="AE72" s="909">
        <v>0.27</v>
      </c>
      <c r="AF72" s="910" t="str">
        <f>_xlfn.DISPIMG("ID_474804668E924D46915EDAEB9D7E89D9",1)</f>
        <v>=DISPIMG("ID_474804668E924D46915EDAEB9D7E89D9",1)</v>
      </c>
      <c r="AG72" s="795"/>
      <c r="AH72" s="783" t="s">
        <v>240</v>
      </c>
      <c r="AI72" s="799">
        <v>45631</v>
      </c>
      <c r="AJ72" s="783" t="s">
        <v>241</v>
      </c>
      <c r="AK72" s="799">
        <v>45631</v>
      </c>
      <c r="AL72" s="791">
        <v>460.7</v>
      </c>
      <c r="AM72" s="791">
        <v>90527.55</v>
      </c>
      <c r="AN72" s="791">
        <v>92721.75</v>
      </c>
      <c r="AO72" s="847">
        <v>580000</v>
      </c>
      <c r="AP72" s="847" t="s">
        <v>51</v>
      </c>
      <c r="AQ72" s="842" t="s">
        <v>242</v>
      </c>
      <c r="AR72" s="843">
        <v>45661</v>
      </c>
      <c r="AS72" s="795" t="s">
        <v>243</v>
      </c>
      <c r="AT72" s="800">
        <v>45674</v>
      </c>
      <c r="AU72" s="800">
        <v>45677</v>
      </c>
      <c r="AV72" s="795" t="s">
        <v>76</v>
      </c>
      <c r="AW72" s="795" t="s">
        <v>60</v>
      </c>
      <c r="AX72" s="911">
        <v>9738</v>
      </c>
      <c r="AY72" s="857"/>
      <c r="AZ72" s="912" t="s">
        <v>244</v>
      </c>
    </row>
    <row r="73" ht="47.25" spans="1:52">
      <c r="A73" s="782">
        <v>2</v>
      </c>
      <c r="B73" s="783">
        <v>3926909090</v>
      </c>
      <c r="C73" s="783">
        <v>392310</v>
      </c>
      <c r="D73" s="844" t="s">
        <v>245</v>
      </c>
      <c r="E73" s="844" t="s">
        <v>246</v>
      </c>
      <c r="F73" s="844" t="s">
        <v>247</v>
      </c>
      <c r="G73" s="845"/>
      <c r="H73" s="785"/>
      <c r="I73" s="846" t="s">
        <v>123</v>
      </c>
      <c r="J73" s="844">
        <v>26.5</v>
      </c>
      <c r="K73" s="847">
        <v>500000</v>
      </c>
      <c r="L73" s="847" t="s">
        <v>51</v>
      </c>
      <c r="M73" s="782" t="s">
        <v>248</v>
      </c>
      <c r="N73" s="848"/>
      <c r="O73" s="849"/>
      <c r="P73" s="844">
        <v>81.14</v>
      </c>
      <c r="Q73" s="850">
        <v>2150.21</v>
      </c>
      <c r="R73" s="791">
        <v>2150.21</v>
      </c>
      <c r="T73" s="850">
        <v>40.75</v>
      </c>
      <c r="V73" s="791">
        <v>26.5</v>
      </c>
      <c r="W73" s="908">
        <v>8</v>
      </c>
      <c r="X73" s="783" t="s">
        <v>249</v>
      </c>
      <c r="Y73" s="794">
        <v>5</v>
      </c>
      <c r="Z73" s="794" t="s">
        <v>250</v>
      </c>
      <c r="AD73" s="892">
        <v>0</v>
      </c>
      <c r="AE73" s="909">
        <v>0.28</v>
      </c>
      <c r="AF73" s="910" t="str">
        <f>_xlfn.DISPIMG("ID_99EEF22C199942BB876E04057BC7DA34",1)</f>
        <v>=DISPIMG("ID_99EEF22C199942BB876E04057BC7DA34",1)</v>
      </c>
      <c r="AG73" s="795"/>
      <c r="AH73" s="783"/>
      <c r="AI73" s="799"/>
      <c r="AJ73" s="783"/>
      <c r="AK73" s="799"/>
      <c r="AL73" s="791">
        <v>82.8</v>
      </c>
      <c r="AM73" s="791">
        <v>2194.2</v>
      </c>
      <c r="AN73" s="791"/>
      <c r="AO73" s="847">
        <v>500000</v>
      </c>
      <c r="AP73" s="847" t="s">
        <v>51</v>
      </c>
      <c r="AQ73" s="842" t="s">
        <v>242</v>
      </c>
      <c r="AR73" s="843">
        <v>45661</v>
      </c>
      <c r="AS73" s="795" t="s">
        <v>243</v>
      </c>
      <c r="AT73" s="800">
        <v>45674</v>
      </c>
      <c r="AU73" s="800">
        <v>45677</v>
      </c>
      <c r="AV73" s="795" t="s">
        <v>76</v>
      </c>
      <c r="AW73" s="795" t="s">
        <v>60</v>
      </c>
      <c r="AX73" s="866"/>
      <c r="AY73" s="860"/>
      <c r="AZ73" s="913"/>
    </row>
    <row r="74" ht="58.5" customHeight="1" spans="1:52">
      <c r="A74" s="902"/>
      <c r="B74" s="805"/>
      <c r="C74" s="805"/>
      <c r="D74" s="804"/>
      <c r="E74" s="804"/>
      <c r="F74" s="804"/>
      <c r="G74" s="806"/>
      <c r="H74" s="807"/>
      <c r="I74" s="835"/>
      <c r="J74" s="809">
        <v>223</v>
      </c>
      <c r="K74" s="810"/>
      <c r="L74" s="811"/>
      <c r="M74" s="810"/>
      <c r="N74" s="812"/>
      <c r="O74" s="810"/>
      <c r="P74" s="810"/>
      <c r="Q74" s="809">
        <v>90893.54</v>
      </c>
      <c r="R74" s="809">
        <v>90893.54</v>
      </c>
      <c r="T74" s="809">
        <v>280.8</v>
      </c>
      <c r="V74" s="809">
        <v>223</v>
      </c>
      <c r="W74" s="814"/>
      <c r="X74" s="810"/>
      <c r="Y74" s="809">
        <v>18</v>
      </c>
      <c r="Z74" s="810"/>
      <c r="AD74" s="904"/>
      <c r="AE74" s="809">
        <v>0.55</v>
      </c>
      <c r="AF74" s="810"/>
      <c r="AG74" s="810"/>
      <c r="AH74" s="811"/>
      <c r="AI74" s="812"/>
      <c r="AJ74" s="810"/>
      <c r="AK74" s="812"/>
      <c r="AL74" s="812"/>
      <c r="AM74" s="809">
        <v>92721.75</v>
      </c>
      <c r="AN74" s="914">
        <v>92721.75</v>
      </c>
      <c r="AO74" s="810"/>
      <c r="AP74" s="811"/>
      <c r="AQ74" s="885"/>
      <c r="AR74" s="869"/>
      <c r="AS74" s="869"/>
      <c r="AT74" s="869"/>
      <c r="AU74" s="869"/>
      <c r="AV74" s="869"/>
      <c r="AW74" s="869"/>
      <c r="AX74" s="915"/>
      <c r="AY74" s="860"/>
      <c r="AZ74" s="913"/>
    </row>
    <row r="75" ht="52.5" customHeight="1" spans="1:52">
      <c r="A75" s="782">
        <v>3</v>
      </c>
      <c r="B75" s="783">
        <v>9503009000</v>
      </c>
      <c r="C75" s="783">
        <v>392690</v>
      </c>
      <c r="D75" s="782" t="s">
        <v>251</v>
      </c>
      <c r="E75" s="782" t="s">
        <v>252</v>
      </c>
      <c r="F75" s="782" t="s">
        <v>253</v>
      </c>
      <c r="G75" s="784"/>
      <c r="H75" s="785"/>
      <c r="I75" s="786" t="s">
        <v>123</v>
      </c>
      <c r="J75" s="850">
        <v>111.6</v>
      </c>
      <c r="K75" s="794">
        <v>2080</v>
      </c>
      <c r="L75" s="795" t="s">
        <v>254</v>
      </c>
      <c r="M75" s="794" t="s">
        <v>255</v>
      </c>
      <c r="N75" s="916"/>
      <c r="O75" s="794"/>
      <c r="P75" s="844">
        <v>47.3</v>
      </c>
      <c r="Q75" s="850">
        <v>5278.68</v>
      </c>
      <c r="R75" s="917">
        <v>17900.57</v>
      </c>
      <c r="T75" s="917">
        <v>166.33</v>
      </c>
      <c r="V75" s="917">
        <v>111.6</v>
      </c>
      <c r="W75" s="918" t="s">
        <v>256</v>
      </c>
      <c r="X75" s="792" t="s">
        <v>257</v>
      </c>
      <c r="Y75" s="782">
        <v>26</v>
      </c>
      <c r="Z75" s="782">
        <v>80</v>
      </c>
      <c r="AD75" s="892">
        <v>0</v>
      </c>
      <c r="AE75" s="917">
        <v>2.23</v>
      </c>
      <c r="AF75" s="794" t="str">
        <f>_xlfn.DISPIMG("ID_147D4E7BAA9541EDBA62F5F53D5E8EE8",1)</f>
        <v>=DISPIMG("ID_147D4E7BAA9541EDBA62F5F53D5E8EE8",1)</v>
      </c>
      <c r="AG75" s="794"/>
      <c r="AH75" s="795" t="s">
        <v>258</v>
      </c>
      <c r="AI75" s="916">
        <v>45631</v>
      </c>
      <c r="AJ75" s="794" t="s">
        <v>259</v>
      </c>
      <c r="AK75" s="916">
        <v>45631</v>
      </c>
      <c r="AL75" s="791">
        <v>47.3</v>
      </c>
      <c r="AM75" s="791">
        <v>5278.68</v>
      </c>
      <c r="AN75" s="919">
        <v>17900.57</v>
      </c>
      <c r="AO75" s="794">
        <v>2080</v>
      </c>
      <c r="AP75" s="795" t="s">
        <v>254</v>
      </c>
      <c r="AQ75" s="842" t="s">
        <v>242</v>
      </c>
      <c r="AR75" s="843">
        <v>45661</v>
      </c>
      <c r="AS75" s="795" t="s">
        <v>243</v>
      </c>
      <c r="AT75" s="800">
        <v>45674</v>
      </c>
      <c r="AU75" s="800">
        <v>45677</v>
      </c>
      <c r="AV75" s="795" t="s">
        <v>76</v>
      </c>
      <c r="AW75" s="795" t="s">
        <v>60</v>
      </c>
      <c r="AX75" s="920">
        <v>9738</v>
      </c>
      <c r="AY75" s="860"/>
      <c r="AZ75" s="913"/>
    </row>
    <row r="76" ht="46.8" spans="1:52">
      <c r="A76" s="782">
        <v>4</v>
      </c>
      <c r="B76" s="783">
        <v>9503009000</v>
      </c>
      <c r="C76" s="783">
        <v>392690</v>
      </c>
      <c r="D76" s="782" t="s">
        <v>251</v>
      </c>
      <c r="E76" s="782" t="s">
        <v>260</v>
      </c>
      <c r="F76" s="782" t="s">
        <v>261</v>
      </c>
      <c r="G76" s="784"/>
      <c r="H76" s="785"/>
      <c r="I76" s="786" t="s">
        <v>123</v>
      </c>
      <c r="J76" s="850">
        <v>52.5</v>
      </c>
      <c r="K76" s="794">
        <v>2100</v>
      </c>
      <c r="L76" s="795" t="s">
        <v>254</v>
      </c>
      <c r="M76" s="794"/>
      <c r="N76" s="916"/>
      <c r="O76" s="794"/>
      <c r="P76" s="844">
        <v>76.86</v>
      </c>
      <c r="Q76" s="850">
        <v>4035.15</v>
      </c>
      <c r="R76" s="917"/>
      <c r="T76" s="917">
        <v>90.19</v>
      </c>
      <c r="V76" s="917">
        <v>52.5</v>
      </c>
      <c r="W76" s="918" t="s">
        <v>262</v>
      </c>
      <c r="X76" s="786" t="s">
        <v>263</v>
      </c>
      <c r="Y76" s="782">
        <v>10</v>
      </c>
      <c r="Z76" s="782">
        <v>210</v>
      </c>
      <c r="AD76" s="892">
        <v>0</v>
      </c>
      <c r="AE76" s="917">
        <v>0.86</v>
      </c>
      <c r="AF76" s="794" t="str">
        <f>_xlfn.DISPIMG("ID_76F3F86CC145416EAACB95F504B6A3F3",1)</f>
        <v>=DISPIMG("ID_76F3F86CC145416EAACB95F504B6A3F3",1)</v>
      </c>
      <c r="AG76" s="794"/>
      <c r="AH76" s="795"/>
      <c r="AI76" s="916"/>
      <c r="AJ76" s="794"/>
      <c r="AK76" s="916"/>
      <c r="AL76" s="791">
        <v>76.86</v>
      </c>
      <c r="AM76" s="791">
        <v>4035.15</v>
      </c>
      <c r="AN76" s="919"/>
      <c r="AO76" s="794">
        <v>2100</v>
      </c>
      <c r="AP76" s="795" t="s">
        <v>254</v>
      </c>
      <c r="AQ76" s="842" t="s">
        <v>242</v>
      </c>
      <c r="AR76" s="843">
        <v>45661</v>
      </c>
      <c r="AS76" s="795" t="s">
        <v>243</v>
      </c>
      <c r="AT76" s="800">
        <v>45674</v>
      </c>
      <c r="AU76" s="800">
        <v>45677</v>
      </c>
      <c r="AV76" s="795" t="s">
        <v>76</v>
      </c>
      <c r="AW76" s="795" t="s">
        <v>60</v>
      </c>
      <c r="AX76" s="859"/>
      <c r="AY76" s="860"/>
      <c r="AZ76" s="913"/>
    </row>
    <row r="77" ht="59.25" customHeight="1" spans="1:52">
      <c r="A77" s="782">
        <v>5</v>
      </c>
      <c r="B77" s="783">
        <v>9503009000</v>
      </c>
      <c r="C77" s="783">
        <v>392690</v>
      </c>
      <c r="D77" s="782" t="s">
        <v>251</v>
      </c>
      <c r="E77" s="782" t="s">
        <v>264</v>
      </c>
      <c r="F77" s="782" t="s">
        <v>265</v>
      </c>
      <c r="G77" s="784"/>
      <c r="H77" s="785"/>
      <c r="I77" s="786" t="s">
        <v>123</v>
      </c>
      <c r="J77" s="850">
        <v>135.8</v>
      </c>
      <c r="K77" s="794">
        <v>2400</v>
      </c>
      <c r="L77" s="795" t="s">
        <v>254</v>
      </c>
      <c r="M77" s="794"/>
      <c r="N77" s="916"/>
      <c r="O77" s="794"/>
      <c r="P77" s="844">
        <v>41.75</v>
      </c>
      <c r="Q77" s="850">
        <v>5669.65</v>
      </c>
      <c r="R77" s="917"/>
      <c r="T77" s="917">
        <v>185.8</v>
      </c>
      <c r="V77" s="917">
        <v>135.8</v>
      </c>
      <c r="W77" s="918" t="s">
        <v>262</v>
      </c>
      <c r="X77" s="783" t="s">
        <v>266</v>
      </c>
      <c r="Y77" s="782">
        <v>20</v>
      </c>
      <c r="Z77" s="782">
        <v>120</v>
      </c>
      <c r="AD77" s="892">
        <v>0</v>
      </c>
      <c r="AE77" s="917">
        <v>1.72</v>
      </c>
      <c r="AF77" s="794" t="str">
        <f>_xlfn.DISPIMG("ID_CCECD8DF9CF74AC0A5B4391F62A455D4",1)</f>
        <v>=DISPIMG("ID_CCECD8DF9CF74AC0A5B4391F62A455D4",1)</v>
      </c>
      <c r="AG77" s="794"/>
      <c r="AH77" s="795"/>
      <c r="AI77" s="916"/>
      <c r="AJ77" s="794"/>
      <c r="AK77" s="916"/>
      <c r="AL77" s="791">
        <v>41.75</v>
      </c>
      <c r="AM77" s="791">
        <v>5669.65</v>
      </c>
      <c r="AN77" s="919"/>
      <c r="AO77" s="794">
        <v>2400</v>
      </c>
      <c r="AP77" s="795" t="s">
        <v>254</v>
      </c>
      <c r="AQ77" s="842" t="s">
        <v>242</v>
      </c>
      <c r="AR77" s="843">
        <v>45661</v>
      </c>
      <c r="AS77" s="795" t="s">
        <v>243</v>
      </c>
      <c r="AT77" s="800">
        <v>45674</v>
      </c>
      <c r="AU77" s="800">
        <v>45677</v>
      </c>
      <c r="AV77" s="795" t="s">
        <v>76</v>
      </c>
      <c r="AW77" s="795" t="s">
        <v>60</v>
      </c>
      <c r="AX77" s="859"/>
      <c r="AY77" s="860"/>
      <c r="AZ77" s="913"/>
    </row>
    <row r="78" ht="57" spans="1:52">
      <c r="A78" s="782">
        <v>6</v>
      </c>
      <c r="B78" s="783">
        <v>9503009000</v>
      </c>
      <c r="C78" s="783">
        <v>392690</v>
      </c>
      <c r="D78" s="782" t="s">
        <v>267</v>
      </c>
      <c r="E78" s="782" t="s">
        <v>268</v>
      </c>
      <c r="F78" s="782" t="s">
        <v>269</v>
      </c>
      <c r="G78" s="784"/>
      <c r="H78" s="785"/>
      <c r="I78" s="786" t="s">
        <v>123</v>
      </c>
      <c r="J78" s="850">
        <v>115.3</v>
      </c>
      <c r="K78" s="794">
        <v>3978</v>
      </c>
      <c r="L78" s="795" t="s">
        <v>254</v>
      </c>
      <c r="M78" s="794"/>
      <c r="N78" s="916"/>
      <c r="O78" s="794"/>
      <c r="P78" s="844">
        <v>25.3</v>
      </c>
      <c r="Q78" s="850">
        <v>2917.09</v>
      </c>
      <c r="R78" s="917"/>
      <c r="T78" s="917">
        <v>219.67</v>
      </c>
      <c r="V78" s="917">
        <v>115.3</v>
      </c>
      <c r="W78" s="918" t="s">
        <v>270</v>
      </c>
      <c r="X78" s="783" t="s">
        <v>271</v>
      </c>
      <c r="Y78" s="782">
        <v>34</v>
      </c>
      <c r="Z78" s="782">
        <v>117</v>
      </c>
      <c r="AD78" s="892">
        <v>0</v>
      </c>
      <c r="AE78" s="917">
        <v>2.92</v>
      </c>
      <c r="AF78" s="794" t="str">
        <f>_xlfn.DISPIMG("ID_75C10B8CD9334FFDB3DC03F8EB9CDC77",1)</f>
        <v>=DISPIMG("ID_75C10B8CD9334FFDB3DC03F8EB9CDC77",1)</v>
      </c>
      <c r="AG78" s="794"/>
      <c r="AH78" s="795"/>
      <c r="AI78" s="916"/>
      <c r="AJ78" s="794"/>
      <c r="AK78" s="916"/>
      <c r="AL78" s="791">
        <v>25.3</v>
      </c>
      <c r="AM78" s="791">
        <v>2917.09</v>
      </c>
      <c r="AN78" s="919"/>
      <c r="AO78" s="794">
        <v>3978</v>
      </c>
      <c r="AP78" s="795" t="s">
        <v>254</v>
      </c>
      <c r="AQ78" s="842" t="s">
        <v>242</v>
      </c>
      <c r="AR78" s="843">
        <v>45661</v>
      </c>
      <c r="AS78" s="795" t="s">
        <v>243</v>
      </c>
      <c r="AT78" s="800">
        <v>45674</v>
      </c>
      <c r="AU78" s="800">
        <v>45677</v>
      </c>
      <c r="AV78" s="795" t="s">
        <v>76</v>
      </c>
      <c r="AW78" s="795" t="s">
        <v>60</v>
      </c>
      <c r="AX78" s="866"/>
      <c r="AY78" s="860"/>
      <c r="AZ78" s="921"/>
    </row>
    <row r="79" ht="61.5" customHeight="1" spans="1:52">
      <c r="A79" s="804"/>
      <c r="B79" s="805"/>
      <c r="C79" s="805"/>
      <c r="D79" s="804"/>
      <c r="E79" s="804"/>
      <c r="F79" s="804"/>
      <c r="G79" s="806"/>
      <c r="H79" s="807"/>
      <c r="I79" s="808"/>
      <c r="J79" s="809"/>
      <c r="K79" s="810"/>
      <c r="L79" s="811"/>
      <c r="M79" s="810"/>
      <c r="N79" s="812"/>
      <c r="O79" s="810"/>
      <c r="P79" s="813"/>
      <c r="Q79" s="922">
        <v>17900.57</v>
      </c>
      <c r="R79" s="922">
        <v>17900.57</v>
      </c>
      <c r="T79" s="922">
        <v>661.99</v>
      </c>
      <c r="V79" s="922">
        <v>415.2</v>
      </c>
      <c r="W79" s="923"/>
      <c r="X79" s="810"/>
      <c r="Y79" s="922">
        <v>90</v>
      </c>
      <c r="Z79" s="810"/>
      <c r="AD79" s="816"/>
      <c r="AE79" s="922">
        <v>7.73</v>
      </c>
      <c r="AF79" s="810"/>
      <c r="AG79" s="810"/>
      <c r="AH79" s="924"/>
      <c r="AI79" s="925"/>
      <c r="AJ79" s="926"/>
      <c r="AK79" s="925"/>
      <c r="AL79" s="809"/>
      <c r="AM79" s="922">
        <v>17900.57</v>
      </c>
      <c r="AN79" s="922">
        <v>17900.57</v>
      </c>
      <c r="AO79" s="810"/>
      <c r="AP79" s="811"/>
      <c r="AQ79" s="885"/>
      <c r="AR79" s="869"/>
      <c r="AS79" s="869"/>
      <c r="AT79" s="869"/>
      <c r="AU79" s="869"/>
      <c r="AV79" s="869"/>
      <c r="AW79" s="869"/>
      <c r="AX79" s="888"/>
      <c r="AY79" s="860"/>
      <c r="AZ79" s="821"/>
    </row>
    <row r="80" ht="78.75" spans="1:52">
      <c r="A80" s="782">
        <v>7</v>
      </c>
      <c r="B80" s="783">
        <v>8506101210</v>
      </c>
      <c r="C80" s="783">
        <v>850610</v>
      </c>
      <c r="D80" s="782"/>
      <c r="E80" s="782" t="s">
        <v>272</v>
      </c>
      <c r="F80" s="782" t="s">
        <v>273</v>
      </c>
      <c r="G80" s="784"/>
      <c r="H80" s="785"/>
      <c r="I80" s="786" t="s">
        <v>51</v>
      </c>
      <c r="J80" s="850">
        <v>1970000</v>
      </c>
      <c r="K80" s="794">
        <v>1970000</v>
      </c>
      <c r="L80" s="795" t="s">
        <v>52</v>
      </c>
      <c r="M80" s="794" t="s">
        <v>274</v>
      </c>
      <c r="N80" s="916"/>
      <c r="O80" s="794"/>
      <c r="P80" s="927">
        <v>0.178</v>
      </c>
      <c r="Q80" s="928">
        <v>350660</v>
      </c>
      <c r="R80" s="917">
        <v>350660</v>
      </c>
      <c r="T80" s="917">
        <v>4397</v>
      </c>
      <c r="V80" s="917">
        <v>4235.5</v>
      </c>
      <c r="W80" s="929" t="s">
        <v>275</v>
      </c>
      <c r="X80" s="794" t="s">
        <v>276</v>
      </c>
      <c r="Y80" s="930">
        <v>4</v>
      </c>
      <c r="Z80" s="794" t="s">
        <v>277</v>
      </c>
      <c r="AD80" s="892">
        <v>0</v>
      </c>
      <c r="AE80" s="917">
        <v>4.25</v>
      </c>
      <c r="AF80" s="794" t="str">
        <f>_xlfn.DISPIMG("ID_AA13D2F409114E95BE6C61E973A35C6F",1)</f>
        <v>=DISPIMG("ID_AA13D2F409114E95BE6C61E973A35C6F",1)</v>
      </c>
      <c r="AG80" s="794" t="s">
        <v>278</v>
      </c>
      <c r="AH80" s="783" t="s">
        <v>279</v>
      </c>
      <c r="AI80" s="788">
        <v>45631</v>
      </c>
      <c r="AJ80" s="782" t="s">
        <v>280</v>
      </c>
      <c r="AK80" s="788">
        <v>45631</v>
      </c>
      <c r="AL80" s="790">
        <v>0.178</v>
      </c>
      <c r="AM80" s="790">
        <v>350660</v>
      </c>
      <c r="AN80" s="919">
        <v>350660</v>
      </c>
      <c r="AO80" s="794">
        <v>1970000</v>
      </c>
      <c r="AP80" s="795" t="s">
        <v>52</v>
      </c>
      <c r="AQ80" s="842" t="s">
        <v>242</v>
      </c>
      <c r="AR80" s="843">
        <v>45661</v>
      </c>
      <c r="AS80" s="783" t="s">
        <v>281</v>
      </c>
      <c r="AT80" s="800">
        <v>45674</v>
      </c>
      <c r="AU80" s="800">
        <v>45677</v>
      </c>
      <c r="AV80" s="795" t="s">
        <v>76</v>
      </c>
      <c r="AW80" s="795" t="s">
        <v>60</v>
      </c>
      <c r="AX80" s="931">
        <v>9738</v>
      </c>
      <c r="AY80" s="860"/>
      <c r="AZ80" s="932">
        <v>316252.34</v>
      </c>
    </row>
    <row r="81" ht="78.75" customHeight="1" spans="1:52">
      <c r="A81" s="782">
        <v>8</v>
      </c>
      <c r="B81" s="783">
        <v>8506109010</v>
      </c>
      <c r="C81" s="783">
        <v>850610</v>
      </c>
      <c r="D81" s="782" t="s">
        <v>282</v>
      </c>
      <c r="E81" s="782" t="s">
        <v>283</v>
      </c>
      <c r="F81" s="782" t="s">
        <v>284</v>
      </c>
      <c r="G81" s="784"/>
      <c r="H81" s="785"/>
      <c r="I81" s="786" t="s">
        <v>51</v>
      </c>
      <c r="J81" s="850">
        <v>40000</v>
      </c>
      <c r="K81" s="794">
        <v>40000</v>
      </c>
      <c r="L81" s="795" t="s">
        <v>254</v>
      </c>
      <c r="M81" s="794" t="s">
        <v>285</v>
      </c>
      <c r="N81" s="916"/>
      <c r="O81" s="794"/>
      <c r="P81" s="933">
        <v>0.0586</v>
      </c>
      <c r="Q81" s="933">
        <v>2344</v>
      </c>
      <c r="R81" s="917">
        <v>2344</v>
      </c>
      <c r="T81" s="917">
        <v>359.71</v>
      </c>
      <c r="V81" s="917">
        <v>328</v>
      </c>
      <c r="W81" s="929" t="s">
        <v>275</v>
      </c>
      <c r="X81" s="794" t="s">
        <v>286</v>
      </c>
      <c r="Y81" s="930">
        <v>40</v>
      </c>
      <c r="Z81" s="794">
        <v>1000</v>
      </c>
      <c r="AD81" s="892">
        <v>0</v>
      </c>
      <c r="AE81" s="917">
        <v>0.36</v>
      </c>
      <c r="AF81" s="794" t="str">
        <f>_xlfn.DISPIMG("ID_582EECE49FE54679AFB3355D867FEA25",1)</f>
        <v>=DISPIMG("ID_582EECE49FE54679AFB3355D867FEA25",1)</v>
      </c>
      <c r="AG81" s="794"/>
      <c r="AH81" s="783" t="s">
        <v>287</v>
      </c>
      <c r="AI81" s="788">
        <v>45631</v>
      </c>
      <c r="AJ81" s="782" t="s">
        <v>288</v>
      </c>
      <c r="AK81" s="788">
        <v>45631</v>
      </c>
      <c r="AL81" s="933">
        <v>0.0586</v>
      </c>
      <c r="AM81" s="933">
        <v>2344</v>
      </c>
      <c r="AN81" s="919">
        <v>2344</v>
      </c>
      <c r="AO81" s="794">
        <v>40000</v>
      </c>
      <c r="AP81" s="795" t="s">
        <v>254</v>
      </c>
      <c r="AQ81" s="842" t="s">
        <v>242</v>
      </c>
      <c r="AR81" s="843">
        <v>45661</v>
      </c>
      <c r="AS81" s="783" t="s">
        <v>289</v>
      </c>
      <c r="AT81" s="800">
        <v>45674</v>
      </c>
      <c r="AU81" s="800">
        <v>45677</v>
      </c>
      <c r="AV81" s="795" t="s">
        <v>76</v>
      </c>
      <c r="AW81" s="795" t="s">
        <v>60</v>
      </c>
      <c r="AX81" s="934"/>
      <c r="AY81" s="860"/>
      <c r="AZ81" s="935">
        <v>7252.11</v>
      </c>
    </row>
    <row r="82" ht="79.5" customHeight="1" spans="1:52">
      <c r="A82" s="804"/>
      <c r="B82" s="805"/>
      <c r="C82" s="805"/>
      <c r="D82" s="804"/>
      <c r="E82" s="804"/>
      <c r="F82" s="804"/>
      <c r="G82" s="806"/>
      <c r="H82" s="807"/>
      <c r="I82" s="808"/>
      <c r="J82" s="809"/>
      <c r="K82" s="810"/>
      <c r="L82" s="811"/>
      <c r="M82" s="810"/>
      <c r="N82" s="812"/>
      <c r="O82" s="810"/>
      <c r="P82" s="813"/>
      <c r="Q82" s="922">
        <v>353004</v>
      </c>
      <c r="R82" s="922">
        <v>353004</v>
      </c>
      <c r="T82" s="922">
        <v>4756.71</v>
      </c>
      <c r="V82" s="922">
        <v>4563.5</v>
      </c>
      <c r="W82" s="923"/>
      <c r="X82" s="810"/>
      <c r="Y82" s="922">
        <v>44</v>
      </c>
      <c r="Z82" s="810"/>
      <c r="AD82" s="816"/>
      <c r="AE82" s="922">
        <v>4.61</v>
      </c>
      <c r="AF82" s="810"/>
      <c r="AG82" s="810"/>
      <c r="AH82" s="924"/>
      <c r="AI82" s="925"/>
      <c r="AJ82" s="926"/>
      <c r="AK82" s="925"/>
      <c r="AL82" s="809"/>
      <c r="AM82" s="922">
        <v>353004</v>
      </c>
      <c r="AN82" s="922">
        <v>353004</v>
      </c>
      <c r="AO82" s="810"/>
      <c r="AP82" s="811"/>
      <c r="AQ82" s="885"/>
      <c r="AR82" s="869"/>
      <c r="AS82" s="869"/>
      <c r="AT82" s="869"/>
      <c r="AU82" s="869"/>
      <c r="AV82" s="869"/>
      <c r="AW82" s="869"/>
      <c r="AX82" s="888"/>
      <c r="AY82" s="860"/>
      <c r="AZ82" s="821"/>
    </row>
    <row r="83" ht="60" customHeight="1" spans="1:52">
      <c r="A83" s="782">
        <v>9</v>
      </c>
      <c r="B83" s="783">
        <v>8479899990</v>
      </c>
      <c r="C83" s="783">
        <v>847989</v>
      </c>
      <c r="D83" s="782"/>
      <c r="E83" s="782" t="s">
        <v>290</v>
      </c>
      <c r="F83" s="782" t="s">
        <v>291</v>
      </c>
      <c r="G83" s="784" t="s">
        <v>292</v>
      </c>
      <c r="H83" s="785"/>
      <c r="I83" s="786" t="s">
        <v>51</v>
      </c>
      <c r="J83" s="850">
        <v>1</v>
      </c>
      <c r="K83" s="794">
        <v>1</v>
      </c>
      <c r="L83" s="795" t="s">
        <v>254</v>
      </c>
      <c r="M83" s="794" t="s">
        <v>293</v>
      </c>
      <c r="N83" s="916"/>
      <c r="O83" s="794"/>
      <c r="P83" s="844">
        <v>6800</v>
      </c>
      <c r="Q83" s="850">
        <v>6800</v>
      </c>
      <c r="R83" s="917">
        <v>44000</v>
      </c>
      <c r="T83" s="917">
        <v>69</v>
      </c>
      <c r="V83" s="917">
        <v>50</v>
      </c>
      <c r="W83" s="908">
        <v>8</v>
      </c>
      <c r="X83" s="794">
        <v>343</v>
      </c>
      <c r="Y83" s="930">
        <v>1</v>
      </c>
      <c r="Z83" s="794">
        <v>1</v>
      </c>
      <c r="AD83" s="892">
        <v>0</v>
      </c>
      <c r="AE83" s="917">
        <v>0.42</v>
      </c>
      <c r="AF83" s="936" t="str">
        <f>_xlfn.DISPIMG("ID_78F153490C5F4E3F986F87830727CEC5",1)</f>
        <v>=DISPIMG("ID_78F153490C5F4E3F986F87830727CEC5",1)</v>
      </c>
      <c r="AG83" s="794" t="s">
        <v>294</v>
      </c>
      <c r="AH83" s="795" t="s">
        <v>295</v>
      </c>
      <c r="AI83" s="916">
        <v>45637</v>
      </c>
      <c r="AJ83" s="794" t="s">
        <v>296</v>
      </c>
      <c r="AK83" s="916">
        <v>45637</v>
      </c>
      <c r="AL83" s="791">
        <v>6800</v>
      </c>
      <c r="AM83" s="791">
        <v>6800</v>
      </c>
      <c r="AN83" s="917">
        <v>44000</v>
      </c>
      <c r="AO83" s="794">
        <v>1</v>
      </c>
      <c r="AP83" s="795" t="s">
        <v>254</v>
      </c>
      <c r="AQ83" s="842" t="s">
        <v>242</v>
      </c>
      <c r="AR83" s="843">
        <v>45661</v>
      </c>
      <c r="AS83" s="783" t="s">
        <v>297</v>
      </c>
      <c r="AT83" s="800">
        <v>45674</v>
      </c>
      <c r="AU83" s="800">
        <v>45677</v>
      </c>
      <c r="AV83" s="795" t="s">
        <v>76</v>
      </c>
      <c r="AW83" s="795" t="s">
        <v>60</v>
      </c>
      <c r="AX83" s="931">
        <v>9738</v>
      </c>
      <c r="AY83" s="860"/>
      <c r="AZ83" s="894">
        <v>34262</v>
      </c>
    </row>
    <row r="84" ht="112.65" customHeight="1" spans="1:52">
      <c r="A84" s="782">
        <v>10</v>
      </c>
      <c r="B84" s="783">
        <v>8443321300</v>
      </c>
      <c r="C84" s="783">
        <v>844332</v>
      </c>
      <c r="D84" s="782"/>
      <c r="E84" s="782" t="s">
        <v>298</v>
      </c>
      <c r="F84" s="782" t="s">
        <v>299</v>
      </c>
      <c r="G84" s="784" t="s">
        <v>300</v>
      </c>
      <c r="H84" s="785"/>
      <c r="I84" s="786" t="s">
        <v>51</v>
      </c>
      <c r="J84" s="850">
        <v>2</v>
      </c>
      <c r="K84" s="794">
        <v>2</v>
      </c>
      <c r="L84" s="795" t="s">
        <v>254</v>
      </c>
      <c r="M84" s="794"/>
      <c r="N84" s="916"/>
      <c r="O84" s="794"/>
      <c r="P84" s="844">
        <v>18600</v>
      </c>
      <c r="Q84" s="850">
        <v>37200</v>
      </c>
      <c r="R84" s="917"/>
      <c r="T84" s="917">
        <v>121.5</v>
      </c>
      <c r="V84" s="917">
        <v>96.5</v>
      </c>
      <c r="W84" s="908">
        <v>8</v>
      </c>
      <c r="X84" s="794" t="s">
        <v>301</v>
      </c>
      <c r="Y84" s="930">
        <v>5</v>
      </c>
      <c r="Z84" s="794"/>
      <c r="AD84" s="892">
        <v>0</v>
      </c>
      <c r="AE84" s="917">
        <v>2.46</v>
      </c>
      <c r="AF84" s="794" t="str">
        <f>_xlfn.DISPIMG("ID_BAA5FDDCD8004A308E90FC1E999A5D02",1)</f>
        <v>=DISPIMG("ID_BAA5FDDCD8004A308E90FC1E999A5D02",1)</v>
      </c>
      <c r="AG84" s="794" t="s">
        <v>302</v>
      </c>
      <c r="AH84" s="795"/>
      <c r="AI84" s="916"/>
      <c r="AJ84" s="794"/>
      <c r="AK84" s="916"/>
      <c r="AL84" s="791">
        <v>18600</v>
      </c>
      <c r="AM84" s="791">
        <v>37200</v>
      </c>
      <c r="AN84" s="917"/>
      <c r="AO84" s="794">
        <v>2</v>
      </c>
      <c r="AP84" s="795" t="s">
        <v>254</v>
      </c>
      <c r="AQ84" s="842" t="s">
        <v>242</v>
      </c>
      <c r="AR84" s="843">
        <v>45661</v>
      </c>
      <c r="AS84" s="783" t="s">
        <v>297</v>
      </c>
      <c r="AT84" s="800">
        <v>45674</v>
      </c>
      <c r="AU84" s="800">
        <v>45677</v>
      </c>
      <c r="AV84" s="795" t="s">
        <v>76</v>
      </c>
      <c r="AW84" s="795" t="s">
        <v>60</v>
      </c>
      <c r="AX84" s="934"/>
      <c r="AY84" s="867"/>
      <c r="AZ84" s="901"/>
    </row>
    <row r="85" ht="63" customHeight="1" spans="1:52">
      <c r="A85" s="804"/>
      <c r="B85" s="805"/>
      <c r="C85" s="805"/>
      <c r="D85" s="804"/>
      <c r="E85" s="804"/>
      <c r="F85" s="804"/>
      <c r="G85" s="806"/>
      <c r="H85" s="807"/>
      <c r="I85" s="808"/>
      <c r="J85" s="809"/>
      <c r="K85" s="810"/>
      <c r="L85" s="811"/>
      <c r="M85" s="810"/>
      <c r="N85" s="812"/>
      <c r="O85" s="810"/>
      <c r="P85" s="813"/>
      <c r="Q85" s="922">
        <v>44000</v>
      </c>
      <c r="R85" s="922">
        <v>44000</v>
      </c>
      <c r="T85" s="922">
        <v>190.5</v>
      </c>
      <c r="V85" s="922">
        <v>146.5</v>
      </c>
      <c r="W85" s="923"/>
      <c r="X85" s="810"/>
      <c r="Y85" s="922">
        <v>6</v>
      </c>
      <c r="Z85" s="810"/>
      <c r="AD85" s="816"/>
      <c r="AE85" s="922">
        <v>2.88</v>
      </c>
      <c r="AF85" s="810"/>
      <c r="AG85" s="810"/>
      <c r="AH85" s="924"/>
      <c r="AI85" s="925"/>
      <c r="AJ85" s="926"/>
      <c r="AK85" s="925"/>
      <c r="AL85" s="809"/>
      <c r="AM85" s="922">
        <v>44000</v>
      </c>
      <c r="AN85" s="922">
        <v>44000</v>
      </c>
      <c r="AO85" s="810"/>
      <c r="AP85" s="811"/>
      <c r="AQ85" s="885"/>
      <c r="AR85" s="869"/>
      <c r="AS85" s="869"/>
      <c r="AT85" s="869"/>
      <c r="AU85" s="869"/>
      <c r="AV85" s="869"/>
      <c r="AW85" s="869"/>
      <c r="AX85" s="888"/>
      <c r="AY85" s="820"/>
      <c r="AZ85" s="821"/>
    </row>
    <row r="86" ht="63" customHeight="1" spans="1:52">
      <c r="A86" s="822"/>
      <c r="B86" s="822"/>
      <c r="C86" s="822"/>
      <c r="D86" s="822"/>
      <c r="E86" s="822"/>
      <c r="F86" s="823"/>
      <c r="G86" s="824"/>
      <c r="H86" s="807"/>
      <c r="I86" s="825"/>
      <c r="J86" s="826"/>
      <c r="K86" s="823"/>
      <c r="L86" s="823"/>
      <c r="M86" s="823"/>
      <c r="N86" s="827"/>
      <c r="O86" s="823"/>
      <c r="P86" s="826"/>
      <c r="Q86" s="826"/>
      <c r="R86" s="828"/>
      <c r="T86" s="826"/>
      <c r="V86" s="826"/>
      <c r="W86" s="829"/>
      <c r="X86" s="830"/>
      <c r="Y86" s="823"/>
      <c r="Z86" s="823"/>
      <c r="AD86" s="823"/>
      <c r="AE86" s="823"/>
      <c r="AF86" s="823"/>
      <c r="AG86" s="823"/>
      <c r="AH86" s="831"/>
      <c r="AI86" s="832"/>
      <c r="AJ86" s="831"/>
      <c r="AK86" s="832"/>
      <c r="AL86" s="826"/>
      <c r="AM86" s="826"/>
      <c r="AN86" s="833"/>
      <c r="AO86" s="823"/>
      <c r="AP86" s="823"/>
      <c r="AQ86" s="885"/>
      <c r="AR86" s="869"/>
      <c r="AS86" s="869"/>
      <c r="AT86" s="869"/>
      <c r="AU86" s="869"/>
      <c r="AV86" s="869"/>
      <c r="AW86" s="869"/>
      <c r="AX86" s="888"/>
      <c r="AY86" s="820"/>
      <c r="AZ86" s="821"/>
    </row>
    <row r="87" ht="63" customHeight="1" spans="1:52">
      <c r="A87" s="804"/>
      <c r="B87" s="805"/>
      <c r="C87" s="805"/>
      <c r="D87" s="804"/>
      <c r="E87" s="804"/>
      <c r="F87" s="804"/>
      <c r="G87" s="806"/>
      <c r="H87" s="807"/>
      <c r="I87" s="808"/>
      <c r="J87" s="809"/>
      <c r="K87" s="810"/>
      <c r="L87" s="811"/>
      <c r="M87" s="810" t="s">
        <v>303</v>
      </c>
      <c r="N87" s="812"/>
      <c r="O87" s="810"/>
      <c r="P87" s="813"/>
      <c r="Q87" s="922">
        <v>505798.11</v>
      </c>
      <c r="R87" s="922">
        <v>505798.11</v>
      </c>
      <c r="T87" s="922">
        <v>5890</v>
      </c>
      <c r="V87" s="922">
        <v>5348.2</v>
      </c>
      <c r="W87" s="923"/>
      <c r="X87" s="810"/>
      <c r="Y87" s="922">
        <v>158</v>
      </c>
      <c r="Z87" s="810"/>
      <c r="AD87" s="816"/>
      <c r="AE87" s="922">
        <v>15.77</v>
      </c>
      <c r="AF87" s="810"/>
      <c r="AG87" s="810"/>
      <c r="AH87" s="924"/>
      <c r="AI87" s="925"/>
      <c r="AJ87" s="926"/>
      <c r="AK87" s="925"/>
      <c r="AL87" s="809"/>
      <c r="AM87" s="922">
        <v>507626.32</v>
      </c>
      <c r="AN87" s="922">
        <v>507626.32</v>
      </c>
      <c r="AO87" s="810"/>
      <c r="AP87" s="811"/>
      <c r="AQ87" s="885"/>
      <c r="AR87" s="869"/>
      <c r="AS87" s="869"/>
      <c r="AT87" s="869"/>
      <c r="AU87" s="869"/>
      <c r="AV87" s="869"/>
      <c r="AW87" s="869"/>
      <c r="AX87" s="888"/>
      <c r="AY87" s="820"/>
      <c r="AZ87" s="821"/>
    </row>
    <row r="88" ht="126.45" customHeight="1" spans="1:52">
      <c r="A88" s="937">
        <v>1</v>
      </c>
      <c r="B88" s="938">
        <v>4004000090</v>
      </c>
      <c r="C88" s="938">
        <v>390950</v>
      </c>
      <c r="D88" s="939" t="s">
        <v>304</v>
      </c>
      <c r="E88" s="939" t="s">
        <v>305</v>
      </c>
      <c r="F88" s="939" t="s">
        <v>306</v>
      </c>
      <c r="G88" s="939"/>
      <c r="H88" s="939"/>
      <c r="I88" s="940" t="s">
        <v>123</v>
      </c>
      <c r="J88" s="940">
        <v>17390</v>
      </c>
      <c r="K88" s="941" t="s">
        <v>307</v>
      </c>
      <c r="L88" s="939" t="s">
        <v>308</v>
      </c>
      <c r="M88" s="937" t="s">
        <v>309</v>
      </c>
      <c r="N88" s="942"/>
      <c r="O88" s="941"/>
      <c r="P88" s="943">
        <v>5.1</v>
      </c>
      <c r="Q88" s="943">
        <v>88689</v>
      </c>
      <c r="R88" s="944">
        <v>88689</v>
      </c>
      <c r="S88" s="936"/>
      <c r="T88" s="945">
        <v>17390</v>
      </c>
      <c r="U88" s="936"/>
      <c r="V88" s="945">
        <v>17390</v>
      </c>
      <c r="W88" s="946" t="s">
        <v>310</v>
      </c>
      <c r="X88" s="941" t="s">
        <v>310</v>
      </c>
      <c r="Y88" s="947">
        <v>28</v>
      </c>
      <c r="Z88" s="947"/>
      <c r="AA88" s="936"/>
      <c r="AB88" s="936"/>
      <c r="AC88" s="936"/>
      <c r="AD88" s="948">
        <v>2.14373118383995</v>
      </c>
      <c r="AE88" s="949">
        <v>66</v>
      </c>
      <c r="AF88" s="939"/>
      <c r="AG88" s="939"/>
      <c r="AH88" s="937" t="s">
        <v>311</v>
      </c>
      <c r="AI88" s="950">
        <v>45631</v>
      </c>
      <c r="AJ88" s="937" t="s">
        <v>311</v>
      </c>
      <c r="AK88" s="950">
        <v>45631</v>
      </c>
      <c r="AL88" s="943">
        <v>5.1</v>
      </c>
      <c r="AM88" s="943">
        <v>88689</v>
      </c>
      <c r="AN88" s="951">
        <v>88689</v>
      </c>
      <c r="AO88" s="941" t="s">
        <v>307</v>
      </c>
      <c r="AP88" s="939" t="s">
        <v>308</v>
      </c>
      <c r="AQ88" s="952" t="s">
        <v>312</v>
      </c>
      <c r="AR88" s="938" t="s">
        <v>313</v>
      </c>
      <c r="AS88" s="953" t="s">
        <v>314</v>
      </c>
      <c r="AT88" s="938" t="s">
        <v>315</v>
      </c>
      <c r="AU88" s="938" t="s">
        <v>316</v>
      </c>
      <c r="AV88" s="938" t="s">
        <v>59</v>
      </c>
      <c r="AW88" s="954" t="s">
        <v>317</v>
      </c>
      <c r="AX88" s="801">
        <v>16188</v>
      </c>
      <c r="AY88" s="802"/>
      <c r="AZ88" s="955">
        <v>66264.61</v>
      </c>
    </row>
    <row r="89" ht="46.05" customHeight="1" spans="1:52">
      <c r="A89" s="804"/>
      <c r="B89" s="805"/>
      <c r="C89" s="805"/>
      <c r="D89" s="804"/>
      <c r="E89" s="804"/>
      <c r="F89" s="804"/>
      <c r="G89" s="804"/>
      <c r="H89" s="804"/>
      <c r="I89" s="805"/>
      <c r="J89" s="809"/>
      <c r="K89" s="810"/>
      <c r="L89" s="811"/>
      <c r="M89" s="810"/>
      <c r="N89" s="812"/>
      <c r="O89" s="810"/>
      <c r="P89" s="813"/>
      <c r="Q89" s="922">
        <v>88689</v>
      </c>
      <c r="R89" s="922">
        <v>88689</v>
      </c>
      <c r="S89" s="956"/>
      <c r="T89" s="922">
        <v>17390</v>
      </c>
      <c r="U89" s="956"/>
      <c r="V89" s="922">
        <v>17390</v>
      </c>
      <c r="W89" s="923"/>
      <c r="X89" s="810"/>
      <c r="Y89" s="922">
        <v>28</v>
      </c>
      <c r="Z89" s="810"/>
      <c r="AA89" s="956"/>
      <c r="AB89" s="956"/>
      <c r="AC89" s="956"/>
      <c r="AD89" s="816"/>
      <c r="AE89" s="922">
        <v>66</v>
      </c>
      <c r="AF89" s="810"/>
      <c r="AG89" s="810"/>
      <c r="AH89" s="957"/>
      <c r="AI89" s="841"/>
      <c r="AJ89" s="840"/>
      <c r="AK89" s="841"/>
      <c r="AL89" s="809"/>
      <c r="AM89" s="922">
        <v>88689</v>
      </c>
      <c r="AN89" s="958">
        <v>88689</v>
      </c>
      <c r="AO89" s="810"/>
      <c r="AP89" s="811"/>
      <c r="AQ89" s="820"/>
      <c r="AR89" s="820"/>
      <c r="AS89" s="820"/>
      <c r="AT89" s="820"/>
      <c r="AU89" s="820"/>
      <c r="AV89" s="820"/>
      <c r="AW89" s="820"/>
      <c r="AX89" s="959"/>
      <c r="AY89" s="820"/>
      <c r="AZ89" s="821"/>
    </row>
    <row r="90" ht="46.05" customHeight="1" spans="1:52">
      <c r="A90" s="822"/>
      <c r="B90" s="822"/>
      <c r="C90" s="822"/>
      <c r="D90" s="822"/>
      <c r="E90" s="822"/>
      <c r="F90" s="823"/>
      <c r="G90" s="823"/>
      <c r="H90" s="823"/>
      <c r="I90" s="823"/>
      <c r="J90" s="826"/>
      <c r="K90" s="823"/>
      <c r="L90" s="823"/>
      <c r="M90" s="823"/>
      <c r="N90" s="827"/>
      <c r="O90" s="823"/>
      <c r="P90" s="826"/>
      <c r="Q90" s="826"/>
      <c r="R90" s="828"/>
      <c r="S90" s="956"/>
      <c r="T90" s="826"/>
      <c r="U90" s="956"/>
      <c r="V90" s="826"/>
      <c r="W90" s="829"/>
      <c r="X90" s="830"/>
      <c r="Y90" s="823"/>
      <c r="Z90" s="823"/>
      <c r="AA90" s="956"/>
      <c r="AB90" s="956"/>
      <c r="AC90" s="956"/>
      <c r="AD90" s="823"/>
      <c r="AE90" s="823"/>
      <c r="AF90" s="823"/>
      <c r="AG90" s="823"/>
      <c r="AH90" s="831"/>
      <c r="AI90" s="832"/>
      <c r="AJ90" s="831"/>
      <c r="AK90" s="832"/>
      <c r="AL90" s="826"/>
      <c r="AM90" s="826"/>
      <c r="AN90" s="833"/>
      <c r="AO90" s="823"/>
      <c r="AP90" s="823"/>
      <c r="AQ90" s="820"/>
      <c r="AR90" s="820"/>
      <c r="AS90" s="820"/>
      <c r="AT90" s="820"/>
      <c r="AU90" s="820"/>
      <c r="AV90" s="820"/>
      <c r="AW90" s="820"/>
      <c r="AX90" s="959"/>
      <c r="AY90" s="820"/>
      <c r="AZ90" s="821"/>
    </row>
    <row r="91" ht="120" customHeight="1" spans="1:52">
      <c r="A91" s="937">
        <v>1</v>
      </c>
      <c r="B91" s="938">
        <v>4004000090</v>
      </c>
      <c r="C91" s="938">
        <v>390950</v>
      </c>
      <c r="D91" s="939" t="s">
        <v>318</v>
      </c>
      <c r="E91" s="939" t="s">
        <v>305</v>
      </c>
      <c r="F91" s="939" t="s">
        <v>306</v>
      </c>
      <c r="G91" s="939"/>
      <c r="H91" s="939"/>
      <c r="I91" s="940" t="s">
        <v>123</v>
      </c>
      <c r="J91" s="940">
        <v>19740</v>
      </c>
      <c r="K91" s="941" t="s">
        <v>307</v>
      </c>
      <c r="L91" s="939" t="s">
        <v>308</v>
      </c>
      <c r="M91" s="937" t="s">
        <v>309</v>
      </c>
      <c r="N91" s="942"/>
      <c r="O91" s="941"/>
      <c r="P91" s="943">
        <v>5.1</v>
      </c>
      <c r="Q91" s="943">
        <v>100674</v>
      </c>
      <c r="R91" s="944">
        <v>100674</v>
      </c>
      <c r="S91" s="936"/>
      <c r="T91" s="945">
        <v>19740</v>
      </c>
      <c r="U91" s="936"/>
      <c r="V91" s="945">
        <v>19740</v>
      </c>
      <c r="W91" s="946" t="s">
        <v>310</v>
      </c>
      <c r="X91" s="941" t="s">
        <v>310</v>
      </c>
      <c r="Y91" s="947">
        <v>28</v>
      </c>
      <c r="Z91" s="947"/>
      <c r="AA91" s="936"/>
      <c r="AB91" s="936"/>
      <c r="AC91" s="936"/>
      <c r="AD91" s="948">
        <v>2.14373118383995</v>
      </c>
      <c r="AE91" s="949">
        <v>66</v>
      </c>
      <c r="AF91" s="939"/>
      <c r="AG91" s="939"/>
      <c r="AH91" s="937" t="s">
        <v>319</v>
      </c>
      <c r="AI91" s="950">
        <v>45631</v>
      </c>
      <c r="AJ91" s="937" t="s">
        <v>320</v>
      </c>
      <c r="AK91" s="950">
        <v>45631</v>
      </c>
      <c r="AL91" s="943">
        <v>5.1</v>
      </c>
      <c r="AM91" s="943">
        <v>100674</v>
      </c>
      <c r="AN91" s="944">
        <v>100674</v>
      </c>
      <c r="AO91" s="941" t="s">
        <v>307</v>
      </c>
      <c r="AP91" s="939" t="s">
        <v>308</v>
      </c>
      <c r="AQ91" s="952" t="s">
        <v>321</v>
      </c>
      <c r="AR91" s="938" t="s">
        <v>313</v>
      </c>
      <c r="AS91" s="952" t="s">
        <v>322</v>
      </c>
      <c r="AT91" s="938" t="s">
        <v>315</v>
      </c>
      <c r="AU91" s="938" t="s">
        <v>316</v>
      </c>
      <c r="AV91" s="938" t="s">
        <v>59</v>
      </c>
      <c r="AW91" s="954" t="s">
        <v>317</v>
      </c>
      <c r="AX91" s="801">
        <v>16188</v>
      </c>
      <c r="AY91" s="802"/>
      <c r="AZ91" s="955">
        <v>77404.52</v>
      </c>
    </row>
    <row r="92" ht="58.95" customHeight="1" spans="1:52">
      <c r="A92" s="804"/>
      <c r="B92" s="805"/>
      <c r="C92" s="805"/>
      <c r="D92" s="804"/>
      <c r="E92" s="804"/>
      <c r="F92" s="804"/>
      <c r="G92" s="804"/>
      <c r="H92" s="804"/>
      <c r="I92" s="805"/>
      <c r="J92" s="809"/>
      <c r="K92" s="810"/>
      <c r="L92" s="811"/>
      <c r="M92" s="810"/>
      <c r="N92" s="812"/>
      <c r="O92" s="810"/>
      <c r="P92" s="813"/>
      <c r="Q92" s="922">
        <v>100674</v>
      </c>
      <c r="R92" s="922">
        <v>100674</v>
      </c>
      <c r="S92" s="956"/>
      <c r="T92" s="922">
        <v>19740</v>
      </c>
      <c r="U92" s="956"/>
      <c r="V92" s="922">
        <v>19740</v>
      </c>
      <c r="W92" s="923"/>
      <c r="X92" s="810"/>
      <c r="Y92" s="922">
        <v>28</v>
      </c>
      <c r="Z92" s="810"/>
      <c r="AA92" s="956"/>
      <c r="AB92" s="956"/>
      <c r="AC92" s="956"/>
      <c r="AD92" s="816"/>
      <c r="AE92" s="922">
        <v>66</v>
      </c>
      <c r="AF92" s="810"/>
      <c r="AG92" s="810"/>
      <c r="AH92" s="924"/>
      <c r="AI92" s="925"/>
      <c r="AJ92" s="926"/>
      <c r="AK92" s="925"/>
      <c r="AL92" s="809"/>
      <c r="AM92" s="922">
        <v>100674</v>
      </c>
      <c r="AN92" s="922">
        <v>100674</v>
      </c>
      <c r="AO92" s="810"/>
      <c r="AP92" s="811"/>
      <c r="AQ92" s="820"/>
      <c r="AR92" s="820"/>
      <c r="AS92" s="820"/>
      <c r="AT92" s="820"/>
      <c r="AU92" s="820"/>
      <c r="AV92" s="820"/>
      <c r="AW92" s="820"/>
      <c r="AX92" s="959"/>
      <c r="AY92" s="820"/>
      <c r="AZ92" s="821"/>
    </row>
    <row r="93" ht="58.95" customHeight="1" spans="1:52">
      <c r="A93" s="822"/>
      <c r="B93" s="822"/>
      <c r="C93" s="822"/>
      <c r="D93" s="822"/>
      <c r="E93" s="822"/>
      <c r="F93" s="823"/>
      <c r="G93" s="823"/>
      <c r="H93" s="823"/>
      <c r="I93" s="823"/>
      <c r="J93" s="826"/>
      <c r="K93" s="823"/>
      <c r="L93" s="823"/>
      <c r="M93" s="823"/>
      <c r="N93" s="827"/>
      <c r="O93" s="823"/>
      <c r="P93" s="826"/>
      <c r="Q93" s="826"/>
      <c r="R93" s="828"/>
      <c r="S93" s="956"/>
      <c r="T93" s="826"/>
      <c r="U93" s="956"/>
      <c r="V93" s="826"/>
      <c r="W93" s="829"/>
      <c r="X93" s="830"/>
      <c r="Y93" s="823"/>
      <c r="Z93" s="823"/>
      <c r="AA93" s="956"/>
      <c r="AB93" s="956"/>
      <c r="AC93" s="956"/>
      <c r="AD93" s="823"/>
      <c r="AE93" s="823"/>
      <c r="AF93" s="823"/>
      <c r="AG93" s="823"/>
      <c r="AH93" s="831"/>
      <c r="AI93" s="832"/>
      <c r="AJ93" s="831"/>
      <c r="AK93" s="832"/>
      <c r="AL93" s="826"/>
      <c r="AM93" s="826"/>
      <c r="AN93" s="833"/>
      <c r="AO93" s="823"/>
      <c r="AP93" s="823"/>
      <c r="AQ93" s="820"/>
      <c r="AR93" s="820"/>
      <c r="AS93" s="820"/>
      <c r="AT93" s="820"/>
      <c r="AU93" s="820"/>
      <c r="AV93" s="820"/>
      <c r="AW93" s="820"/>
      <c r="AX93" s="959"/>
      <c r="AY93" s="820"/>
      <c r="AZ93" s="821"/>
    </row>
    <row r="94" ht="127.5" customHeight="1" spans="1:52">
      <c r="A94" s="960">
        <v>1</v>
      </c>
      <c r="B94" s="961">
        <v>4821100000</v>
      </c>
      <c r="C94" s="961">
        <v>482110</v>
      </c>
      <c r="D94" s="960" t="s">
        <v>323</v>
      </c>
      <c r="E94" s="962" t="s">
        <v>324</v>
      </c>
      <c r="F94" s="960" t="s">
        <v>325</v>
      </c>
      <c r="G94" s="963"/>
      <c r="H94" s="802"/>
      <c r="I94" s="964" t="s">
        <v>123</v>
      </c>
      <c r="J94" s="965">
        <v>0.44</v>
      </c>
      <c r="K94" s="960">
        <v>800</v>
      </c>
      <c r="L94" s="966" t="s">
        <v>326</v>
      </c>
      <c r="M94" s="967" t="s">
        <v>327</v>
      </c>
      <c r="N94" s="968"/>
      <c r="O94" s="967"/>
      <c r="P94" s="969">
        <v>1136.5</v>
      </c>
      <c r="Q94" s="970">
        <f t="shared" ref="Q94:Q108" si="0">P94*J94</f>
        <v>500.06</v>
      </c>
      <c r="R94" s="971">
        <f t="shared" ref="R94:R96" si="1">Q94</f>
        <v>500.06</v>
      </c>
      <c r="S94" s="936"/>
      <c r="T94" s="971">
        <v>1.13</v>
      </c>
      <c r="U94" s="936"/>
      <c r="V94" s="971">
        <v>0.44</v>
      </c>
      <c r="W94" s="972">
        <v>8</v>
      </c>
      <c r="X94" s="961">
        <v>230</v>
      </c>
      <c r="Y94" s="973">
        <v>1</v>
      </c>
      <c r="Z94" s="973">
        <v>800</v>
      </c>
      <c r="AA94" s="936"/>
      <c r="AB94" s="936"/>
      <c r="AC94" s="936"/>
      <c r="AD94" s="974">
        <f t="shared" ref="AD94:AD100" si="2">AA94*AB94*AC94/28316.75*0.0283</f>
        <v>0</v>
      </c>
      <c r="AE94" s="975">
        <v>0.01</v>
      </c>
      <c r="AF94" s="976"/>
      <c r="AG94" s="961" t="s">
        <v>328</v>
      </c>
      <c r="AH94" s="977" t="s">
        <v>329</v>
      </c>
      <c r="AI94" s="978">
        <v>45631</v>
      </c>
      <c r="AJ94" s="977" t="s">
        <v>330</v>
      </c>
      <c r="AK94" s="978">
        <v>45631</v>
      </c>
      <c r="AL94" s="971">
        <v>1159.25</v>
      </c>
      <c r="AM94" s="971">
        <f t="shared" ref="AM94:AM108" si="3">AL94*J94</f>
        <v>510.07</v>
      </c>
      <c r="AN94" s="979">
        <f>SUM(AM94:AM108)</f>
        <v>15414.22</v>
      </c>
      <c r="AO94" s="960">
        <v>800</v>
      </c>
      <c r="AP94" s="966" t="s">
        <v>326</v>
      </c>
      <c r="AQ94" s="980" t="s">
        <v>331</v>
      </c>
      <c r="AR94" s="981">
        <v>45660</v>
      </c>
      <c r="AS94" s="982" t="s">
        <v>332</v>
      </c>
      <c r="AT94" s="981">
        <v>45674</v>
      </c>
      <c r="AU94" s="983" t="s">
        <v>333</v>
      </c>
      <c r="AV94" s="984" t="s">
        <v>59</v>
      </c>
      <c r="AW94" s="982" t="s">
        <v>60</v>
      </c>
      <c r="AX94" s="985">
        <v>16188</v>
      </c>
      <c r="AY94" s="857"/>
      <c r="AZ94" s="894">
        <v>109969.82</v>
      </c>
    </row>
    <row r="95" ht="127.5" customHeight="1" spans="1:52">
      <c r="A95" s="960">
        <v>2</v>
      </c>
      <c r="B95" s="961">
        <v>4819200000</v>
      </c>
      <c r="C95" s="961">
        <v>481920</v>
      </c>
      <c r="D95" s="960" t="s">
        <v>323</v>
      </c>
      <c r="E95" s="962" t="s">
        <v>334</v>
      </c>
      <c r="F95" s="960" t="s">
        <v>335</v>
      </c>
      <c r="G95" s="986" t="s">
        <v>336</v>
      </c>
      <c r="H95" s="802"/>
      <c r="I95" s="964" t="s">
        <v>123</v>
      </c>
      <c r="J95" s="965">
        <v>29.24</v>
      </c>
      <c r="K95" s="987">
        <v>200</v>
      </c>
      <c r="L95" s="982" t="s">
        <v>52</v>
      </c>
      <c r="M95" s="960" t="s">
        <v>337</v>
      </c>
      <c r="N95" s="968"/>
      <c r="O95" s="967"/>
      <c r="P95" s="969">
        <v>171</v>
      </c>
      <c r="Q95" s="970">
        <f t="shared" si="0"/>
        <v>5000.04</v>
      </c>
      <c r="R95" s="971">
        <f t="shared" si="1"/>
        <v>5000.04</v>
      </c>
      <c r="S95" s="936"/>
      <c r="T95" s="988">
        <v>30.54</v>
      </c>
      <c r="U95" s="936"/>
      <c r="V95" s="971">
        <v>29.24</v>
      </c>
      <c r="W95" s="972">
        <v>8</v>
      </c>
      <c r="X95" s="961" t="s">
        <v>338</v>
      </c>
      <c r="Y95" s="973">
        <v>3</v>
      </c>
      <c r="Z95" s="973">
        <v>100</v>
      </c>
      <c r="AA95" s="936"/>
      <c r="AB95" s="936"/>
      <c r="AC95" s="936"/>
      <c r="AD95" s="974">
        <f t="shared" si="2"/>
        <v>0</v>
      </c>
      <c r="AE95" s="975">
        <v>0.26</v>
      </c>
      <c r="AF95" s="976"/>
      <c r="AG95" s="961" t="s">
        <v>328</v>
      </c>
      <c r="AH95" s="977"/>
      <c r="AI95" s="978"/>
      <c r="AJ95" s="977"/>
      <c r="AK95" s="978"/>
      <c r="AL95" s="971">
        <v>174.5</v>
      </c>
      <c r="AM95" s="971">
        <f t="shared" si="3"/>
        <v>5102.38</v>
      </c>
      <c r="AN95" s="989"/>
      <c r="AO95" s="987">
        <v>200</v>
      </c>
      <c r="AP95" s="982" t="s">
        <v>52</v>
      </c>
      <c r="AQ95" s="980" t="s">
        <v>331</v>
      </c>
      <c r="AR95" s="981">
        <v>45660</v>
      </c>
      <c r="AS95" s="982" t="s">
        <v>332</v>
      </c>
      <c r="AT95" s="984">
        <v>45674</v>
      </c>
      <c r="AU95" s="983" t="s">
        <v>333</v>
      </c>
      <c r="AV95" s="984" t="s">
        <v>59</v>
      </c>
      <c r="AW95" s="982" t="s">
        <v>60</v>
      </c>
      <c r="AX95" s="985"/>
      <c r="AY95" s="860"/>
      <c r="AZ95" s="897"/>
    </row>
    <row r="96" ht="127.5" customHeight="1" spans="1:52">
      <c r="A96" s="960">
        <v>3</v>
      </c>
      <c r="B96" s="961">
        <v>4007000000</v>
      </c>
      <c r="C96" s="961">
        <v>400700</v>
      </c>
      <c r="D96" s="960" t="s">
        <v>323</v>
      </c>
      <c r="E96" s="962" t="s">
        <v>339</v>
      </c>
      <c r="F96" s="960" t="s">
        <v>340</v>
      </c>
      <c r="G96" s="963"/>
      <c r="H96" s="802"/>
      <c r="I96" s="964" t="s">
        <v>123</v>
      </c>
      <c r="J96" s="965">
        <v>0.73</v>
      </c>
      <c r="K96" s="987">
        <v>10000</v>
      </c>
      <c r="L96" s="982" t="s">
        <v>52</v>
      </c>
      <c r="M96" s="967" t="s">
        <v>341</v>
      </c>
      <c r="N96" s="968"/>
      <c r="O96" s="967"/>
      <c r="P96" s="969">
        <v>452</v>
      </c>
      <c r="Q96" s="970">
        <f t="shared" si="0"/>
        <v>329.96</v>
      </c>
      <c r="R96" s="971">
        <f t="shared" si="1"/>
        <v>329.96</v>
      </c>
      <c r="S96" s="936"/>
      <c r="T96" s="988">
        <v>0.86</v>
      </c>
      <c r="U96" s="936"/>
      <c r="V96" s="971">
        <v>0.73</v>
      </c>
      <c r="W96" s="990">
        <v>8</v>
      </c>
      <c r="X96" s="991">
        <v>233</v>
      </c>
      <c r="Y96" s="990">
        <v>1</v>
      </c>
      <c r="Z96" s="990">
        <v>10000</v>
      </c>
      <c r="AA96" s="936"/>
      <c r="AB96" s="936"/>
      <c r="AC96" s="936"/>
      <c r="AD96" s="974">
        <f t="shared" si="2"/>
        <v>0</v>
      </c>
      <c r="AE96" s="975">
        <v>0.01</v>
      </c>
      <c r="AF96" s="976"/>
      <c r="AG96" s="992" t="s">
        <v>328</v>
      </c>
      <c r="AH96" s="977"/>
      <c r="AI96" s="978"/>
      <c r="AJ96" s="977"/>
      <c r="AK96" s="978"/>
      <c r="AL96" s="971">
        <v>461</v>
      </c>
      <c r="AM96" s="971">
        <f t="shared" si="3"/>
        <v>336.53</v>
      </c>
      <c r="AN96" s="989"/>
      <c r="AO96" s="987">
        <v>10000</v>
      </c>
      <c r="AP96" s="982" t="s">
        <v>52</v>
      </c>
      <c r="AQ96" s="980" t="s">
        <v>331</v>
      </c>
      <c r="AR96" s="981">
        <v>45660</v>
      </c>
      <c r="AS96" s="982" t="s">
        <v>332</v>
      </c>
      <c r="AT96" s="984">
        <v>45674</v>
      </c>
      <c r="AU96" s="983" t="s">
        <v>333</v>
      </c>
      <c r="AV96" s="984" t="s">
        <v>59</v>
      </c>
      <c r="AW96" s="982" t="s">
        <v>60</v>
      </c>
      <c r="AX96" s="985"/>
      <c r="AY96" s="860"/>
      <c r="AZ96" s="897"/>
    </row>
    <row r="97" ht="127.5" customHeight="1" spans="1:52">
      <c r="A97" s="960">
        <v>4</v>
      </c>
      <c r="B97" s="961">
        <v>4821100000</v>
      </c>
      <c r="C97" s="961">
        <v>481920</v>
      </c>
      <c r="D97" s="960" t="s">
        <v>323</v>
      </c>
      <c r="E97" s="962" t="s">
        <v>342</v>
      </c>
      <c r="F97" s="960" t="s">
        <v>343</v>
      </c>
      <c r="G97" s="963"/>
      <c r="H97" s="802"/>
      <c r="I97" s="964" t="s">
        <v>123</v>
      </c>
      <c r="J97" s="965">
        <v>3.35</v>
      </c>
      <c r="K97" s="987">
        <v>50</v>
      </c>
      <c r="L97" s="982" t="s">
        <v>52</v>
      </c>
      <c r="M97" s="993" t="s">
        <v>344</v>
      </c>
      <c r="N97" s="968"/>
      <c r="O97" s="967"/>
      <c r="P97" s="969">
        <v>18.8</v>
      </c>
      <c r="Q97" s="970">
        <f t="shared" si="0"/>
        <v>62.98</v>
      </c>
      <c r="R97" s="979">
        <f>SUM(Q97:Q98)</f>
        <v>75.49</v>
      </c>
      <c r="S97" s="936"/>
      <c r="T97" s="988">
        <v>3.83</v>
      </c>
      <c r="U97" s="936"/>
      <c r="V97" s="971">
        <v>3.35</v>
      </c>
      <c r="W97" s="990">
        <v>8</v>
      </c>
      <c r="X97" s="991">
        <v>235</v>
      </c>
      <c r="Y97" s="990">
        <v>1</v>
      </c>
      <c r="Z97" s="990">
        <v>50</v>
      </c>
      <c r="AA97" s="936"/>
      <c r="AB97" s="936"/>
      <c r="AC97" s="936"/>
      <c r="AD97" s="974">
        <f t="shared" si="2"/>
        <v>0</v>
      </c>
      <c r="AE97" s="975">
        <v>0.03</v>
      </c>
      <c r="AF97" s="976"/>
      <c r="AG97" s="992" t="s">
        <v>328</v>
      </c>
      <c r="AH97" s="977"/>
      <c r="AI97" s="978"/>
      <c r="AJ97" s="977"/>
      <c r="AK97" s="978"/>
      <c r="AL97" s="971">
        <v>19.2</v>
      </c>
      <c r="AM97" s="971">
        <f t="shared" si="3"/>
        <v>64.32</v>
      </c>
      <c r="AN97" s="989"/>
      <c r="AO97" s="987">
        <v>50</v>
      </c>
      <c r="AP97" s="982" t="s">
        <v>52</v>
      </c>
      <c r="AQ97" s="980" t="s">
        <v>331</v>
      </c>
      <c r="AR97" s="981">
        <v>45660</v>
      </c>
      <c r="AS97" s="982" t="s">
        <v>332</v>
      </c>
      <c r="AT97" s="984">
        <v>45674</v>
      </c>
      <c r="AU97" s="983" t="s">
        <v>333</v>
      </c>
      <c r="AV97" s="984" t="s">
        <v>59</v>
      </c>
      <c r="AW97" s="982" t="s">
        <v>60</v>
      </c>
      <c r="AX97" s="985"/>
      <c r="AY97" s="860"/>
      <c r="AZ97" s="897"/>
    </row>
    <row r="98" ht="127.5" customHeight="1" spans="1:52">
      <c r="A98" s="960">
        <v>5</v>
      </c>
      <c r="B98" s="961">
        <v>4819100000</v>
      </c>
      <c r="C98" s="961">
        <v>481910</v>
      </c>
      <c r="D98" s="960" t="s">
        <v>323</v>
      </c>
      <c r="E98" s="962" t="s">
        <v>345</v>
      </c>
      <c r="F98" s="960" t="s">
        <v>346</v>
      </c>
      <c r="G98" s="963"/>
      <c r="H98" s="802"/>
      <c r="I98" s="964" t="s">
        <v>123</v>
      </c>
      <c r="J98" s="994">
        <v>9</v>
      </c>
      <c r="K98" s="987">
        <v>30</v>
      </c>
      <c r="L98" s="982" t="s">
        <v>254</v>
      </c>
      <c r="M98" s="987"/>
      <c r="N98" s="968"/>
      <c r="O98" s="967"/>
      <c r="P98" s="969">
        <v>1.39</v>
      </c>
      <c r="Q98" s="970">
        <f t="shared" si="0"/>
        <v>12.51</v>
      </c>
      <c r="R98" s="988"/>
      <c r="S98" s="936"/>
      <c r="T98" s="988">
        <v>9</v>
      </c>
      <c r="U98" s="936"/>
      <c r="V98" s="971">
        <v>9</v>
      </c>
      <c r="W98" s="995">
        <v>8</v>
      </c>
      <c r="X98" s="996">
        <v>236</v>
      </c>
      <c r="Y98" s="995">
        <v>1</v>
      </c>
      <c r="Z98" s="995">
        <v>30</v>
      </c>
      <c r="AA98" s="936"/>
      <c r="AB98" s="936"/>
      <c r="AC98" s="936"/>
      <c r="AD98" s="974">
        <f t="shared" si="2"/>
        <v>0</v>
      </c>
      <c r="AE98" s="975">
        <v>0.08</v>
      </c>
      <c r="AF98" s="976"/>
      <c r="AG98" s="992" t="s">
        <v>328</v>
      </c>
      <c r="AH98" s="977"/>
      <c r="AI98" s="978"/>
      <c r="AJ98" s="977"/>
      <c r="AK98" s="978"/>
      <c r="AL98" s="971">
        <v>1.42</v>
      </c>
      <c r="AM98" s="971">
        <f t="shared" si="3"/>
        <v>12.78</v>
      </c>
      <c r="AN98" s="989"/>
      <c r="AO98" s="987">
        <v>30</v>
      </c>
      <c r="AP98" s="982" t="s">
        <v>254</v>
      </c>
      <c r="AQ98" s="980" t="s">
        <v>331</v>
      </c>
      <c r="AR98" s="981">
        <v>45660</v>
      </c>
      <c r="AS98" s="982" t="s">
        <v>332</v>
      </c>
      <c r="AT98" s="984">
        <v>45674</v>
      </c>
      <c r="AU98" s="983" t="s">
        <v>333</v>
      </c>
      <c r="AV98" s="984" t="s">
        <v>59</v>
      </c>
      <c r="AW98" s="982" t="s">
        <v>60</v>
      </c>
      <c r="AX98" s="985"/>
      <c r="AY98" s="860"/>
      <c r="AZ98" s="897"/>
    </row>
    <row r="99" ht="127.5" customHeight="1" spans="1:52">
      <c r="A99" s="960">
        <v>6</v>
      </c>
      <c r="B99" s="961">
        <v>4823909000</v>
      </c>
      <c r="C99" s="961">
        <v>482390</v>
      </c>
      <c r="D99" s="960" t="s">
        <v>347</v>
      </c>
      <c r="E99" s="962" t="s">
        <v>348</v>
      </c>
      <c r="F99" s="960" t="s">
        <v>349</v>
      </c>
      <c r="G99" s="963"/>
      <c r="H99" s="802"/>
      <c r="I99" s="964" t="s">
        <v>123</v>
      </c>
      <c r="J99" s="994">
        <v>49.5</v>
      </c>
      <c r="K99" s="987">
        <v>30</v>
      </c>
      <c r="L99" s="982" t="s">
        <v>254</v>
      </c>
      <c r="M99" s="960" t="s">
        <v>350</v>
      </c>
      <c r="N99" s="997"/>
      <c r="O99" s="998"/>
      <c r="P99" s="969">
        <v>27.88</v>
      </c>
      <c r="Q99" s="970">
        <f t="shared" si="0"/>
        <v>1380.06</v>
      </c>
      <c r="R99" s="971">
        <f>Q99</f>
        <v>1380.06</v>
      </c>
      <c r="S99" s="936"/>
      <c r="T99" s="988">
        <v>52.05</v>
      </c>
      <c r="U99" s="936"/>
      <c r="V99" s="971">
        <v>49.5</v>
      </c>
      <c r="W99" s="999">
        <v>8</v>
      </c>
      <c r="X99" s="996" t="s">
        <v>351</v>
      </c>
      <c r="Y99" s="999">
        <v>4</v>
      </c>
      <c r="Z99" s="995" t="s">
        <v>352</v>
      </c>
      <c r="AA99" s="936"/>
      <c r="AB99" s="936"/>
      <c r="AC99" s="936"/>
      <c r="AD99" s="974">
        <f t="shared" si="2"/>
        <v>0</v>
      </c>
      <c r="AE99" s="1000">
        <v>0.09</v>
      </c>
      <c r="AF99" s="976"/>
      <c r="AG99" s="992"/>
      <c r="AH99" s="977"/>
      <c r="AI99" s="978"/>
      <c r="AJ99" s="977"/>
      <c r="AK99" s="978"/>
      <c r="AL99" s="971">
        <v>28.44</v>
      </c>
      <c r="AM99" s="971">
        <f t="shared" si="3"/>
        <v>1407.78</v>
      </c>
      <c r="AN99" s="989"/>
      <c r="AO99" s="987">
        <v>30</v>
      </c>
      <c r="AP99" s="982" t="s">
        <v>254</v>
      </c>
      <c r="AQ99" s="980" t="s">
        <v>331</v>
      </c>
      <c r="AR99" s="981">
        <v>45660</v>
      </c>
      <c r="AS99" s="982" t="s">
        <v>332</v>
      </c>
      <c r="AT99" s="984">
        <v>45674</v>
      </c>
      <c r="AU99" s="983" t="s">
        <v>333</v>
      </c>
      <c r="AV99" s="984" t="s">
        <v>59</v>
      </c>
      <c r="AW99" s="982" t="s">
        <v>60</v>
      </c>
      <c r="AX99" s="985"/>
      <c r="AY99" s="860"/>
      <c r="AZ99" s="897"/>
    </row>
    <row r="100" ht="127.5" customHeight="1" spans="1:52">
      <c r="A100" s="960">
        <v>7</v>
      </c>
      <c r="B100" s="961">
        <v>5808100090</v>
      </c>
      <c r="C100" s="961">
        <v>580890</v>
      </c>
      <c r="D100" s="960" t="s">
        <v>353</v>
      </c>
      <c r="E100" s="960" t="s">
        <v>354</v>
      </c>
      <c r="F100" s="962" t="s">
        <v>355</v>
      </c>
      <c r="G100" s="986"/>
      <c r="H100" s="802"/>
      <c r="I100" s="964" t="s">
        <v>123</v>
      </c>
      <c r="J100" s="994">
        <v>27.09</v>
      </c>
      <c r="K100" s="987">
        <v>67</v>
      </c>
      <c r="L100" s="982" t="s">
        <v>52</v>
      </c>
      <c r="M100" s="993" t="s">
        <v>356</v>
      </c>
      <c r="N100" s="1001"/>
      <c r="O100" s="987"/>
      <c r="P100" s="969">
        <v>47</v>
      </c>
      <c r="Q100" s="970">
        <f t="shared" si="0"/>
        <v>1273.23</v>
      </c>
      <c r="R100" s="989">
        <f>SUM(Q100:Q108)</f>
        <v>7819.09</v>
      </c>
      <c r="S100" s="936"/>
      <c r="T100" s="988">
        <v>28.56</v>
      </c>
      <c r="U100" s="936"/>
      <c r="V100" s="971">
        <v>27.09</v>
      </c>
      <c r="W100" s="1002">
        <v>3</v>
      </c>
      <c r="X100" s="1003" t="s">
        <v>357</v>
      </c>
      <c r="Y100" s="1002">
        <v>1</v>
      </c>
      <c r="Z100" s="1004">
        <v>67</v>
      </c>
      <c r="AA100" s="936"/>
      <c r="AB100" s="936"/>
      <c r="AC100" s="936"/>
      <c r="AD100" s="1005">
        <f t="shared" si="2"/>
        <v>0</v>
      </c>
      <c r="AE100" s="1000">
        <v>0.14</v>
      </c>
      <c r="AF100" s="976"/>
      <c r="AG100" s="1006"/>
      <c r="AH100" s="977"/>
      <c r="AI100" s="978"/>
      <c r="AJ100" s="977"/>
      <c r="AK100" s="978"/>
      <c r="AL100" s="971">
        <v>48</v>
      </c>
      <c r="AM100" s="971">
        <f t="shared" si="3"/>
        <v>1300.32</v>
      </c>
      <c r="AN100" s="989"/>
      <c r="AO100" s="987">
        <v>67</v>
      </c>
      <c r="AP100" s="982" t="s">
        <v>52</v>
      </c>
      <c r="AQ100" s="980" t="s">
        <v>331</v>
      </c>
      <c r="AR100" s="981">
        <v>45660</v>
      </c>
      <c r="AS100" s="982" t="s">
        <v>332</v>
      </c>
      <c r="AT100" s="984">
        <v>45674</v>
      </c>
      <c r="AU100" s="983" t="s">
        <v>333</v>
      </c>
      <c r="AV100" s="984" t="s">
        <v>59</v>
      </c>
      <c r="AW100" s="982" t="s">
        <v>60</v>
      </c>
      <c r="AX100" s="985"/>
      <c r="AY100" s="860"/>
      <c r="AZ100" s="897"/>
    </row>
    <row r="101" ht="127.5" customHeight="1" spans="1:52">
      <c r="A101" s="960">
        <v>8</v>
      </c>
      <c r="B101" s="961">
        <v>5401101000</v>
      </c>
      <c r="C101" s="961">
        <v>540239</v>
      </c>
      <c r="D101" s="960" t="s">
        <v>353</v>
      </c>
      <c r="E101" s="960" t="s">
        <v>358</v>
      </c>
      <c r="F101" s="962" t="s">
        <v>359</v>
      </c>
      <c r="G101" s="986"/>
      <c r="H101" s="802"/>
      <c r="I101" s="964" t="s">
        <v>123</v>
      </c>
      <c r="J101" s="994">
        <v>1.6</v>
      </c>
      <c r="K101" s="987">
        <v>10</v>
      </c>
      <c r="L101" s="982" t="s">
        <v>52</v>
      </c>
      <c r="M101" s="993"/>
      <c r="N101" s="1001"/>
      <c r="O101" s="987"/>
      <c r="P101" s="969">
        <v>62.5</v>
      </c>
      <c r="Q101" s="970">
        <f t="shared" si="0"/>
        <v>100</v>
      </c>
      <c r="R101" s="989"/>
      <c r="S101" s="936"/>
      <c r="T101" s="988">
        <v>1.6</v>
      </c>
      <c r="U101" s="936"/>
      <c r="V101" s="971">
        <v>1.6</v>
      </c>
      <c r="W101" s="1007"/>
      <c r="X101" s="1003"/>
      <c r="Y101" s="1007"/>
      <c r="Z101" s="1004">
        <v>10</v>
      </c>
      <c r="AA101" s="936"/>
      <c r="AB101" s="936"/>
      <c r="AC101" s="936"/>
      <c r="AD101" s="1008"/>
      <c r="AE101" s="1009"/>
      <c r="AF101" s="976"/>
      <c r="AG101" s="1006"/>
      <c r="AH101" s="977"/>
      <c r="AI101" s="978"/>
      <c r="AJ101" s="977"/>
      <c r="AK101" s="978"/>
      <c r="AL101" s="971">
        <f t="shared" ref="AL101:AL105" si="4">P101*1.02</f>
        <v>63.75</v>
      </c>
      <c r="AM101" s="971">
        <f t="shared" si="3"/>
        <v>102</v>
      </c>
      <c r="AN101" s="989"/>
      <c r="AO101" s="987">
        <v>10</v>
      </c>
      <c r="AP101" s="982" t="s">
        <v>52</v>
      </c>
      <c r="AQ101" s="980" t="s">
        <v>331</v>
      </c>
      <c r="AR101" s="981">
        <v>45660</v>
      </c>
      <c r="AS101" s="982" t="s">
        <v>332</v>
      </c>
      <c r="AT101" s="984">
        <v>45674</v>
      </c>
      <c r="AU101" s="983" t="s">
        <v>333</v>
      </c>
      <c r="AV101" s="984" t="s">
        <v>59</v>
      </c>
      <c r="AW101" s="982" t="s">
        <v>60</v>
      </c>
      <c r="AX101" s="985"/>
      <c r="AY101" s="860"/>
      <c r="AZ101" s="897"/>
    </row>
    <row r="102" ht="127.5" customHeight="1" spans="1:52">
      <c r="A102" s="960">
        <v>9</v>
      </c>
      <c r="B102" s="961">
        <v>5401101000</v>
      </c>
      <c r="C102" s="961">
        <v>540239</v>
      </c>
      <c r="D102" s="960" t="s">
        <v>353</v>
      </c>
      <c r="E102" s="960" t="s">
        <v>360</v>
      </c>
      <c r="F102" s="962" t="s">
        <v>361</v>
      </c>
      <c r="G102" s="986"/>
      <c r="H102" s="802"/>
      <c r="I102" s="964" t="s">
        <v>123</v>
      </c>
      <c r="J102" s="994">
        <v>21.6</v>
      </c>
      <c r="K102" s="987">
        <v>135</v>
      </c>
      <c r="L102" s="982" t="s">
        <v>52</v>
      </c>
      <c r="M102" s="993"/>
      <c r="N102" s="1001"/>
      <c r="O102" s="987"/>
      <c r="P102" s="969">
        <v>62.5</v>
      </c>
      <c r="Q102" s="970">
        <f t="shared" si="0"/>
        <v>1350</v>
      </c>
      <c r="R102" s="989"/>
      <c r="S102" s="936"/>
      <c r="T102" s="988">
        <v>21.6</v>
      </c>
      <c r="U102" s="936"/>
      <c r="V102" s="971">
        <v>21.6</v>
      </c>
      <c r="W102" s="1010"/>
      <c r="X102" s="1003"/>
      <c r="Y102" s="1010"/>
      <c r="Z102" s="1004">
        <v>135</v>
      </c>
      <c r="AA102" s="936"/>
      <c r="AB102" s="936"/>
      <c r="AC102" s="936"/>
      <c r="AD102" s="1011"/>
      <c r="AE102" s="1012"/>
      <c r="AF102" s="976"/>
      <c r="AG102" s="1006"/>
      <c r="AH102" s="977"/>
      <c r="AI102" s="978"/>
      <c r="AJ102" s="977"/>
      <c r="AK102" s="978"/>
      <c r="AL102" s="971">
        <f t="shared" si="4"/>
        <v>63.75</v>
      </c>
      <c r="AM102" s="971">
        <f t="shared" si="3"/>
        <v>1377</v>
      </c>
      <c r="AN102" s="989"/>
      <c r="AO102" s="987">
        <v>135</v>
      </c>
      <c r="AP102" s="982" t="s">
        <v>52</v>
      </c>
      <c r="AQ102" s="980" t="s">
        <v>331</v>
      </c>
      <c r="AR102" s="981">
        <v>45660</v>
      </c>
      <c r="AS102" s="982" t="s">
        <v>332</v>
      </c>
      <c r="AT102" s="984">
        <v>45674</v>
      </c>
      <c r="AU102" s="983" t="s">
        <v>333</v>
      </c>
      <c r="AV102" s="984" t="s">
        <v>59</v>
      </c>
      <c r="AW102" s="982" t="s">
        <v>60</v>
      </c>
      <c r="AX102" s="985"/>
      <c r="AY102" s="860"/>
      <c r="AZ102" s="897"/>
    </row>
    <row r="103" ht="127.5" customHeight="1" spans="1:52">
      <c r="A103" s="960">
        <v>10</v>
      </c>
      <c r="B103" s="961">
        <v>5808100090</v>
      </c>
      <c r="C103" s="961">
        <v>580890</v>
      </c>
      <c r="D103" s="960" t="s">
        <v>362</v>
      </c>
      <c r="E103" s="960" t="s">
        <v>354</v>
      </c>
      <c r="F103" s="962" t="s">
        <v>355</v>
      </c>
      <c r="G103" s="986"/>
      <c r="H103" s="802"/>
      <c r="I103" s="964" t="s">
        <v>123</v>
      </c>
      <c r="J103" s="994">
        <v>27.19</v>
      </c>
      <c r="K103" s="987">
        <v>67</v>
      </c>
      <c r="L103" s="982" t="s">
        <v>52</v>
      </c>
      <c r="M103" s="993"/>
      <c r="N103" s="1001"/>
      <c r="O103" s="987"/>
      <c r="P103" s="969">
        <v>47</v>
      </c>
      <c r="Q103" s="970">
        <f t="shared" si="0"/>
        <v>1277.93</v>
      </c>
      <c r="R103" s="989"/>
      <c r="S103" s="936"/>
      <c r="T103" s="988">
        <v>28.56</v>
      </c>
      <c r="U103" s="936"/>
      <c r="V103" s="971">
        <v>27.19</v>
      </c>
      <c r="W103" s="1013">
        <v>8</v>
      </c>
      <c r="X103" s="1013">
        <v>113</v>
      </c>
      <c r="Y103" s="1002">
        <v>1</v>
      </c>
      <c r="Z103" s="1004">
        <v>67</v>
      </c>
      <c r="AA103" s="936"/>
      <c r="AB103" s="936"/>
      <c r="AC103" s="936"/>
      <c r="AD103" s="1005">
        <f>AA103*AB103*AC103/28316.75*0.0283</f>
        <v>0</v>
      </c>
      <c r="AE103" s="1000">
        <v>0.14</v>
      </c>
      <c r="AF103" s="1014"/>
      <c r="AG103" s="1006"/>
      <c r="AH103" s="977"/>
      <c r="AI103" s="978"/>
      <c r="AJ103" s="977"/>
      <c r="AK103" s="978"/>
      <c r="AL103" s="971">
        <v>48</v>
      </c>
      <c r="AM103" s="971">
        <f t="shared" si="3"/>
        <v>1305.12</v>
      </c>
      <c r="AN103" s="989"/>
      <c r="AO103" s="987">
        <v>67</v>
      </c>
      <c r="AP103" s="982" t="s">
        <v>52</v>
      </c>
      <c r="AQ103" s="980" t="s">
        <v>331</v>
      </c>
      <c r="AR103" s="981">
        <v>45660</v>
      </c>
      <c r="AS103" s="982" t="s">
        <v>332</v>
      </c>
      <c r="AT103" s="984">
        <v>45674</v>
      </c>
      <c r="AU103" s="983" t="s">
        <v>333</v>
      </c>
      <c r="AV103" s="984" t="s">
        <v>59</v>
      </c>
      <c r="AW103" s="982" t="s">
        <v>60</v>
      </c>
      <c r="AX103" s="985"/>
      <c r="AY103" s="860"/>
      <c r="AZ103" s="897"/>
    </row>
    <row r="104" ht="127.5" customHeight="1" spans="1:52">
      <c r="A104" s="960">
        <v>11</v>
      </c>
      <c r="B104" s="961">
        <v>5401101000</v>
      </c>
      <c r="C104" s="961">
        <v>540239</v>
      </c>
      <c r="D104" s="960" t="s">
        <v>362</v>
      </c>
      <c r="E104" s="960" t="s">
        <v>360</v>
      </c>
      <c r="F104" s="962" t="s">
        <v>361</v>
      </c>
      <c r="G104" s="986"/>
      <c r="H104" s="802"/>
      <c r="I104" s="964" t="s">
        <v>123</v>
      </c>
      <c r="J104" s="994">
        <v>23.36</v>
      </c>
      <c r="K104" s="987">
        <v>146</v>
      </c>
      <c r="L104" s="982" t="s">
        <v>52</v>
      </c>
      <c r="M104" s="993"/>
      <c r="N104" s="1001"/>
      <c r="O104" s="987"/>
      <c r="P104" s="969">
        <v>62.5</v>
      </c>
      <c r="Q104" s="970">
        <f t="shared" si="0"/>
        <v>1460</v>
      </c>
      <c r="R104" s="989"/>
      <c r="S104" s="936"/>
      <c r="T104" s="988">
        <v>23.36</v>
      </c>
      <c r="U104" s="936"/>
      <c r="V104" s="971">
        <v>23.36</v>
      </c>
      <c r="W104" s="1013"/>
      <c r="X104" s="1013"/>
      <c r="Y104" s="1007"/>
      <c r="Z104" s="1004">
        <v>146</v>
      </c>
      <c r="AA104" s="936"/>
      <c r="AB104" s="936"/>
      <c r="AC104" s="936"/>
      <c r="AD104" s="1008"/>
      <c r="AE104" s="1009"/>
      <c r="AF104" s="1014"/>
      <c r="AG104" s="1006"/>
      <c r="AH104" s="977"/>
      <c r="AI104" s="978"/>
      <c r="AJ104" s="977"/>
      <c r="AK104" s="978"/>
      <c r="AL104" s="971">
        <f t="shared" si="4"/>
        <v>63.75</v>
      </c>
      <c r="AM104" s="971">
        <f t="shared" si="3"/>
        <v>1489.2</v>
      </c>
      <c r="AN104" s="989"/>
      <c r="AO104" s="987">
        <v>146</v>
      </c>
      <c r="AP104" s="982" t="s">
        <v>52</v>
      </c>
      <c r="AQ104" s="980" t="s">
        <v>331</v>
      </c>
      <c r="AR104" s="981">
        <v>45660</v>
      </c>
      <c r="AS104" s="982" t="s">
        <v>332</v>
      </c>
      <c r="AT104" s="984">
        <v>45674</v>
      </c>
      <c r="AU104" s="983" t="s">
        <v>333</v>
      </c>
      <c r="AV104" s="984" t="s">
        <v>59</v>
      </c>
      <c r="AW104" s="982" t="s">
        <v>60</v>
      </c>
      <c r="AX104" s="985"/>
      <c r="AY104" s="860"/>
      <c r="AZ104" s="897"/>
    </row>
    <row r="105" ht="127.5" customHeight="1" spans="1:52">
      <c r="A105" s="960">
        <v>12</v>
      </c>
      <c r="B105" s="961">
        <v>5401101000</v>
      </c>
      <c r="C105" s="961">
        <v>540239</v>
      </c>
      <c r="D105" s="960" t="s">
        <v>362</v>
      </c>
      <c r="E105" s="960" t="s">
        <v>363</v>
      </c>
      <c r="F105" s="962" t="s">
        <v>364</v>
      </c>
      <c r="G105" s="986"/>
      <c r="H105" s="802"/>
      <c r="I105" s="964" t="s">
        <v>123</v>
      </c>
      <c r="J105" s="994">
        <v>1.6</v>
      </c>
      <c r="K105" s="987">
        <v>10</v>
      </c>
      <c r="L105" s="982" t="s">
        <v>52</v>
      </c>
      <c r="M105" s="993"/>
      <c r="N105" s="1001"/>
      <c r="O105" s="987"/>
      <c r="P105" s="969">
        <v>62.5</v>
      </c>
      <c r="Q105" s="970">
        <f t="shared" si="0"/>
        <v>100</v>
      </c>
      <c r="R105" s="989"/>
      <c r="S105" s="936"/>
      <c r="T105" s="988">
        <v>1.6</v>
      </c>
      <c r="U105" s="936"/>
      <c r="V105" s="971">
        <v>1.6</v>
      </c>
      <c r="W105" s="1013"/>
      <c r="X105" s="1013"/>
      <c r="Y105" s="1010"/>
      <c r="Z105" s="1004">
        <v>10</v>
      </c>
      <c r="AA105" s="936"/>
      <c r="AB105" s="936"/>
      <c r="AC105" s="936"/>
      <c r="AD105" s="1011"/>
      <c r="AE105" s="1012"/>
      <c r="AF105" s="1014"/>
      <c r="AG105" s="1006"/>
      <c r="AH105" s="977"/>
      <c r="AI105" s="978"/>
      <c r="AJ105" s="977"/>
      <c r="AK105" s="978"/>
      <c r="AL105" s="971">
        <f t="shared" si="4"/>
        <v>63.75</v>
      </c>
      <c r="AM105" s="971">
        <f t="shared" si="3"/>
        <v>102</v>
      </c>
      <c r="AN105" s="989"/>
      <c r="AO105" s="987">
        <v>10</v>
      </c>
      <c r="AP105" s="982" t="s">
        <v>52</v>
      </c>
      <c r="AQ105" s="980" t="s">
        <v>331</v>
      </c>
      <c r="AR105" s="981">
        <v>45660</v>
      </c>
      <c r="AS105" s="982" t="s">
        <v>332</v>
      </c>
      <c r="AT105" s="984">
        <v>45674</v>
      </c>
      <c r="AU105" s="983" t="s">
        <v>333</v>
      </c>
      <c r="AV105" s="984" t="s">
        <v>59</v>
      </c>
      <c r="AW105" s="982" t="s">
        <v>60</v>
      </c>
      <c r="AX105" s="985"/>
      <c r="AY105" s="860"/>
      <c r="AZ105" s="897"/>
    </row>
    <row r="106" ht="127.5" customHeight="1" spans="1:52">
      <c r="A106" s="960">
        <v>13</v>
      </c>
      <c r="B106" s="961">
        <v>5808100090</v>
      </c>
      <c r="C106" s="961">
        <v>580890</v>
      </c>
      <c r="D106" s="960" t="s">
        <v>365</v>
      </c>
      <c r="E106" s="960" t="s">
        <v>354</v>
      </c>
      <c r="F106" s="962" t="s">
        <v>355</v>
      </c>
      <c r="G106" s="986"/>
      <c r="H106" s="802"/>
      <c r="I106" s="964" t="s">
        <v>123</v>
      </c>
      <c r="J106" s="994">
        <v>27.19</v>
      </c>
      <c r="K106" s="987">
        <v>67</v>
      </c>
      <c r="L106" s="982" t="s">
        <v>52</v>
      </c>
      <c r="M106" s="993"/>
      <c r="N106" s="1001"/>
      <c r="O106" s="987"/>
      <c r="P106" s="969">
        <v>47</v>
      </c>
      <c r="Q106" s="970">
        <f t="shared" si="0"/>
        <v>1277.93</v>
      </c>
      <c r="R106" s="989"/>
      <c r="S106" s="936"/>
      <c r="T106" s="988">
        <v>28.56</v>
      </c>
      <c r="U106" s="936"/>
      <c r="V106" s="971">
        <v>27.19</v>
      </c>
      <c r="W106" s="1015">
        <v>6</v>
      </c>
      <c r="X106" s="1003" t="s">
        <v>366</v>
      </c>
      <c r="Y106" s="1002">
        <v>1</v>
      </c>
      <c r="Z106" s="1004">
        <v>67</v>
      </c>
      <c r="AA106" s="936"/>
      <c r="AB106" s="936"/>
      <c r="AC106" s="936"/>
      <c r="AD106" s="1005">
        <f t="shared" ref="AD106:AD118" si="5">AA106*AB106*AC106/28316.75*0.0283</f>
        <v>0</v>
      </c>
      <c r="AE106" s="1000">
        <v>0.14</v>
      </c>
      <c r="AF106" s="1014"/>
      <c r="AG106" s="1006"/>
      <c r="AH106" s="977"/>
      <c r="AI106" s="978"/>
      <c r="AJ106" s="977"/>
      <c r="AK106" s="978"/>
      <c r="AL106" s="971">
        <v>48</v>
      </c>
      <c r="AM106" s="971">
        <f t="shared" si="3"/>
        <v>1305.12</v>
      </c>
      <c r="AN106" s="989"/>
      <c r="AO106" s="987">
        <v>67</v>
      </c>
      <c r="AP106" s="982" t="s">
        <v>52</v>
      </c>
      <c r="AQ106" s="980" t="s">
        <v>331</v>
      </c>
      <c r="AR106" s="981">
        <v>45660</v>
      </c>
      <c r="AS106" s="982" t="s">
        <v>332</v>
      </c>
      <c r="AT106" s="984">
        <v>45674</v>
      </c>
      <c r="AU106" s="983" t="s">
        <v>333</v>
      </c>
      <c r="AV106" s="984" t="s">
        <v>59</v>
      </c>
      <c r="AW106" s="982" t="s">
        <v>60</v>
      </c>
      <c r="AX106" s="985"/>
      <c r="AY106" s="860"/>
      <c r="AZ106" s="897"/>
    </row>
    <row r="107" ht="127.5" customHeight="1" spans="1:52">
      <c r="A107" s="960">
        <v>14</v>
      </c>
      <c r="B107" s="961">
        <v>5401101000</v>
      </c>
      <c r="C107" s="961">
        <v>540239</v>
      </c>
      <c r="D107" s="960" t="s">
        <v>365</v>
      </c>
      <c r="E107" s="960" t="s">
        <v>360</v>
      </c>
      <c r="F107" s="962" t="s">
        <v>361</v>
      </c>
      <c r="G107" s="986"/>
      <c r="H107" s="802"/>
      <c r="I107" s="964" t="s">
        <v>123</v>
      </c>
      <c r="J107" s="994">
        <v>14.08</v>
      </c>
      <c r="K107" s="987">
        <v>88</v>
      </c>
      <c r="L107" s="982" t="s">
        <v>52</v>
      </c>
      <c r="M107" s="993"/>
      <c r="N107" s="1001"/>
      <c r="O107" s="987"/>
      <c r="P107" s="969">
        <v>62.5</v>
      </c>
      <c r="Q107" s="970">
        <f t="shared" si="0"/>
        <v>880</v>
      </c>
      <c r="R107" s="989"/>
      <c r="S107" s="936"/>
      <c r="T107" s="988">
        <v>14.08</v>
      </c>
      <c r="U107" s="936"/>
      <c r="V107" s="971">
        <v>14.08</v>
      </c>
      <c r="W107" s="1015"/>
      <c r="X107" s="1003"/>
      <c r="Y107" s="1007"/>
      <c r="Z107" s="1004">
        <v>88</v>
      </c>
      <c r="AA107" s="936"/>
      <c r="AB107" s="936"/>
      <c r="AC107" s="936"/>
      <c r="AD107" s="1008"/>
      <c r="AE107" s="1009"/>
      <c r="AF107" s="1014"/>
      <c r="AG107" s="1006"/>
      <c r="AH107" s="977"/>
      <c r="AI107" s="978"/>
      <c r="AJ107" s="977"/>
      <c r="AK107" s="978"/>
      <c r="AL107" s="971">
        <f>P107*1.02</f>
        <v>63.75</v>
      </c>
      <c r="AM107" s="971">
        <f t="shared" si="3"/>
        <v>897.6</v>
      </c>
      <c r="AN107" s="989"/>
      <c r="AO107" s="987">
        <v>88</v>
      </c>
      <c r="AP107" s="982" t="s">
        <v>52</v>
      </c>
      <c r="AQ107" s="980" t="s">
        <v>331</v>
      </c>
      <c r="AR107" s="981">
        <v>45660</v>
      </c>
      <c r="AS107" s="982" t="s">
        <v>332</v>
      </c>
      <c r="AT107" s="984">
        <v>45674</v>
      </c>
      <c r="AU107" s="983" t="s">
        <v>333</v>
      </c>
      <c r="AV107" s="984" t="s">
        <v>59</v>
      </c>
      <c r="AW107" s="982" t="s">
        <v>60</v>
      </c>
      <c r="AX107" s="985"/>
      <c r="AY107" s="860"/>
      <c r="AZ107" s="897"/>
    </row>
    <row r="108" ht="127.5" customHeight="1" spans="1:52">
      <c r="A108" s="960">
        <v>15</v>
      </c>
      <c r="B108" s="961">
        <v>5401101000</v>
      </c>
      <c r="C108" s="961">
        <v>540239</v>
      </c>
      <c r="D108" s="960" t="s">
        <v>365</v>
      </c>
      <c r="E108" s="960" t="s">
        <v>367</v>
      </c>
      <c r="F108" s="962" t="s">
        <v>359</v>
      </c>
      <c r="G108" s="986"/>
      <c r="H108" s="802"/>
      <c r="I108" s="964" t="s">
        <v>123</v>
      </c>
      <c r="J108" s="994">
        <v>1.6</v>
      </c>
      <c r="K108" s="987">
        <v>10</v>
      </c>
      <c r="L108" s="982" t="s">
        <v>52</v>
      </c>
      <c r="M108" s="987"/>
      <c r="N108" s="1001"/>
      <c r="O108" s="987"/>
      <c r="P108" s="969">
        <v>62.5</v>
      </c>
      <c r="Q108" s="970">
        <f t="shared" si="0"/>
        <v>100</v>
      </c>
      <c r="R108" s="988"/>
      <c r="S108" s="936"/>
      <c r="T108" s="988">
        <v>1.6</v>
      </c>
      <c r="U108" s="936"/>
      <c r="V108" s="971">
        <v>1.6</v>
      </c>
      <c r="W108" s="1015"/>
      <c r="X108" s="1003"/>
      <c r="Y108" s="1010"/>
      <c r="Z108" s="1004">
        <v>10</v>
      </c>
      <c r="AA108" s="936"/>
      <c r="AB108" s="936"/>
      <c r="AC108" s="936"/>
      <c r="AD108" s="1011"/>
      <c r="AE108" s="1012"/>
      <c r="AF108" s="1014"/>
      <c r="AG108" s="1006"/>
      <c r="AH108" s="992"/>
      <c r="AI108" s="1016"/>
      <c r="AJ108" s="992"/>
      <c r="AK108" s="1016"/>
      <c r="AL108" s="971">
        <f>P108*1.02</f>
        <v>63.75</v>
      </c>
      <c r="AM108" s="971">
        <f t="shared" si="3"/>
        <v>102</v>
      </c>
      <c r="AN108" s="988"/>
      <c r="AO108" s="987">
        <v>10</v>
      </c>
      <c r="AP108" s="982" t="s">
        <v>52</v>
      </c>
      <c r="AQ108" s="980" t="s">
        <v>331</v>
      </c>
      <c r="AR108" s="981">
        <v>45660</v>
      </c>
      <c r="AS108" s="982" t="s">
        <v>332</v>
      </c>
      <c r="AT108" s="984">
        <v>45674</v>
      </c>
      <c r="AU108" s="983" t="s">
        <v>333</v>
      </c>
      <c r="AV108" s="984" t="s">
        <v>59</v>
      </c>
      <c r="AW108" s="982" t="s">
        <v>60</v>
      </c>
      <c r="AX108" s="985"/>
      <c r="AY108" s="860"/>
      <c r="AZ108" s="897"/>
    </row>
    <row r="109" ht="127.5" customHeight="1" spans="1:52">
      <c r="A109" s="432"/>
      <c r="B109" s="1017"/>
      <c r="C109" s="1017"/>
      <c r="D109" s="375"/>
      <c r="E109" s="375"/>
      <c r="F109" s="375"/>
      <c r="G109" s="1018"/>
      <c r="H109" s="820"/>
      <c r="I109" s="1019"/>
      <c r="J109" s="1020"/>
      <c r="K109" s="1021"/>
      <c r="L109" s="1022"/>
      <c r="M109" s="1021"/>
      <c r="N109" s="1023"/>
      <c r="O109" s="1021"/>
      <c r="P109" s="1024"/>
      <c r="Q109" s="1020">
        <f t="shared" ref="Q109:T109" si="6">SUM(Q94:Q108)</f>
        <v>15104.7</v>
      </c>
      <c r="R109" s="1020">
        <f t="shared" si="6"/>
        <v>15104.7</v>
      </c>
      <c r="S109" s="956"/>
      <c r="T109" s="1020">
        <f t="shared" si="6"/>
        <v>246.93</v>
      </c>
      <c r="U109" s="956"/>
      <c r="V109" s="1020">
        <v>237.57</v>
      </c>
      <c r="W109" s="1025"/>
      <c r="X109" s="1021"/>
      <c r="Y109" s="1020">
        <f>SUM(Y94:Y108)</f>
        <v>14</v>
      </c>
      <c r="Z109" s="1021"/>
      <c r="AA109" s="956"/>
      <c r="AB109" s="956"/>
      <c r="AC109" s="956"/>
      <c r="AD109" s="1026"/>
      <c r="AE109" s="1020">
        <f>SUM(AE94:AE108)</f>
        <v>0.9</v>
      </c>
      <c r="AF109" s="1021"/>
      <c r="AG109" s="1021"/>
      <c r="AH109" s="1022"/>
      <c r="AI109" s="1023"/>
      <c r="AJ109" s="1021"/>
      <c r="AK109" s="1023"/>
      <c r="AL109" s="1020"/>
      <c r="AM109" s="1020">
        <f>SUM(AM94:AM108)</f>
        <v>15414.22</v>
      </c>
      <c r="AN109" s="1020">
        <f>SUM(AN94)</f>
        <v>15414.22</v>
      </c>
      <c r="AO109" s="1021"/>
      <c r="AP109" s="1022"/>
      <c r="AQ109" s="1027"/>
      <c r="AR109" s="1028"/>
      <c r="AS109" s="1029"/>
      <c r="AT109" s="1030"/>
      <c r="AU109" s="1031"/>
      <c r="AV109" s="1029"/>
      <c r="AW109" s="1029"/>
      <c r="AX109" s="985"/>
      <c r="AY109" s="860"/>
      <c r="AZ109" s="897"/>
    </row>
    <row r="110" ht="127.5" customHeight="1" spans="1:52">
      <c r="A110" s="960">
        <v>16</v>
      </c>
      <c r="B110" s="961">
        <v>9503009000</v>
      </c>
      <c r="C110" s="961">
        <v>392690</v>
      </c>
      <c r="D110" s="960" t="s">
        <v>368</v>
      </c>
      <c r="E110" s="962" t="s">
        <v>252</v>
      </c>
      <c r="F110" s="960" t="s">
        <v>369</v>
      </c>
      <c r="G110" s="963"/>
      <c r="H110" s="802"/>
      <c r="I110" s="964" t="s">
        <v>123</v>
      </c>
      <c r="J110" s="965">
        <v>290.5</v>
      </c>
      <c r="K110" s="960">
        <v>5000</v>
      </c>
      <c r="L110" s="966" t="s">
        <v>254</v>
      </c>
      <c r="M110" s="1032" t="s">
        <v>255</v>
      </c>
      <c r="N110" s="1033"/>
      <c r="O110" s="1032"/>
      <c r="P110" s="969">
        <v>40.42</v>
      </c>
      <c r="Q110" s="970">
        <f t="shared" ref="Q110:Q123" si="7">P110*J110</f>
        <v>11742.01</v>
      </c>
      <c r="R110" s="979">
        <f>SUM(Q110:Q116)</f>
        <v>58800.1</v>
      </c>
      <c r="S110" s="936"/>
      <c r="T110" s="971">
        <f>401.83-10</f>
        <v>391.83</v>
      </c>
      <c r="U110" s="936"/>
      <c r="V110" s="971">
        <v>290.5</v>
      </c>
      <c r="W110" s="991" t="s">
        <v>370</v>
      </c>
      <c r="X110" s="961" t="s">
        <v>371</v>
      </c>
      <c r="Y110" s="990">
        <v>63</v>
      </c>
      <c r="Z110" s="990" t="s">
        <v>372</v>
      </c>
      <c r="AA110" s="936"/>
      <c r="AB110" s="936"/>
      <c r="AC110" s="936"/>
      <c r="AD110" s="974">
        <f t="shared" si="5"/>
        <v>0</v>
      </c>
      <c r="AE110" s="975">
        <v>5.41</v>
      </c>
      <c r="AF110" s="1034"/>
      <c r="AG110" s="961" t="s">
        <v>328</v>
      </c>
      <c r="AH110" s="1035" t="s">
        <v>373</v>
      </c>
      <c r="AI110" s="1036">
        <v>45631</v>
      </c>
      <c r="AJ110" s="1035" t="s">
        <v>374</v>
      </c>
      <c r="AK110" s="1036">
        <v>45631</v>
      </c>
      <c r="AL110" s="971">
        <f t="shared" ref="AL110:AL123" si="8">P110</f>
        <v>40.42</v>
      </c>
      <c r="AM110" s="971">
        <f t="shared" ref="AM110:AM123" si="9">AL110*J110</f>
        <v>11742.01</v>
      </c>
      <c r="AN110" s="979">
        <f>SUM(AM110:AM123)</f>
        <v>63865.1</v>
      </c>
      <c r="AO110" s="960">
        <v>5000</v>
      </c>
      <c r="AP110" s="966" t="s">
        <v>254</v>
      </c>
      <c r="AQ110" s="980" t="s">
        <v>331</v>
      </c>
      <c r="AR110" s="981">
        <v>45660</v>
      </c>
      <c r="AS110" s="982" t="s">
        <v>332</v>
      </c>
      <c r="AT110" s="984">
        <v>45674</v>
      </c>
      <c r="AU110" s="983" t="s">
        <v>333</v>
      </c>
      <c r="AV110" s="984" t="s">
        <v>59</v>
      </c>
      <c r="AW110" s="982" t="s">
        <v>60</v>
      </c>
      <c r="AX110" s="985"/>
      <c r="AY110" s="860"/>
      <c r="AZ110" s="897"/>
    </row>
    <row r="111" ht="127.5" customHeight="1" spans="1:52">
      <c r="A111" s="960">
        <v>17</v>
      </c>
      <c r="B111" s="961">
        <v>9503009000</v>
      </c>
      <c r="C111" s="961">
        <v>392690</v>
      </c>
      <c r="D111" s="960" t="s">
        <v>368</v>
      </c>
      <c r="E111" s="962" t="s">
        <v>260</v>
      </c>
      <c r="F111" s="960" t="s">
        <v>261</v>
      </c>
      <c r="G111" s="963"/>
      <c r="H111" s="802"/>
      <c r="I111" s="964" t="s">
        <v>123</v>
      </c>
      <c r="J111" s="965">
        <v>125</v>
      </c>
      <c r="K111" s="960">
        <v>5000</v>
      </c>
      <c r="L111" s="966" t="s">
        <v>254</v>
      </c>
      <c r="M111" s="993"/>
      <c r="N111" s="1037"/>
      <c r="O111" s="993"/>
      <c r="P111" s="969">
        <v>76.86</v>
      </c>
      <c r="Q111" s="970">
        <f t="shared" si="7"/>
        <v>9607.5</v>
      </c>
      <c r="R111" s="989"/>
      <c r="S111" s="936"/>
      <c r="T111" s="971">
        <f>184.04-10</f>
        <v>174.04</v>
      </c>
      <c r="U111" s="936"/>
      <c r="V111" s="971">
        <v>125</v>
      </c>
      <c r="W111" s="991" t="s">
        <v>375</v>
      </c>
      <c r="X111" s="961" t="s">
        <v>376</v>
      </c>
      <c r="Y111" s="990">
        <v>24</v>
      </c>
      <c r="Z111" s="990" t="s">
        <v>377</v>
      </c>
      <c r="AA111" s="936"/>
      <c r="AB111" s="936"/>
      <c r="AC111" s="936"/>
      <c r="AD111" s="974">
        <f t="shared" si="5"/>
        <v>0</v>
      </c>
      <c r="AE111" s="975">
        <v>2.06</v>
      </c>
      <c r="AF111" s="1034"/>
      <c r="AG111" s="961" t="s">
        <v>328</v>
      </c>
      <c r="AH111" s="977"/>
      <c r="AI111" s="978"/>
      <c r="AJ111" s="977"/>
      <c r="AK111" s="978"/>
      <c r="AL111" s="971">
        <f t="shared" si="8"/>
        <v>76.86</v>
      </c>
      <c r="AM111" s="971">
        <f t="shared" si="9"/>
        <v>9607.5</v>
      </c>
      <c r="AN111" s="989"/>
      <c r="AO111" s="960">
        <v>5000</v>
      </c>
      <c r="AP111" s="966" t="s">
        <v>254</v>
      </c>
      <c r="AQ111" s="980" t="s">
        <v>331</v>
      </c>
      <c r="AR111" s="981">
        <v>45660</v>
      </c>
      <c r="AS111" s="982" t="s">
        <v>332</v>
      </c>
      <c r="AT111" s="984">
        <v>45674</v>
      </c>
      <c r="AU111" s="983" t="s">
        <v>333</v>
      </c>
      <c r="AV111" s="984" t="s">
        <v>59</v>
      </c>
      <c r="AW111" s="982" t="s">
        <v>60</v>
      </c>
      <c r="AX111" s="985"/>
      <c r="AY111" s="860"/>
      <c r="AZ111" s="897"/>
    </row>
    <row r="112" ht="127.5" customHeight="1" spans="1:52">
      <c r="A112" s="960">
        <v>18</v>
      </c>
      <c r="B112" s="961">
        <v>9503009000</v>
      </c>
      <c r="C112" s="961">
        <v>392690</v>
      </c>
      <c r="D112" s="960" t="s">
        <v>368</v>
      </c>
      <c r="E112" s="962" t="s">
        <v>264</v>
      </c>
      <c r="F112" s="960" t="s">
        <v>265</v>
      </c>
      <c r="G112" s="963"/>
      <c r="H112" s="802"/>
      <c r="I112" s="964" t="s">
        <v>123</v>
      </c>
      <c r="J112" s="965">
        <v>188.6</v>
      </c>
      <c r="K112" s="960">
        <v>5000</v>
      </c>
      <c r="L112" s="966" t="s">
        <v>254</v>
      </c>
      <c r="M112" s="993"/>
      <c r="N112" s="1037"/>
      <c r="O112" s="993"/>
      <c r="P112" s="969">
        <v>56.8</v>
      </c>
      <c r="Q112" s="970">
        <f t="shared" si="7"/>
        <v>10712.48</v>
      </c>
      <c r="R112" s="989"/>
      <c r="S112" s="936"/>
      <c r="T112" s="971">
        <f>277.66-10</f>
        <v>267.66</v>
      </c>
      <c r="U112" s="936"/>
      <c r="V112" s="971">
        <v>188.6</v>
      </c>
      <c r="W112" s="991" t="s">
        <v>378</v>
      </c>
      <c r="X112" s="961" t="s">
        <v>379</v>
      </c>
      <c r="Y112" s="990">
        <v>42</v>
      </c>
      <c r="Z112" s="990" t="s">
        <v>380</v>
      </c>
      <c r="AA112" s="936"/>
      <c r="AB112" s="936"/>
      <c r="AC112" s="936"/>
      <c r="AD112" s="974">
        <f t="shared" si="5"/>
        <v>0</v>
      </c>
      <c r="AE112" s="975">
        <v>3.61</v>
      </c>
      <c r="AF112" s="1034"/>
      <c r="AG112" s="961" t="s">
        <v>328</v>
      </c>
      <c r="AH112" s="977"/>
      <c r="AI112" s="978"/>
      <c r="AJ112" s="977"/>
      <c r="AK112" s="978"/>
      <c r="AL112" s="971">
        <f t="shared" si="8"/>
        <v>56.8</v>
      </c>
      <c r="AM112" s="971">
        <f t="shared" si="9"/>
        <v>10712.48</v>
      </c>
      <c r="AN112" s="989"/>
      <c r="AO112" s="960">
        <v>5000</v>
      </c>
      <c r="AP112" s="966" t="s">
        <v>254</v>
      </c>
      <c r="AQ112" s="980" t="s">
        <v>331</v>
      </c>
      <c r="AR112" s="981">
        <v>45660</v>
      </c>
      <c r="AS112" s="982" t="s">
        <v>332</v>
      </c>
      <c r="AT112" s="984">
        <v>45674</v>
      </c>
      <c r="AU112" s="983" t="s">
        <v>333</v>
      </c>
      <c r="AV112" s="984" t="s">
        <v>59</v>
      </c>
      <c r="AW112" s="982" t="s">
        <v>60</v>
      </c>
      <c r="AX112" s="985"/>
      <c r="AY112" s="860"/>
      <c r="AZ112" s="897"/>
    </row>
    <row r="113" ht="127.5" customHeight="1" spans="1:52">
      <c r="A113" s="960">
        <v>19</v>
      </c>
      <c r="B113" s="961">
        <v>9503009000</v>
      </c>
      <c r="C113" s="961">
        <v>392690</v>
      </c>
      <c r="D113" s="960" t="s">
        <v>368</v>
      </c>
      <c r="E113" s="962" t="s">
        <v>381</v>
      </c>
      <c r="F113" s="960" t="s">
        <v>382</v>
      </c>
      <c r="G113" s="963"/>
      <c r="H113" s="802"/>
      <c r="I113" s="964" t="s">
        <v>123</v>
      </c>
      <c r="J113" s="965">
        <v>83.6</v>
      </c>
      <c r="K113" s="960">
        <v>5000</v>
      </c>
      <c r="L113" s="966" t="s">
        <v>254</v>
      </c>
      <c r="M113" s="993"/>
      <c r="N113" s="1037"/>
      <c r="O113" s="993"/>
      <c r="P113" s="969">
        <v>95.15</v>
      </c>
      <c r="Q113" s="970">
        <f t="shared" si="7"/>
        <v>7954.54</v>
      </c>
      <c r="R113" s="989"/>
      <c r="S113" s="936"/>
      <c r="T113" s="971">
        <v>108.02</v>
      </c>
      <c r="U113" s="936"/>
      <c r="V113" s="971">
        <v>83.6</v>
      </c>
      <c r="W113" s="991" t="s">
        <v>383</v>
      </c>
      <c r="X113" s="961" t="s">
        <v>384</v>
      </c>
      <c r="Y113" s="990">
        <v>14</v>
      </c>
      <c r="Z113" s="990" t="s">
        <v>385</v>
      </c>
      <c r="AA113" s="936"/>
      <c r="AB113" s="936"/>
      <c r="AC113" s="936"/>
      <c r="AD113" s="974">
        <f t="shared" si="5"/>
        <v>0</v>
      </c>
      <c r="AE113" s="975">
        <v>1.2</v>
      </c>
      <c r="AF113" s="1034"/>
      <c r="AG113" s="961" t="s">
        <v>328</v>
      </c>
      <c r="AH113" s="977"/>
      <c r="AI113" s="978"/>
      <c r="AJ113" s="977"/>
      <c r="AK113" s="978"/>
      <c r="AL113" s="971">
        <f t="shared" si="8"/>
        <v>95.15</v>
      </c>
      <c r="AM113" s="971">
        <f t="shared" si="9"/>
        <v>7954.54</v>
      </c>
      <c r="AN113" s="989"/>
      <c r="AO113" s="960">
        <v>5000</v>
      </c>
      <c r="AP113" s="966" t="s">
        <v>254</v>
      </c>
      <c r="AQ113" s="980" t="s">
        <v>331</v>
      </c>
      <c r="AR113" s="981">
        <v>45660</v>
      </c>
      <c r="AS113" s="982" t="s">
        <v>332</v>
      </c>
      <c r="AT113" s="984">
        <v>45674</v>
      </c>
      <c r="AU113" s="983" t="s">
        <v>333</v>
      </c>
      <c r="AV113" s="984" t="s">
        <v>59</v>
      </c>
      <c r="AW113" s="982" t="s">
        <v>60</v>
      </c>
      <c r="AX113" s="985"/>
      <c r="AY113" s="860"/>
      <c r="AZ113" s="897"/>
    </row>
    <row r="114" ht="127.5" customHeight="1" spans="1:52">
      <c r="A114" s="960">
        <v>20</v>
      </c>
      <c r="B114" s="961">
        <v>9503009000</v>
      </c>
      <c r="C114" s="961">
        <v>392690</v>
      </c>
      <c r="D114" s="960" t="s">
        <v>347</v>
      </c>
      <c r="E114" s="962" t="s">
        <v>386</v>
      </c>
      <c r="F114" s="960" t="s">
        <v>387</v>
      </c>
      <c r="G114" s="963"/>
      <c r="H114" s="802"/>
      <c r="I114" s="964" t="s">
        <v>123</v>
      </c>
      <c r="J114" s="965">
        <v>151.5</v>
      </c>
      <c r="K114" s="960">
        <v>5000</v>
      </c>
      <c r="L114" s="966" t="s">
        <v>254</v>
      </c>
      <c r="M114" s="993"/>
      <c r="N114" s="1037"/>
      <c r="O114" s="993"/>
      <c r="P114" s="969">
        <v>74.9</v>
      </c>
      <c r="Q114" s="970">
        <f t="shared" si="7"/>
        <v>11347.35</v>
      </c>
      <c r="R114" s="989"/>
      <c r="S114" s="936"/>
      <c r="T114" s="971">
        <f>211.32-6</f>
        <v>205.32</v>
      </c>
      <c r="U114" s="936"/>
      <c r="V114" s="971">
        <v>151.5</v>
      </c>
      <c r="W114" s="991" t="s">
        <v>388</v>
      </c>
      <c r="X114" s="961" t="s">
        <v>389</v>
      </c>
      <c r="Y114" s="990">
        <v>29</v>
      </c>
      <c r="Z114" s="990" t="s">
        <v>390</v>
      </c>
      <c r="AA114" s="936"/>
      <c r="AB114" s="936"/>
      <c r="AC114" s="936"/>
      <c r="AD114" s="974">
        <f t="shared" si="5"/>
        <v>0</v>
      </c>
      <c r="AE114" s="975">
        <v>2.49</v>
      </c>
      <c r="AF114" s="1038"/>
      <c r="AG114" s="961" t="s">
        <v>328</v>
      </c>
      <c r="AH114" s="977"/>
      <c r="AI114" s="978"/>
      <c r="AJ114" s="977"/>
      <c r="AK114" s="978"/>
      <c r="AL114" s="971">
        <f t="shared" si="8"/>
        <v>74.9</v>
      </c>
      <c r="AM114" s="971">
        <f t="shared" si="9"/>
        <v>11347.35</v>
      </c>
      <c r="AN114" s="989"/>
      <c r="AO114" s="960">
        <v>5000</v>
      </c>
      <c r="AP114" s="966" t="s">
        <v>254</v>
      </c>
      <c r="AQ114" s="980" t="s">
        <v>331</v>
      </c>
      <c r="AR114" s="981">
        <v>45660</v>
      </c>
      <c r="AS114" s="982" t="s">
        <v>332</v>
      </c>
      <c r="AT114" s="984">
        <v>45674</v>
      </c>
      <c r="AU114" s="983" t="s">
        <v>333</v>
      </c>
      <c r="AV114" s="984" t="s">
        <v>59</v>
      </c>
      <c r="AW114" s="982" t="s">
        <v>60</v>
      </c>
      <c r="AX114" s="985"/>
      <c r="AY114" s="860"/>
      <c r="AZ114" s="897"/>
    </row>
    <row r="115" ht="127.5" customHeight="1" spans="1:52">
      <c r="A115" s="960">
        <v>21</v>
      </c>
      <c r="B115" s="961">
        <v>9503009000</v>
      </c>
      <c r="C115" s="961">
        <v>392690</v>
      </c>
      <c r="D115" s="960" t="s">
        <v>347</v>
      </c>
      <c r="E115" s="962" t="s">
        <v>268</v>
      </c>
      <c r="F115" s="960" t="s">
        <v>269</v>
      </c>
      <c r="G115" s="963"/>
      <c r="H115" s="802"/>
      <c r="I115" s="964" t="s">
        <v>123</v>
      </c>
      <c r="J115" s="965">
        <v>164</v>
      </c>
      <c r="K115" s="960">
        <v>5000</v>
      </c>
      <c r="L115" s="966" t="s">
        <v>254</v>
      </c>
      <c r="M115" s="993"/>
      <c r="N115" s="1037"/>
      <c r="O115" s="993"/>
      <c r="P115" s="969">
        <v>23.71</v>
      </c>
      <c r="Q115" s="970">
        <f t="shared" si="7"/>
        <v>3888.44</v>
      </c>
      <c r="R115" s="989"/>
      <c r="S115" s="936"/>
      <c r="T115" s="971">
        <v>264.16</v>
      </c>
      <c r="U115" s="936"/>
      <c r="V115" s="971">
        <v>164</v>
      </c>
      <c r="W115" s="972" t="s">
        <v>391</v>
      </c>
      <c r="X115" s="961" t="s">
        <v>392</v>
      </c>
      <c r="Y115" s="973">
        <v>43</v>
      </c>
      <c r="Z115" s="973" t="s">
        <v>393</v>
      </c>
      <c r="AA115" s="936"/>
      <c r="AB115" s="936"/>
      <c r="AC115" s="936"/>
      <c r="AD115" s="974">
        <f t="shared" si="5"/>
        <v>0</v>
      </c>
      <c r="AE115" s="975">
        <v>3.7</v>
      </c>
      <c r="AF115" s="1038"/>
      <c r="AG115" s="961" t="s">
        <v>328</v>
      </c>
      <c r="AH115" s="977"/>
      <c r="AI115" s="978"/>
      <c r="AJ115" s="977"/>
      <c r="AK115" s="978"/>
      <c r="AL115" s="971">
        <f t="shared" si="8"/>
        <v>23.71</v>
      </c>
      <c r="AM115" s="971">
        <f t="shared" si="9"/>
        <v>3888.44</v>
      </c>
      <c r="AN115" s="989"/>
      <c r="AO115" s="960">
        <v>5000</v>
      </c>
      <c r="AP115" s="966" t="s">
        <v>254</v>
      </c>
      <c r="AQ115" s="980" t="s">
        <v>331</v>
      </c>
      <c r="AR115" s="981">
        <v>45660</v>
      </c>
      <c r="AS115" s="982" t="s">
        <v>332</v>
      </c>
      <c r="AT115" s="984">
        <v>45674</v>
      </c>
      <c r="AU115" s="983" t="s">
        <v>333</v>
      </c>
      <c r="AV115" s="984" t="s">
        <v>59</v>
      </c>
      <c r="AW115" s="982" t="s">
        <v>60</v>
      </c>
      <c r="AX115" s="985"/>
      <c r="AY115" s="860"/>
      <c r="AZ115" s="897"/>
    </row>
    <row r="116" ht="127.5" customHeight="1" spans="1:52">
      <c r="A116" s="960">
        <v>22</v>
      </c>
      <c r="B116" s="961">
        <v>9503009000</v>
      </c>
      <c r="C116" s="961">
        <v>392690</v>
      </c>
      <c r="D116" s="960" t="s">
        <v>394</v>
      </c>
      <c r="E116" s="962" t="s">
        <v>395</v>
      </c>
      <c r="F116" s="960" t="s">
        <v>396</v>
      </c>
      <c r="G116" s="963"/>
      <c r="H116" s="802"/>
      <c r="I116" s="964" t="s">
        <v>123</v>
      </c>
      <c r="J116" s="965">
        <v>49.55</v>
      </c>
      <c r="K116" s="987">
        <v>1624</v>
      </c>
      <c r="L116" s="982" t="s">
        <v>254</v>
      </c>
      <c r="M116" s="993"/>
      <c r="N116" s="1001"/>
      <c r="O116" s="987"/>
      <c r="P116" s="969">
        <v>71.6</v>
      </c>
      <c r="Q116" s="970">
        <f t="shared" si="7"/>
        <v>3547.78</v>
      </c>
      <c r="R116" s="988"/>
      <c r="S116" s="936"/>
      <c r="T116" s="988">
        <v>74.03</v>
      </c>
      <c r="U116" s="936"/>
      <c r="V116" s="971">
        <v>49.55</v>
      </c>
      <c r="W116" s="972" t="s">
        <v>397</v>
      </c>
      <c r="X116" s="961" t="s">
        <v>398</v>
      </c>
      <c r="Y116" s="973">
        <v>10</v>
      </c>
      <c r="Z116" s="973" t="s">
        <v>399</v>
      </c>
      <c r="AA116" s="936"/>
      <c r="AB116" s="936"/>
      <c r="AC116" s="936"/>
      <c r="AD116" s="974">
        <f t="shared" si="5"/>
        <v>0</v>
      </c>
      <c r="AE116" s="975">
        <v>0.86</v>
      </c>
      <c r="AF116" s="1034"/>
      <c r="AG116" s="961" t="s">
        <v>328</v>
      </c>
      <c r="AH116" s="977"/>
      <c r="AI116" s="978"/>
      <c r="AJ116" s="977"/>
      <c r="AK116" s="978"/>
      <c r="AL116" s="971">
        <f t="shared" si="8"/>
        <v>71.6</v>
      </c>
      <c r="AM116" s="971">
        <f t="shared" si="9"/>
        <v>3547.78</v>
      </c>
      <c r="AN116" s="989"/>
      <c r="AO116" s="987">
        <v>1624</v>
      </c>
      <c r="AP116" s="982" t="s">
        <v>254</v>
      </c>
      <c r="AQ116" s="980" t="s">
        <v>331</v>
      </c>
      <c r="AR116" s="981">
        <v>45660</v>
      </c>
      <c r="AS116" s="982" t="s">
        <v>332</v>
      </c>
      <c r="AT116" s="984">
        <v>45674</v>
      </c>
      <c r="AU116" s="983" t="s">
        <v>333</v>
      </c>
      <c r="AV116" s="984" t="s">
        <v>59</v>
      </c>
      <c r="AW116" s="982" t="s">
        <v>60</v>
      </c>
      <c r="AX116" s="985"/>
      <c r="AY116" s="860"/>
      <c r="AZ116" s="897"/>
    </row>
    <row r="117" ht="127.5" customHeight="1" spans="1:52">
      <c r="A117" s="960">
        <v>23</v>
      </c>
      <c r="B117" s="961">
        <v>3923900000</v>
      </c>
      <c r="C117" s="961">
        <v>392390</v>
      </c>
      <c r="D117" s="960" t="s">
        <v>323</v>
      </c>
      <c r="E117" s="962" t="s">
        <v>400</v>
      </c>
      <c r="F117" s="960" t="s">
        <v>401</v>
      </c>
      <c r="G117" s="963" t="s">
        <v>402</v>
      </c>
      <c r="H117" s="802"/>
      <c r="I117" s="964" t="s">
        <v>51</v>
      </c>
      <c r="J117" s="965">
        <v>300</v>
      </c>
      <c r="K117" s="960">
        <v>300</v>
      </c>
      <c r="L117" s="966" t="s">
        <v>52</v>
      </c>
      <c r="M117" s="993"/>
      <c r="N117" s="1039"/>
      <c r="O117" s="960"/>
      <c r="P117" s="969">
        <v>0.29</v>
      </c>
      <c r="Q117" s="970">
        <f t="shared" si="7"/>
        <v>87</v>
      </c>
      <c r="R117" s="971">
        <f>SUM(Q117:Q121)</f>
        <v>899</v>
      </c>
      <c r="S117" s="936"/>
      <c r="T117" s="971">
        <v>3.74</v>
      </c>
      <c r="U117" s="936"/>
      <c r="V117" s="971">
        <v>3.03</v>
      </c>
      <c r="W117" s="961">
        <v>8</v>
      </c>
      <c r="X117" s="960">
        <v>226</v>
      </c>
      <c r="Y117" s="961">
        <v>1</v>
      </c>
      <c r="Z117" s="1040">
        <v>300</v>
      </c>
      <c r="AA117" s="936"/>
      <c r="AB117" s="936"/>
      <c r="AC117" s="936"/>
      <c r="AD117" s="974">
        <f t="shared" si="5"/>
        <v>0</v>
      </c>
      <c r="AE117" s="975">
        <v>0.07</v>
      </c>
      <c r="AF117" s="976"/>
      <c r="AG117" s="961" t="s">
        <v>328</v>
      </c>
      <c r="AH117" s="977"/>
      <c r="AI117" s="978"/>
      <c r="AJ117" s="977"/>
      <c r="AK117" s="978"/>
      <c r="AL117" s="971">
        <f t="shared" si="8"/>
        <v>0.29</v>
      </c>
      <c r="AM117" s="971">
        <f t="shared" si="9"/>
        <v>87</v>
      </c>
      <c r="AN117" s="989"/>
      <c r="AO117" s="960">
        <v>300</v>
      </c>
      <c r="AP117" s="966" t="s">
        <v>52</v>
      </c>
      <c r="AQ117" s="980" t="s">
        <v>331</v>
      </c>
      <c r="AR117" s="981">
        <v>45660</v>
      </c>
      <c r="AS117" s="982" t="s">
        <v>332</v>
      </c>
      <c r="AT117" s="984">
        <v>45674</v>
      </c>
      <c r="AU117" s="983" t="s">
        <v>333</v>
      </c>
      <c r="AV117" s="984" t="s">
        <v>59</v>
      </c>
      <c r="AW117" s="982" t="s">
        <v>60</v>
      </c>
      <c r="AX117" s="985"/>
      <c r="AY117" s="860"/>
      <c r="AZ117" s="897"/>
    </row>
    <row r="118" ht="127.5" customHeight="1" spans="1:52">
      <c r="A118" s="960">
        <v>24</v>
      </c>
      <c r="B118" s="961">
        <v>3923900000</v>
      </c>
      <c r="C118" s="961">
        <v>392390</v>
      </c>
      <c r="D118" s="960" t="s">
        <v>323</v>
      </c>
      <c r="E118" s="962" t="s">
        <v>403</v>
      </c>
      <c r="F118" s="960" t="s">
        <v>404</v>
      </c>
      <c r="G118" s="963" t="s">
        <v>405</v>
      </c>
      <c r="H118" s="802"/>
      <c r="I118" s="964" t="s">
        <v>51</v>
      </c>
      <c r="J118" s="965">
        <v>300</v>
      </c>
      <c r="K118" s="960">
        <v>300</v>
      </c>
      <c r="L118" s="966" t="s">
        <v>52</v>
      </c>
      <c r="M118" s="993"/>
      <c r="N118" s="1039"/>
      <c r="O118" s="960"/>
      <c r="P118" s="969">
        <v>0.22</v>
      </c>
      <c r="Q118" s="970">
        <f t="shared" si="7"/>
        <v>66</v>
      </c>
      <c r="R118" s="971"/>
      <c r="S118" s="936"/>
      <c r="T118" s="971">
        <v>1.37</v>
      </c>
      <c r="U118" s="936"/>
      <c r="V118" s="971">
        <v>1.32</v>
      </c>
      <c r="W118" s="1035">
        <v>8</v>
      </c>
      <c r="X118" s="1032">
        <v>227</v>
      </c>
      <c r="Y118" s="1035">
        <v>1</v>
      </c>
      <c r="Z118" s="1040">
        <v>300</v>
      </c>
      <c r="AA118" s="936"/>
      <c r="AB118" s="936"/>
      <c r="AC118" s="936"/>
      <c r="AD118" s="1005">
        <f t="shared" si="5"/>
        <v>0</v>
      </c>
      <c r="AE118" s="1000">
        <v>0.01</v>
      </c>
      <c r="AF118" s="976"/>
      <c r="AG118" s="961" t="s">
        <v>328</v>
      </c>
      <c r="AH118" s="977"/>
      <c r="AI118" s="978"/>
      <c r="AJ118" s="977"/>
      <c r="AK118" s="978"/>
      <c r="AL118" s="971">
        <f t="shared" si="8"/>
        <v>0.22</v>
      </c>
      <c r="AM118" s="971">
        <f t="shared" si="9"/>
        <v>66</v>
      </c>
      <c r="AN118" s="989"/>
      <c r="AO118" s="960">
        <v>300</v>
      </c>
      <c r="AP118" s="966" t="s">
        <v>52</v>
      </c>
      <c r="AQ118" s="980" t="s">
        <v>331</v>
      </c>
      <c r="AR118" s="981">
        <v>45660</v>
      </c>
      <c r="AS118" s="982" t="s">
        <v>332</v>
      </c>
      <c r="AT118" s="984">
        <v>45674</v>
      </c>
      <c r="AU118" s="983" t="s">
        <v>333</v>
      </c>
      <c r="AV118" s="984" t="s">
        <v>59</v>
      </c>
      <c r="AW118" s="982" t="s">
        <v>60</v>
      </c>
      <c r="AX118" s="985"/>
      <c r="AY118" s="860"/>
      <c r="AZ118" s="897"/>
    </row>
    <row r="119" ht="127.5" customHeight="1" spans="1:52">
      <c r="A119" s="960">
        <v>25</v>
      </c>
      <c r="B119" s="961">
        <v>3923900000</v>
      </c>
      <c r="C119" s="961">
        <v>392390</v>
      </c>
      <c r="D119" s="960" t="s">
        <v>323</v>
      </c>
      <c r="E119" s="962" t="s">
        <v>406</v>
      </c>
      <c r="F119" s="960" t="s">
        <v>407</v>
      </c>
      <c r="G119" s="963" t="s">
        <v>408</v>
      </c>
      <c r="H119" s="802"/>
      <c r="I119" s="964" t="s">
        <v>51</v>
      </c>
      <c r="J119" s="965">
        <v>300</v>
      </c>
      <c r="K119" s="960">
        <v>300</v>
      </c>
      <c r="L119" s="966" t="s">
        <v>52</v>
      </c>
      <c r="M119" s="993"/>
      <c r="N119" s="1039"/>
      <c r="O119" s="960"/>
      <c r="P119" s="969">
        <v>0.22</v>
      </c>
      <c r="Q119" s="970">
        <f t="shared" si="7"/>
        <v>66</v>
      </c>
      <c r="R119" s="971"/>
      <c r="S119" s="936"/>
      <c r="T119" s="971">
        <v>1.37</v>
      </c>
      <c r="U119" s="936"/>
      <c r="V119" s="971">
        <v>1.32</v>
      </c>
      <c r="W119" s="992"/>
      <c r="X119" s="987"/>
      <c r="Y119" s="992"/>
      <c r="Z119" s="1040">
        <v>300</v>
      </c>
      <c r="AA119" s="936"/>
      <c r="AB119" s="936"/>
      <c r="AC119" s="936"/>
      <c r="AD119" s="1011"/>
      <c r="AE119" s="1012"/>
      <c r="AF119" s="976"/>
      <c r="AG119" s="961" t="s">
        <v>328</v>
      </c>
      <c r="AH119" s="977"/>
      <c r="AI119" s="978"/>
      <c r="AJ119" s="977"/>
      <c r="AK119" s="978"/>
      <c r="AL119" s="971">
        <f t="shared" si="8"/>
        <v>0.22</v>
      </c>
      <c r="AM119" s="971">
        <f t="shared" si="9"/>
        <v>66</v>
      </c>
      <c r="AN119" s="989"/>
      <c r="AO119" s="960">
        <v>300</v>
      </c>
      <c r="AP119" s="966" t="s">
        <v>52</v>
      </c>
      <c r="AQ119" s="980" t="s">
        <v>331</v>
      </c>
      <c r="AR119" s="981">
        <v>45660</v>
      </c>
      <c r="AS119" s="982" t="s">
        <v>332</v>
      </c>
      <c r="AT119" s="984">
        <v>45674</v>
      </c>
      <c r="AU119" s="983" t="s">
        <v>333</v>
      </c>
      <c r="AV119" s="984" t="s">
        <v>59</v>
      </c>
      <c r="AW119" s="982" t="s">
        <v>60</v>
      </c>
      <c r="AX119" s="985"/>
      <c r="AY119" s="860"/>
      <c r="AZ119" s="897"/>
    </row>
    <row r="120" ht="127.5" customHeight="1" spans="1:52">
      <c r="A120" s="960">
        <v>26</v>
      </c>
      <c r="B120" s="961">
        <v>3923900000</v>
      </c>
      <c r="C120" s="961">
        <v>392390</v>
      </c>
      <c r="D120" s="960" t="s">
        <v>323</v>
      </c>
      <c r="E120" s="962" t="s">
        <v>409</v>
      </c>
      <c r="F120" s="960" t="s">
        <v>410</v>
      </c>
      <c r="G120" s="963"/>
      <c r="H120" s="802"/>
      <c r="I120" s="964" t="s">
        <v>51</v>
      </c>
      <c r="J120" s="965">
        <v>400</v>
      </c>
      <c r="K120" s="960">
        <v>400</v>
      </c>
      <c r="L120" s="966" t="s">
        <v>52</v>
      </c>
      <c r="M120" s="993"/>
      <c r="N120" s="1039"/>
      <c r="O120" s="960"/>
      <c r="P120" s="969">
        <v>0.85</v>
      </c>
      <c r="Q120" s="970">
        <f t="shared" si="7"/>
        <v>340</v>
      </c>
      <c r="R120" s="971"/>
      <c r="S120" s="936"/>
      <c r="T120" s="971">
        <v>15.65</v>
      </c>
      <c r="U120" s="936"/>
      <c r="V120" s="971">
        <v>14.4</v>
      </c>
      <c r="W120" s="961">
        <v>8</v>
      </c>
      <c r="X120" s="960">
        <v>228</v>
      </c>
      <c r="Y120" s="1035">
        <v>1</v>
      </c>
      <c r="Z120" s="1040">
        <v>400</v>
      </c>
      <c r="AA120" s="936"/>
      <c r="AB120" s="936"/>
      <c r="AC120" s="936"/>
      <c r="AD120" s="974">
        <f t="shared" ref="AD120:AD122" si="10">AA120*AB120*AC120/28316.75*0.0283</f>
        <v>0</v>
      </c>
      <c r="AE120" s="975">
        <v>0.07</v>
      </c>
      <c r="AF120" s="976"/>
      <c r="AG120" s="961" t="s">
        <v>328</v>
      </c>
      <c r="AH120" s="977"/>
      <c r="AI120" s="978"/>
      <c r="AJ120" s="977"/>
      <c r="AK120" s="978"/>
      <c r="AL120" s="971">
        <f t="shared" si="8"/>
        <v>0.85</v>
      </c>
      <c r="AM120" s="971">
        <f t="shared" si="9"/>
        <v>340</v>
      </c>
      <c r="AN120" s="989"/>
      <c r="AO120" s="960">
        <v>400</v>
      </c>
      <c r="AP120" s="966" t="s">
        <v>52</v>
      </c>
      <c r="AQ120" s="980" t="s">
        <v>331</v>
      </c>
      <c r="AR120" s="981">
        <v>45660</v>
      </c>
      <c r="AS120" s="982" t="s">
        <v>332</v>
      </c>
      <c r="AT120" s="984">
        <v>45674</v>
      </c>
      <c r="AU120" s="983" t="s">
        <v>333</v>
      </c>
      <c r="AV120" s="984" t="s">
        <v>59</v>
      </c>
      <c r="AW120" s="982" t="s">
        <v>60</v>
      </c>
      <c r="AX120" s="985"/>
      <c r="AY120" s="860"/>
      <c r="AZ120" s="897"/>
    </row>
    <row r="121" ht="127.5" customHeight="1" spans="1:52">
      <c r="A121" s="960">
        <v>27</v>
      </c>
      <c r="B121" s="961">
        <v>3923900000</v>
      </c>
      <c r="C121" s="961">
        <v>392390</v>
      </c>
      <c r="D121" s="960" t="s">
        <v>323</v>
      </c>
      <c r="E121" s="962" t="s">
        <v>411</v>
      </c>
      <c r="F121" s="960" t="s">
        <v>412</v>
      </c>
      <c r="G121" s="963"/>
      <c r="H121" s="802"/>
      <c r="I121" s="964" t="s">
        <v>51</v>
      </c>
      <c r="J121" s="965">
        <v>400</v>
      </c>
      <c r="K121" s="960">
        <v>400</v>
      </c>
      <c r="L121" s="966" t="s">
        <v>52</v>
      </c>
      <c r="M121" s="987"/>
      <c r="N121" s="1039"/>
      <c r="O121" s="960"/>
      <c r="P121" s="969">
        <v>0.85</v>
      </c>
      <c r="Q121" s="970">
        <f t="shared" si="7"/>
        <v>340</v>
      </c>
      <c r="R121" s="971"/>
      <c r="S121" s="936"/>
      <c r="T121" s="971">
        <v>15.26</v>
      </c>
      <c r="U121" s="936"/>
      <c r="V121" s="971">
        <v>14.88</v>
      </c>
      <c r="W121" s="961">
        <v>8</v>
      </c>
      <c r="X121" s="960">
        <v>229</v>
      </c>
      <c r="Y121" s="961">
        <v>1</v>
      </c>
      <c r="Z121" s="1040">
        <v>400</v>
      </c>
      <c r="AA121" s="936"/>
      <c r="AB121" s="936"/>
      <c r="AC121" s="936"/>
      <c r="AD121" s="974">
        <f t="shared" si="10"/>
        <v>0</v>
      </c>
      <c r="AE121" s="975">
        <v>0.07</v>
      </c>
      <c r="AF121" s="976"/>
      <c r="AG121" s="961" t="s">
        <v>328</v>
      </c>
      <c r="AH121" s="977"/>
      <c r="AI121" s="978"/>
      <c r="AJ121" s="977"/>
      <c r="AK121" s="978"/>
      <c r="AL121" s="971">
        <f t="shared" si="8"/>
        <v>0.85</v>
      </c>
      <c r="AM121" s="971">
        <f t="shared" si="9"/>
        <v>340</v>
      </c>
      <c r="AN121" s="989"/>
      <c r="AO121" s="960">
        <v>400</v>
      </c>
      <c r="AP121" s="966" t="s">
        <v>52</v>
      </c>
      <c r="AQ121" s="980" t="s">
        <v>331</v>
      </c>
      <c r="AR121" s="981">
        <v>45660</v>
      </c>
      <c r="AS121" s="982" t="s">
        <v>332</v>
      </c>
      <c r="AT121" s="984">
        <v>45674</v>
      </c>
      <c r="AU121" s="983" t="s">
        <v>333</v>
      </c>
      <c r="AV121" s="984" t="s">
        <v>59</v>
      </c>
      <c r="AW121" s="982" t="s">
        <v>60</v>
      </c>
      <c r="AX121" s="985"/>
      <c r="AY121" s="860"/>
      <c r="AZ121" s="897"/>
    </row>
    <row r="122" ht="127.5" customHeight="1" spans="1:52">
      <c r="A122" s="960">
        <v>28</v>
      </c>
      <c r="B122" s="961">
        <v>7326909000</v>
      </c>
      <c r="C122" s="961">
        <v>732690</v>
      </c>
      <c r="D122" s="960" t="s">
        <v>347</v>
      </c>
      <c r="E122" s="962" t="s">
        <v>413</v>
      </c>
      <c r="F122" s="960" t="s">
        <v>414</v>
      </c>
      <c r="G122" s="963" t="s">
        <v>415</v>
      </c>
      <c r="H122" s="802"/>
      <c r="I122" s="964" t="s">
        <v>51</v>
      </c>
      <c r="J122" s="994">
        <v>18</v>
      </c>
      <c r="K122" s="987">
        <v>18</v>
      </c>
      <c r="L122" s="982" t="s">
        <v>52</v>
      </c>
      <c r="M122" s="993" t="s">
        <v>416</v>
      </c>
      <c r="N122" s="1001"/>
      <c r="O122" s="987"/>
      <c r="P122" s="969">
        <v>217</v>
      </c>
      <c r="Q122" s="970">
        <f t="shared" si="7"/>
        <v>3906</v>
      </c>
      <c r="R122" s="989">
        <f>SUM(Q122:Q123)</f>
        <v>4166</v>
      </c>
      <c r="S122" s="936"/>
      <c r="T122" s="988">
        <v>9.13</v>
      </c>
      <c r="U122" s="936"/>
      <c r="V122" s="988">
        <v>8.84</v>
      </c>
      <c r="W122" s="1035">
        <v>8</v>
      </c>
      <c r="X122" s="1032">
        <v>100</v>
      </c>
      <c r="Y122" s="1035">
        <v>1</v>
      </c>
      <c r="Z122" s="1040">
        <v>18</v>
      </c>
      <c r="AA122" s="936"/>
      <c r="AB122" s="936"/>
      <c r="AC122" s="936"/>
      <c r="AD122" s="1005">
        <f t="shared" si="10"/>
        <v>0</v>
      </c>
      <c r="AE122" s="1009">
        <v>0.04</v>
      </c>
      <c r="AF122" s="1041"/>
      <c r="AG122" s="992"/>
      <c r="AH122" s="977"/>
      <c r="AI122" s="978"/>
      <c r="AJ122" s="977"/>
      <c r="AK122" s="978"/>
      <c r="AL122" s="971">
        <f t="shared" si="8"/>
        <v>217</v>
      </c>
      <c r="AM122" s="971">
        <f t="shared" si="9"/>
        <v>3906</v>
      </c>
      <c r="AN122" s="989"/>
      <c r="AO122" s="987">
        <v>18</v>
      </c>
      <c r="AP122" s="982" t="s">
        <v>52</v>
      </c>
      <c r="AQ122" s="980" t="s">
        <v>331</v>
      </c>
      <c r="AR122" s="981">
        <v>45660</v>
      </c>
      <c r="AS122" s="982" t="s">
        <v>332</v>
      </c>
      <c r="AT122" s="984">
        <v>45674</v>
      </c>
      <c r="AU122" s="983" t="s">
        <v>333</v>
      </c>
      <c r="AV122" s="984" t="s">
        <v>59</v>
      </c>
      <c r="AW122" s="982" t="s">
        <v>60</v>
      </c>
      <c r="AX122" s="985"/>
      <c r="AY122" s="860"/>
      <c r="AZ122" s="897"/>
    </row>
    <row r="123" ht="127.5" customHeight="1" spans="1:52">
      <c r="A123" s="960">
        <v>29</v>
      </c>
      <c r="B123" s="961">
        <v>7326909000</v>
      </c>
      <c r="C123" s="961">
        <v>848079</v>
      </c>
      <c r="D123" s="960" t="s">
        <v>394</v>
      </c>
      <c r="E123" s="962" t="s">
        <v>417</v>
      </c>
      <c r="F123" s="960" t="s">
        <v>418</v>
      </c>
      <c r="G123" s="963" t="s">
        <v>419</v>
      </c>
      <c r="H123" s="802"/>
      <c r="I123" s="964" t="s">
        <v>51</v>
      </c>
      <c r="J123" s="994">
        <v>4</v>
      </c>
      <c r="K123" s="987">
        <v>4</v>
      </c>
      <c r="L123" s="982" t="s">
        <v>52</v>
      </c>
      <c r="M123" s="987"/>
      <c r="N123" s="1001"/>
      <c r="O123" s="987"/>
      <c r="P123" s="969">
        <v>65</v>
      </c>
      <c r="Q123" s="970">
        <f t="shared" si="7"/>
        <v>260</v>
      </c>
      <c r="R123" s="988"/>
      <c r="S123" s="936"/>
      <c r="T123" s="988">
        <v>0.58</v>
      </c>
      <c r="U123" s="936"/>
      <c r="V123" s="988">
        <v>0.53</v>
      </c>
      <c r="W123" s="992"/>
      <c r="X123" s="987"/>
      <c r="Y123" s="992"/>
      <c r="Z123" s="1040">
        <v>4</v>
      </c>
      <c r="AA123" s="936"/>
      <c r="AB123" s="936"/>
      <c r="AC123" s="936"/>
      <c r="AD123" s="1011"/>
      <c r="AE123" s="1012"/>
      <c r="AF123" s="1041"/>
      <c r="AG123" s="992"/>
      <c r="AH123" s="992"/>
      <c r="AI123" s="1016"/>
      <c r="AJ123" s="992"/>
      <c r="AK123" s="1016"/>
      <c r="AL123" s="971">
        <f t="shared" si="8"/>
        <v>65</v>
      </c>
      <c r="AM123" s="971">
        <f t="shared" si="9"/>
        <v>260</v>
      </c>
      <c r="AN123" s="988"/>
      <c r="AO123" s="987">
        <v>4</v>
      </c>
      <c r="AP123" s="982" t="s">
        <v>52</v>
      </c>
      <c r="AQ123" s="980" t="s">
        <v>331</v>
      </c>
      <c r="AR123" s="981">
        <v>45660</v>
      </c>
      <c r="AS123" s="982" t="s">
        <v>332</v>
      </c>
      <c r="AT123" s="984">
        <v>45674</v>
      </c>
      <c r="AU123" s="983" t="s">
        <v>333</v>
      </c>
      <c r="AV123" s="984" t="s">
        <v>59</v>
      </c>
      <c r="AW123" s="982" t="s">
        <v>60</v>
      </c>
      <c r="AX123" s="1042"/>
      <c r="AY123" s="867"/>
      <c r="AZ123" s="901"/>
    </row>
    <row r="124" ht="127.5" customHeight="1" spans="1:52">
      <c r="A124" s="375"/>
      <c r="B124" s="1017"/>
      <c r="C124" s="1017"/>
      <c r="D124" s="375"/>
      <c r="E124" s="375"/>
      <c r="F124" s="375"/>
      <c r="G124" s="1018"/>
      <c r="H124" s="820"/>
      <c r="I124" s="1019"/>
      <c r="J124" s="1020"/>
      <c r="K124" s="1021"/>
      <c r="L124" s="1022"/>
      <c r="M124" s="1021"/>
      <c r="N124" s="1023"/>
      <c r="O124" s="1021"/>
      <c r="P124" s="1024"/>
      <c r="Q124" s="1020">
        <f t="shared" ref="Q124:T124" si="11">SUM(Q110:Q123)</f>
        <v>63865.1</v>
      </c>
      <c r="R124" s="1020">
        <f t="shared" si="11"/>
        <v>63865.1</v>
      </c>
      <c r="T124" s="1020">
        <f t="shared" si="11"/>
        <v>1532.16</v>
      </c>
      <c r="V124" s="1020">
        <v>1097.07</v>
      </c>
      <c r="W124" s="1025"/>
      <c r="X124" s="1021"/>
      <c r="Y124" s="1020">
        <f>SUM(Y110:Y123)</f>
        <v>230</v>
      </c>
      <c r="Z124" s="1021"/>
      <c r="AD124" s="1026"/>
      <c r="AE124" s="1020">
        <f>SUM(AE110:AE123)</f>
        <v>19.59</v>
      </c>
      <c r="AF124" s="1021"/>
      <c r="AG124" s="1021"/>
      <c r="AH124" s="1022"/>
      <c r="AI124" s="1023"/>
      <c r="AJ124" s="1021"/>
      <c r="AK124" s="1023"/>
      <c r="AL124" s="1020"/>
      <c r="AM124" s="1020">
        <f>SUM(AM110:AM123)</f>
        <v>63865.1</v>
      </c>
      <c r="AN124" s="1020">
        <f>SUM(AN110)</f>
        <v>63865.1</v>
      </c>
      <c r="AO124" s="1021"/>
      <c r="AP124" s="1022"/>
      <c r="AQ124" s="1027"/>
      <c r="AR124" s="1028"/>
      <c r="AS124" s="1029"/>
      <c r="AT124" s="1030"/>
      <c r="AU124" s="1029"/>
      <c r="AV124" s="1029"/>
      <c r="AW124" s="1029"/>
      <c r="AX124" s="1043"/>
      <c r="AY124" s="820"/>
      <c r="AZ124" s="821"/>
    </row>
    <row r="125" ht="127.5" customHeight="1" spans="1:52">
      <c r="A125" s="960">
        <v>30</v>
      </c>
      <c r="B125" s="961">
        <v>5806320000</v>
      </c>
      <c r="C125" s="961">
        <v>580632</v>
      </c>
      <c r="D125" s="960" t="s">
        <v>353</v>
      </c>
      <c r="E125" s="960" t="s">
        <v>420</v>
      </c>
      <c r="F125" s="962" t="s">
        <v>421</v>
      </c>
      <c r="G125" s="986"/>
      <c r="H125" s="802"/>
      <c r="I125" s="964" t="s">
        <v>123</v>
      </c>
      <c r="J125" s="965">
        <v>258</v>
      </c>
      <c r="K125" s="987">
        <v>30000</v>
      </c>
      <c r="L125" s="982" t="s">
        <v>52</v>
      </c>
      <c r="M125" s="1032" t="s">
        <v>422</v>
      </c>
      <c r="N125" s="1039"/>
      <c r="O125" s="960"/>
      <c r="P125" s="969">
        <v>171.94</v>
      </c>
      <c r="Q125" s="970">
        <f t="shared" ref="Q125:Q153" si="12">P125*J125</f>
        <v>44360.52</v>
      </c>
      <c r="R125" s="971">
        <f>SUM(Q125:Q153)</f>
        <v>452878.5</v>
      </c>
      <c r="S125" s="936"/>
      <c r="T125" s="971">
        <f>278.86-6</f>
        <v>272.86</v>
      </c>
      <c r="U125" s="936"/>
      <c r="V125" s="971">
        <v>258</v>
      </c>
      <c r="W125" s="1003" t="s">
        <v>423</v>
      </c>
      <c r="X125" s="1003" t="s">
        <v>424</v>
      </c>
      <c r="Y125" s="1004">
        <v>14</v>
      </c>
      <c r="Z125" s="1004">
        <v>2143</v>
      </c>
      <c r="AA125" s="936"/>
      <c r="AB125" s="936"/>
      <c r="AC125" s="936"/>
      <c r="AD125" s="974">
        <f t="shared" ref="AD125:AD132" si="13">AA125*AB125*AC125/28316.75*0.0283</f>
        <v>0</v>
      </c>
      <c r="AE125" s="975">
        <v>1.97</v>
      </c>
      <c r="AF125" s="976"/>
      <c r="AG125" s="992"/>
      <c r="AH125" s="1035" t="s">
        <v>425</v>
      </c>
      <c r="AI125" s="1036">
        <v>45631</v>
      </c>
      <c r="AJ125" s="1035" t="s">
        <v>426</v>
      </c>
      <c r="AK125" s="1036">
        <v>45631</v>
      </c>
      <c r="AL125" s="971">
        <f t="shared" ref="AL125:AL153" si="14">P125</f>
        <v>171.94</v>
      </c>
      <c r="AM125" s="971">
        <f t="shared" ref="AM125:AM153" si="15">AL125*J125</f>
        <v>44360.52</v>
      </c>
      <c r="AN125" s="979">
        <f>SUM(AM125:AM143)</f>
        <v>279854.25</v>
      </c>
      <c r="AO125" s="987">
        <v>30000</v>
      </c>
      <c r="AP125" s="982" t="s">
        <v>52</v>
      </c>
      <c r="AQ125" s="980" t="s">
        <v>331</v>
      </c>
      <c r="AR125" s="981">
        <v>45660</v>
      </c>
      <c r="AS125" s="982" t="s">
        <v>332</v>
      </c>
      <c r="AT125" s="984">
        <v>45674</v>
      </c>
      <c r="AU125" s="983" t="s">
        <v>333</v>
      </c>
      <c r="AV125" s="984" t="s">
        <v>59</v>
      </c>
      <c r="AW125" s="982" t="s">
        <v>60</v>
      </c>
      <c r="AX125" s="1044">
        <v>16188</v>
      </c>
      <c r="AY125" s="857"/>
      <c r="AZ125" s="1045">
        <v>109969.82</v>
      </c>
    </row>
    <row r="126" ht="127.5" customHeight="1" spans="1:52">
      <c r="A126" s="960">
        <v>31</v>
      </c>
      <c r="B126" s="961">
        <v>5806320000</v>
      </c>
      <c r="C126" s="961">
        <v>580632</v>
      </c>
      <c r="D126" s="960" t="s">
        <v>353</v>
      </c>
      <c r="E126" s="960" t="s">
        <v>427</v>
      </c>
      <c r="F126" s="962" t="s">
        <v>428</v>
      </c>
      <c r="G126" s="986"/>
      <c r="H126" s="802"/>
      <c r="I126" s="964" t="s">
        <v>123</v>
      </c>
      <c r="J126" s="994">
        <v>228</v>
      </c>
      <c r="K126" s="987">
        <v>60000</v>
      </c>
      <c r="L126" s="982" t="s">
        <v>52</v>
      </c>
      <c r="M126" s="993"/>
      <c r="N126" s="1001"/>
      <c r="O126" s="987"/>
      <c r="P126" s="969">
        <v>88.19</v>
      </c>
      <c r="Q126" s="970">
        <f t="shared" si="12"/>
        <v>20107.32</v>
      </c>
      <c r="R126" s="971"/>
      <c r="S126" s="936"/>
      <c r="T126" s="971">
        <f>245.88-4</f>
        <v>241.88</v>
      </c>
      <c r="U126" s="936"/>
      <c r="V126" s="971">
        <v>228</v>
      </c>
      <c r="W126" s="1003" t="s">
        <v>429</v>
      </c>
      <c r="X126" s="1003" t="s">
        <v>430</v>
      </c>
      <c r="Y126" s="1004">
        <v>12</v>
      </c>
      <c r="Z126" s="1004">
        <v>5000</v>
      </c>
      <c r="AA126" s="936"/>
      <c r="AB126" s="936"/>
      <c r="AC126" s="936"/>
      <c r="AD126" s="974">
        <f t="shared" si="13"/>
        <v>0</v>
      </c>
      <c r="AE126" s="975">
        <v>1.69</v>
      </c>
      <c r="AF126" s="976"/>
      <c r="AG126" s="1046"/>
      <c r="AH126" s="977"/>
      <c r="AI126" s="978"/>
      <c r="AJ126" s="977"/>
      <c r="AK126" s="978"/>
      <c r="AL126" s="971">
        <f t="shared" si="14"/>
        <v>88.19</v>
      </c>
      <c r="AM126" s="971">
        <f t="shared" si="15"/>
        <v>20107.32</v>
      </c>
      <c r="AN126" s="989"/>
      <c r="AO126" s="987">
        <v>60000</v>
      </c>
      <c r="AP126" s="982" t="s">
        <v>52</v>
      </c>
      <c r="AQ126" s="980" t="s">
        <v>331</v>
      </c>
      <c r="AR126" s="981">
        <v>45660</v>
      </c>
      <c r="AS126" s="982" t="s">
        <v>332</v>
      </c>
      <c r="AT126" s="984">
        <v>45674</v>
      </c>
      <c r="AU126" s="983" t="s">
        <v>333</v>
      </c>
      <c r="AV126" s="984" t="s">
        <v>59</v>
      </c>
      <c r="AW126" s="982" t="s">
        <v>60</v>
      </c>
      <c r="AX126" s="1047"/>
      <c r="AY126" s="860"/>
      <c r="AZ126" s="1048"/>
    </row>
    <row r="127" ht="127.5" customHeight="1" spans="1:52">
      <c r="A127" s="960">
        <v>32</v>
      </c>
      <c r="B127" s="961">
        <v>5806320000</v>
      </c>
      <c r="C127" s="961">
        <v>580632</v>
      </c>
      <c r="D127" s="960" t="s">
        <v>353</v>
      </c>
      <c r="E127" s="960" t="s">
        <v>431</v>
      </c>
      <c r="F127" s="962" t="s">
        <v>432</v>
      </c>
      <c r="G127" s="986"/>
      <c r="H127" s="802"/>
      <c r="I127" s="964" t="s">
        <v>123</v>
      </c>
      <c r="J127" s="994">
        <v>69</v>
      </c>
      <c r="K127" s="987">
        <v>30000</v>
      </c>
      <c r="L127" s="982" t="s">
        <v>52</v>
      </c>
      <c r="M127" s="993"/>
      <c r="N127" s="1001"/>
      <c r="O127" s="987"/>
      <c r="P127" s="969">
        <v>44.62</v>
      </c>
      <c r="Q127" s="970">
        <f t="shared" si="12"/>
        <v>3078.78</v>
      </c>
      <c r="R127" s="971"/>
      <c r="S127" s="936"/>
      <c r="T127" s="971">
        <v>74.96</v>
      </c>
      <c r="U127" s="936"/>
      <c r="V127" s="971">
        <v>69</v>
      </c>
      <c r="W127" s="1004">
        <v>2</v>
      </c>
      <c r="X127" s="1003" t="s">
        <v>433</v>
      </c>
      <c r="Y127" s="1004">
        <v>4</v>
      </c>
      <c r="Z127" s="1004">
        <v>7500</v>
      </c>
      <c r="AA127" s="936"/>
      <c r="AB127" s="936"/>
      <c r="AC127" s="936"/>
      <c r="AD127" s="974">
        <f t="shared" si="13"/>
        <v>0</v>
      </c>
      <c r="AE127" s="975">
        <v>0.56</v>
      </c>
      <c r="AF127" s="976"/>
      <c r="AG127" s="1046"/>
      <c r="AH127" s="977"/>
      <c r="AI127" s="978"/>
      <c r="AJ127" s="977"/>
      <c r="AK127" s="978"/>
      <c r="AL127" s="971">
        <f t="shared" si="14"/>
        <v>44.62</v>
      </c>
      <c r="AM127" s="971">
        <f t="shared" si="15"/>
        <v>3078.78</v>
      </c>
      <c r="AN127" s="989"/>
      <c r="AO127" s="987">
        <v>30000</v>
      </c>
      <c r="AP127" s="982" t="s">
        <v>52</v>
      </c>
      <c r="AQ127" s="980" t="s">
        <v>331</v>
      </c>
      <c r="AR127" s="981">
        <v>45660</v>
      </c>
      <c r="AS127" s="982" t="s">
        <v>332</v>
      </c>
      <c r="AT127" s="984">
        <v>45674</v>
      </c>
      <c r="AU127" s="983" t="s">
        <v>333</v>
      </c>
      <c r="AV127" s="984" t="s">
        <v>59</v>
      </c>
      <c r="AW127" s="982" t="s">
        <v>60</v>
      </c>
      <c r="AX127" s="1047"/>
      <c r="AY127" s="860"/>
      <c r="AZ127" s="1048"/>
    </row>
    <row r="128" ht="127.5" customHeight="1" spans="1:52">
      <c r="A128" s="960">
        <v>33</v>
      </c>
      <c r="B128" s="961">
        <v>5806320000</v>
      </c>
      <c r="C128" s="961">
        <v>580632</v>
      </c>
      <c r="D128" s="960" t="s">
        <v>353</v>
      </c>
      <c r="E128" s="960" t="s">
        <v>434</v>
      </c>
      <c r="F128" s="962" t="s">
        <v>435</v>
      </c>
      <c r="G128" s="986"/>
      <c r="H128" s="802"/>
      <c r="I128" s="964" t="s">
        <v>123</v>
      </c>
      <c r="J128" s="994">
        <v>24</v>
      </c>
      <c r="K128" s="987">
        <v>60000</v>
      </c>
      <c r="L128" s="982" t="s">
        <v>52</v>
      </c>
      <c r="M128" s="993"/>
      <c r="N128" s="1001"/>
      <c r="O128" s="987"/>
      <c r="P128" s="969">
        <v>123.7</v>
      </c>
      <c r="Q128" s="970">
        <f t="shared" si="12"/>
        <v>2968.8</v>
      </c>
      <c r="R128" s="971"/>
      <c r="S128" s="936"/>
      <c r="T128" s="971">
        <v>26.98</v>
      </c>
      <c r="U128" s="936"/>
      <c r="V128" s="971">
        <v>24</v>
      </c>
      <c r="W128" s="1004">
        <v>1</v>
      </c>
      <c r="X128" s="1003" t="s">
        <v>436</v>
      </c>
      <c r="Y128" s="1004">
        <v>2</v>
      </c>
      <c r="Z128" s="1004">
        <v>30000</v>
      </c>
      <c r="AA128" s="936"/>
      <c r="AB128" s="936"/>
      <c r="AC128" s="936"/>
      <c r="AD128" s="974">
        <f t="shared" si="13"/>
        <v>0</v>
      </c>
      <c r="AE128" s="975">
        <v>0.28</v>
      </c>
      <c r="AF128" s="976"/>
      <c r="AG128" s="1049"/>
      <c r="AH128" s="977"/>
      <c r="AI128" s="978"/>
      <c r="AJ128" s="977"/>
      <c r="AK128" s="978"/>
      <c r="AL128" s="971">
        <f t="shared" si="14"/>
        <v>123.7</v>
      </c>
      <c r="AM128" s="971">
        <f t="shared" si="15"/>
        <v>2968.8</v>
      </c>
      <c r="AN128" s="989"/>
      <c r="AO128" s="987">
        <v>60000</v>
      </c>
      <c r="AP128" s="982" t="s">
        <v>52</v>
      </c>
      <c r="AQ128" s="980" t="s">
        <v>331</v>
      </c>
      <c r="AR128" s="981">
        <v>45660</v>
      </c>
      <c r="AS128" s="982" t="s">
        <v>332</v>
      </c>
      <c r="AT128" s="984">
        <v>45674</v>
      </c>
      <c r="AU128" s="983" t="s">
        <v>333</v>
      </c>
      <c r="AV128" s="984" t="s">
        <v>59</v>
      </c>
      <c r="AW128" s="982" t="s">
        <v>60</v>
      </c>
      <c r="AX128" s="1047"/>
      <c r="AY128" s="860"/>
      <c r="AZ128" s="1048"/>
    </row>
    <row r="129" ht="127.5" customHeight="1" spans="1:52">
      <c r="A129" s="960">
        <v>34</v>
      </c>
      <c r="B129" s="961">
        <v>5806320000</v>
      </c>
      <c r="C129" s="961">
        <v>580632</v>
      </c>
      <c r="D129" s="960" t="s">
        <v>353</v>
      </c>
      <c r="E129" s="960" t="s">
        <v>437</v>
      </c>
      <c r="F129" s="962" t="s">
        <v>438</v>
      </c>
      <c r="G129" s="986"/>
      <c r="H129" s="802"/>
      <c r="I129" s="964" t="s">
        <v>123</v>
      </c>
      <c r="J129" s="994">
        <v>167.4</v>
      </c>
      <c r="K129" s="987">
        <v>180000</v>
      </c>
      <c r="L129" s="982" t="s">
        <v>52</v>
      </c>
      <c r="M129" s="993"/>
      <c r="N129" s="1001"/>
      <c r="O129" s="987"/>
      <c r="P129" s="969">
        <v>261.05</v>
      </c>
      <c r="Q129" s="970">
        <f t="shared" si="12"/>
        <v>43699.77</v>
      </c>
      <c r="R129" s="971"/>
      <c r="S129" s="936"/>
      <c r="T129" s="988">
        <f>185.28-6</f>
        <v>179.28</v>
      </c>
      <c r="U129" s="936"/>
      <c r="V129" s="971">
        <v>167.4</v>
      </c>
      <c r="W129" s="1004">
        <v>1</v>
      </c>
      <c r="X129" s="1003" t="s">
        <v>439</v>
      </c>
      <c r="Y129" s="1004">
        <v>12</v>
      </c>
      <c r="Z129" s="1004">
        <v>15000</v>
      </c>
      <c r="AA129" s="936"/>
      <c r="AB129" s="936"/>
      <c r="AC129" s="936"/>
      <c r="AD129" s="974">
        <f t="shared" si="13"/>
        <v>0</v>
      </c>
      <c r="AE129" s="975">
        <v>1.69</v>
      </c>
      <c r="AF129" s="976"/>
      <c r="AG129" s="1050"/>
      <c r="AH129" s="977"/>
      <c r="AI129" s="978"/>
      <c r="AJ129" s="977"/>
      <c r="AK129" s="978"/>
      <c r="AL129" s="971">
        <f t="shared" si="14"/>
        <v>261.05</v>
      </c>
      <c r="AM129" s="971">
        <f t="shared" si="15"/>
        <v>43699.77</v>
      </c>
      <c r="AN129" s="989"/>
      <c r="AO129" s="987">
        <v>180000</v>
      </c>
      <c r="AP129" s="982" t="s">
        <v>52</v>
      </c>
      <c r="AQ129" s="980" t="s">
        <v>331</v>
      </c>
      <c r="AR129" s="981">
        <v>45660</v>
      </c>
      <c r="AS129" s="982" t="s">
        <v>332</v>
      </c>
      <c r="AT129" s="984">
        <v>45674</v>
      </c>
      <c r="AU129" s="983" t="s">
        <v>333</v>
      </c>
      <c r="AV129" s="984" t="s">
        <v>59</v>
      </c>
      <c r="AW129" s="982" t="s">
        <v>60</v>
      </c>
      <c r="AX129" s="1047"/>
      <c r="AY129" s="860"/>
      <c r="AZ129" s="1048"/>
    </row>
    <row r="130" ht="127.5" customHeight="1" spans="1:52">
      <c r="A130" s="960">
        <v>35</v>
      </c>
      <c r="B130" s="961">
        <v>5806320000</v>
      </c>
      <c r="C130" s="961">
        <v>580632</v>
      </c>
      <c r="D130" s="960" t="s">
        <v>353</v>
      </c>
      <c r="E130" s="960" t="s">
        <v>440</v>
      </c>
      <c r="F130" s="962" t="s">
        <v>441</v>
      </c>
      <c r="G130" s="986"/>
      <c r="H130" s="802"/>
      <c r="I130" s="964" t="s">
        <v>123</v>
      </c>
      <c r="J130" s="994">
        <v>45</v>
      </c>
      <c r="K130" s="987">
        <v>180000</v>
      </c>
      <c r="L130" s="982" t="s">
        <v>52</v>
      </c>
      <c r="M130" s="993"/>
      <c r="N130" s="1001"/>
      <c r="O130" s="987"/>
      <c r="P130" s="969">
        <v>869.84</v>
      </c>
      <c r="Q130" s="970">
        <f t="shared" si="12"/>
        <v>39142.8</v>
      </c>
      <c r="R130" s="971"/>
      <c r="S130" s="936"/>
      <c r="T130" s="988">
        <v>47.98</v>
      </c>
      <c r="U130" s="936"/>
      <c r="V130" s="971">
        <v>45</v>
      </c>
      <c r="W130" s="1003" t="s">
        <v>442</v>
      </c>
      <c r="X130" s="1003" t="s">
        <v>443</v>
      </c>
      <c r="Y130" s="1004">
        <v>2</v>
      </c>
      <c r="Z130" s="1004">
        <v>90000</v>
      </c>
      <c r="AA130" s="936"/>
      <c r="AB130" s="936"/>
      <c r="AC130" s="936"/>
      <c r="AD130" s="974">
        <f t="shared" si="13"/>
        <v>0</v>
      </c>
      <c r="AE130" s="975">
        <v>0.28</v>
      </c>
      <c r="AF130" s="976"/>
      <c r="AG130" s="1050"/>
      <c r="AH130" s="977"/>
      <c r="AI130" s="978"/>
      <c r="AJ130" s="977"/>
      <c r="AK130" s="978"/>
      <c r="AL130" s="971">
        <f t="shared" si="14"/>
        <v>869.84</v>
      </c>
      <c r="AM130" s="971">
        <f t="shared" si="15"/>
        <v>39142.8</v>
      </c>
      <c r="AN130" s="989"/>
      <c r="AO130" s="987">
        <v>180000</v>
      </c>
      <c r="AP130" s="982" t="s">
        <v>52</v>
      </c>
      <c r="AQ130" s="980" t="s">
        <v>331</v>
      </c>
      <c r="AR130" s="981">
        <v>45660</v>
      </c>
      <c r="AS130" s="982" t="s">
        <v>332</v>
      </c>
      <c r="AT130" s="984">
        <v>45674</v>
      </c>
      <c r="AU130" s="983" t="s">
        <v>333</v>
      </c>
      <c r="AV130" s="984" t="s">
        <v>59</v>
      </c>
      <c r="AW130" s="982" t="s">
        <v>60</v>
      </c>
      <c r="AX130" s="1047"/>
      <c r="AY130" s="860"/>
      <c r="AZ130" s="1048"/>
    </row>
    <row r="131" ht="127.5" customHeight="1" spans="1:52">
      <c r="A131" s="960">
        <v>36</v>
      </c>
      <c r="B131" s="961">
        <v>5806320000</v>
      </c>
      <c r="C131" s="961">
        <v>580632</v>
      </c>
      <c r="D131" s="960" t="s">
        <v>353</v>
      </c>
      <c r="E131" s="960" t="s">
        <v>444</v>
      </c>
      <c r="F131" s="962" t="s">
        <v>445</v>
      </c>
      <c r="G131" s="986"/>
      <c r="H131" s="802"/>
      <c r="I131" s="964" t="s">
        <v>123</v>
      </c>
      <c r="J131" s="994">
        <v>117</v>
      </c>
      <c r="K131" s="987">
        <v>30000</v>
      </c>
      <c r="L131" s="982" t="s">
        <v>52</v>
      </c>
      <c r="M131" s="993"/>
      <c r="N131" s="1001"/>
      <c r="O131" s="987"/>
      <c r="P131" s="969">
        <v>80.87</v>
      </c>
      <c r="Q131" s="970">
        <f t="shared" si="12"/>
        <v>9461.79</v>
      </c>
      <c r="R131" s="971"/>
      <c r="S131" s="936"/>
      <c r="T131" s="988">
        <v>119.98</v>
      </c>
      <c r="U131" s="936"/>
      <c r="V131" s="971">
        <v>117</v>
      </c>
      <c r="W131" s="1003" t="s">
        <v>446</v>
      </c>
      <c r="X131" s="1003" t="s">
        <v>447</v>
      </c>
      <c r="Y131" s="1004">
        <v>2</v>
      </c>
      <c r="Z131" s="1004">
        <v>15000</v>
      </c>
      <c r="AA131" s="936"/>
      <c r="AB131" s="936"/>
      <c r="AC131" s="936"/>
      <c r="AD131" s="974">
        <f t="shared" si="13"/>
        <v>0</v>
      </c>
      <c r="AE131" s="975">
        <v>0.28</v>
      </c>
      <c r="AF131" s="976"/>
      <c r="AG131" s="1006"/>
      <c r="AH131" s="977"/>
      <c r="AI131" s="978"/>
      <c r="AJ131" s="977"/>
      <c r="AK131" s="978"/>
      <c r="AL131" s="971">
        <f t="shared" si="14"/>
        <v>80.87</v>
      </c>
      <c r="AM131" s="971">
        <f t="shared" si="15"/>
        <v>9461.79</v>
      </c>
      <c r="AN131" s="989"/>
      <c r="AO131" s="987">
        <v>30000</v>
      </c>
      <c r="AP131" s="982" t="s">
        <v>52</v>
      </c>
      <c r="AQ131" s="980" t="s">
        <v>331</v>
      </c>
      <c r="AR131" s="981">
        <v>45660</v>
      </c>
      <c r="AS131" s="982" t="s">
        <v>332</v>
      </c>
      <c r="AT131" s="984">
        <v>45674</v>
      </c>
      <c r="AU131" s="983" t="s">
        <v>333</v>
      </c>
      <c r="AV131" s="984" t="s">
        <v>59</v>
      </c>
      <c r="AW131" s="982" t="s">
        <v>60</v>
      </c>
      <c r="AX131" s="1047"/>
      <c r="AY131" s="860"/>
      <c r="AZ131" s="1048"/>
    </row>
    <row r="132" ht="127.5" customHeight="1" spans="1:52">
      <c r="A132" s="960">
        <v>37</v>
      </c>
      <c r="B132" s="961">
        <v>5806320000</v>
      </c>
      <c r="C132" s="961">
        <v>580632</v>
      </c>
      <c r="D132" s="960" t="s">
        <v>353</v>
      </c>
      <c r="E132" s="960" t="s">
        <v>448</v>
      </c>
      <c r="F132" s="962" t="s">
        <v>449</v>
      </c>
      <c r="G132" s="986"/>
      <c r="H132" s="802"/>
      <c r="I132" s="964" t="s">
        <v>123</v>
      </c>
      <c r="J132" s="994">
        <v>8.4</v>
      </c>
      <c r="K132" s="987">
        <v>30000</v>
      </c>
      <c r="L132" s="982" t="s">
        <v>52</v>
      </c>
      <c r="M132" s="993"/>
      <c r="N132" s="1001"/>
      <c r="O132" s="987"/>
      <c r="P132" s="969">
        <v>189.3</v>
      </c>
      <c r="Q132" s="970">
        <f t="shared" si="12"/>
        <v>1590.12</v>
      </c>
      <c r="R132" s="971"/>
      <c r="S132" s="936"/>
      <c r="T132" s="988">
        <v>9.89</v>
      </c>
      <c r="U132" s="936"/>
      <c r="V132" s="971">
        <v>8.4</v>
      </c>
      <c r="W132" s="1051" t="s">
        <v>262</v>
      </c>
      <c r="X132" s="1003" t="s">
        <v>450</v>
      </c>
      <c r="Y132" s="1002">
        <v>1</v>
      </c>
      <c r="Z132" s="1004">
        <v>30000</v>
      </c>
      <c r="AA132" s="936"/>
      <c r="AB132" s="936"/>
      <c r="AC132" s="936"/>
      <c r="AD132" s="1005">
        <f t="shared" si="13"/>
        <v>0</v>
      </c>
      <c r="AE132" s="1000">
        <v>0.14</v>
      </c>
      <c r="AF132" s="976"/>
      <c r="AG132" s="1006"/>
      <c r="AH132" s="977"/>
      <c r="AI132" s="978"/>
      <c r="AJ132" s="977"/>
      <c r="AK132" s="978"/>
      <c r="AL132" s="971">
        <f t="shared" si="14"/>
        <v>189.3</v>
      </c>
      <c r="AM132" s="971">
        <f t="shared" si="15"/>
        <v>1590.12</v>
      </c>
      <c r="AN132" s="989"/>
      <c r="AO132" s="987">
        <v>30000</v>
      </c>
      <c r="AP132" s="982" t="s">
        <v>52</v>
      </c>
      <c r="AQ132" s="980" t="s">
        <v>331</v>
      </c>
      <c r="AR132" s="981">
        <v>45660</v>
      </c>
      <c r="AS132" s="982" t="s">
        <v>332</v>
      </c>
      <c r="AT132" s="984">
        <v>45674</v>
      </c>
      <c r="AU132" s="983" t="s">
        <v>333</v>
      </c>
      <c r="AV132" s="984" t="s">
        <v>59</v>
      </c>
      <c r="AW132" s="982" t="s">
        <v>60</v>
      </c>
      <c r="AX132" s="1047"/>
      <c r="AY132" s="860"/>
      <c r="AZ132" s="1048"/>
    </row>
    <row r="133" ht="127.5" customHeight="1" spans="1:52">
      <c r="A133" s="960">
        <v>38</v>
      </c>
      <c r="B133" s="961">
        <v>5806320000</v>
      </c>
      <c r="C133" s="961">
        <v>580632</v>
      </c>
      <c r="D133" s="960" t="s">
        <v>353</v>
      </c>
      <c r="E133" s="960" t="s">
        <v>451</v>
      </c>
      <c r="F133" s="962" t="s">
        <v>452</v>
      </c>
      <c r="G133" s="986"/>
      <c r="H133" s="802"/>
      <c r="I133" s="964" t="s">
        <v>123</v>
      </c>
      <c r="J133" s="994">
        <v>8.7</v>
      </c>
      <c r="K133" s="987">
        <v>30000</v>
      </c>
      <c r="L133" s="982" t="s">
        <v>52</v>
      </c>
      <c r="M133" s="993"/>
      <c r="N133" s="1001"/>
      <c r="O133" s="987"/>
      <c r="P133" s="969">
        <v>146.5</v>
      </c>
      <c r="Q133" s="970">
        <f t="shared" si="12"/>
        <v>1274.55</v>
      </c>
      <c r="R133" s="971"/>
      <c r="S133" s="936"/>
      <c r="T133" s="988">
        <v>8.7</v>
      </c>
      <c r="U133" s="936"/>
      <c r="V133" s="971">
        <v>8.7</v>
      </c>
      <c r="W133" s="1052"/>
      <c r="X133" s="1003"/>
      <c r="Y133" s="1010"/>
      <c r="Z133" s="1004">
        <v>30000</v>
      </c>
      <c r="AA133" s="936"/>
      <c r="AB133" s="936"/>
      <c r="AC133" s="936"/>
      <c r="AD133" s="1011"/>
      <c r="AE133" s="1012"/>
      <c r="AF133" s="976"/>
      <c r="AG133" s="1006"/>
      <c r="AH133" s="977"/>
      <c r="AI133" s="978"/>
      <c r="AJ133" s="977"/>
      <c r="AK133" s="978"/>
      <c r="AL133" s="971">
        <f t="shared" si="14"/>
        <v>146.5</v>
      </c>
      <c r="AM133" s="971">
        <f t="shared" si="15"/>
        <v>1274.55</v>
      </c>
      <c r="AN133" s="989"/>
      <c r="AO133" s="987">
        <v>30000</v>
      </c>
      <c r="AP133" s="982" t="s">
        <v>52</v>
      </c>
      <c r="AQ133" s="980" t="s">
        <v>331</v>
      </c>
      <c r="AR133" s="981">
        <v>45660</v>
      </c>
      <c r="AS133" s="982" t="s">
        <v>332</v>
      </c>
      <c r="AT133" s="984">
        <v>45674</v>
      </c>
      <c r="AU133" s="983" t="s">
        <v>333</v>
      </c>
      <c r="AV133" s="984" t="s">
        <v>59</v>
      </c>
      <c r="AW133" s="982" t="s">
        <v>60</v>
      </c>
      <c r="AX133" s="1047"/>
      <c r="AY133" s="860"/>
      <c r="AZ133" s="1048"/>
    </row>
    <row r="134" ht="127.5" customHeight="1" spans="1:52">
      <c r="A134" s="960">
        <v>39</v>
      </c>
      <c r="B134" s="961">
        <v>5806320000</v>
      </c>
      <c r="C134" s="961">
        <v>580632</v>
      </c>
      <c r="D134" s="960" t="s">
        <v>362</v>
      </c>
      <c r="E134" s="960" t="s">
        <v>453</v>
      </c>
      <c r="F134" s="962" t="s">
        <v>454</v>
      </c>
      <c r="G134" s="986"/>
      <c r="H134" s="802"/>
      <c r="I134" s="964" t="s">
        <v>123</v>
      </c>
      <c r="J134" s="994">
        <v>240</v>
      </c>
      <c r="K134" s="987">
        <v>30000</v>
      </c>
      <c r="L134" s="982" t="s">
        <v>52</v>
      </c>
      <c r="M134" s="993"/>
      <c r="N134" s="1001"/>
      <c r="O134" s="987"/>
      <c r="P134" s="969">
        <v>174.96</v>
      </c>
      <c r="Q134" s="970">
        <f t="shared" si="12"/>
        <v>41990.4</v>
      </c>
      <c r="R134" s="971"/>
      <c r="S134" s="936"/>
      <c r="T134" s="988">
        <f>257.88-6</f>
        <v>251.88</v>
      </c>
      <c r="U134" s="936"/>
      <c r="V134" s="971">
        <v>240</v>
      </c>
      <c r="W134" s="1004">
        <v>7</v>
      </c>
      <c r="X134" s="1003" t="s">
        <v>455</v>
      </c>
      <c r="Y134" s="1004">
        <v>12</v>
      </c>
      <c r="Z134" s="1004">
        <v>2500</v>
      </c>
      <c r="AA134" s="936"/>
      <c r="AB134" s="936"/>
      <c r="AC134" s="936"/>
      <c r="AD134" s="974">
        <f t="shared" ref="AD134:AD153" si="16">AA134*AB134*AC134/28316.75*0.0283</f>
        <v>0</v>
      </c>
      <c r="AE134" s="975">
        <v>1.69</v>
      </c>
      <c r="AF134" s="976"/>
      <c r="AG134" s="1006"/>
      <c r="AH134" s="977"/>
      <c r="AI134" s="978"/>
      <c r="AJ134" s="977"/>
      <c r="AK134" s="978"/>
      <c r="AL134" s="971">
        <f t="shared" si="14"/>
        <v>174.96</v>
      </c>
      <c r="AM134" s="971">
        <f t="shared" si="15"/>
        <v>41990.4</v>
      </c>
      <c r="AN134" s="989"/>
      <c r="AO134" s="987">
        <v>30000</v>
      </c>
      <c r="AP134" s="982" t="s">
        <v>52</v>
      </c>
      <c r="AQ134" s="980" t="s">
        <v>331</v>
      </c>
      <c r="AR134" s="981">
        <v>45660</v>
      </c>
      <c r="AS134" s="982" t="s">
        <v>332</v>
      </c>
      <c r="AT134" s="984">
        <v>45674</v>
      </c>
      <c r="AU134" s="983" t="s">
        <v>333</v>
      </c>
      <c r="AV134" s="984" t="s">
        <v>59</v>
      </c>
      <c r="AW134" s="982" t="s">
        <v>60</v>
      </c>
      <c r="AX134" s="1047"/>
      <c r="AY134" s="860"/>
      <c r="AZ134" s="1048"/>
    </row>
    <row r="135" ht="127.5" customHeight="1" spans="1:52">
      <c r="A135" s="960">
        <v>40</v>
      </c>
      <c r="B135" s="961">
        <v>5806320000</v>
      </c>
      <c r="C135" s="961">
        <v>580632</v>
      </c>
      <c r="D135" s="960" t="s">
        <v>362</v>
      </c>
      <c r="E135" s="960" t="s">
        <v>456</v>
      </c>
      <c r="F135" s="962" t="s">
        <v>457</v>
      </c>
      <c r="G135" s="986"/>
      <c r="H135" s="802"/>
      <c r="I135" s="964" t="s">
        <v>123</v>
      </c>
      <c r="J135" s="994">
        <v>216</v>
      </c>
      <c r="K135" s="987">
        <v>60000</v>
      </c>
      <c r="L135" s="982" t="s">
        <v>52</v>
      </c>
      <c r="M135" s="993"/>
      <c r="N135" s="1001"/>
      <c r="O135" s="987"/>
      <c r="P135" s="969">
        <v>82.71</v>
      </c>
      <c r="Q135" s="970">
        <f t="shared" si="12"/>
        <v>17865.36</v>
      </c>
      <c r="R135" s="971"/>
      <c r="S135" s="936"/>
      <c r="T135" s="988">
        <f>242.82-6</f>
        <v>236.82</v>
      </c>
      <c r="U135" s="936"/>
      <c r="V135" s="971">
        <v>216</v>
      </c>
      <c r="W135" s="1004" t="s">
        <v>458</v>
      </c>
      <c r="X135" s="1003" t="s">
        <v>459</v>
      </c>
      <c r="Y135" s="1004">
        <v>18</v>
      </c>
      <c r="Z135" s="1004">
        <v>3334</v>
      </c>
      <c r="AA135" s="936"/>
      <c r="AB135" s="936"/>
      <c r="AC135" s="936"/>
      <c r="AD135" s="974">
        <f t="shared" si="16"/>
        <v>0</v>
      </c>
      <c r="AE135" s="975">
        <v>2.54</v>
      </c>
      <c r="AF135" s="1014"/>
      <c r="AG135" s="1006"/>
      <c r="AH135" s="977"/>
      <c r="AI135" s="978"/>
      <c r="AJ135" s="977"/>
      <c r="AK135" s="978"/>
      <c r="AL135" s="971">
        <f t="shared" si="14"/>
        <v>82.71</v>
      </c>
      <c r="AM135" s="971">
        <f t="shared" si="15"/>
        <v>17865.36</v>
      </c>
      <c r="AN135" s="989"/>
      <c r="AO135" s="987">
        <v>60000</v>
      </c>
      <c r="AP135" s="982" t="s">
        <v>52</v>
      </c>
      <c r="AQ135" s="980" t="s">
        <v>331</v>
      </c>
      <c r="AR135" s="981">
        <v>45660</v>
      </c>
      <c r="AS135" s="982" t="s">
        <v>332</v>
      </c>
      <c r="AT135" s="984">
        <v>45674</v>
      </c>
      <c r="AU135" s="983" t="s">
        <v>333</v>
      </c>
      <c r="AV135" s="984" t="s">
        <v>59</v>
      </c>
      <c r="AW135" s="982" t="s">
        <v>60</v>
      </c>
      <c r="AX135" s="1047"/>
      <c r="AY135" s="860"/>
      <c r="AZ135" s="1048"/>
    </row>
    <row r="136" ht="127.5" customHeight="1" spans="1:52">
      <c r="A136" s="960">
        <v>41</v>
      </c>
      <c r="B136" s="961">
        <v>5806320000</v>
      </c>
      <c r="C136" s="961">
        <v>580632</v>
      </c>
      <c r="D136" s="960" t="s">
        <v>362</v>
      </c>
      <c r="E136" s="960" t="s">
        <v>460</v>
      </c>
      <c r="F136" s="962" t="s">
        <v>461</v>
      </c>
      <c r="G136" s="986"/>
      <c r="H136" s="802"/>
      <c r="I136" s="964" t="s">
        <v>123</v>
      </c>
      <c r="J136" s="994">
        <v>64.5</v>
      </c>
      <c r="K136" s="987">
        <v>30000</v>
      </c>
      <c r="L136" s="982" t="s">
        <v>52</v>
      </c>
      <c r="M136" s="993"/>
      <c r="N136" s="1001"/>
      <c r="O136" s="987"/>
      <c r="P136" s="969">
        <v>42.4</v>
      </c>
      <c r="Q136" s="970">
        <f t="shared" si="12"/>
        <v>2734.8</v>
      </c>
      <c r="R136" s="971"/>
      <c r="S136" s="936"/>
      <c r="T136" s="988">
        <v>70.46</v>
      </c>
      <c r="U136" s="936"/>
      <c r="V136" s="971">
        <v>64.5</v>
      </c>
      <c r="W136" s="1004">
        <v>8</v>
      </c>
      <c r="X136" s="1003" t="s">
        <v>462</v>
      </c>
      <c r="Y136" s="1004">
        <v>4</v>
      </c>
      <c r="Z136" s="1004">
        <v>7500</v>
      </c>
      <c r="AA136" s="936"/>
      <c r="AB136" s="936"/>
      <c r="AC136" s="936"/>
      <c r="AD136" s="974">
        <f t="shared" si="16"/>
        <v>0</v>
      </c>
      <c r="AE136" s="975">
        <v>0.56</v>
      </c>
      <c r="AF136" s="1014"/>
      <c r="AG136" s="1006"/>
      <c r="AH136" s="977"/>
      <c r="AI136" s="978"/>
      <c r="AJ136" s="977"/>
      <c r="AK136" s="978"/>
      <c r="AL136" s="971">
        <f t="shared" si="14"/>
        <v>42.4</v>
      </c>
      <c r="AM136" s="971">
        <f t="shared" si="15"/>
        <v>2734.8</v>
      </c>
      <c r="AN136" s="989"/>
      <c r="AO136" s="987">
        <v>30000</v>
      </c>
      <c r="AP136" s="982" t="s">
        <v>52</v>
      </c>
      <c r="AQ136" s="980" t="s">
        <v>331</v>
      </c>
      <c r="AR136" s="981">
        <v>45660</v>
      </c>
      <c r="AS136" s="982" t="s">
        <v>332</v>
      </c>
      <c r="AT136" s="984">
        <v>45674</v>
      </c>
      <c r="AU136" s="983" t="s">
        <v>333</v>
      </c>
      <c r="AV136" s="984" t="s">
        <v>59</v>
      </c>
      <c r="AW136" s="982" t="s">
        <v>60</v>
      </c>
      <c r="AX136" s="1047"/>
      <c r="AY136" s="860"/>
      <c r="AZ136" s="1048"/>
    </row>
    <row r="137" ht="127.5" customHeight="1" spans="1:52">
      <c r="A137" s="960">
        <v>42</v>
      </c>
      <c r="B137" s="961">
        <v>5806320000</v>
      </c>
      <c r="C137" s="961">
        <v>580632</v>
      </c>
      <c r="D137" s="960" t="s">
        <v>362</v>
      </c>
      <c r="E137" s="960" t="s">
        <v>463</v>
      </c>
      <c r="F137" s="962" t="s">
        <v>464</v>
      </c>
      <c r="G137" s="986"/>
      <c r="H137" s="802"/>
      <c r="I137" s="964" t="s">
        <v>123</v>
      </c>
      <c r="J137" s="994">
        <v>24</v>
      </c>
      <c r="K137" s="987">
        <v>60000</v>
      </c>
      <c r="L137" s="982" t="s">
        <v>52</v>
      </c>
      <c r="M137" s="993"/>
      <c r="N137" s="1001"/>
      <c r="O137" s="987"/>
      <c r="P137" s="969">
        <v>109.91</v>
      </c>
      <c r="Q137" s="970">
        <f t="shared" si="12"/>
        <v>2637.84</v>
      </c>
      <c r="R137" s="971"/>
      <c r="S137" s="936"/>
      <c r="T137" s="988">
        <v>26.98</v>
      </c>
      <c r="U137" s="936"/>
      <c r="V137" s="971">
        <v>24</v>
      </c>
      <c r="W137" s="1003" t="s">
        <v>465</v>
      </c>
      <c r="X137" s="1003" t="s">
        <v>466</v>
      </c>
      <c r="Y137" s="1004">
        <v>2</v>
      </c>
      <c r="Z137" s="1004">
        <v>30000</v>
      </c>
      <c r="AA137" s="936"/>
      <c r="AB137" s="936"/>
      <c r="AC137" s="936"/>
      <c r="AD137" s="974">
        <f t="shared" si="16"/>
        <v>0</v>
      </c>
      <c r="AE137" s="975">
        <v>0.28</v>
      </c>
      <c r="AF137" s="1014"/>
      <c r="AG137" s="1006"/>
      <c r="AH137" s="977"/>
      <c r="AI137" s="978"/>
      <c r="AJ137" s="977"/>
      <c r="AK137" s="978"/>
      <c r="AL137" s="971">
        <f t="shared" si="14"/>
        <v>109.91</v>
      </c>
      <c r="AM137" s="971">
        <f t="shared" si="15"/>
        <v>2637.84</v>
      </c>
      <c r="AN137" s="989"/>
      <c r="AO137" s="987">
        <v>60000</v>
      </c>
      <c r="AP137" s="982" t="s">
        <v>52</v>
      </c>
      <c r="AQ137" s="980" t="s">
        <v>331</v>
      </c>
      <c r="AR137" s="981">
        <v>45660</v>
      </c>
      <c r="AS137" s="982" t="s">
        <v>332</v>
      </c>
      <c r="AT137" s="984">
        <v>45674</v>
      </c>
      <c r="AU137" s="983" t="s">
        <v>333</v>
      </c>
      <c r="AV137" s="984" t="s">
        <v>59</v>
      </c>
      <c r="AW137" s="982" t="s">
        <v>60</v>
      </c>
      <c r="AX137" s="1047"/>
      <c r="AY137" s="860"/>
      <c r="AZ137" s="1048"/>
    </row>
    <row r="138" ht="127.5" customHeight="1" spans="1:52">
      <c r="A138" s="960">
        <v>43</v>
      </c>
      <c r="B138" s="961">
        <v>5806320000</v>
      </c>
      <c r="C138" s="961">
        <v>580632</v>
      </c>
      <c r="D138" s="960" t="s">
        <v>362</v>
      </c>
      <c r="E138" s="960" t="s">
        <v>467</v>
      </c>
      <c r="F138" s="962" t="s">
        <v>468</v>
      </c>
      <c r="G138" s="986"/>
      <c r="H138" s="802"/>
      <c r="I138" s="964" t="s">
        <v>123</v>
      </c>
      <c r="J138" s="994">
        <v>63</v>
      </c>
      <c r="K138" s="987">
        <v>90000</v>
      </c>
      <c r="L138" s="982" t="s">
        <v>52</v>
      </c>
      <c r="M138" s="993"/>
      <c r="N138" s="1001"/>
      <c r="O138" s="987"/>
      <c r="P138" s="969">
        <v>134.53</v>
      </c>
      <c r="Q138" s="970">
        <f t="shared" si="12"/>
        <v>8475.39</v>
      </c>
      <c r="R138" s="971"/>
      <c r="S138" s="936"/>
      <c r="T138" s="988">
        <v>70.45</v>
      </c>
      <c r="U138" s="936"/>
      <c r="V138" s="971">
        <v>63</v>
      </c>
      <c r="W138" s="1004">
        <v>8</v>
      </c>
      <c r="X138" s="1003" t="s">
        <v>469</v>
      </c>
      <c r="Y138" s="1004">
        <v>5</v>
      </c>
      <c r="Z138" s="1004">
        <v>18000</v>
      </c>
      <c r="AA138" s="936"/>
      <c r="AB138" s="936"/>
      <c r="AC138" s="936"/>
      <c r="AD138" s="974">
        <f t="shared" si="16"/>
        <v>0</v>
      </c>
      <c r="AE138" s="975">
        <v>0.7</v>
      </c>
      <c r="AF138" s="1014"/>
      <c r="AG138" s="1006"/>
      <c r="AH138" s="977"/>
      <c r="AI138" s="978"/>
      <c r="AJ138" s="977"/>
      <c r="AK138" s="978"/>
      <c r="AL138" s="971">
        <f t="shared" si="14"/>
        <v>134.53</v>
      </c>
      <c r="AM138" s="971">
        <f t="shared" si="15"/>
        <v>8475.39</v>
      </c>
      <c r="AN138" s="989"/>
      <c r="AO138" s="987">
        <v>90000</v>
      </c>
      <c r="AP138" s="982" t="s">
        <v>52</v>
      </c>
      <c r="AQ138" s="980" t="s">
        <v>331</v>
      </c>
      <c r="AR138" s="981">
        <v>45660</v>
      </c>
      <c r="AS138" s="982" t="s">
        <v>332</v>
      </c>
      <c r="AT138" s="984">
        <v>45674</v>
      </c>
      <c r="AU138" s="983" t="s">
        <v>333</v>
      </c>
      <c r="AV138" s="984" t="s">
        <v>59</v>
      </c>
      <c r="AW138" s="982" t="s">
        <v>60</v>
      </c>
      <c r="AX138" s="1047"/>
      <c r="AY138" s="860"/>
      <c r="AZ138" s="1048"/>
    </row>
    <row r="139" ht="127.5" customHeight="1" spans="1:52">
      <c r="A139" s="960">
        <v>44</v>
      </c>
      <c r="B139" s="961">
        <v>5806320000</v>
      </c>
      <c r="C139" s="961">
        <v>580632</v>
      </c>
      <c r="D139" s="960" t="s">
        <v>362</v>
      </c>
      <c r="E139" s="960" t="s">
        <v>470</v>
      </c>
      <c r="F139" s="962" t="s">
        <v>471</v>
      </c>
      <c r="G139" s="986"/>
      <c r="H139" s="802"/>
      <c r="I139" s="964" t="s">
        <v>123</v>
      </c>
      <c r="J139" s="994">
        <v>81</v>
      </c>
      <c r="K139" s="987">
        <v>90000</v>
      </c>
      <c r="L139" s="982" t="s">
        <v>52</v>
      </c>
      <c r="M139" s="993"/>
      <c r="N139" s="1001"/>
      <c r="O139" s="987"/>
      <c r="P139" s="969">
        <v>116.44</v>
      </c>
      <c r="Q139" s="970">
        <f t="shared" si="12"/>
        <v>9431.64</v>
      </c>
      <c r="R139" s="971"/>
      <c r="S139" s="936"/>
      <c r="T139" s="988">
        <v>85.47</v>
      </c>
      <c r="U139" s="936"/>
      <c r="V139" s="971">
        <v>81</v>
      </c>
      <c r="W139" s="1004">
        <v>9</v>
      </c>
      <c r="X139" s="1003" t="s">
        <v>472</v>
      </c>
      <c r="Y139" s="1004">
        <v>3</v>
      </c>
      <c r="Z139" s="1004">
        <v>30000</v>
      </c>
      <c r="AA139" s="936"/>
      <c r="AB139" s="936"/>
      <c r="AC139" s="936"/>
      <c r="AD139" s="974">
        <f t="shared" si="16"/>
        <v>0</v>
      </c>
      <c r="AE139" s="975">
        <v>0.42</v>
      </c>
      <c r="AF139" s="1014"/>
      <c r="AG139" s="1006"/>
      <c r="AH139" s="977"/>
      <c r="AI139" s="978"/>
      <c r="AJ139" s="977"/>
      <c r="AK139" s="978"/>
      <c r="AL139" s="971">
        <f t="shared" si="14"/>
        <v>116.44</v>
      </c>
      <c r="AM139" s="971">
        <f t="shared" si="15"/>
        <v>9431.64</v>
      </c>
      <c r="AN139" s="989"/>
      <c r="AO139" s="987">
        <v>90000</v>
      </c>
      <c r="AP139" s="982" t="s">
        <v>52</v>
      </c>
      <c r="AQ139" s="980" t="s">
        <v>331</v>
      </c>
      <c r="AR139" s="981">
        <v>45660</v>
      </c>
      <c r="AS139" s="982" t="s">
        <v>332</v>
      </c>
      <c r="AT139" s="984">
        <v>45674</v>
      </c>
      <c r="AU139" s="983" t="s">
        <v>333</v>
      </c>
      <c r="AV139" s="984" t="s">
        <v>59</v>
      </c>
      <c r="AW139" s="982" t="s">
        <v>60</v>
      </c>
      <c r="AX139" s="1047"/>
      <c r="AY139" s="860"/>
      <c r="AZ139" s="1048"/>
    </row>
    <row r="140" ht="127.5" customHeight="1" spans="1:52">
      <c r="A140" s="960">
        <v>45</v>
      </c>
      <c r="B140" s="961">
        <v>5806320000</v>
      </c>
      <c r="C140" s="961">
        <v>580632</v>
      </c>
      <c r="D140" s="960" t="s">
        <v>362</v>
      </c>
      <c r="E140" s="960" t="s">
        <v>473</v>
      </c>
      <c r="F140" s="962" t="s">
        <v>474</v>
      </c>
      <c r="G140" s="986"/>
      <c r="H140" s="802"/>
      <c r="I140" s="964" t="s">
        <v>123</v>
      </c>
      <c r="J140" s="994">
        <v>63</v>
      </c>
      <c r="K140" s="987">
        <v>90000</v>
      </c>
      <c r="L140" s="982" t="s">
        <v>52</v>
      </c>
      <c r="M140" s="993"/>
      <c r="N140" s="1001"/>
      <c r="O140" s="987"/>
      <c r="P140" s="969">
        <v>131.39</v>
      </c>
      <c r="Q140" s="970">
        <f t="shared" si="12"/>
        <v>8277.57</v>
      </c>
      <c r="R140" s="971"/>
      <c r="S140" s="936"/>
      <c r="T140" s="988">
        <v>67.47</v>
      </c>
      <c r="U140" s="936"/>
      <c r="V140" s="971">
        <v>63</v>
      </c>
      <c r="W140" s="1004">
        <v>9</v>
      </c>
      <c r="X140" s="1003" t="s">
        <v>475</v>
      </c>
      <c r="Y140" s="1004">
        <v>3</v>
      </c>
      <c r="Z140" s="1004">
        <v>30000</v>
      </c>
      <c r="AA140" s="936"/>
      <c r="AB140" s="936"/>
      <c r="AC140" s="936"/>
      <c r="AD140" s="974">
        <f t="shared" si="16"/>
        <v>0</v>
      </c>
      <c r="AE140" s="975">
        <v>0.42</v>
      </c>
      <c r="AF140" s="1014"/>
      <c r="AG140" s="1006"/>
      <c r="AH140" s="977"/>
      <c r="AI140" s="978"/>
      <c r="AJ140" s="977"/>
      <c r="AK140" s="978"/>
      <c r="AL140" s="971">
        <f t="shared" si="14"/>
        <v>131.39</v>
      </c>
      <c r="AM140" s="971">
        <f t="shared" si="15"/>
        <v>8277.57</v>
      </c>
      <c r="AN140" s="989"/>
      <c r="AO140" s="987">
        <v>90000</v>
      </c>
      <c r="AP140" s="982" t="s">
        <v>52</v>
      </c>
      <c r="AQ140" s="980" t="s">
        <v>331</v>
      </c>
      <c r="AR140" s="981">
        <v>45660</v>
      </c>
      <c r="AS140" s="982" t="s">
        <v>332</v>
      </c>
      <c r="AT140" s="984">
        <v>45674</v>
      </c>
      <c r="AU140" s="983" t="s">
        <v>333</v>
      </c>
      <c r="AV140" s="984" t="s">
        <v>59</v>
      </c>
      <c r="AW140" s="982" t="s">
        <v>60</v>
      </c>
      <c r="AX140" s="1047"/>
      <c r="AY140" s="860"/>
      <c r="AZ140" s="1048"/>
    </row>
    <row r="141" ht="127.5" customHeight="1" spans="1:52">
      <c r="A141" s="960">
        <v>46</v>
      </c>
      <c r="B141" s="961">
        <v>5806320000</v>
      </c>
      <c r="C141" s="961">
        <v>580632</v>
      </c>
      <c r="D141" s="960" t="s">
        <v>362</v>
      </c>
      <c r="E141" s="960" t="s">
        <v>476</v>
      </c>
      <c r="F141" s="962" t="s">
        <v>477</v>
      </c>
      <c r="G141" s="986"/>
      <c r="H141" s="802"/>
      <c r="I141" s="964" t="s">
        <v>123</v>
      </c>
      <c r="J141" s="994">
        <v>75.6</v>
      </c>
      <c r="K141" s="987">
        <v>90000</v>
      </c>
      <c r="L141" s="982" t="s">
        <v>52</v>
      </c>
      <c r="M141" s="993"/>
      <c r="N141" s="1001"/>
      <c r="O141" s="987"/>
      <c r="P141" s="969">
        <v>124.75</v>
      </c>
      <c r="Q141" s="970">
        <f t="shared" si="12"/>
        <v>9431.1</v>
      </c>
      <c r="R141" s="971"/>
      <c r="S141" s="936"/>
      <c r="T141" s="988">
        <v>80.07</v>
      </c>
      <c r="U141" s="936"/>
      <c r="V141" s="971">
        <v>75.6</v>
      </c>
      <c r="W141" s="1004">
        <v>9</v>
      </c>
      <c r="X141" s="1003" t="s">
        <v>478</v>
      </c>
      <c r="Y141" s="1004">
        <v>3</v>
      </c>
      <c r="Z141" s="1004">
        <v>30000</v>
      </c>
      <c r="AA141" s="936"/>
      <c r="AB141" s="936"/>
      <c r="AC141" s="936"/>
      <c r="AD141" s="974">
        <f t="shared" si="16"/>
        <v>0</v>
      </c>
      <c r="AE141" s="975">
        <v>0.42</v>
      </c>
      <c r="AF141" s="1014"/>
      <c r="AG141" s="1006"/>
      <c r="AH141" s="977"/>
      <c r="AI141" s="978"/>
      <c r="AJ141" s="977"/>
      <c r="AK141" s="978"/>
      <c r="AL141" s="971">
        <f t="shared" si="14"/>
        <v>124.75</v>
      </c>
      <c r="AM141" s="971">
        <f t="shared" si="15"/>
        <v>9431.1</v>
      </c>
      <c r="AN141" s="989"/>
      <c r="AO141" s="987">
        <v>90000</v>
      </c>
      <c r="AP141" s="982" t="s">
        <v>52</v>
      </c>
      <c r="AQ141" s="980" t="s">
        <v>331</v>
      </c>
      <c r="AR141" s="981">
        <v>45660</v>
      </c>
      <c r="AS141" s="982" t="s">
        <v>332</v>
      </c>
      <c r="AT141" s="984">
        <v>45674</v>
      </c>
      <c r="AU141" s="983" t="s">
        <v>333</v>
      </c>
      <c r="AV141" s="984" t="s">
        <v>59</v>
      </c>
      <c r="AW141" s="982" t="s">
        <v>60</v>
      </c>
      <c r="AX141" s="1047"/>
      <c r="AY141" s="860"/>
      <c r="AZ141" s="1048"/>
    </row>
    <row r="142" ht="127.5" customHeight="1" spans="1:52">
      <c r="A142" s="960">
        <v>47</v>
      </c>
      <c r="B142" s="961">
        <v>5806320000</v>
      </c>
      <c r="C142" s="961">
        <v>580632</v>
      </c>
      <c r="D142" s="960" t="s">
        <v>362</v>
      </c>
      <c r="E142" s="960" t="s">
        <v>479</v>
      </c>
      <c r="F142" s="962" t="s">
        <v>480</v>
      </c>
      <c r="G142" s="986"/>
      <c r="H142" s="802"/>
      <c r="I142" s="964" t="s">
        <v>123</v>
      </c>
      <c r="J142" s="994">
        <v>110.4</v>
      </c>
      <c r="K142" s="987">
        <v>30000</v>
      </c>
      <c r="L142" s="982" t="s">
        <v>52</v>
      </c>
      <c r="M142" s="993"/>
      <c r="N142" s="1001"/>
      <c r="O142" s="987"/>
      <c r="P142" s="969">
        <v>98.65</v>
      </c>
      <c r="Q142" s="970">
        <f t="shared" si="12"/>
        <v>10890.96</v>
      </c>
      <c r="R142" s="971"/>
      <c r="S142" s="936"/>
      <c r="T142" s="988">
        <v>113.38</v>
      </c>
      <c r="U142" s="936"/>
      <c r="V142" s="971">
        <v>110.4</v>
      </c>
      <c r="W142" s="1004">
        <v>7</v>
      </c>
      <c r="X142" s="1003" t="s">
        <v>481</v>
      </c>
      <c r="Y142" s="1004">
        <v>2</v>
      </c>
      <c r="Z142" s="1004">
        <v>15000</v>
      </c>
      <c r="AA142" s="936"/>
      <c r="AB142" s="936"/>
      <c r="AC142" s="936"/>
      <c r="AD142" s="974">
        <f t="shared" si="16"/>
        <v>0</v>
      </c>
      <c r="AE142" s="975">
        <v>0.28</v>
      </c>
      <c r="AF142" s="1014"/>
      <c r="AG142" s="1006"/>
      <c r="AH142" s="977"/>
      <c r="AI142" s="978"/>
      <c r="AJ142" s="977"/>
      <c r="AK142" s="978"/>
      <c r="AL142" s="971">
        <f t="shared" si="14"/>
        <v>98.65</v>
      </c>
      <c r="AM142" s="971">
        <f t="shared" si="15"/>
        <v>10890.96</v>
      </c>
      <c r="AN142" s="989"/>
      <c r="AO142" s="987">
        <v>30000</v>
      </c>
      <c r="AP142" s="982" t="s">
        <v>52</v>
      </c>
      <c r="AQ142" s="980" t="s">
        <v>331</v>
      </c>
      <c r="AR142" s="981">
        <v>45660</v>
      </c>
      <c r="AS142" s="982" t="s">
        <v>332</v>
      </c>
      <c r="AT142" s="984">
        <v>45674</v>
      </c>
      <c r="AU142" s="983" t="s">
        <v>333</v>
      </c>
      <c r="AV142" s="984" t="s">
        <v>59</v>
      </c>
      <c r="AW142" s="982" t="s">
        <v>60</v>
      </c>
      <c r="AX142" s="1047"/>
      <c r="AY142" s="860"/>
      <c r="AZ142" s="1048"/>
    </row>
    <row r="143" ht="127.5" customHeight="1" spans="1:52">
      <c r="A143" s="960">
        <v>48</v>
      </c>
      <c r="B143" s="961">
        <v>5806320000</v>
      </c>
      <c r="C143" s="961">
        <v>580632</v>
      </c>
      <c r="D143" s="960" t="s">
        <v>362</v>
      </c>
      <c r="E143" s="960" t="s">
        <v>482</v>
      </c>
      <c r="F143" s="962" t="s">
        <v>483</v>
      </c>
      <c r="G143" s="986"/>
      <c r="H143" s="802"/>
      <c r="I143" s="964" t="s">
        <v>123</v>
      </c>
      <c r="J143" s="994">
        <v>21</v>
      </c>
      <c r="K143" s="987">
        <v>30000</v>
      </c>
      <c r="L143" s="982" t="s">
        <v>52</v>
      </c>
      <c r="M143" s="993"/>
      <c r="N143" s="1001"/>
      <c r="O143" s="987"/>
      <c r="P143" s="969">
        <v>115.94</v>
      </c>
      <c r="Q143" s="970">
        <f t="shared" si="12"/>
        <v>2434.74</v>
      </c>
      <c r="R143" s="971"/>
      <c r="S143" s="936"/>
      <c r="T143" s="988">
        <v>22.49</v>
      </c>
      <c r="U143" s="936"/>
      <c r="V143" s="971">
        <v>21</v>
      </c>
      <c r="W143" s="1004">
        <v>8</v>
      </c>
      <c r="X143" s="1003" t="s">
        <v>484</v>
      </c>
      <c r="Y143" s="1004">
        <v>1</v>
      </c>
      <c r="Z143" s="1004">
        <v>30000</v>
      </c>
      <c r="AA143" s="936"/>
      <c r="AB143" s="936"/>
      <c r="AC143" s="936"/>
      <c r="AD143" s="974">
        <f t="shared" si="16"/>
        <v>0</v>
      </c>
      <c r="AE143" s="975">
        <v>0.14</v>
      </c>
      <c r="AF143" s="1014"/>
      <c r="AG143" s="1006"/>
      <c r="AH143" s="992"/>
      <c r="AI143" s="1016"/>
      <c r="AJ143" s="992"/>
      <c r="AK143" s="1016"/>
      <c r="AL143" s="971">
        <f t="shared" si="14"/>
        <v>115.94</v>
      </c>
      <c r="AM143" s="971">
        <f t="shared" si="15"/>
        <v>2434.74</v>
      </c>
      <c r="AN143" s="988"/>
      <c r="AO143" s="987">
        <v>30000</v>
      </c>
      <c r="AP143" s="982" t="s">
        <v>52</v>
      </c>
      <c r="AQ143" s="980" t="s">
        <v>331</v>
      </c>
      <c r="AR143" s="981">
        <v>45660</v>
      </c>
      <c r="AS143" s="982" t="s">
        <v>332</v>
      </c>
      <c r="AT143" s="984">
        <v>45674</v>
      </c>
      <c r="AU143" s="983" t="s">
        <v>333</v>
      </c>
      <c r="AV143" s="984" t="s">
        <v>59</v>
      </c>
      <c r="AW143" s="982" t="s">
        <v>60</v>
      </c>
      <c r="AX143" s="1047"/>
      <c r="AY143" s="860"/>
      <c r="AZ143" s="1048"/>
    </row>
    <row r="144" ht="127.5" customHeight="1" spans="1:52">
      <c r="A144" s="960">
        <v>49</v>
      </c>
      <c r="B144" s="961">
        <v>5806320000</v>
      </c>
      <c r="C144" s="961">
        <v>580632</v>
      </c>
      <c r="D144" s="960" t="s">
        <v>362</v>
      </c>
      <c r="E144" s="960" t="s">
        <v>485</v>
      </c>
      <c r="F144" s="962" t="s">
        <v>486</v>
      </c>
      <c r="G144" s="986"/>
      <c r="H144" s="802"/>
      <c r="I144" s="964" t="s">
        <v>123</v>
      </c>
      <c r="J144" s="994">
        <v>20.4</v>
      </c>
      <c r="K144" s="987">
        <v>30000</v>
      </c>
      <c r="L144" s="982" t="s">
        <v>52</v>
      </c>
      <c r="M144" s="993"/>
      <c r="N144" s="1001"/>
      <c r="O144" s="987"/>
      <c r="P144" s="969">
        <v>40.1</v>
      </c>
      <c r="Q144" s="970">
        <f t="shared" si="12"/>
        <v>818.04</v>
      </c>
      <c r="R144" s="971"/>
      <c r="S144" s="936"/>
      <c r="T144" s="988">
        <v>23.38</v>
      </c>
      <c r="U144" s="936"/>
      <c r="V144" s="971">
        <v>20.4</v>
      </c>
      <c r="W144" s="1004">
        <v>9</v>
      </c>
      <c r="X144" s="1003" t="s">
        <v>487</v>
      </c>
      <c r="Y144" s="1004">
        <v>2</v>
      </c>
      <c r="Z144" s="1004">
        <v>15000</v>
      </c>
      <c r="AA144" s="936"/>
      <c r="AB144" s="936"/>
      <c r="AC144" s="936"/>
      <c r="AD144" s="974">
        <f t="shared" si="16"/>
        <v>0</v>
      </c>
      <c r="AE144" s="975">
        <v>0.28</v>
      </c>
      <c r="AF144" s="1014"/>
      <c r="AG144" s="1006"/>
      <c r="AH144" s="977" t="s">
        <v>488</v>
      </c>
      <c r="AI144" s="978">
        <v>45631</v>
      </c>
      <c r="AJ144" s="977" t="s">
        <v>489</v>
      </c>
      <c r="AK144" s="978">
        <v>45631</v>
      </c>
      <c r="AL144" s="971">
        <f t="shared" si="14"/>
        <v>40.1</v>
      </c>
      <c r="AM144" s="971">
        <f t="shared" si="15"/>
        <v>818.04</v>
      </c>
      <c r="AN144" s="989">
        <f>SUM(AM144:AM153)</f>
        <v>173024.25</v>
      </c>
      <c r="AO144" s="987">
        <v>30000</v>
      </c>
      <c r="AP144" s="982" t="s">
        <v>52</v>
      </c>
      <c r="AQ144" s="980" t="s">
        <v>331</v>
      </c>
      <c r="AR144" s="981">
        <v>45660</v>
      </c>
      <c r="AS144" s="982" t="s">
        <v>332</v>
      </c>
      <c r="AT144" s="984">
        <v>45674</v>
      </c>
      <c r="AU144" s="983" t="s">
        <v>333</v>
      </c>
      <c r="AV144" s="984" t="s">
        <v>59</v>
      </c>
      <c r="AW144" s="982" t="s">
        <v>60</v>
      </c>
      <c r="AX144" s="1047"/>
      <c r="AY144" s="860"/>
      <c r="AZ144" s="1048"/>
    </row>
    <row r="145" ht="127.5" customHeight="1" spans="1:52">
      <c r="A145" s="960">
        <v>50</v>
      </c>
      <c r="B145" s="961">
        <v>5806320000</v>
      </c>
      <c r="C145" s="961">
        <v>580632</v>
      </c>
      <c r="D145" s="960" t="s">
        <v>365</v>
      </c>
      <c r="E145" s="960" t="s">
        <v>490</v>
      </c>
      <c r="F145" s="962" t="s">
        <v>491</v>
      </c>
      <c r="G145" s="986"/>
      <c r="H145" s="802"/>
      <c r="I145" s="964" t="s">
        <v>123</v>
      </c>
      <c r="J145" s="994">
        <v>240</v>
      </c>
      <c r="K145" s="987">
        <v>30000</v>
      </c>
      <c r="L145" s="982" t="s">
        <v>52</v>
      </c>
      <c r="M145" s="993"/>
      <c r="N145" s="1001"/>
      <c r="O145" s="987"/>
      <c r="P145" s="969">
        <v>174.96</v>
      </c>
      <c r="Q145" s="970">
        <f t="shared" si="12"/>
        <v>41990.4</v>
      </c>
      <c r="R145" s="971"/>
      <c r="S145" s="936"/>
      <c r="T145" s="988">
        <f>257.88-4</f>
        <v>253.88</v>
      </c>
      <c r="U145" s="936"/>
      <c r="V145" s="971">
        <v>240</v>
      </c>
      <c r="W145" s="1003" t="s">
        <v>492</v>
      </c>
      <c r="X145" s="1003" t="s">
        <v>493</v>
      </c>
      <c r="Y145" s="1004">
        <v>12</v>
      </c>
      <c r="Z145" s="1004">
        <v>2500</v>
      </c>
      <c r="AA145" s="936"/>
      <c r="AB145" s="936"/>
      <c r="AC145" s="936"/>
      <c r="AD145" s="974">
        <f t="shared" si="16"/>
        <v>0</v>
      </c>
      <c r="AE145" s="975">
        <v>1.69</v>
      </c>
      <c r="AF145" s="1014"/>
      <c r="AG145" s="1006"/>
      <c r="AH145" s="977"/>
      <c r="AI145" s="978"/>
      <c r="AJ145" s="977"/>
      <c r="AK145" s="978"/>
      <c r="AL145" s="971">
        <f t="shared" si="14"/>
        <v>174.96</v>
      </c>
      <c r="AM145" s="971">
        <f t="shared" si="15"/>
        <v>41990.4</v>
      </c>
      <c r="AN145" s="989"/>
      <c r="AO145" s="987">
        <v>30000</v>
      </c>
      <c r="AP145" s="982" t="s">
        <v>52</v>
      </c>
      <c r="AQ145" s="980" t="s">
        <v>331</v>
      </c>
      <c r="AR145" s="981">
        <v>45660</v>
      </c>
      <c r="AS145" s="982" t="s">
        <v>332</v>
      </c>
      <c r="AT145" s="984">
        <v>45674</v>
      </c>
      <c r="AU145" s="983" t="s">
        <v>333</v>
      </c>
      <c r="AV145" s="984" t="s">
        <v>59</v>
      </c>
      <c r="AW145" s="982" t="s">
        <v>60</v>
      </c>
      <c r="AX145" s="1047"/>
      <c r="AY145" s="860"/>
      <c r="AZ145" s="1048"/>
    </row>
    <row r="146" ht="127.5" customHeight="1" spans="1:52">
      <c r="A146" s="960">
        <v>51</v>
      </c>
      <c r="B146" s="961">
        <v>5806320000</v>
      </c>
      <c r="C146" s="961">
        <v>580632</v>
      </c>
      <c r="D146" s="960" t="s">
        <v>365</v>
      </c>
      <c r="E146" s="960" t="s">
        <v>494</v>
      </c>
      <c r="F146" s="962" t="s">
        <v>495</v>
      </c>
      <c r="G146" s="986"/>
      <c r="H146" s="802"/>
      <c r="I146" s="964" t="s">
        <v>123</v>
      </c>
      <c r="J146" s="994">
        <v>204</v>
      </c>
      <c r="K146" s="987">
        <v>60000</v>
      </c>
      <c r="L146" s="982" t="s">
        <v>52</v>
      </c>
      <c r="M146" s="993"/>
      <c r="N146" s="1001"/>
      <c r="O146" s="987"/>
      <c r="P146" s="969">
        <v>87.58</v>
      </c>
      <c r="Q146" s="970">
        <f t="shared" si="12"/>
        <v>17866.32</v>
      </c>
      <c r="R146" s="971"/>
      <c r="S146" s="936"/>
      <c r="T146" s="988">
        <f>221.88-6</f>
        <v>215.88</v>
      </c>
      <c r="U146" s="936"/>
      <c r="V146" s="971">
        <v>204</v>
      </c>
      <c r="W146" s="1004">
        <v>5</v>
      </c>
      <c r="X146" s="1003" t="s">
        <v>496</v>
      </c>
      <c r="Y146" s="1004">
        <v>12</v>
      </c>
      <c r="Z146" s="1004">
        <v>5000</v>
      </c>
      <c r="AA146" s="936"/>
      <c r="AB146" s="936"/>
      <c r="AC146" s="936"/>
      <c r="AD146" s="974">
        <f t="shared" si="16"/>
        <v>0</v>
      </c>
      <c r="AE146" s="975">
        <v>1.69</v>
      </c>
      <c r="AF146" s="1014"/>
      <c r="AG146" s="1006"/>
      <c r="AH146" s="977"/>
      <c r="AI146" s="978"/>
      <c r="AJ146" s="977"/>
      <c r="AK146" s="978"/>
      <c r="AL146" s="971">
        <f t="shared" si="14"/>
        <v>87.58</v>
      </c>
      <c r="AM146" s="971">
        <f t="shared" si="15"/>
        <v>17866.32</v>
      </c>
      <c r="AN146" s="989"/>
      <c r="AO146" s="987">
        <v>60000</v>
      </c>
      <c r="AP146" s="982" t="s">
        <v>52</v>
      </c>
      <c r="AQ146" s="980" t="s">
        <v>331</v>
      </c>
      <c r="AR146" s="981">
        <v>45660</v>
      </c>
      <c r="AS146" s="982" t="s">
        <v>332</v>
      </c>
      <c r="AT146" s="984">
        <v>45674</v>
      </c>
      <c r="AU146" s="983" t="s">
        <v>333</v>
      </c>
      <c r="AV146" s="984" t="s">
        <v>59</v>
      </c>
      <c r="AW146" s="982" t="s">
        <v>60</v>
      </c>
      <c r="AX146" s="1047"/>
      <c r="AY146" s="860"/>
      <c r="AZ146" s="1048"/>
    </row>
    <row r="147" ht="127.5" customHeight="1" spans="1:52">
      <c r="A147" s="960">
        <v>52</v>
      </c>
      <c r="B147" s="961">
        <v>5806320000</v>
      </c>
      <c r="C147" s="961">
        <v>580632</v>
      </c>
      <c r="D147" s="960" t="s">
        <v>365</v>
      </c>
      <c r="E147" s="960" t="s">
        <v>497</v>
      </c>
      <c r="F147" s="962" t="s">
        <v>498</v>
      </c>
      <c r="G147" s="986"/>
      <c r="H147" s="802"/>
      <c r="I147" s="964" t="s">
        <v>123</v>
      </c>
      <c r="J147" s="994">
        <v>60</v>
      </c>
      <c r="K147" s="987">
        <v>30000</v>
      </c>
      <c r="L147" s="982" t="s">
        <v>52</v>
      </c>
      <c r="M147" s="993"/>
      <c r="N147" s="1001"/>
      <c r="O147" s="987"/>
      <c r="P147" s="969">
        <v>45.59</v>
      </c>
      <c r="Q147" s="970">
        <f t="shared" si="12"/>
        <v>2735.4</v>
      </c>
      <c r="R147" s="971"/>
      <c r="S147" s="936"/>
      <c r="T147" s="988">
        <v>65.96</v>
      </c>
      <c r="U147" s="936"/>
      <c r="V147" s="971">
        <v>60</v>
      </c>
      <c r="W147" s="1004">
        <v>5</v>
      </c>
      <c r="X147" s="1003" t="s">
        <v>499</v>
      </c>
      <c r="Y147" s="1004">
        <v>4</v>
      </c>
      <c r="Z147" s="1004">
        <v>7500</v>
      </c>
      <c r="AA147" s="936"/>
      <c r="AB147" s="936"/>
      <c r="AC147" s="936"/>
      <c r="AD147" s="974">
        <f t="shared" si="16"/>
        <v>0</v>
      </c>
      <c r="AE147" s="975">
        <v>0.56</v>
      </c>
      <c r="AF147" s="1014"/>
      <c r="AG147" s="1006"/>
      <c r="AH147" s="977"/>
      <c r="AI147" s="978"/>
      <c r="AJ147" s="977"/>
      <c r="AK147" s="978"/>
      <c r="AL147" s="971">
        <f t="shared" si="14"/>
        <v>45.59</v>
      </c>
      <c r="AM147" s="971">
        <f t="shared" si="15"/>
        <v>2735.4</v>
      </c>
      <c r="AN147" s="989"/>
      <c r="AO147" s="987">
        <v>30000</v>
      </c>
      <c r="AP147" s="982" t="s">
        <v>52</v>
      </c>
      <c r="AQ147" s="980" t="s">
        <v>331</v>
      </c>
      <c r="AR147" s="981">
        <v>45660</v>
      </c>
      <c r="AS147" s="982" t="s">
        <v>332</v>
      </c>
      <c r="AT147" s="984">
        <v>45674</v>
      </c>
      <c r="AU147" s="983" t="s">
        <v>333</v>
      </c>
      <c r="AV147" s="984" t="s">
        <v>59</v>
      </c>
      <c r="AW147" s="982" t="s">
        <v>60</v>
      </c>
      <c r="AX147" s="1047"/>
      <c r="AY147" s="860"/>
      <c r="AZ147" s="1048"/>
    </row>
    <row r="148" ht="127.5" customHeight="1" spans="1:52">
      <c r="A148" s="960">
        <v>53</v>
      </c>
      <c r="B148" s="961">
        <v>5806320000</v>
      </c>
      <c r="C148" s="961">
        <v>580632</v>
      </c>
      <c r="D148" s="960" t="s">
        <v>365</v>
      </c>
      <c r="E148" s="960" t="s">
        <v>500</v>
      </c>
      <c r="F148" s="962" t="s">
        <v>501</v>
      </c>
      <c r="G148" s="986"/>
      <c r="H148" s="802"/>
      <c r="I148" s="964" t="s">
        <v>123</v>
      </c>
      <c r="J148" s="994">
        <v>23.4</v>
      </c>
      <c r="K148" s="987">
        <v>60000</v>
      </c>
      <c r="L148" s="982" t="s">
        <v>52</v>
      </c>
      <c r="M148" s="993"/>
      <c r="N148" s="1001"/>
      <c r="O148" s="987"/>
      <c r="P148" s="969">
        <v>112.75</v>
      </c>
      <c r="Q148" s="970">
        <f t="shared" si="12"/>
        <v>2638.35</v>
      </c>
      <c r="R148" s="971"/>
      <c r="S148" s="936"/>
      <c r="T148" s="988">
        <v>26.38</v>
      </c>
      <c r="U148" s="936"/>
      <c r="V148" s="971">
        <v>23.4</v>
      </c>
      <c r="W148" s="1004">
        <v>4</v>
      </c>
      <c r="X148" s="1003" t="s">
        <v>502</v>
      </c>
      <c r="Y148" s="1004">
        <v>2</v>
      </c>
      <c r="Z148" s="1004">
        <v>30000</v>
      </c>
      <c r="AA148" s="936"/>
      <c r="AB148" s="936"/>
      <c r="AC148" s="936"/>
      <c r="AD148" s="974">
        <f t="shared" si="16"/>
        <v>0</v>
      </c>
      <c r="AE148" s="975">
        <v>0.28</v>
      </c>
      <c r="AF148" s="1014"/>
      <c r="AG148" s="1006"/>
      <c r="AH148" s="977"/>
      <c r="AI148" s="978"/>
      <c r="AJ148" s="977"/>
      <c r="AK148" s="978"/>
      <c r="AL148" s="971">
        <f t="shared" si="14"/>
        <v>112.75</v>
      </c>
      <c r="AM148" s="971">
        <f t="shared" si="15"/>
        <v>2638.35</v>
      </c>
      <c r="AN148" s="989"/>
      <c r="AO148" s="987">
        <v>60000</v>
      </c>
      <c r="AP148" s="982" t="s">
        <v>52</v>
      </c>
      <c r="AQ148" s="980" t="s">
        <v>331</v>
      </c>
      <c r="AR148" s="981">
        <v>45660</v>
      </c>
      <c r="AS148" s="982" t="s">
        <v>332</v>
      </c>
      <c r="AT148" s="984">
        <v>45674</v>
      </c>
      <c r="AU148" s="983" t="s">
        <v>333</v>
      </c>
      <c r="AV148" s="984" t="s">
        <v>59</v>
      </c>
      <c r="AW148" s="982" t="s">
        <v>60</v>
      </c>
      <c r="AX148" s="1047"/>
      <c r="AY148" s="860"/>
      <c r="AZ148" s="1048"/>
    </row>
    <row r="149" ht="127.5" customHeight="1" spans="1:52">
      <c r="A149" s="960">
        <v>54</v>
      </c>
      <c r="B149" s="961">
        <v>5806320000</v>
      </c>
      <c r="C149" s="961">
        <v>580632</v>
      </c>
      <c r="D149" s="960" t="s">
        <v>365</v>
      </c>
      <c r="E149" s="960" t="s">
        <v>503</v>
      </c>
      <c r="F149" s="962" t="s">
        <v>504</v>
      </c>
      <c r="G149" s="986"/>
      <c r="H149" s="802"/>
      <c r="I149" s="964" t="s">
        <v>123</v>
      </c>
      <c r="J149" s="994">
        <v>135</v>
      </c>
      <c r="K149" s="987">
        <v>180000</v>
      </c>
      <c r="L149" s="982" t="s">
        <v>52</v>
      </c>
      <c r="M149" s="993"/>
      <c r="N149" s="1001"/>
      <c r="O149" s="987"/>
      <c r="P149" s="969">
        <v>286.34</v>
      </c>
      <c r="Q149" s="970">
        <f t="shared" si="12"/>
        <v>38655.9</v>
      </c>
      <c r="R149" s="971"/>
      <c r="S149" s="936"/>
      <c r="T149" s="988">
        <f>152.88-6.57</f>
        <v>146.31</v>
      </c>
      <c r="U149" s="936"/>
      <c r="V149" s="971">
        <v>135</v>
      </c>
      <c r="W149" s="1004">
        <v>4</v>
      </c>
      <c r="X149" s="1003" t="s">
        <v>505</v>
      </c>
      <c r="Y149" s="1004">
        <v>12</v>
      </c>
      <c r="Z149" s="1004">
        <v>15000</v>
      </c>
      <c r="AA149" s="936"/>
      <c r="AB149" s="936"/>
      <c r="AC149" s="936"/>
      <c r="AD149" s="974">
        <f t="shared" si="16"/>
        <v>0</v>
      </c>
      <c r="AE149" s="975">
        <v>1.69</v>
      </c>
      <c r="AF149" s="1014"/>
      <c r="AG149" s="1006"/>
      <c r="AH149" s="977"/>
      <c r="AI149" s="978"/>
      <c r="AJ149" s="977"/>
      <c r="AK149" s="978"/>
      <c r="AL149" s="971">
        <f t="shared" si="14"/>
        <v>286.34</v>
      </c>
      <c r="AM149" s="971">
        <f t="shared" si="15"/>
        <v>38655.9</v>
      </c>
      <c r="AN149" s="989"/>
      <c r="AO149" s="987">
        <v>180000</v>
      </c>
      <c r="AP149" s="982" t="s">
        <v>52</v>
      </c>
      <c r="AQ149" s="980" t="s">
        <v>331</v>
      </c>
      <c r="AR149" s="981">
        <v>45660</v>
      </c>
      <c r="AS149" s="982" t="s">
        <v>332</v>
      </c>
      <c r="AT149" s="984">
        <v>45674</v>
      </c>
      <c r="AU149" s="983" t="s">
        <v>333</v>
      </c>
      <c r="AV149" s="984" t="s">
        <v>59</v>
      </c>
      <c r="AW149" s="982" t="s">
        <v>60</v>
      </c>
      <c r="AX149" s="1047"/>
      <c r="AY149" s="860"/>
      <c r="AZ149" s="1048"/>
    </row>
    <row r="150" ht="127.5" customHeight="1" spans="1:52">
      <c r="A150" s="960">
        <v>55</v>
      </c>
      <c r="B150" s="961">
        <v>5806320000</v>
      </c>
      <c r="C150" s="961">
        <v>580632</v>
      </c>
      <c r="D150" s="960" t="s">
        <v>365</v>
      </c>
      <c r="E150" s="960" t="s">
        <v>506</v>
      </c>
      <c r="F150" s="962" t="s">
        <v>507</v>
      </c>
      <c r="G150" s="986"/>
      <c r="H150" s="802"/>
      <c r="I150" s="964" t="s">
        <v>123</v>
      </c>
      <c r="J150" s="994">
        <v>63</v>
      </c>
      <c r="K150" s="987">
        <v>180000</v>
      </c>
      <c r="L150" s="982" t="s">
        <v>52</v>
      </c>
      <c r="M150" s="993"/>
      <c r="N150" s="1001"/>
      <c r="O150" s="987"/>
      <c r="P150" s="969">
        <v>852.69</v>
      </c>
      <c r="Q150" s="970">
        <f t="shared" si="12"/>
        <v>53719.47</v>
      </c>
      <c r="R150" s="971"/>
      <c r="S150" s="936"/>
      <c r="T150" s="988">
        <v>64.49</v>
      </c>
      <c r="U150" s="936"/>
      <c r="V150" s="971">
        <v>63</v>
      </c>
      <c r="W150" s="1004">
        <v>6</v>
      </c>
      <c r="X150" s="1003" t="s">
        <v>508</v>
      </c>
      <c r="Y150" s="1004">
        <v>1</v>
      </c>
      <c r="Z150" s="1004">
        <v>180000</v>
      </c>
      <c r="AA150" s="936"/>
      <c r="AB150" s="936"/>
      <c r="AC150" s="936"/>
      <c r="AD150" s="974">
        <f t="shared" si="16"/>
        <v>0</v>
      </c>
      <c r="AE150" s="975">
        <v>0.14</v>
      </c>
      <c r="AF150" s="1014"/>
      <c r="AG150" s="1006"/>
      <c r="AH150" s="977"/>
      <c r="AI150" s="978"/>
      <c r="AJ150" s="977"/>
      <c r="AK150" s="978"/>
      <c r="AL150" s="971">
        <f t="shared" si="14"/>
        <v>852.69</v>
      </c>
      <c r="AM150" s="971">
        <f t="shared" si="15"/>
        <v>53719.47</v>
      </c>
      <c r="AN150" s="989"/>
      <c r="AO150" s="987">
        <v>180000</v>
      </c>
      <c r="AP150" s="982" t="s">
        <v>52</v>
      </c>
      <c r="AQ150" s="980" t="s">
        <v>331</v>
      </c>
      <c r="AR150" s="981">
        <v>45660</v>
      </c>
      <c r="AS150" s="982" t="s">
        <v>332</v>
      </c>
      <c r="AT150" s="984">
        <v>45674</v>
      </c>
      <c r="AU150" s="983" t="s">
        <v>333</v>
      </c>
      <c r="AV150" s="984" t="s">
        <v>59</v>
      </c>
      <c r="AW150" s="982" t="s">
        <v>60</v>
      </c>
      <c r="AX150" s="1047"/>
      <c r="AY150" s="860"/>
      <c r="AZ150" s="1048"/>
    </row>
    <row r="151" ht="127.5" customHeight="1" spans="1:52">
      <c r="A151" s="960">
        <v>56</v>
      </c>
      <c r="B151" s="961">
        <v>5806320000</v>
      </c>
      <c r="C151" s="961">
        <v>580632</v>
      </c>
      <c r="D151" s="960" t="s">
        <v>365</v>
      </c>
      <c r="E151" s="960" t="s">
        <v>509</v>
      </c>
      <c r="F151" s="962" t="s">
        <v>510</v>
      </c>
      <c r="G151" s="986"/>
      <c r="H151" s="802"/>
      <c r="I151" s="964" t="s">
        <v>123</v>
      </c>
      <c r="J151" s="994">
        <v>105</v>
      </c>
      <c r="K151" s="987">
        <v>30000</v>
      </c>
      <c r="L151" s="982" t="s">
        <v>52</v>
      </c>
      <c r="M151" s="993"/>
      <c r="N151" s="1001"/>
      <c r="O151" s="987"/>
      <c r="P151" s="969">
        <v>103.71</v>
      </c>
      <c r="Q151" s="970">
        <f t="shared" si="12"/>
        <v>10889.55</v>
      </c>
      <c r="R151" s="971"/>
      <c r="S151" s="936"/>
      <c r="T151" s="988">
        <v>107.98</v>
      </c>
      <c r="U151" s="936"/>
      <c r="V151" s="971">
        <v>105</v>
      </c>
      <c r="W151" s="1004">
        <v>6</v>
      </c>
      <c r="X151" s="1003" t="s">
        <v>511</v>
      </c>
      <c r="Y151" s="1004">
        <v>2</v>
      </c>
      <c r="Z151" s="1004">
        <v>15000</v>
      </c>
      <c r="AA151" s="936"/>
      <c r="AB151" s="936"/>
      <c r="AC151" s="936"/>
      <c r="AD151" s="974">
        <f t="shared" si="16"/>
        <v>0</v>
      </c>
      <c r="AE151" s="975">
        <v>0.28</v>
      </c>
      <c r="AF151" s="1014"/>
      <c r="AG151" s="1006"/>
      <c r="AH151" s="977"/>
      <c r="AI151" s="978"/>
      <c r="AJ151" s="977"/>
      <c r="AK151" s="978"/>
      <c r="AL151" s="971">
        <f t="shared" si="14"/>
        <v>103.71</v>
      </c>
      <c r="AM151" s="971">
        <f t="shared" si="15"/>
        <v>10889.55</v>
      </c>
      <c r="AN151" s="989"/>
      <c r="AO151" s="987">
        <v>30000</v>
      </c>
      <c r="AP151" s="982" t="s">
        <v>52</v>
      </c>
      <c r="AQ151" s="980" t="s">
        <v>331</v>
      </c>
      <c r="AR151" s="981">
        <v>45660</v>
      </c>
      <c r="AS151" s="982" t="s">
        <v>332</v>
      </c>
      <c r="AT151" s="984">
        <v>45674</v>
      </c>
      <c r="AU151" s="983" t="s">
        <v>333</v>
      </c>
      <c r="AV151" s="984" t="s">
        <v>59</v>
      </c>
      <c r="AW151" s="982" t="s">
        <v>60</v>
      </c>
      <c r="AX151" s="1047"/>
      <c r="AY151" s="860"/>
      <c r="AZ151" s="1048"/>
    </row>
    <row r="152" ht="127.5" customHeight="1" spans="1:52">
      <c r="A152" s="960">
        <v>57</v>
      </c>
      <c r="B152" s="961">
        <v>5806320000</v>
      </c>
      <c r="C152" s="961">
        <v>580632</v>
      </c>
      <c r="D152" s="960" t="s">
        <v>365</v>
      </c>
      <c r="E152" s="960" t="s">
        <v>512</v>
      </c>
      <c r="F152" s="962" t="s">
        <v>513</v>
      </c>
      <c r="G152" s="986"/>
      <c r="H152" s="802"/>
      <c r="I152" s="964" t="s">
        <v>123</v>
      </c>
      <c r="J152" s="994">
        <v>20.1</v>
      </c>
      <c r="K152" s="987">
        <v>30000</v>
      </c>
      <c r="L152" s="982" t="s">
        <v>52</v>
      </c>
      <c r="M152" s="993"/>
      <c r="N152" s="1001"/>
      <c r="O152" s="987"/>
      <c r="P152" s="969">
        <v>121.2</v>
      </c>
      <c r="Q152" s="970">
        <f t="shared" si="12"/>
        <v>2436.12</v>
      </c>
      <c r="R152" s="971"/>
      <c r="S152" s="936"/>
      <c r="T152" s="988">
        <v>21.59</v>
      </c>
      <c r="U152" s="936"/>
      <c r="V152" s="971">
        <v>20.1</v>
      </c>
      <c r="W152" s="1004">
        <v>6</v>
      </c>
      <c r="X152" s="1003" t="s">
        <v>514</v>
      </c>
      <c r="Y152" s="1004">
        <v>1</v>
      </c>
      <c r="Z152" s="1004">
        <v>30000</v>
      </c>
      <c r="AA152" s="936"/>
      <c r="AB152" s="936"/>
      <c r="AC152" s="936"/>
      <c r="AD152" s="974">
        <f t="shared" si="16"/>
        <v>0</v>
      </c>
      <c r="AE152" s="975">
        <v>0.14</v>
      </c>
      <c r="AF152" s="1014"/>
      <c r="AG152" s="1006"/>
      <c r="AH152" s="977"/>
      <c r="AI152" s="978"/>
      <c r="AJ152" s="977"/>
      <c r="AK152" s="978"/>
      <c r="AL152" s="971">
        <f t="shared" si="14"/>
        <v>121.2</v>
      </c>
      <c r="AM152" s="971">
        <f t="shared" si="15"/>
        <v>2436.12</v>
      </c>
      <c r="AN152" s="989"/>
      <c r="AO152" s="987">
        <v>30000</v>
      </c>
      <c r="AP152" s="982" t="s">
        <v>52</v>
      </c>
      <c r="AQ152" s="980" t="s">
        <v>331</v>
      </c>
      <c r="AR152" s="981">
        <v>45660</v>
      </c>
      <c r="AS152" s="982" t="s">
        <v>332</v>
      </c>
      <c r="AT152" s="984">
        <v>45674</v>
      </c>
      <c r="AU152" s="983" t="s">
        <v>333</v>
      </c>
      <c r="AV152" s="984" t="s">
        <v>59</v>
      </c>
      <c r="AW152" s="982" t="s">
        <v>60</v>
      </c>
      <c r="AX152" s="1047"/>
      <c r="AY152" s="860"/>
      <c r="AZ152" s="1048"/>
    </row>
    <row r="153" ht="127.5" customHeight="1" spans="1:52">
      <c r="A153" s="960">
        <v>58</v>
      </c>
      <c r="B153" s="961">
        <v>5806320000</v>
      </c>
      <c r="C153" s="961">
        <v>580632</v>
      </c>
      <c r="D153" s="960" t="s">
        <v>365</v>
      </c>
      <c r="E153" s="960" t="s">
        <v>515</v>
      </c>
      <c r="F153" s="962" t="s">
        <v>516</v>
      </c>
      <c r="G153" s="986"/>
      <c r="H153" s="802"/>
      <c r="I153" s="964" t="s">
        <v>123</v>
      </c>
      <c r="J153" s="994">
        <v>8.4</v>
      </c>
      <c r="K153" s="987">
        <v>30000</v>
      </c>
      <c r="L153" s="982" t="s">
        <v>52</v>
      </c>
      <c r="M153" s="993"/>
      <c r="N153" s="1001"/>
      <c r="O153" s="987"/>
      <c r="P153" s="969">
        <v>151.75</v>
      </c>
      <c r="Q153" s="970">
        <f t="shared" si="12"/>
        <v>1274.7</v>
      </c>
      <c r="R153" s="971"/>
      <c r="S153" s="936"/>
      <c r="T153" s="988">
        <v>9.89</v>
      </c>
      <c r="U153" s="936"/>
      <c r="V153" s="971">
        <v>8.4</v>
      </c>
      <c r="W153" s="1004">
        <v>6</v>
      </c>
      <c r="X153" s="1003" t="s">
        <v>517</v>
      </c>
      <c r="Y153" s="1004">
        <v>1</v>
      </c>
      <c r="Z153" s="1004">
        <v>30000</v>
      </c>
      <c r="AA153" s="936"/>
      <c r="AB153" s="936"/>
      <c r="AC153" s="936"/>
      <c r="AD153" s="974">
        <f t="shared" si="16"/>
        <v>0</v>
      </c>
      <c r="AE153" s="975">
        <v>0.14</v>
      </c>
      <c r="AF153" s="1014"/>
      <c r="AG153" s="1006"/>
      <c r="AH153" s="992"/>
      <c r="AI153" s="1016"/>
      <c r="AJ153" s="992"/>
      <c r="AK153" s="1016"/>
      <c r="AL153" s="971">
        <f t="shared" si="14"/>
        <v>151.75</v>
      </c>
      <c r="AM153" s="971">
        <f t="shared" si="15"/>
        <v>1274.7</v>
      </c>
      <c r="AN153" s="988"/>
      <c r="AO153" s="987">
        <v>30000</v>
      </c>
      <c r="AP153" s="982" t="s">
        <v>52</v>
      </c>
      <c r="AQ153" s="980" t="s">
        <v>331</v>
      </c>
      <c r="AR153" s="981">
        <v>45660</v>
      </c>
      <c r="AS153" s="982" t="s">
        <v>332</v>
      </c>
      <c r="AT153" s="984">
        <v>45674</v>
      </c>
      <c r="AU153" s="983" t="s">
        <v>333</v>
      </c>
      <c r="AV153" s="984" t="s">
        <v>59</v>
      </c>
      <c r="AW153" s="982" t="s">
        <v>60</v>
      </c>
      <c r="AX153" s="1053"/>
      <c r="AY153" s="867"/>
      <c r="AZ153" s="1054"/>
    </row>
    <row r="154" ht="127.5" customHeight="1" spans="1:52">
      <c r="A154" s="375"/>
      <c r="B154" s="1017"/>
      <c r="C154" s="1017"/>
      <c r="D154" s="375"/>
      <c r="E154" s="375"/>
      <c r="F154" s="375"/>
      <c r="G154" s="1018"/>
      <c r="H154" s="820"/>
      <c r="I154" s="1019"/>
      <c r="J154" s="1055">
        <f>SUM(J125:J153)</f>
        <v>2763.3</v>
      </c>
      <c r="K154" s="1021"/>
      <c r="L154" s="1022"/>
      <c r="M154" s="1021"/>
      <c r="N154" s="1023"/>
      <c r="O154" s="1021"/>
      <c r="P154" s="1024"/>
      <c r="Q154" s="1055">
        <f t="shared" ref="Q154:T154" si="17">SUM(Q125:Q153)</f>
        <v>452878.5</v>
      </c>
      <c r="R154" s="1055">
        <f t="shared" si="17"/>
        <v>452878.5</v>
      </c>
      <c r="T154" s="1055">
        <f t="shared" si="17"/>
        <v>2943.72</v>
      </c>
      <c r="V154" s="1055">
        <v>2763.3</v>
      </c>
      <c r="W154" s="1056"/>
      <c r="X154" s="1021"/>
      <c r="Y154" s="1055">
        <f>SUM(Y125:Y153)</f>
        <v>151</v>
      </c>
      <c r="Z154" s="1021"/>
      <c r="AD154" s="1026"/>
      <c r="AE154" s="1055">
        <f>SUM(AE125:AE153)</f>
        <v>21.23</v>
      </c>
      <c r="AF154" s="1021"/>
      <c r="AG154" s="1021"/>
      <c r="AH154" s="1057"/>
      <c r="AI154" s="1058"/>
      <c r="AJ154" s="1059"/>
      <c r="AK154" s="1058"/>
      <c r="AL154" s="1020"/>
      <c r="AM154" s="1055">
        <f>SUM(AM125:AM153)</f>
        <v>452878.5</v>
      </c>
      <c r="AN154" s="1055">
        <f>SUM(AN125:AN153)</f>
        <v>452878.5</v>
      </c>
      <c r="AO154" s="1021"/>
      <c r="AP154" s="1022"/>
      <c r="AQ154" s="1027"/>
      <c r="AR154" s="1028"/>
      <c r="AS154" s="1029"/>
      <c r="AT154" s="1030"/>
      <c r="AU154" s="1029"/>
      <c r="AV154" s="1029"/>
      <c r="AW154" s="1029"/>
      <c r="AX154" s="1043"/>
      <c r="AY154" s="820"/>
      <c r="AZ154" s="821"/>
    </row>
    <row r="155" ht="127.5" customHeight="1" spans="1:52">
      <c r="A155" s="962">
        <v>59</v>
      </c>
      <c r="B155" s="966">
        <v>3506100090</v>
      </c>
      <c r="C155" s="966">
        <v>350610</v>
      </c>
      <c r="D155" s="962" t="s">
        <v>323</v>
      </c>
      <c r="E155" s="962" t="s">
        <v>518</v>
      </c>
      <c r="F155" s="962" t="s">
        <v>519</v>
      </c>
      <c r="G155" s="1060"/>
      <c r="H155" s="802"/>
      <c r="I155" s="964" t="s">
        <v>123</v>
      </c>
      <c r="J155" s="994">
        <v>2.65</v>
      </c>
      <c r="K155" s="1061">
        <v>100</v>
      </c>
      <c r="L155" s="982" t="s">
        <v>52</v>
      </c>
      <c r="M155" s="1061" t="s">
        <v>520</v>
      </c>
      <c r="N155" s="1062"/>
      <c r="O155" s="1061"/>
      <c r="P155" s="1063">
        <v>152</v>
      </c>
      <c r="Q155" s="1064">
        <f>P155*J155</f>
        <v>402.8</v>
      </c>
      <c r="R155" s="1065">
        <f>Q155</f>
        <v>402.8</v>
      </c>
      <c r="S155" s="936"/>
      <c r="T155" s="1066">
        <v>3.19</v>
      </c>
      <c r="U155" s="936"/>
      <c r="V155" s="1066">
        <v>2.65</v>
      </c>
      <c r="W155" s="1067">
        <v>8</v>
      </c>
      <c r="X155" s="1061">
        <v>234</v>
      </c>
      <c r="Y155" s="1068">
        <v>1</v>
      </c>
      <c r="Z155" s="1061">
        <v>100</v>
      </c>
      <c r="AA155" s="936"/>
      <c r="AB155" s="936"/>
      <c r="AC155" s="936"/>
      <c r="AD155" s="974">
        <f>AA155*AB155*AC155/28316.75*0.0283</f>
        <v>0</v>
      </c>
      <c r="AE155" s="1066">
        <v>0.02</v>
      </c>
      <c r="AF155" s="1061"/>
      <c r="AG155" s="1061" t="s">
        <v>521</v>
      </c>
      <c r="AH155" s="1069"/>
      <c r="AI155" s="1070"/>
      <c r="AJ155" s="1071"/>
      <c r="AK155" s="1070"/>
      <c r="AL155" s="1072">
        <f>P155</f>
        <v>152</v>
      </c>
      <c r="AM155" s="1072">
        <f>AL155*J155</f>
        <v>402.8</v>
      </c>
      <c r="AN155" s="1065">
        <f>AM155</f>
        <v>402.8</v>
      </c>
      <c r="AO155" s="1061">
        <v>100</v>
      </c>
      <c r="AP155" s="982" t="s">
        <v>52</v>
      </c>
      <c r="AQ155" s="980" t="s">
        <v>331</v>
      </c>
      <c r="AR155" s="981">
        <v>45660</v>
      </c>
      <c r="AS155" s="983" t="s">
        <v>522</v>
      </c>
      <c r="AT155" s="984">
        <v>45674</v>
      </c>
      <c r="AU155" s="983" t="s">
        <v>333</v>
      </c>
      <c r="AV155" s="984" t="s">
        <v>59</v>
      </c>
      <c r="AW155" s="982" t="s">
        <v>60</v>
      </c>
      <c r="AX155" s="1073">
        <v>16188</v>
      </c>
      <c r="AY155" s="802"/>
      <c r="AZ155" s="955">
        <v>15811.86</v>
      </c>
    </row>
    <row r="156" ht="127.5" customHeight="1" spans="1:52">
      <c r="A156" s="375"/>
      <c r="B156" s="1017"/>
      <c r="C156" s="1017"/>
      <c r="D156" s="375"/>
      <c r="E156" s="375"/>
      <c r="F156" s="375"/>
      <c r="G156" s="1018"/>
      <c r="H156" s="820"/>
      <c r="I156" s="1019"/>
      <c r="J156" s="1020"/>
      <c r="K156" s="1021"/>
      <c r="L156" s="1022"/>
      <c r="M156" s="1021"/>
      <c r="N156" s="1023"/>
      <c r="O156" s="1021"/>
      <c r="P156" s="1024"/>
      <c r="Q156" s="1055">
        <f t="shared" ref="Q156:T156" si="18">SUM(Q155:Q155)</f>
        <v>402.8</v>
      </c>
      <c r="R156" s="1055">
        <f t="shared" si="18"/>
        <v>402.8</v>
      </c>
      <c r="T156" s="1055">
        <f t="shared" si="18"/>
        <v>3.19</v>
      </c>
      <c r="V156" s="1055">
        <v>2.65</v>
      </c>
      <c r="W156" s="1056"/>
      <c r="X156" s="1021"/>
      <c r="Y156" s="1055">
        <f>SUM(Y155:Y155)</f>
        <v>1</v>
      </c>
      <c r="Z156" s="1021"/>
      <c r="AD156" s="1026"/>
      <c r="AE156" s="1055">
        <f>SUM(AE155:AE155)</f>
        <v>0.02</v>
      </c>
      <c r="AF156" s="1021"/>
      <c r="AG156" s="1021"/>
      <c r="AH156" s="1057"/>
      <c r="AI156" s="1058"/>
      <c r="AJ156" s="1059"/>
      <c r="AK156" s="1058"/>
      <c r="AL156" s="1020"/>
      <c r="AM156" s="1055">
        <f>SUM(AM155:AM155)</f>
        <v>402.8</v>
      </c>
      <c r="AN156" s="1055">
        <f>SUM(AN155:AN155)</f>
        <v>402.8</v>
      </c>
      <c r="AO156" s="1021"/>
      <c r="AP156" s="1022"/>
      <c r="AQ156" s="1027"/>
      <c r="AR156" s="1028"/>
      <c r="AS156" s="1029"/>
      <c r="AT156" s="1030"/>
      <c r="AU156" s="1029"/>
      <c r="AV156" s="1029"/>
      <c r="AW156" s="1029"/>
      <c r="AX156" s="1043"/>
      <c r="AY156" s="820"/>
      <c r="AZ156" s="821"/>
    </row>
    <row r="157" ht="127.5" customHeight="1" spans="1:52">
      <c r="A157" s="962">
        <v>60</v>
      </c>
      <c r="B157" s="966">
        <v>8443170090</v>
      </c>
      <c r="C157" s="966">
        <v>844317</v>
      </c>
      <c r="D157" s="962"/>
      <c r="E157" s="962" t="s">
        <v>523</v>
      </c>
      <c r="F157" s="962" t="s">
        <v>524</v>
      </c>
      <c r="G157" s="1060" t="s">
        <v>525</v>
      </c>
      <c r="H157" s="802"/>
      <c r="I157" s="1074" t="s">
        <v>51</v>
      </c>
      <c r="J157" s="994">
        <v>2</v>
      </c>
      <c r="K157" s="1061">
        <v>2</v>
      </c>
      <c r="L157" s="982" t="s">
        <v>254</v>
      </c>
      <c r="M157" s="1061" t="s">
        <v>526</v>
      </c>
      <c r="N157" s="1062"/>
      <c r="O157" s="1061"/>
      <c r="P157" s="1075">
        <v>49050</v>
      </c>
      <c r="Q157" s="1065">
        <f>P157*J157</f>
        <v>98100</v>
      </c>
      <c r="R157" s="1065">
        <f>Q157</f>
        <v>98100</v>
      </c>
      <c r="S157" s="936"/>
      <c r="T157" s="1066">
        <f>674-20</f>
        <v>654</v>
      </c>
      <c r="U157" s="936"/>
      <c r="V157" s="1066">
        <v>522</v>
      </c>
      <c r="W157" s="1076" t="s">
        <v>527</v>
      </c>
      <c r="X157" s="1061" t="s">
        <v>528</v>
      </c>
      <c r="Y157" s="1068">
        <v>2</v>
      </c>
      <c r="Z157" s="1061">
        <v>1</v>
      </c>
      <c r="AA157" s="936"/>
      <c r="AB157" s="936"/>
      <c r="AC157" s="936"/>
      <c r="AD157" s="974">
        <f>AA157*AB157*AC157/28316.75*0.0283</f>
        <v>0</v>
      </c>
      <c r="AE157" s="1066">
        <v>3.52</v>
      </c>
      <c r="AF157" s="982"/>
      <c r="AG157" s="960" t="s">
        <v>529</v>
      </c>
      <c r="AH157" s="1071"/>
      <c r="AI157" s="1070"/>
      <c r="AJ157" s="1071"/>
      <c r="AK157" s="1070"/>
      <c r="AL157" s="1072">
        <f>P157</f>
        <v>49050</v>
      </c>
      <c r="AM157" s="1072">
        <f>AL157*J157</f>
        <v>98100</v>
      </c>
      <c r="AN157" s="1072">
        <f>SUM(AM157:AM157)</f>
        <v>98100</v>
      </c>
      <c r="AO157" s="1061">
        <v>2</v>
      </c>
      <c r="AP157" s="982" t="s">
        <v>254</v>
      </c>
      <c r="AQ157" s="980" t="s">
        <v>331</v>
      </c>
      <c r="AR157" s="981">
        <v>45660</v>
      </c>
      <c r="AS157" s="983" t="s">
        <v>530</v>
      </c>
      <c r="AT157" s="984">
        <v>45674</v>
      </c>
      <c r="AU157" s="983" t="s">
        <v>333</v>
      </c>
      <c r="AV157" s="984" t="s">
        <v>59</v>
      </c>
      <c r="AW157" s="982" t="s">
        <v>60</v>
      </c>
      <c r="AX157" s="1073">
        <v>16188</v>
      </c>
      <c r="AY157" s="802"/>
      <c r="AZ157" s="955">
        <v>374.46</v>
      </c>
    </row>
    <row r="158" ht="127.5" customHeight="1" spans="1:52">
      <c r="A158" s="375"/>
      <c r="B158" s="1017"/>
      <c r="C158" s="1017"/>
      <c r="D158" s="375"/>
      <c r="E158" s="375"/>
      <c r="F158" s="375"/>
      <c r="G158" s="1018"/>
      <c r="H158" s="820"/>
      <c r="I158" s="1019"/>
      <c r="J158" s="1020"/>
      <c r="K158" s="1021"/>
      <c r="L158" s="1022"/>
      <c r="M158" s="1021"/>
      <c r="N158" s="1023"/>
      <c r="O158" s="1021"/>
      <c r="P158" s="1024"/>
      <c r="Q158" s="1055">
        <f t="shared" ref="Q158:T158" si="19">Q157+Q156+Q154+Q124+Q109</f>
        <v>630351.1</v>
      </c>
      <c r="R158" s="1055">
        <f t="shared" si="19"/>
        <v>630351.1</v>
      </c>
      <c r="T158" s="1055">
        <f t="shared" si="19"/>
        <v>5380</v>
      </c>
      <c r="V158" s="1055">
        <v>4622.59</v>
      </c>
      <c r="W158" s="1056"/>
      <c r="X158" s="1021"/>
      <c r="Y158" s="1055">
        <f>Y157+Y156+Y154+Y124+Y109</f>
        <v>398</v>
      </c>
      <c r="Z158" s="1021"/>
      <c r="AD158" s="1026"/>
      <c r="AE158" s="1055">
        <f>AE157+AE156+AE154+AE124+AE109</f>
        <v>45.26</v>
      </c>
      <c r="AF158" s="1021"/>
      <c r="AG158" s="1021"/>
      <c r="AH158" s="1057"/>
      <c r="AI158" s="1058"/>
      <c r="AJ158" s="1059"/>
      <c r="AK158" s="1058"/>
      <c r="AL158" s="1020"/>
      <c r="AM158" s="1055">
        <f>AM157+AM156+AM154+AM124+AM109</f>
        <v>630660.62</v>
      </c>
      <c r="AN158" s="1055">
        <f>AN157+AN156+AN154+AN124+AN109</f>
        <v>630660.62</v>
      </c>
      <c r="AO158" s="1021"/>
      <c r="AP158" s="1022"/>
      <c r="AQ158" s="1027"/>
      <c r="AR158" s="1029"/>
      <c r="AS158" s="1029"/>
      <c r="AT158" s="1029"/>
      <c r="AU158" s="1029"/>
      <c r="AV158" s="1029"/>
      <c r="AW158" s="1029"/>
      <c r="AX158" s="1043"/>
      <c r="AY158" s="820"/>
      <c r="AZ158" s="821"/>
    </row>
    <row r="159" ht="127.5" customHeight="1" spans="1:52">
      <c r="A159" s="1077"/>
      <c r="B159" s="1077"/>
      <c r="C159" s="1077"/>
      <c r="D159" s="1077"/>
      <c r="E159" s="1077"/>
      <c r="F159" s="1078"/>
      <c r="G159" s="1079"/>
      <c r="H159" s="820"/>
      <c r="I159" s="1080"/>
      <c r="J159" s="1081"/>
      <c r="K159" s="1078"/>
      <c r="L159" s="1078"/>
      <c r="M159" s="1078"/>
      <c r="N159" s="1082"/>
      <c r="O159" s="1078"/>
      <c r="P159" s="1081"/>
      <c r="Q159" s="1081"/>
      <c r="R159" s="1083"/>
      <c r="T159" s="1081"/>
      <c r="V159" s="1081"/>
      <c r="W159" s="1084"/>
      <c r="X159" s="1085"/>
      <c r="Y159" s="1078"/>
      <c r="Z159" s="1078"/>
      <c r="AD159" s="1078"/>
      <c r="AE159" s="1078"/>
      <c r="AF159" s="1078"/>
      <c r="AG159" s="1078"/>
      <c r="AH159" s="1086"/>
      <c r="AI159" s="1087"/>
      <c r="AJ159" s="1086"/>
      <c r="AK159" s="1087"/>
      <c r="AL159" s="1081"/>
      <c r="AM159" s="1081"/>
      <c r="AN159" s="1088"/>
      <c r="AO159" s="1078"/>
      <c r="AP159" s="1078"/>
      <c r="AQ159" s="1027"/>
      <c r="AR159" s="1029"/>
      <c r="AS159" s="1029"/>
      <c r="AT159" s="1029"/>
      <c r="AU159" s="1029"/>
      <c r="AV159" s="1029"/>
      <c r="AW159" s="1029"/>
      <c r="AX159" s="1043"/>
      <c r="AY159" s="820"/>
      <c r="AZ159" s="821"/>
    </row>
    <row r="160" ht="67.5" customHeight="1" spans="1:52">
      <c r="A160" s="937">
        <v>1</v>
      </c>
      <c r="B160" s="938">
        <v>3923900000</v>
      </c>
      <c r="C160" s="938">
        <v>392390</v>
      </c>
      <c r="D160" s="937"/>
      <c r="E160" s="937" t="s">
        <v>49</v>
      </c>
      <c r="F160" s="937" t="s">
        <v>50</v>
      </c>
      <c r="G160" s="1089"/>
      <c r="H160" s="802"/>
      <c r="I160" s="1090" t="s">
        <v>51</v>
      </c>
      <c r="J160" s="1091">
        <v>4230</v>
      </c>
      <c r="K160" s="938">
        <v>4230</v>
      </c>
      <c r="L160" s="938" t="s">
        <v>52</v>
      </c>
      <c r="M160" s="937" t="s">
        <v>53</v>
      </c>
      <c r="N160" s="950"/>
      <c r="O160" s="937"/>
      <c r="P160" s="1092">
        <v>56</v>
      </c>
      <c r="Q160" s="944">
        <v>236880</v>
      </c>
      <c r="R160" s="945">
        <v>236880</v>
      </c>
      <c r="S160" s="936"/>
      <c r="T160" s="945">
        <v>10140</v>
      </c>
      <c r="U160" s="936"/>
      <c r="V160" s="945">
        <v>9940.5</v>
      </c>
      <c r="W160" s="1093" t="s">
        <v>531</v>
      </c>
      <c r="X160" s="1094" t="s">
        <v>532</v>
      </c>
      <c r="Y160" s="939">
        <v>20</v>
      </c>
      <c r="Z160" s="939" t="s">
        <v>533</v>
      </c>
      <c r="AA160" s="936"/>
      <c r="AB160" s="936"/>
      <c r="AC160" s="936"/>
      <c r="AD160" s="1095">
        <v>2.93173378653977</v>
      </c>
      <c r="AE160" s="1096">
        <v>58.63</v>
      </c>
      <c r="AF160" s="1097" t="str">
        <f>_xlfn.DISPIMG("ID_E5D0EC1691DF4FA0BE100C60099A33E1",1)</f>
        <v>=DISPIMG("ID_E5D0EC1691DF4FA0BE100C60099A33E1",1)</v>
      </c>
      <c r="AG160" s="938"/>
      <c r="AH160" s="1098" t="s">
        <v>534</v>
      </c>
      <c r="AI160" s="1098">
        <v>45601</v>
      </c>
      <c r="AJ160" s="1098" t="s">
        <v>535</v>
      </c>
      <c r="AK160" s="1098">
        <v>45601</v>
      </c>
      <c r="AL160" s="944">
        <v>56</v>
      </c>
      <c r="AM160" s="944">
        <v>236880</v>
      </c>
      <c r="AN160" s="944">
        <v>236880</v>
      </c>
      <c r="AO160" s="938">
        <v>4230</v>
      </c>
      <c r="AP160" s="938" t="s">
        <v>52</v>
      </c>
      <c r="AQ160" s="1099" t="s">
        <v>536</v>
      </c>
      <c r="AR160" s="1100">
        <v>45665</v>
      </c>
      <c r="AS160" s="1101" t="s">
        <v>537</v>
      </c>
      <c r="AT160" s="1102">
        <v>45680</v>
      </c>
      <c r="AU160" s="1103" t="s">
        <v>538</v>
      </c>
      <c r="AV160" s="938" t="s">
        <v>539</v>
      </c>
      <c r="AW160" s="1101" t="s">
        <v>540</v>
      </c>
      <c r="AX160" s="1104">
        <v>16188</v>
      </c>
      <c r="AY160" s="857"/>
      <c r="AZ160" s="894">
        <v>212865.49</v>
      </c>
    </row>
    <row r="161" ht="67.5" customHeight="1" spans="1:52">
      <c r="A161" s="937">
        <v>2</v>
      </c>
      <c r="B161" s="938">
        <v>3921909090</v>
      </c>
      <c r="C161" s="938">
        <v>392069</v>
      </c>
      <c r="D161" s="937"/>
      <c r="E161" s="937" t="s">
        <v>541</v>
      </c>
      <c r="F161" s="937" t="s">
        <v>542</v>
      </c>
      <c r="G161" s="1089"/>
      <c r="H161" s="802"/>
      <c r="I161" s="1090" t="s">
        <v>51</v>
      </c>
      <c r="J161" s="1105">
        <v>1000</v>
      </c>
      <c r="K161" s="1106">
        <v>1000</v>
      </c>
      <c r="L161" s="938" t="s">
        <v>52</v>
      </c>
      <c r="M161" s="937"/>
      <c r="N161" s="942"/>
      <c r="O161" s="939"/>
      <c r="P161" s="1107">
        <v>9.5</v>
      </c>
      <c r="Q161" s="944">
        <v>9500</v>
      </c>
      <c r="R161" s="945">
        <v>9500</v>
      </c>
      <c r="S161" s="936"/>
      <c r="T161" s="945">
        <v>510</v>
      </c>
      <c r="U161" s="936"/>
      <c r="V161" s="1108">
        <v>500</v>
      </c>
      <c r="W161" s="1093" t="s">
        <v>543</v>
      </c>
      <c r="X161" s="1094" t="s">
        <v>544</v>
      </c>
      <c r="Y161" s="939">
        <v>1</v>
      </c>
      <c r="Z161" s="1106">
        <v>1000</v>
      </c>
      <c r="AA161" s="936"/>
      <c r="AB161" s="936"/>
      <c r="AC161" s="936"/>
      <c r="AD161" s="1095">
        <v>2.98623253021621</v>
      </c>
      <c r="AE161" s="1109">
        <v>2.99</v>
      </c>
      <c r="AF161" s="1110" t="str">
        <f>_xlfn.DISPIMG("ID_6221FBB40A8A411C92763FEB996B3232",1)</f>
        <v>=DISPIMG("ID_6221FBB40A8A411C92763FEB996B3232",1)</v>
      </c>
      <c r="AG161" s="1106"/>
      <c r="AH161" s="1098"/>
      <c r="AI161" s="1098"/>
      <c r="AJ161" s="1098"/>
      <c r="AK161" s="1098"/>
      <c r="AL161" s="944">
        <v>9.5</v>
      </c>
      <c r="AM161" s="944">
        <v>9500</v>
      </c>
      <c r="AN161" s="944">
        <v>9500</v>
      </c>
      <c r="AO161" s="1106">
        <v>1000</v>
      </c>
      <c r="AP161" s="938" t="s">
        <v>52</v>
      </c>
      <c r="AQ161" s="1111" t="s">
        <v>536</v>
      </c>
      <c r="AR161" s="1102">
        <v>45665</v>
      </c>
      <c r="AS161" s="1101" t="s">
        <v>537</v>
      </c>
      <c r="AT161" s="1102">
        <v>45680</v>
      </c>
      <c r="AU161" s="1103" t="s">
        <v>538</v>
      </c>
      <c r="AV161" s="938" t="s">
        <v>539</v>
      </c>
      <c r="AW161" s="1101" t="s">
        <v>540</v>
      </c>
      <c r="AX161" s="1112"/>
      <c r="AY161" s="867"/>
      <c r="AZ161" s="901"/>
    </row>
    <row r="162" ht="61.5" customHeight="1" spans="1:52">
      <c r="A162" s="804"/>
      <c r="B162" s="805"/>
      <c r="C162" s="805"/>
      <c r="D162" s="804"/>
      <c r="E162" s="804"/>
      <c r="F162" s="804"/>
      <c r="G162" s="806"/>
      <c r="H162" s="820"/>
      <c r="I162" s="808"/>
      <c r="J162" s="809"/>
      <c r="K162" s="810"/>
      <c r="L162" s="811"/>
      <c r="M162" s="810"/>
      <c r="N162" s="812"/>
      <c r="O162" s="810"/>
      <c r="P162" s="813"/>
      <c r="Q162" s="809">
        <v>246380</v>
      </c>
      <c r="R162" s="809">
        <v>246380</v>
      </c>
      <c r="T162" s="809">
        <v>10650</v>
      </c>
      <c r="V162" s="809">
        <v>10440.5</v>
      </c>
      <c r="W162" s="814"/>
      <c r="X162" s="810"/>
      <c r="Y162" s="809">
        <v>21</v>
      </c>
      <c r="Z162" s="810"/>
      <c r="AD162" s="816"/>
      <c r="AE162" s="809">
        <v>61.62</v>
      </c>
      <c r="AF162" s="810"/>
      <c r="AG162" s="810"/>
      <c r="AH162" s="811"/>
      <c r="AI162" s="812"/>
      <c r="AJ162" s="810"/>
      <c r="AK162" s="812"/>
      <c r="AL162" s="809"/>
      <c r="AM162" s="809">
        <v>246380</v>
      </c>
      <c r="AN162" s="809">
        <v>246380</v>
      </c>
      <c r="AO162" s="810"/>
      <c r="AP162" s="811"/>
      <c r="AQ162" s="1113"/>
      <c r="AR162" s="807"/>
      <c r="AS162" s="807"/>
      <c r="AT162" s="807"/>
      <c r="AU162" s="807"/>
      <c r="AV162" s="807"/>
      <c r="AW162" s="807"/>
      <c r="AX162" s="820"/>
      <c r="AY162" s="820"/>
      <c r="AZ162" s="821"/>
    </row>
    <row r="163" ht="61.5" customHeight="1" spans="1:52">
      <c r="A163" s="822"/>
      <c r="B163" s="822"/>
      <c r="C163" s="822"/>
      <c r="D163" s="822"/>
      <c r="E163" s="822"/>
      <c r="F163" s="823"/>
      <c r="G163" s="824"/>
      <c r="H163" s="820"/>
      <c r="I163" s="825"/>
      <c r="J163" s="826"/>
      <c r="K163" s="823"/>
      <c r="L163" s="823"/>
      <c r="M163" s="823"/>
      <c r="N163" s="827"/>
      <c r="O163" s="823"/>
      <c r="P163" s="826"/>
      <c r="Q163" s="826"/>
      <c r="R163" s="828"/>
      <c r="T163" s="826"/>
      <c r="V163" s="826"/>
      <c r="W163" s="829"/>
      <c r="X163" s="830"/>
      <c r="Y163" s="823"/>
      <c r="Z163" s="823"/>
      <c r="AD163" s="823"/>
      <c r="AE163" s="823"/>
      <c r="AF163" s="823"/>
      <c r="AG163" s="823"/>
      <c r="AH163" s="831"/>
      <c r="AI163" s="832"/>
      <c r="AJ163" s="831"/>
      <c r="AK163" s="832"/>
      <c r="AL163" s="826"/>
      <c r="AM163" s="826"/>
      <c r="AN163" s="833"/>
      <c r="AO163" s="823"/>
      <c r="AP163" s="823"/>
      <c r="AQ163" s="1113"/>
      <c r="AR163" s="807"/>
      <c r="AS163" s="807"/>
      <c r="AT163" s="807"/>
      <c r="AU163" s="807"/>
      <c r="AV163" s="807"/>
      <c r="AW163" s="807"/>
      <c r="AX163" s="820"/>
      <c r="AY163" s="820"/>
      <c r="AZ163" s="821"/>
    </row>
    <row r="164" ht="61.5" customHeight="1" spans="1:52">
      <c r="A164" s="834"/>
      <c r="B164" s="834"/>
      <c r="C164" s="805"/>
      <c r="D164" s="805"/>
      <c r="E164" s="805"/>
      <c r="F164" s="804"/>
      <c r="G164" s="806"/>
      <c r="H164" s="820"/>
      <c r="I164" s="835"/>
      <c r="J164" s="836"/>
      <c r="K164" s="804"/>
      <c r="L164" s="804"/>
      <c r="M164" s="804"/>
      <c r="N164" s="804"/>
      <c r="O164" s="804"/>
      <c r="P164" s="836"/>
      <c r="Q164" s="836"/>
      <c r="R164" s="804" t="s">
        <v>62</v>
      </c>
      <c r="T164" s="836">
        <v>10650</v>
      </c>
      <c r="V164" s="836">
        <v>10440.5</v>
      </c>
      <c r="W164" s="837"/>
      <c r="X164" s="838"/>
      <c r="Y164" s="836">
        <v>21</v>
      </c>
      <c r="Z164" s="805"/>
      <c r="AD164" s="839"/>
      <c r="AE164" s="836">
        <v>61.62</v>
      </c>
      <c r="AF164" s="804"/>
      <c r="AG164" s="804"/>
      <c r="AH164" s="840"/>
      <c r="AI164" s="841"/>
      <c r="AJ164" s="840"/>
      <c r="AK164" s="841"/>
      <c r="AL164" s="836"/>
      <c r="AM164" s="836">
        <v>246380</v>
      </c>
      <c r="AN164" s="836">
        <v>246380</v>
      </c>
      <c r="AO164" s="804"/>
      <c r="AP164" s="804"/>
      <c r="AQ164" s="1113"/>
      <c r="AR164" s="807"/>
      <c r="AS164" s="807"/>
      <c r="AT164" s="807"/>
      <c r="AU164" s="807"/>
      <c r="AV164" s="807"/>
      <c r="AW164" s="807"/>
      <c r="AX164" s="820"/>
      <c r="AY164" s="820"/>
      <c r="AZ164" s="821"/>
    </row>
    <row r="165" ht="150" customHeight="1" spans="1:52">
      <c r="A165" s="937">
        <v>1</v>
      </c>
      <c r="B165" s="937">
        <v>3903199000</v>
      </c>
      <c r="C165" s="937">
        <v>390319</v>
      </c>
      <c r="D165" s="937"/>
      <c r="E165" s="937" t="s">
        <v>545</v>
      </c>
      <c r="F165" s="937" t="s">
        <v>545</v>
      </c>
      <c r="G165" s="937"/>
      <c r="H165" s="937"/>
      <c r="I165" s="938" t="s">
        <v>123</v>
      </c>
      <c r="J165" s="940">
        <v>1000</v>
      </c>
      <c r="K165" s="941">
        <v>40</v>
      </c>
      <c r="L165" s="939" t="s">
        <v>52</v>
      </c>
      <c r="M165" s="937" t="s">
        <v>546</v>
      </c>
      <c r="N165" s="942"/>
      <c r="O165" s="941"/>
      <c r="P165" s="1107">
        <v>11.5</v>
      </c>
      <c r="Q165" s="1107">
        <v>11500</v>
      </c>
      <c r="R165" s="1114">
        <v>11500</v>
      </c>
      <c r="S165" s="936"/>
      <c r="T165" s="940">
        <v>1006</v>
      </c>
      <c r="U165" s="936"/>
      <c r="V165" s="1115">
        <v>1000</v>
      </c>
      <c r="W165" s="946" t="s">
        <v>256</v>
      </c>
      <c r="X165" s="937" t="s">
        <v>547</v>
      </c>
      <c r="Y165" s="1116">
        <v>40</v>
      </c>
      <c r="Z165" s="1117" t="s">
        <v>548</v>
      </c>
      <c r="AA165" s="1116">
        <v>66</v>
      </c>
      <c r="AB165" s="1116">
        <v>42</v>
      </c>
      <c r="AC165" s="1116">
        <v>18</v>
      </c>
      <c r="AD165" s="948">
        <v>0.0498664853840925</v>
      </c>
      <c r="AE165" s="1114">
        <v>1.99</v>
      </c>
      <c r="AF165" s="1118" t="str">
        <f>_xlfn.DISPIMG("ID_96095377A56F4FCEBD1F0EF90C7B4686",1)</f>
        <v>=DISPIMG("ID_96095377A56F4FCEBD1F0EF90C7B4686",1)</v>
      </c>
      <c r="AG165" s="939"/>
      <c r="AH165" s="937" t="s">
        <v>549</v>
      </c>
      <c r="AI165" s="950">
        <v>45996</v>
      </c>
      <c r="AJ165" s="937" t="s">
        <v>550</v>
      </c>
      <c r="AK165" s="950">
        <v>45996</v>
      </c>
      <c r="AL165" s="1107">
        <v>11.5</v>
      </c>
      <c r="AM165" s="1107">
        <v>11500</v>
      </c>
      <c r="AN165" s="1114">
        <v>11500</v>
      </c>
      <c r="AO165" s="936"/>
      <c r="AP165" s="936"/>
      <c r="AQ165" s="1119" t="s">
        <v>551</v>
      </c>
      <c r="AR165" s="1120">
        <v>45667</v>
      </c>
      <c r="AS165" s="1106" t="s">
        <v>552</v>
      </c>
      <c r="AT165" s="1121">
        <v>45680</v>
      </c>
      <c r="AU165" s="1106" t="s">
        <v>553</v>
      </c>
      <c r="AV165" s="1106" t="s">
        <v>59</v>
      </c>
      <c r="AW165" s="1106" t="s">
        <v>540</v>
      </c>
      <c r="AX165" s="1122">
        <v>16188</v>
      </c>
      <c r="AY165" s="1123"/>
      <c r="AZ165" s="955">
        <v>5495.71</v>
      </c>
    </row>
    <row r="166" ht="150" customHeight="1" spans="1:52">
      <c r="A166" s="804"/>
      <c r="B166" s="805"/>
      <c r="C166" s="805"/>
      <c r="D166" s="804"/>
      <c r="E166" s="804"/>
      <c r="F166" s="804"/>
      <c r="G166" s="804"/>
      <c r="H166" s="804"/>
      <c r="I166" s="805"/>
      <c r="J166" s="809"/>
      <c r="K166" s="810"/>
      <c r="L166" s="811"/>
      <c r="M166" s="810"/>
      <c r="N166" s="812"/>
      <c r="O166" s="810"/>
      <c r="P166" s="813"/>
      <c r="Q166" s="922">
        <v>11500</v>
      </c>
      <c r="R166" s="922">
        <v>11500</v>
      </c>
      <c r="T166" s="922">
        <v>1006</v>
      </c>
      <c r="V166" s="922">
        <v>1000</v>
      </c>
      <c r="W166" s="923"/>
      <c r="X166" s="810"/>
      <c r="Y166" s="922">
        <v>40</v>
      </c>
      <c r="Z166" s="810"/>
      <c r="AA166" s="815"/>
      <c r="AB166" s="810"/>
      <c r="AC166" s="810"/>
      <c r="AD166" s="816"/>
      <c r="AE166" s="922">
        <v>1.99</v>
      </c>
      <c r="AF166" s="810"/>
      <c r="AG166" s="810"/>
      <c r="AH166" s="924"/>
      <c r="AI166" s="925"/>
      <c r="AJ166" s="926"/>
      <c r="AK166" s="925"/>
      <c r="AL166" s="809"/>
      <c r="AM166" s="922">
        <v>11500</v>
      </c>
      <c r="AN166" s="922">
        <v>11500</v>
      </c>
      <c r="AQ166" s="885"/>
      <c r="AR166" s="1124"/>
      <c r="AS166" s="1124"/>
      <c r="AT166" s="1124"/>
      <c r="AU166" s="1124"/>
      <c r="AV166" s="1124"/>
      <c r="AW166" s="1124"/>
      <c r="AX166" s="1122"/>
      <c r="AY166" s="1125"/>
      <c r="AZ166" s="1126"/>
    </row>
    <row r="167" ht="150" customHeight="1" spans="1:52">
      <c r="A167" s="937">
        <v>2</v>
      </c>
      <c r="B167" s="937">
        <v>3904220000</v>
      </c>
      <c r="C167" s="937">
        <v>390422</v>
      </c>
      <c r="D167" s="937"/>
      <c r="E167" s="937" t="s">
        <v>554</v>
      </c>
      <c r="F167" s="937" t="s">
        <v>555</v>
      </c>
      <c r="G167" s="937"/>
      <c r="H167" s="937"/>
      <c r="I167" s="938" t="s">
        <v>123</v>
      </c>
      <c r="J167" s="940">
        <v>2500</v>
      </c>
      <c r="K167" s="941">
        <v>100</v>
      </c>
      <c r="L167" s="939" t="s">
        <v>52</v>
      </c>
      <c r="M167" s="937" t="s">
        <v>556</v>
      </c>
      <c r="N167" s="942"/>
      <c r="O167" s="941"/>
      <c r="P167" s="1107">
        <v>12.1</v>
      </c>
      <c r="Q167" s="1107">
        <v>30250</v>
      </c>
      <c r="R167" s="1114">
        <v>30250</v>
      </c>
      <c r="S167" s="936"/>
      <c r="T167" s="940">
        <v>2506</v>
      </c>
      <c r="U167" s="936"/>
      <c r="V167" s="1115">
        <v>2500</v>
      </c>
      <c r="W167" s="946" t="s">
        <v>262</v>
      </c>
      <c r="X167" s="937" t="s">
        <v>557</v>
      </c>
      <c r="Y167" s="1116">
        <v>100</v>
      </c>
      <c r="Z167" s="1117" t="s">
        <v>548</v>
      </c>
      <c r="AA167" s="1116">
        <v>66</v>
      </c>
      <c r="AB167" s="1116">
        <v>42</v>
      </c>
      <c r="AC167" s="1116">
        <v>18</v>
      </c>
      <c r="AD167" s="948">
        <v>0.0498664853840925</v>
      </c>
      <c r="AE167" s="1114">
        <v>4.99</v>
      </c>
      <c r="AF167" s="1118" t="str">
        <f>_xlfn.DISPIMG("ID_09B3A027E2A44B6786572F8080722F72",1)</f>
        <v>=DISPIMG("ID_09B3A027E2A44B6786572F8080722F72",1)</v>
      </c>
      <c r="AG167" s="939"/>
      <c r="AH167" s="937" t="s">
        <v>558</v>
      </c>
      <c r="AI167" s="950">
        <v>45996</v>
      </c>
      <c r="AJ167" s="937" t="s">
        <v>559</v>
      </c>
      <c r="AK167" s="950">
        <v>45996</v>
      </c>
      <c r="AL167" s="1107">
        <v>12.1</v>
      </c>
      <c r="AM167" s="1107">
        <v>30250</v>
      </c>
      <c r="AN167" s="1114">
        <v>30250</v>
      </c>
      <c r="AO167" s="936"/>
      <c r="AP167" s="936"/>
      <c r="AQ167" s="1090" t="s">
        <v>551</v>
      </c>
      <c r="AR167" s="1120">
        <v>45667</v>
      </c>
      <c r="AS167" s="1106" t="s">
        <v>552</v>
      </c>
      <c r="AT167" s="1121">
        <v>45680</v>
      </c>
      <c r="AU167" s="1106" t="s">
        <v>553</v>
      </c>
      <c r="AV167" s="1106" t="s">
        <v>59</v>
      </c>
      <c r="AW167" s="1106" t="s">
        <v>540</v>
      </c>
      <c r="AX167" s="1122"/>
      <c r="AY167" s="1125"/>
      <c r="AZ167" s="897">
        <v>4621627</v>
      </c>
    </row>
    <row r="168" ht="150" customHeight="1" spans="1:52">
      <c r="A168" s="937">
        <v>3</v>
      </c>
      <c r="B168" s="938">
        <v>3907101010</v>
      </c>
      <c r="C168" s="938">
        <v>390710</v>
      </c>
      <c r="D168" s="937"/>
      <c r="E168" s="937" t="s">
        <v>560</v>
      </c>
      <c r="F168" s="937" t="s">
        <v>560</v>
      </c>
      <c r="G168" s="937"/>
      <c r="H168" s="937"/>
      <c r="I168" s="938" t="s">
        <v>123</v>
      </c>
      <c r="J168" s="1108">
        <v>1250</v>
      </c>
      <c r="K168" s="939">
        <v>50</v>
      </c>
      <c r="L168" s="1106" t="s">
        <v>52</v>
      </c>
      <c r="M168" s="937" t="s">
        <v>561</v>
      </c>
      <c r="N168" s="942"/>
      <c r="O168" s="939"/>
      <c r="P168" s="1107">
        <v>29.5</v>
      </c>
      <c r="Q168" s="1107">
        <v>36875</v>
      </c>
      <c r="R168" s="1114">
        <v>36875</v>
      </c>
      <c r="S168" s="936"/>
      <c r="T168" s="1115">
        <v>1256</v>
      </c>
      <c r="U168" s="936"/>
      <c r="V168" s="1115">
        <v>1250</v>
      </c>
      <c r="W168" s="946" t="s">
        <v>446</v>
      </c>
      <c r="X168" s="1093" t="s">
        <v>562</v>
      </c>
      <c r="Y168" s="1116">
        <v>50</v>
      </c>
      <c r="Z168" s="1117" t="s">
        <v>548</v>
      </c>
      <c r="AA168" s="1116">
        <v>66</v>
      </c>
      <c r="AB168" s="1116">
        <v>42</v>
      </c>
      <c r="AC168" s="1116">
        <v>18</v>
      </c>
      <c r="AD168" s="948">
        <v>0.0498664853840925</v>
      </c>
      <c r="AE168" s="1114">
        <v>2.49</v>
      </c>
      <c r="AF168" s="938" t="str">
        <f>_xlfn.DISPIMG("ID_55CB2B5C5889474FB19813786216F6D3",1)</f>
        <v>=DISPIMG("ID_55CB2B5C5889474FB19813786216F6D3",1)</v>
      </c>
      <c r="AG168" s="939"/>
      <c r="AH168" s="937" t="s">
        <v>563</v>
      </c>
      <c r="AI168" s="950">
        <v>45996</v>
      </c>
      <c r="AJ168" s="937" t="s">
        <v>564</v>
      </c>
      <c r="AK168" s="950">
        <v>45996</v>
      </c>
      <c r="AL168" s="1107">
        <v>29.5</v>
      </c>
      <c r="AM168" s="1107">
        <v>36875</v>
      </c>
      <c r="AN168" s="1114">
        <v>36875</v>
      </c>
      <c r="AO168" s="936"/>
      <c r="AP168" s="936"/>
      <c r="AQ168" s="1127" t="s">
        <v>551</v>
      </c>
      <c r="AR168" s="1120">
        <v>45667</v>
      </c>
      <c r="AS168" s="1106" t="s">
        <v>552</v>
      </c>
      <c r="AT168" s="1121">
        <v>45680</v>
      </c>
      <c r="AU168" s="1106" t="s">
        <v>553</v>
      </c>
      <c r="AV168" s="1106" t="s">
        <v>59</v>
      </c>
      <c r="AW168" s="1106" t="s">
        <v>540</v>
      </c>
      <c r="AX168" s="1122"/>
      <c r="AY168" s="1125"/>
      <c r="AZ168" s="897"/>
    </row>
    <row r="169" ht="150" customHeight="1" spans="1:52">
      <c r="A169" s="804"/>
      <c r="B169" s="805"/>
      <c r="C169" s="805"/>
      <c r="D169" s="804"/>
      <c r="E169" s="804"/>
      <c r="F169" s="804"/>
      <c r="G169" s="804"/>
      <c r="H169" s="804"/>
      <c r="I169" s="805"/>
      <c r="J169" s="809"/>
      <c r="K169" s="810"/>
      <c r="L169" s="811"/>
      <c r="M169" s="810"/>
      <c r="N169" s="812"/>
      <c r="O169" s="810"/>
      <c r="P169" s="813"/>
      <c r="Q169" s="922">
        <v>67125</v>
      </c>
      <c r="R169" s="922">
        <v>67125</v>
      </c>
      <c r="T169" s="922">
        <v>3762</v>
      </c>
      <c r="V169" s="922">
        <v>3750</v>
      </c>
      <c r="W169" s="923"/>
      <c r="X169" s="810"/>
      <c r="Y169" s="922">
        <v>150</v>
      </c>
      <c r="Z169" s="810"/>
      <c r="AA169" s="815"/>
      <c r="AB169" s="810"/>
      <c r="AC169" s="810"/>
      <c r="AD169" s="816"/>
      <c r="AE169" s="922">
        <v>7.48</v>
      </c>
      <c r="AF169" s="810"/>
      <c r="AG169" s="810"/>
      <c r="AH169" s="924"/>
      <c r="AI169" s="925"/>
      <c r="AJ169" s="926"/>
      <c r="AK169" s="925"/>
      <c r="AL169" s="809"/>
      <c r="AM169" s="922">
        <v>67125</v>
      </c>
      <c r="AN169" s="922">
        <v>67125</v>
      </c>
      <c r="AQ169" s="1128"/>
      <c r="AR169" s="1124"/>
      <c r="AS169" s="1124"/>
      <c r="AT169" s="1124"/>
      <c r="AU169" s="1124"/>
      <c r="AV169" s="1124"/>
      <c r="AW169" s="1124"/>
      <c r="AX169" s="1122"/>
      <c r="AY169" s="1125"/>
      <c r="AZ169" s="1126"/>
    </row>
    <row r="170" ht="150" customHeight="1" spans="1:52">
      <c r="A170" s="937">
        <v>4</v>
      </c>
      <c r="B170" s="937">
        <v>9503009000</v>
      </c>
      <c r="C170" s="937">
        <v>392690</v>
      </c>
      <c r="D170" s="937" t="s">
        <v>368</v>
      </c>
      <c r="E170" s="937" t="s">
        <v>252</v>
      </c>
      <c r="F170" s="937" t="s">
        <v>253</v>
      </c>
      <c r="G170" s="937"/>
      <c r="H170" s="937"/>
      <c r="I170" s="938" t="s">
        <v>123</v>
      </c>
      <c r="J170" s="940">
        <v>326.6</v>
      </c>
      <c r="K170" s="941">
        <v>5600</v>
      </c>
      <c r="L170" s="937" t="s">
        <v>254</v>
      </c>
      <c r="M170" s="1129" t="s">
        <v>255</v>
      </c>
      <c r="N170" s="942"/>
      <c r="O170" s="941"/>
      <c r="P170" s="940">
        <v>54.8</v>
      </c>
      <c r="Q170" s="940">
        <v>17897.68</v>
      </c>
      <c r="R170" s="1130">
        <v>73254.34</v>
      </c>
      <c r="S170" s="936"/>
      <c r="T170" s="940">
        <v>444</v>
      </c>
      <c r="U170" s="936"/>
      <c r="V170" s="1115">
        <v>326.6</v>
      </c>
      <c r="W170" s="946" t="s">
        <v>565</v>
      </c>
      <c r="X170" s="938" t="s">
        <v>566</v>
      </c>
      <c r="Y170" s="937">
        <v>70</v>
      </c>
      <c r="Z170" s="937">
        <v>80</v>
      </c>
      <c r="AA170" s="938">
        <v>43</v>
      </c>
      <c r="AB170" s="938">
        <v>40</v>
      </c>
      <c r="AC170" s="938">
        <v>50</v>
      </c>
      <c r="AD170" s="948">
        <v>0.0859491290490611</v>
      </c>
      <c r="AE170" s="1115">
        <v>6.02</v>
      </c>
      <c r="AF170" s="1131" t="str">
        <f>_xlfn.DISPIMG("ID_593E4C1D07914CDF9D0E86D2C88B1374",1)</f>
        <v>=DISPIMG("ID_593E4C1D07914CDF9D0E86D2C88B1374",1)</v>
      </c>
      <c r="AG170" s="939"/>
      <c r="AH170" s="937" t="s">
        <v>567</v>
      </c>
      <c r="AI170" s="950">
        <v>45996</v>
      </c>
      <c r="AJ170" s="937" t="s">
        <v>568</v>
      </c>
      <c r="AK170" s="950">
        <v>45996</v>
      </c>
      <c r="AL170" s="945">
        <v>54.8</v>
      </c>
      <c r="AM170" s="945">
        <v>17897.68</v>
      </c>
      <c r="AN170" s="1114">
        <v>89911.54</v>
      </c>
      <c r="AO170" s="936"/>
      <c r="AP170" s="936"/>
      <c r="AQ170" s="1090" t="s">
        <v>551</v>
      </c>
      <c r="AR170" s="1120">
        <v>45667</v>
      </c>
      <c r="AS170" s="1106" t="s">
        <v>552</v>
      </c>
      <c r="AT170" s="1121">
        <v>45680</v>
      </c>
      <c r="AU170" s="1106" t="s">
        <v>553</v>
      </c>
      <c r="AV170" s="1106" t="s">
        <v>59</v>
      </c>
      <c r="AW170" s="1106" t="s">
        <v>540</v>
      </c>
      <c r="AX170" s="1122"/>
      <c r="AY170" s="1125"/>
      <c r="AZ170" s="897">
        <v>67400.18</v>
      </c>
    </row>
    <row r="171" ht="150" customHeight="1" spans="1:52">
      <c r="A171" s="937">
        <v>5</v>
      </c>
      <c r="B171" s="937">
        <v>9503009000</v>
      </c>
      <c r="C171" s="937">
        <v>392690</v>
      </c>
      <c r="D171" s="937" t="s">
        <v>368</v>
      </c>
      <c r="E171" s="937" t="s">
        <v>260</v>
      </c>
      <c r="F171" s="937" t="s">
        <v>261</v>
      </c>
      <c r="G171" s="937"/>
      <c r="H171" s="937"/>
      <c r="I171" s="938" t="s">
        <v>123</v>
      </c>
      <c r="J171" s="940">
        <v>168.5</v>
      </c>
      <c r="K171" s="941">
        <v>6720</v>
      </c>
      <c r="L171" s="937" t="s">
        <v>254</v>
      </c>
      <c r="M171" s="1129"/>
      <c r="N171" s="942"/>
      <c r="O171" s="941"/>
      <c r="P171" s="940">
        <v>86.1</v>
      </c>
      <c r="Q171" s="940">
        <v>14507.85</v>
      </c>
      <c r="R171" s="1130"/>
      <c r="S171" s="936"/>
      <c r="T171" s="940">
        <v>241</v>
      </c>
      <c r="U171" s="936"/>
      <c r="V171" s="1115">
        <v>168.5</v>
      </c>
      <c r="W171" s="946" t="s">
        <v>569</v>
      </c>
      <c r="X171" s="938" t="s">
        <v>570</v>
      </c>
      <c r="Y171" s="937">
        <v>32</v>
      </c>
      <c r="Z171" s="937">
        <v>210</v>
      </c>
      <c r="AA171" s="938">
        <v>43</v>
      </c>
      <c r="AB171" s="938">
        <v>40</v>
      </c>
      <c r="AC171" s="938">
        <v>50</v>
      </c>
      <c r="AD171" s="948">
        <v>0.0859491290490611</v>
      </c>
      <c r="AE171" s="1115">
        <v>2.75</v>
      </c>
      <c r="AF171" s="1131" t="str">
        <f>_xlfn.DISPIMG("ID_3982F93171A443AD9F1093B9FD190D97",1)</f>
        <v>=DISPIMG("ID_3982F93171A443AD9F1093B9FD190D97",1)</v>
      </c>
      <c r="AG171" s="939"/>
      <c r="AH171" s="937"/>
      <c r="AI171" s="950"/>
      <c r="AJ171" s="937"/>
      <c r="AK171" s="950"/>
      <c r="AL171" s="945">
        <v>86.1</v>
      </c>
      <c r="AM171" s="945">
        <v>14507.85</v>
      </c>
      <c r="AN171" s="1114"/>
      <c r="AO171" s="936"/>
      <c r="AP171" s="936"/>
      <c r="AQ171" s="1127" t="s">
        <v>551</v>
      </c>
      <c r="AR171" s="1120">
        <v>45667</v>
      </c>
      <c r="AS171" s="1106" t="s">
        <v>552</v>
      </c>
      <c r="AT171" s="1121">
        <v>45680</v>
      </c>
      <c r="AU171" s="1106" t="s">
        <v>553</v>
      </c>
      <c r="AV171" s="1106" t="s">
        <v>59</v>
      </c>
      <c r="AW171" s="1106" t="s">
        <v>540</v>
      </c>
      <c r="AX171" s="1122"/>
      <c r="AY171" s="1125"/>
      <c r="AZ171" s="897"/>
    </row>
    <row r="172" ht="150" customHeight="1" spans="1:52">
      <c r="A172" s="937">
        <v>6</v>
      </c>
      <c r="B172" s="937">
        <v>9503009000</v>
      </c>
      <c r="C172" s="937">
        <v>392690</v>
      </c>
      <c r="D172" s="937" t="s">
        <v>368</v>
      </c>
      <c r="E172" s="937" t="s">
        <v>264</v>
      </c>
      <c r="F172" s="937" t="s">
        <v>265</v>
      </c>
      <c r="G172" s="937"/>
      <c r="H172" s="937"/>
      <c r="I172" s="938" t="s">
        <v>123</v>
      </c>
      <c r="J172" s="940">
        <v>276.76</v>
      </c>
      <c r="K172" s="941">
        <v>7320</v>
      </c>
      <c r="L172" s="937" t="s">
        <v>254</v>
      </c>
      <c r="M172" s="1129"/>
      <c r="N172" s="942"/>
      <c r="O172" s="941"/>
      <c r="P172" s="940">
        <v>62.75</v>
      </c>
      <c r="Q172" s="940">
        <v>17366.69</v>
      </c>
      <c r="R172" s="1130"/>
      <c r="S172" s="936"/>
      <c r="T172" s="940">
        <v>393</v>
      </c>
      <c r="U172" s="936"/>
      <c r="V172" s="1115">
        <v>276.76</v>
      </c>
      <c r="W172" s="946" t="s">
        <v>571</v>
      </c>
      <c r="X172" s="938" t="s">
        <v>572</v>
      </c>
      <c r="Y172" s="937">
        <v>61</v>
      </c>
      <c r="Z172" s="937">
        <v>120</v>
      </c>
      <c r="AA172" s="938">
        <v>43</v>
      </c>
      <c r="AB172" s="938">
        <v>40</v>
      </c>
      <c r="AC172" s="938">
        <v>50</v>
      </c>
      <c r="AD172" s="948">
        <v>0.0859491290490611</v>
      </c>
      <c r="AE172" s="1115">
        <v>5.24</v>
      </c>
      <c r="AF172" s="1131" t="str">
        <f>_xlfn.DISPIMG("ID_5F63F569D620457EAA3A95A29CC6D5A4",1)</f>
        <v>=DISPIMG("ID_5F63F569D620457EAA3A95A29CC6D5A4",1)</v>
      </c>
      <c r="AG172" s="939"/>
      <c r="AH172" s="937"/>
      <c r="AI172" s="950"/>
      <c r="AJ172" s="937"/>
      <c r="AK172" s="950"/>
      <c r="AL172" s="945">
        <v>62.75</v>
      </c>
      <c r="AM172" s="945">
        <v>17366.69</v>
      </c>
      <c r="AN172" s="1114"/>
      <c r="AO172" s="936"/>
      <c r="AP172" s="936"/>
      <c r="AQ172" s="1090" t="s">
        <v>551</v>
      </c>
      <c r="AR172" s="1120">
        <v>45667</v>
      </c>
      <c r="AS172" s="1106" t="s">
        <v>552</v>
      </c>
      <c r="AT172" s="1121">
        <v>45680</v>
      </c>
      <c r="AU172" s="1106" t="s">
        <v>553</v>
      </c>
      <c r="AV172" s="1106" t="s">
        <v>59</v>
      </c>
      <c r="AW172" s="1106" t="s">
        <v>540</v>
      </c>
      <c r="AX172" s="1122"/>
      <c r="AY172" s="1125"/>
      <c r="AZ172" s="897"/>
    </row>
    <row r="173" ht="150" customHeight="1" spans="1:52">
      <c r="A173" s="937">
        <v>7</v>
      </c>
      <c r="B173" s="937">
        <v>9503009000</v>
      </c>
      <c r="C173" s="937">
        <v>392690</v>
      </c>
      <c r="D173" s="937" t="s">
        <v>368</v>
      </c>
      <c r="E173" s="937" t="s">
        <v>381</v>
      </c>
      <c r="F173" s="937" t="s">
        <v>573</v>
      </c>
      <c r="G173" s="937"/>
      <c r="H173" s="937"/>
      <c r="I173" s="938" t="s">
        <v>123</v>
      </c>
      <c r="J173" s="940">
        <v>156.68</v>
      </c>
      <c r="K173" s="941">
        <v>9360</v>
      </c>
      <c r="L173" s="937" t="s">
        <v>254</v>
      </c>
      <c r="M173" s="1129"/>
      <c r="N173" s="942"/>
      <c r="O173" s="941"/>
      <c r="P173" s="940">
        <v>108.75</v>
      </c>
      <c r="Q173" s="940">
        <v>17038.95</v>
      </c>
      <c r="R173" s="1130"/>
      <c r="S173" s="936"/>
      <c r="T173" s="940">
        <v>232</v>
      </c>
      <c r="U173" s="936"/>
      <c r="V173" s="1115">
        <v>156.68</v>
      </c>
      <c r="W173" s="946" t="s">
        <v>375</v>
      </c>
      <c r="X173" s="938" t="s">
        <v>574</v>
      </c>
      <c r="Y173" s="937">
        <v>26</v>
      </c>
      <c r="Z173" s="937">
        <v>360</v>
      </c>
      <c r="AA173" s="938">
        <v>43</v>
      </c>
      <c r="AB173" s="938">
        <v>40</v>
      </c>
      <c r="AC173" s="938">
        <v>50</v>
      </c>
      <c r="AD173" s="948">
        <v>0.0859491290490611</v>
      </c>
      <c r="AE173" s="1115">
        <v>2.23</v>
      </c>
      <c r="AF173" s="1131" t="str">
        <f>_xlfn.DISPIMG("ID_B34853663D6B449AAA22C05D4496A3D0",1)</f>
        <v>=DISPIMG("ID_B34853663D6B449AAA22C05D4496A3D0",1)</v>
      </c>
      <c r="AG173" s="939"/>
      <c r="AH173" s="937"/>
      <c r="AI173" s="950"/>
      <c r="AJ173" s="937"/>
      <c r="AK173" s="950"/>
      <c r="AL173" s="945">
        <v>108.75</v>
      </c>
      <c r="AM173" s="945">
        <v>17038.95</v>
      </c>
      <c r="AN173" s="1114"/>
      <c r="AO173" s="936"/>
      <c r="AP173" s="936"/>
      <c r="AQ173" s="1127" t="s">
        <v>551</v>
      </c>
      <c r="AR173" s="1120">
        <v>45667</v>
      </c>
      <c r="AS173" s="1106" t="s">
        <v>552</v>
      </c>
      <c r="AT173" s="1121">
        <v>45680</v>
      </c>
      <c r="AU173" s="1106" t="s">
        <v>553</v>
      </c>
      <c r="AV173" s="1106" t="s">
        <v>59</v>
      </c>
      <c r="AW173" s="1106" t="s">
        <v>540</v>
      </c>
      <c r="AX173" s="1122"/>
      <c r="AY173" s="1125"/>
      <c r="AZ173" s="897"/>
    </row>
    <row r="174" ht="150" customHeight="1" spans="1:52">
      <c r="A174" s="937">
        <v>8</v>
      </c>
      <c r="B174" s="937">
        <v>9503009000</v>
      </c>
      <c r="C174" s="937">
        <v>392690</v>
      </c>
      <c r="D174" s="937" t="s">
        <v>347</v>
      </c>
      <c r="E174" s="937" t="s">
        <v>386</v>
      </c>
      <c r="F174" s="937" t="s">
        <v>575</v>
      </c>
      <c r="G174" s="937"/>
      <c r="H174" s="937"/>
      <c r="I174" s="938" t="s">
        <v>123</v>
      </c>
      <c r="J174" s="940">
        <v>69.7</v>
      </c>
      <c r="K174" s="941">
        <v>2275</v>
      </c>
      <c r="L174" s="937" t="s">
        <v>254</v>
      </c>
      <c r="M174" s="1129"/>
      <c r="N174" s="942"/>
      <c r="O174" s="941"/>
      <c r="P174" s="940">
        <v>82.9</v>
      </c>
      <c r="Q174" s="940">
        <v>5778.13</v>
      </c>
      <c r="R174" s="1130"/>
      <c r="S174" s="936"/>
      <c r="T174" s="940">
        <v>94</v>
      </c>
      <c r="U174" s="936"/>
      <c r="V174" s="1115">
        <v>69.7</v>
      </c>
      <c r="W174" s="946" t="s">
        <v>383</v>
      </c>
      <c r="X174" s="938" t="s">
        <v>576</v>
      </c>
      <c r="Y174" s="937">
        <v>13</v>
      </c>
      <c r="Z174" s="937">
        <v>175</v>
      </c>
      <c r="AA174" s="938">
        <v>43</v>
      </c>
      <c r="AB174" s="938">
        <v>40</v>
      </c>
      <c r="AC174" s="938">
        <v>50</v>
      </c>
      <c r="AD174" s="948">
        <v>0.0859491290490611</v>
      </c>
      <c r="AE174" s="1115">
        <v>1.12</v>
      </c>
      <c r="AF174" s="1131" t="str">
        <f>_xlfn.DISPIMG("ID_C6BAE46059524DFF8AD3607C7667A2D2",1)</f>
        <v>=DISPIMG("ID_C6BAE46059524DFF8AD3607C7667A2D2",1)</v>
      </c>
      <c r="AG174" s="939"/>
      <c r="AH174" s="937"/>
      <c r="AI174" s="950"/>
      <c r="AJ174" s="937"/>
      <c r="AK174" s="950"/>
      <c r="AL174" s="945">
        <v>82.9</v>
      </c>
      <c r="AM174" s="945">
        <v>5778.13</v>
      </c>
      <c r="AN174" s="1114"/>
      <c r="AO174" s="936"/>
      <c r="AP174" s="936"/>
      <c r="AQ174" s="1090" t="s">
        <v>551</v>
      </c>
      <c r="AR174" s="1120">
        <v>45667</v>
      </c>
      <c r="AS174" s="1106" t="s">
        <v>552</v>
      </c>
      <c r="AT174" s="1121">
        <v>45680</v>
      </c>
      <c r="AU174" s="1106" t="s">
        <v>553</v>
      </c>
      <c r="AV174" s="1106" t="s">
        <v>59</v>
      </c>
      <c r="AW174" s="1106" t="s">
        <v>540</v>
      </c>
      <c r="AX174" s="1122"/>
      <c r="AY174" s="1125"/>
      <c r="AZ174" s="897"/>
    </row>
    <row r="175" ht="150" customHeight="1" spans="1:52">
      <c r="A175" s="937">
        <v>9</v>
      </c>
      <c r="B175" s="937">
        <v>9503009000</v>
      </c>
      <c r="C175" s="937">
        <v>392690</v>
      </c>
      <c r="D175" s="937" t="s">
        <v>347</v>
      </c>
      <c r="E175" s="937" t="s">
        <v>268</v>
      </c>
      <c r="F175" s="937" t="s">
        <v>269</v>
      </c>
      <c r="G175" s="937"/>
      <c r="H175" s="937"/>
      <c r="I175" s="938" t="s">
        <v>123</v>
      </c>
      <c r="J175" s="940">
        <v>24.45</v>
      </c>
      <c r="K175" s="941">
        <v>760</v>
      </c>
      <c r="L175" s="937" t="s">
        <v>254</v>
      </c>
      <c r="M175" s="1129"/>
      <c r="N175" s="942"/>
      <c r="O175" s="941"/>
      <c r="P175" s="940">
        <v>27.2</v>
      </c>
      <c r="Q175" s="940">
        <v>665.04</v>
      </c>
      <c r="R175" s="1130"/>
      <c r="S175" s="936"/>
      <c r="T175" s="940">
        <v>40</v>
      </c>
      <c r="U175" s="936"/>
      <c r="V175" s="1115">
        <v>24.45</v>
      </c>
      <c r="W175" s="1132" t="s">
        <v>383</v>
      </c>
      <c r="X175" s="1133" t="s">
        <v>577</v>
      </c>
      <c r="Y175" s="1129">
        <v>7</v>
      </c>
      <c r="Z175" s="1129" t="s">
        <v>578</v>
      </c>
      <c r="AA175" s="1133">
        <v>43</v>
      </c>
      <c r="AB175" s="1133">
        <v>40</v>
      </c>
      <c r="AC175" s="1133">
        <v>50</v>
      </c>
      <c r="AD175" s="948">
        <v>0.0859491290490611</v>
      </c>
      <c r="AE175" s="1115">
        <v>0.6</v>
      </c>
      <c r="AF175" s="1134" t="str">
        <f>_xlfn.DISPIMG("ID_C5723062E65146AD80D13B10C3E10D18",1)</f>
        <v>=DISPIMG("ID_C5723062E65146AD80D13B10C3E10D18",1)</v>
      </c>
      <c r="AG175" s="939"/>
      <c r="AH175" s="937"/>
      <c r="AI175" s="950"/>
      <c r="AJ175" s="937"/>
      <c r="AK175" s="950"/>
      <c r="AL175" s="945">
        <v>27.2</v>
      </c>
      <c r="AM175" s="945">
        <v>665.04</v>
      </c>
      <c r="AN175" s="1114"/>
      <c r="AO175" s="936"/>
      <c r="AP175" s="936"/>
      <c r="AQ175" s="1127" t="s">
        <v>551</v>
      </c>
      <c r="AR175" s="1120">
        <v>45667</v>
      </c>
      <c r="AS175" s="1106" t="s">
        <v>552</v>
      </c>
      <c r="AT175" s="1121">
        <v>45680</v>
      </c>
      <c r="AU175" s="1106" t="s">
        <v>553</v>
      </c>
      <c r="AV175" s="1106" t="s">
        <v>59</v>
      </c>
      <c r="AW175" s="1106" t="s">
        <v>540</v>
      </c>
      <c r="AX175" s="1122"/>
      <c r="AY175" s="1125"/>
      <c r="AZ175" s="897"/>
    </row>
    <row r="176" ht="150" customHeight="1" spans="1:52">
      <c r="A176" s="937">
        <v>10</v>
      </c>
      <c r="B176" s="937">
        <v>7326909000</v>
      </c>
      <c r="C176" s="937">
        <v>848079</v>
      </c>
      <c r="D176" s="937">
        <v>47101</v>
      </c>
      <c r="E176" s="937" t="s">
        <v>417</v>
      </c>
      <c r="F176" s="937" t="s">
        <v>418</v>
      </c>
      <c r="G176" s="937" t="s">
        <v>579</v>
      </c>
      <c r="H176" s="937"/>
      <c r="I176" s="938" t="s">
        <v>51</v>
      </c>
      <c r="J176" s="940">
        <v>20</v>
      </c>
      <c r="K176" s="941">
        <v>20</v>
      </c>
      <c r="L176" s="937" t="s">
        <v>254</v>
      </c>
      <c r="M176" s="937" t="s">
        <v>416</v>
      </c>
      <c r="N176" s="942"/>
      <c r="O176" s="941"/>
      <c r="P176" s="940">
        <v>217</v>
      </c>
      <c r="Q176" s="940">
        <v>4340</v>
      </c>
      <c r="R176" s="1135">
        <v>7285</v>
      </c>
      <c r="S176" s="936"/>
      <c r="T176" s="940">
        <v>7</v>
      </c>
      <c r="U176" s="936"/>
      <c r="V176" s="1115">
        <v>6.24</v>
      </c>
      <c r="W176" s="946" t="s">
        <v>383</v>
      </c>
      <c r="X176" s="937">
        <v>100</v>
      </c>
      <c r="Y176" s="1091">
        <v>1</v>
      </c>
      <c r="Z176" s="938">
        <v>33</v>
      </c>
      <c r="AA176" s="937">
        <v>43</v>
      </c>
      <c r="AB176" s="937">
        <v>40</v>
      </c>
      <c r="AC176" s="937">
        <v>51</v>
      </c>
      <c r="AD176" s="948">
        <v>0.0876681116300423</v>
      </c>
      <c r="AE176" s="1136">
        <v>0.09</v>
      </c>
      <c r="AF176" s="1118" t="str">
        <f>_xlfn.DISPIMG("ID_EEEC72A780B14C8C999784263588F420",1)</f>
        <v>=DISPIMG("ID_EEEC72A780B14C8C999784263588F420",1)</v>
      </c>
      <c r="AG176" s="939"/>
      <c r="AH176" s="937"/>
      <c r="AI176" s="950"/>
      <c r="AJ176" s="937"/>
      <c r="AK176" s="950"/>
      <c r="AL176" s="945">
        <v>217</v>
      </c>
      <c r="AM176" s="945">
        <v>4340</v>
      </c>
      <c r="AN176" s="1114"/>
      <c r="AO176" s="936"/>
      <c r="AP176" s="936"/>
      <c r="AQ176" s="1090" t="s">
        <v>551</v>
      </c>
      <c r="AR176" s="1120">
        <v>45667</v>
      </c>
      <c r="AS176" s="1106" t="s">
        <v>552</v>
      </c>
      <c r="AT176" s="1121">
        <v>45680</v>
      </c>
      <c r="AU176" s="1106" t="s">
        <v>553</v>
      </c>
      <c r="AV176" s="1106" t="s">
        <v>59</v>
      </c>
      <c r="AW176" s="1106" t="s">
        <v>540</v>
      </c>
      <c r="AX176" s="1122"/>
      <c r="AY176" s="1125"/>
      <c r="AZ176" s="897"/>
    </row>
    <row r="177" ht="150" customHeight="1" spans="1:52">
      <c r="A177" s="937">
        <v>11</v>
      </c>
      <c r="B177" s="937">
        <v>7326909000</v>
      </c>
      <c r="C177" s="937">
        <v>732690</v>
      </c>
      <c r="D177" s="937">
        <v>47391</v>
      </c>
      <c r="E177" s="937" t="s">
        <v>413</v>
      </c>
      <c r="F177" s="937" t="s">
        <v>580</v>
      </c>
      <c r="G177" s="937" t="s">
        <v>581</v>
      </c>
      <c r="H177" s="937"/>
      <c r="I177" s="938" t="s">
        <v>51</v>
      </c>
      <c r="J177" s="940">
        <v>13</v>
      </c>
      <c r="K177" s="941">
        <v>13</v>
      </c>
      <c r="L177" s="937" t="s">
        <v>254</v>
      </c>
      <c r="M177" s="937"/>
      <c r="N177" s="942"/>
      <c r="O177" s="941"/>
      <c r="P177" s="940">
        <v>65</v>
      </c>
      <c r="Q177" s="940">
        <v>845</v>
      </c>
      <c r="R177" s="1135"/>
      <c r="S177" s="936"/>
      <c r="T177" s="940">
        <v>6</v>
      </c>
      <c r="U177" s="936"/>
      <c r="V177" s="1115">
        <v>4.84</v>
      </c>
      <c r="W177" s="946"/>
      <c r="X177" s="937"/>
      <c r="Y177" s="1091"/>
      <c r="Z177" s="938"/>
      <c r="AA177" s="937"/>
      <c r="AB177" s="937"/>
      <c r="AC177" s="937"/>
      <c r="AD177" s="948"/>
      <c r="AE177" s="1136"/>
      <c r="AF177" s="1118" t="str">
        <f>_xlfn.DISPIMG("ID_00F3664A923C4471BE2BF9930393E123",1)</f>
        <v>=DISPIMG("ID_00F3664A923C4471BE2BF9930393E123",1)</v>
      </c>
      <c r="AG177" s="939"/>
      <c r="AH177" s="937"/>
      <c r="AI177" s="950"/>
      <c r="AJ177" s="937"/>
      <c r="AK177" s="950"/>
      <c r="AL177" s="945">
        <v>65</v>
      </c>
      <c r="AM177" s="945">
        <v>845</v>
      </c>
      <c r="AN177" s="1114"/>
      <c r="AO177" s="936"/>
      <c r="AP177" s="936"/>
      <c r="AQ177" s="1127" t="s">
        <v>551</v>
      </c>
      <c r="AR177" s="1120">
        <v>45667</v>
      </c>
      <c r="AS177" s="1106" t="s">
        <v>552</v>
      </c>
      <c r="AT177" s="1121">
        <v>45680</v>
      </c>
      <c r="AU177" s="1106" t="s">
        <v>553</v>
      </c>
      <c r="AV177" s="1106" t="s">
        <v>59</v>
      </c>
      <c r="AW177" s="1106" t="s">
        <v>540</v>
      </c>
      <c r="AX177" s="1122"/>
      <c r="AY177" s="1125"/>
      <c r="AZ177" s="897"/>
    </row>
    <row r="178" ht="150" customHeight="1" spans="1:52">
      <c r="A178" s="937">
        <v>12</v>
      </c>
      <c r="B178" s="937">
        <v>7326909000</v>
      </c>
      <c r="C178" s="937">
        <v>732690</v>
      </c>
      <c r="D178" s="937">
        <v>47101</v>
      </c>
      <c r="E178" s="937" t="s">
        <v>582</v>
      </c>
      <c r="F178" s="937" t="s">
        <v>583</v>
      </c>
      <c r="G178" s="937" t="s">
        <v>584</v>
      </c>
      <c r="H178" s="937"/>
      <c r="I178" s="938" t="s">
        <v>51</v>
      </c>
      <c r="J178" s="940">
        <v>22</v>
      </c>
      <c r="K178" s="941">
        <v>22</v>
      </c>
      <c r="L178" s="939" t="s">
        <v>254</v>
      </c>
      <c r="M178" s="937"/>
      <c r="N178" s="942"/>
      <c r="O178" s="941"/>
      <c r="P178" s="940">
        <v>45</v>
      </c>
      <c r="Q178" s="940">
        <v>990</v>
      </c>
      <c r="R178" s="1135"/>
      <c r="S178" s="936"/>
      <c r="T178" s="940">
        <v>14</v>
      </c>
      <c r="U178" s="936"/>
      <c r="V178" s="1115">
        <v>12.76</v>
      </c>
      <c r="W178" s="946"/>
      <c r="X178" s="937">
        <v>101</v>
      </c>
      <c r="Y178" s="1091">
        <v>1</v>
      </c>
      <c r="Z178" s="938">
        <v>34</v>
      </c>
      <c r="AA178" s="937">
        <v>37.5</v>
      </c>
      <c r="AB178" s="937">
        <v>31.5</v>
      </c>
      <c r="AC178" s="937">
        <v>36</v>
      </c>
      <c r="AD178" s="948">
        <v>0.0424998454978061</v>
      </c>
      <c r="AE178" s="1115">
        <v>0.04</v>
      </c>
      <c r="AF178" s="1118" t="str">
        <f>_xlfn.DISPIMG("ID_339C8DED368940F593EF2947CE378DB7",1)</f>
        <v>=DISPIMG("ID_339C8DED368940F593EF2947CE378DB7",1)</v>
      </c>
      <c r="AG178" s="939"/>
      <c r="AH178" s="937"/>
      <c r="AI178" s="950"/>
      <c r="AJ178" s="937"/>
      <c r="AK178" s="950"/>
      <c r="AL178" s="945">
        <v>45</v>
      </c>
      <c r="AM178" s="945">
        <v>990</v>
      </c>
      <c r="AN178" s="1114"/>
      <c r="AO178" s="936"/>
      <c r="AP178" s="936"/>
      <c r="AQ178" s="1090" t="s">
        <v>551</v>
      </c>
      <c r="AR178" s="1120">
        <v>45667</v>
      </c>
      <c r="AS178" s="1106" t="s">
        <v>552</v>
      </c>
      <c r="AT178" s="1121">
        <v>45680</v>
      </c>
      <c r="AU178" s="1106" t="s">
        <v>553</v>
      </c>
      <c r="AV178" s="1106" t="s">
        <v>59</v>
      </c>
      <c r="AW178" s="1106" t="s">
        <v>540</v>
      </c>
      <c r="AX178" s="1122"/>
      <c r="AY178" s="1125"/>
      <c r="AZ178" s="897"/>
    </row>
    <row r="179" ht="150" customHeight="1" spans="1:52">
      <c r="A179" s="937">
        <v>13</v>
      </c>
      <c r="B179" s="937">
        <v>8480790090</v>
      </c>
      <c r="C179" s="937">
        <v>848079</v>
      </c>
      <c r="D179" s="937">
        <v>47391</v>
      </c>
      <c r="E179" s="937" t="s">
        <v>585</v>
      </c>
      <c r="F179" s="937" t="s">
        <v>586</v>
      </c>
      <c r="G179" s="937" t="s">
        <v>587</v>
      </c>
      <c r="H179" s="937"/>
      <c r="I179" s="938" t="s">
        <v>51</v>
      </c>
      <c r="J179" s="940">
        <v>12</v>
      </c>
      <c r="K179" s="941">
        <v>12</v>
      </c>
      <c r="L179" s="939" t="s">
        <v>254</v>
      </c>
      <c r="M179" s="937"/>
      <c r="N179" s="942"/>
      <c r="O179" s="941"/>
      <c r="P179" s="940">
        <v>20</v>
      </c>
      <c r="Q179" s="940">
        <v>240</v>
      </c>
      <c r="R179" s="1135"/>
      <c r="S179" s="936"/>
      <c r="T179" s="940">
        <v>7</v>
      </c>
      <c r="U179" s="936"/>
      <c r="V179" s="1115">
        <v>6.6</v>
      </c>
      <c r="W179" s="946"/>
      <c r="X179" s="937"/>
      <c r="Y179" s="1091"/>
      <c r="Z179" s="938"/>
      <c r="AA179" s="937"/>
      <c r="AB179" s="937"/>
      <c r="AC179" s="937"/>
      <c r="AD179" s="948"/>
      <c r="AE179" s="1115"/>
      <c r="AF179" s="1118" t="str">
        <f>_xlfn.DISPIMG("ID_6AFDB99BEE61497AB18F18858D77D990",1)</f>
        <v>=DISPIMG("ID_6AFDB99BEE61497AB18F18858D77D990",1)</v>
      </c>
      <c r="AG179" s="939"/>
      <c r="AH179" s="937"/>
      <c r="AI179" s="950"/>
      <c r="AJ179" s="937"/>
      <c r="AK179" s="950"/>
      <c r="AL179" s="945">
        <v>20</v>
      </c>
      <c r="AM179" s="945">
        <v>240</v>
      </c>
      <c r="AN179" s="1114"/>
      <c r="AO179" s="936"/>
      <c r="AP179" s="936"/>
      <c r="AQ179" s="1127" t="s">
        <v>551</v>
      </c>
      <c r="AR179" s="1120">
        <v>45667</v>
      </c>
      <c r="AS179" s="1106" t="s">
        <v>552</v>
      </c>
      <c r="AT179" s="1121">
        <v>45680</v>
      </c>
      <c r="AU179" s="1106" t="s">
        <v>553</v>
      </c>
      <c r="AV179" s="1106" t="s">
        <v>59</v>
      </c>
      <c r="AW179" s="1106" t="s">
        <v>540</v>
      </c>
      <c r="AX179" s="1122"/>
      <c r="AY179" s="1125"/>
      <c r="AZ179" s="897"/>
    </row>
    <row r="180" ht="150" customHeight="1" spans="1:52">
      <c r="A180" s="937">
        <v>14</v>
      </c>
      <c r="B180" s="937">
        <v>3926909090</v>
      </c>
      <c r="C180" s="937">
        <v>392690</v>
      </c>
      <c r="D180" s="937">
        <v>47101</v>
      </c>
      <c r="E180" s="937" t="s">
        <v>588</v>
      </c>
      <c r="F180" s="937" t="s">
        <v>589</v>
      </c>
      <c r="G180" s="937" t="s">
        <v>590</v>
      </c>
      <c r="H180" s="937"/>
      <c r="I180" s="938" t="s">
        <v>51</v>
      </c>
      <c r="J180" s="940">
        <v>8</v>
      </c>
      <c r="K180" s="941">
        <v>8</v>
      </c>
      <c r="L180" s="939" t="s">
        <v>254</v>
      </c>
      <c r="M180" s="937"/>
      <c r="N180" s="942"/>
      <c r="O180" s="941"/>
      <c r="P180" s="940">
        <v>58</v>
      </c>
      <c r="Q180" s="940">
        <v>464</v>
      </c>
      <c r="R180" s="1135"/>
      <c r="S180" s="936"/>
      <c r="T180" s="940">
        <v>3</v>
      </c>
      <c r="U180" s="936"/>
      <c r="V180" s="1115">
        <v>2.48</v>
      </c>
      <c r="W180" s="946"/>
      <c r="X180" s="937">
        <v>102</v>
      </c>
      <c r="Y180" s="1091">
        <v>1</v>
      </c>
      <c r="Z180" s="938">
        <v>8</v>
      </c>
      <c r="AA180" s="937">
        <v>40.5</v>
      </c>
      <c r="AB180" s="937">
        <v>30.3</v>
      </c>
      <c r="AC180" s="937">
        <v>8.3</v>
      </c>
      <c r="AD180" s="948">
        <v>0.0101793201373745</v>
      </c>
      <c r="AE180" s="1115">
        <v>0.01</v>
      </c>
      <c r="AF180" s="1118" t="str">
        <f>_xlfn.DISPIMG("ID_C803BFC4BA3B48469984F9D6B8C37B6C",1)</f>
        <v>=DISPIMG("ID_C803BFC4BA3B48469984F9D6B8C37B6C",1)</v>
      </c>
      <c r="AG180" s="939"/>
      <c r="AH180" s="937"/>
      <c r="AI180" s="950"/>
      <c r="AJ180" s="937"/>
      <c r="AK180" s="950"/>
      <c r="AL180" s="945">
        <v>58</v>
      </c>
      <c r="AM180" s="945">
        <v>464</v>
      </c>
      <c r="AN180" s="1114"/>
      <c r="AO180" s="936"/>
      <c r="AP180" s="936"/>
      <c r="AQ180" s="1090" t="s">
        <v>551</v>
      </c>
      <c r="AR180" s="1120">
        <v>45667</v>
      </c>
      <c r="AS180" s="1106" t="s">
        <v>552</v>
      </c>
      <c r="AT180" s="1121">
        <v>45680</v>
      </c>
      <c r="AU180" s="1106" t="s">
        <v>553</v>
      </c>
      <c r="AV180" s="1106" t="s">
        <v>59</v>
      </c>
      <c r="AW180" s="1106" t="s">
        <v>540</v>
      </c>
      <c r="AX180" s="1122"/>
      <c r="AY180" s="1125"/>
      <c r="AZ180" s="897"/>
    </row>
    <row r="181" ht="150" customHeight="1" spans="1:52">
      <c r="A181" s="937">
        <v>15</v>
      </c>
      <c r="B181" s="937">
        <v>3926909090</v>
      </c>
      <c r="C181" s="937">
        <v>392690</v>
      </c>
      <c r="D181" s="937">
        <v>47391</v>
      </c>
      <c r="E181" s="937" t="s">
        <v>591</v>
      </c>
      <c r="F181" s="937" t="s">
        <v>592</v>
      </c>
      <c r="G181" s="937" t="s">
        <v>593</v>
      </c>
      <c r="H181" s="937"/>
      <c r="I181" s="938" t="s">
        <v>51</v>
      </c>
      <c r="J181" s="940">
        <v>8</v>
      </c>
      <c r="K181" s="941">
        <v>8</v>
      </c>
      <c r="L181" s="939" t="s">
        <v>254</v>
      </c>
      <c r="M181" s="937"/>
      <c r="N181" s="942"/>
      <c r="O181" s="941"/>
      <c r="P181" s="940">
        <v>27</v>
      </c>
      <c r="Q181" s="940">
        <v>216</v>
      </c>
      <c r="R181" s="1135"/>
      <c r="S181" s="936"/>
      <c r="T181" s="940">
        <v>1.5</v>
      </c>
      <c r="U181" s="936"/>
      <c r="V181" s="1115">
        <v>1.04</v>
      </c>
      <c r="W181" s="946"/>
      <c r="X181" s="937">
        <v>103</v>
      </c>
      <c r="Y181" s="1105">
        <v>1</v>
      </c>
      <c r="Z181" s="938">
        <v>18</v>
      </c>
      <c r="AA181" s="937">
        <v>40.5</v>
      </c>
      <c r="AB181" s="937">
        <v>30.3</v>
      </c>
      <c r="AC181" s="937">
        <v>8.3</v>
      </c>
      <c r="AD181" s="948">
        <v>0.0101793201373745</v>
      </c>
      <c r="AE181" s="1115">
        <v>0.01</v>
      </c>
      <c r="AF181" s="1118" t="str">
        <f>_xlfn.DISPIMG("ID_EDF74E57CA434C08ADE70C62837ACF64",1)</f>
        <v>=DISPIMG("ID_EDF74E57CA434C08ADE70C62837ACF64",1)</v>
      </c>
      <c r="AG181" s="939"/>
      <c r="AH181" s="937"/>
      <c r="AI181" s="950"/>
      <c r="AJ181" s="937"/>
      <c r="AK181" s="950"/>
      <c r="AL181" s="945">
        <v>27</v>
      </c>
      <c r="AM181" s="945">
        <v>216</v>
      </c>
      <c r="AN181" s="1114"/>
      <c r="AO181" s="936"/>
      <c r="AP181" s="936"/>
      <c r="AQ181" s="1127" t="s">
        <v>551</v>
      </c>
      <c r="AR181" s="1120">
        <v>45667</v>
      </c>
      <c r="AS181" s="1106" t="s">
        <v>552</v>
      </c>
      <c r="AT181" s="1121">
        <v>45680</v>
      </c>
      <c r="AU181" s="1106" t="s">
        <v>553</v>
      </c>
      <c r="AV181" s="1106" t="s">
        <v>59</v>
      </c>
      <c r="AW181" s="1106" t="s">
        <v>540</v>
      </c>
      <c r="AX181" s="1122"/>
      <c r="AY181" s="1125"/>
      <c r="AZ181" s="897"/>
    </row>
    <row r="182" ht="150" customHeight="1" spans="1:52">
      <c r="A182" s="937">
        <v>16</v>
      </c>
      <c r="B182" s="937">
        <v>3926909090</v>
      </c>
      <c r="C182" s="937">
        <v>392690</v>
      </c>
      <c r="D182" s="937">
        <v>47101</v>
      </c>
      <c r="E182" s="937" t="s">
        <v>594</v>
      </c>
      <c r="F182" s="937" t="s">
        <v>595</v>
      </c>
      <c r="G182" s="937" t="s">
        <v>596</v>
      </c>
      <c r="H182" s="937"/>
      <c r="I182" s="938" t="s">
        <v>51</v>
      </c>
      <c r="J182" s="940">
        <v>10</v>
      </c>
      <c r="K182" s="941">
        <v>10</v>
      </c>
      <c r="L182" s="939" t="s">
        <v>254</v>
      </c>
      <c r="M182" s="937"/>
      <c r="N182" s="942"/>
      <c r="O182" s="941"/>
      <c r="P182" s="940">
        <v>19</v>
      </c>
      <c r="Q182" s="940">
        <v>190</v>
      </c>
      <c r="R182" s="1135"/>
      <c r="S182" s="936"/>
      <c r="T182" s="940">
        <v>0.5</v>
      </c>
      <c r="U182" s="936"/>
      <c r="V182" s="1115">
        <v>0.3</v>
      </c>
      <c r="W182" s="946"/>
      <c r="X182" s="937"/>
      <c r="Y182" s="1105"/>
      <c r="Z182" s="938"/>
      <c r="AA182" s="937"/>
      <c r="AB182" s="937"/>
      <c r="AC182" s="937"/>
      <c r="AD182" s="948"/>
      <c r="AE182" s="1115"/>
      <c r="AF182" s="1118" t="str">
        <f>_xlfn.DISPIMG("ID_A326523BB5FC4D028D040F6B3AAC32C5",1)</f>
        <v>=DISPIMG("ID_A326523BB5FC4D028D040F6B3AAC32C5",1)</v>
      </c>
      <c r="AG182" s="939"/>
      <c r="AH182" s="937"/>
      <c r="AI182" s="950"/>
      <c r="AJ182" s="937"/>
      <c r="AK182" s="950"/>
      <c r="AL182" s="945">
        <v>19</v>
      </c>
      <c r="AM182" s="945">
        <v>190</v>
      </c>
      <c r="AN182" s="1114"/>
      <c r="AO182" s="936"/>
      <c r="AP182" s="936"/>
      <c r="AQ182" s="1090" t="s">
        <v>551</v>
      </c>
      <c r="AR182" s="1120">
        <v>45667</v>
      </c>
      <c r="AS182" s="1106" t="s">
        <v>552</v>
      </c>
      <c r="AT182" s="1121">
        <v>45680</v>
      </c>
      <c r="AU182" s="1106" t="s">
        <v>553</v>
      </c>
      <c r="AV182" s="1106" t="s">
        <v>59</v>
      </c>
      <c r="AW182" s="1106" t="s">
        <v>540</v>
      </c>
      <c r="AX182" s="1122"/>
      <c r="AY182" s="1125"/>
      <c r="AZ182" s="897"/>
    </row>
    <row r="183" ht="150" customHeight="1" spans="1:52">
      <c r="A183" s="937">
        <v>17</v>
      </c>
      <c r="B183" s="937">
        <v>3923210000</v>
      </c>
      <c r="C183" s="937">
        <v>392321</v>
      </c>
      <c r="D183" s="937" t="s">
        <v>597</v>
      </c>
      <c r="E183" s="937" t="s">
        <v>598</v>
      </c>
      <c r="F183" s="937" t="s">
        <v>599</v>
      </c>
      <c r="G183" s="937" t="s">
        <v>600</v>
      </c>
      <c r="H183" s="937"/>
      <c r="I183" s="938" t="s">
        <v>123</v>
      </c>
      <c r="J183" s="940">
        <v>924.1</v>
      </c>
      <c r="K183" s="941">
        <v>15836</v>
      </c>
      <c r="L183" s="939" t="s">
        <v>254</v>
      </c>
      <c r="M183" s="937"/>
      <c r="N183" s="942"/>
      <c r="O183" s="941"/>
      <c r="P183" s="940">
        <v>6.5</v>
      </c>
      <c r="Q183" s="940">
        <v>6006.65</v>
      </c>
      <c r="R183" s="1114">
        <v>9372.2</v>
      </c>
      <c r="S183" s="936"/>
      <c r="T183" s="940">
        <v>945.1</v>
      </c>
      <c r="U183" s="936"/>
      <c r="V183" s="1115">
        <v>924.1</v>
      </c>
      <c r="W183" s="941" t="s">
        <v>601</v>
      </c>
      <c r="X183" s="939">
        <v>210</v>
      </c>
      <c r="Y183" s="1105">
        <v>1</v>
      </c>
      <c r="Z183" s="938">
        <v>15836</v>
      </c>
      <c r="AA183" s="938">
        <v>130</v>
      </c>
      <c r="AB183" s="938">
        <v>110</v>
      </c>
      <c r="AC183" s="938">
        <v>132</v>
      </c>
      <c r="AD183" s="948">
        <v>1.88648344177916</v>
      </c>
      <c r="AE183" s="1115">
        <v>1.89</v>
      </c>
      <c r="AF183" s="802"/>
      <c r="AG183" s="939"/>
      <c r="AH183" s="937"/>
      <c r="AI183" s="950"/>
      <c r="AJ183" s="937"/>
      <c r="AK183" s="950"/>
      <c r="AL183" s="945">
        <v>6.5</v>
      </c>
      <c r="AM183" s="945">
        <v>6006.65</v>
      </c>
      <c r="AN183" s="1114"/>
      <c r="AO183" s="936"/>
      <c r="AP183" s="936"/>
      <c r="AQ183" s="1127" t="s">
        <v>551</v>
      </c>
      <c r="AR183" s="1120">
        <v>45667</v>
      </c>
      <c r="AS183" s="1106" t="s">
        <v>552</v>
      </c>
      <c r="AT183" s="1121">
        <v>45680</v>
      </c>
      <c r="AU183" s="1106" t="s">
        <v>553</v>
      </c>
      <c r="AV183" s="1106" t="s">
        <v>59</v>
      </c>
      <c r="AW183" s="1106" t="s">
        <v>540</v>
      </c>
      <c r="AX183" s="1122"/>
      <c r="AY183" s="1125"/>
      <c r="AZ183" s="897"/>
    </row>
    <row r="184" ht="150" customHeight="1" spans="1:52">
      <c r="A184" s="937">
        <v>18</v>
      </c>
      <c r="B184" s="938">
        <v>3923210000</v>
      </c>
      <c r="C184" s="938">
        <v>392321</v>
      </c>
      <c r="D184" s="937" t="s">
        <v>597</v>
      </c>
      <c r="E184" s="937" t="s">
        <v>602</v>
      </c>
      <c r="F184" s="937" t="s">
        <v>603</v>
      </c>
      <c r="G184" s="937" t="s">
        <v>604</v>
      </c>
      <c r="H184" s="937"/>
      <c r="I184" s="938" t="s">
        <v>123</v>
      </c>
      <c r="J184" s="1108">
        <v>138.5</v>
      </c>
      <c r="K184" s="939">
        <v>3000</v>
      </c>
      <c r="L184" s="1106" t="s">
        <v>254</v>
      </c>
      <c r="M184" s="937"/>
      <c r="N184" s="942"/>
      <c r="O184" s="939"/>
      <c r="P184" s="940">
        <v>24.3</v>
      </c>
      <c r="Q184" s="940">
        <v>3365.55</v>
      </c>
      <c r="R184" s="1114"/>
      <c r="S184" s="936"/>
      <c r="T184" s="940">
        <v>159.5</v>
      </c>
      <c r="U184" s="936"/>
      <c r="V184" s="1115">
        <v>138.5</v>
      </c>
      <c r="W184" s="946" t="s">
        <v>605</v>
      </c>
      <c r="X184" s="1093" t="s">
        <v>606</v>
      </c>
      <c r="Y184" s="937">
        <v>1</v>
      </c>
      <c r="Z184" s="938">
        <v>3000</v>
      </c>
      <c r="AA184" s="938">
        <v>130</v>
      </c>
      <c r="AB184" s="938">
        <v>110</v>
      </c>
      <c r="AC184" s="938">
        <v>132</v>
      </c>
      <c r="AD184" s="948">
        <v>1.88648344177916</v>
      </c>
      <c r="AE184" s="1115">
        <v>1.89</v>
      </c>
      <c r="AF184" s="802"/>
      <c r="AG184" s="939"/>
      <c r="AH184" s="937"/>
      <c r="AI184" s="950"/>
      <c r="AJ184" s="937"/>
      <c r="AK184" s="950"/>
      <c r="AL184" s="945">
        <v>24.3</v>
      </c>
      <c r="AM184" s="945">
        <v>3365.55</v>
      </c>
      <c r="AN184" s="1114"/>
      <c r="AO184" s="936"/>
      <c r="AP184" s="936"/>
      <c r="AQ184" s="1090" t="s">
        <v>551</v>
      </c>
      <c r="AR184" s="1120">
        <v>45667</v>
      </c>
      <c r="AS184" s="1106" t="s">
        <v>552</v>
      </c>
      <c r="AT184" s="1121">
        <v>45680</v>
      </c>
      <c r="AU184" s="1106" t="s">
        <v>553</v>
      </c>
      <c r="AV184" s="1106" t="s">
        <v>59</v>
      </c>
      <c r="AW184" s="1106" t="s">
        <v>540</v>
      </c>
      <c r="AX184" s="1122"/>
      <c r="AY184" s="1137"/>
      <c r="AZ184" s="901"/>
    </row>
    <row r="185" ht="150" customHeight="1" spans="1:52">
      <c r="A185" s="804"/>
      <c r="B185" s="805"/>
      <c r="C185" s="805"/>
      <c r="D185" s="804"/>
      <c r="E185" s="804"/>
      <c r="F185" s="804"/>
      <c r="G185" s="804"/>
      <c r="H185" s="804"/>
      <c r="I185" s="805"/>
      <c r="J185" s="809"/>
      <c r="K185" s="810"/>
      <c r="L185" s="811"/>
      <c r="M185" s="810"/>
      <c r="N185" s="812"/>
      <c r="O185" s="810"/>
      <c r="P185" s="813"/>
      <c r="Q185" s="922">
        <v>89911.54</v>
      </c>
      <c r="R185" s="922">
        <v>89911.54</v>
      </c>
      <c r="T185" s="922">
        <v>2587.6</v>
      </c>
      <c r="V185" s="922">
        <v>2119.55</v>
      </c>
      <c r="W185" s="923"/>
      <c r="X185" s="810"/>
      <c r="Y185" s="922">
        <v>215</v>
      </c>
      <c r="Z185" s="810"/>
      <c r="AA185" s="815"/>
      <c r="AB185" s="810"/>
      <c r="AC185" s="810"/>
      <c r="AD185" s="816"/>
      <c r="AE185" s="922">
        <v>21.89</v>
      </c>
      <c r="AF185" s="810"/>
      <c r="AG185" s="810"/>
      <c r="AH185" s="924"/>
      <c r="AI185" s="925"/>
      <c r="AJ185" s="926"/>
      <c r="AK185" s="925"/>
      <c r="AL185" s="809"/>
      <c r="AM185" s="922">
        <v>89911.54</v>
      </c>
      <c r="AN185" s="922">
        <v>89911.54</v>
      </c>
      <c r="AQ185" s="1128"/>
      <c r="AR185" s="1124"/>
      <c r="AS185" s="1124"/>
      <c r="AT185" s="1124"/>
      <c r="AU185" s="1124"/>
      <c r="AV185" s="1124"/>
      <c r="AW185" s="1124"/>
      <c r="AX185" s="820"/>
      <c r="AY185" s="820"/>
      <c r="AZ185" s="821"/>
    </row>
    <row r="186" ht="150" customHeight="1" spans="1:52">
      <c r="A186" s="937">
        <v>19</v>
      </c>
      <c r="B186" s="938">
        <v>3926909090</v>
      </c>
      <c r="C186" s="938">
        <v>392690</v>
      </c>
      <c r="D186" s="937"/>
      <c r="E186" s="937" t="s">
        <v>607</v>
      </c>
      <c r="F186" s="937" t="s">
        <v>608</v>
      </c>
      <c r="G186" s="937" t="s">
        <v>609</v>
      </c>
      <c r="H186" s="937"/>
      <c r="I186" s="938" t="s">
        <v>51</v>
      </c>
      <c r="J186" s="1105">
        <v>30</v>
      </c>
      <c r="K186" s="939">
        <v>30</v>
      </c>
      <c r="L186" s="1106" t="s">
        <v>254</v>
      </c>
      <c r="M186" s="939" t="s">
        <v>293</v>
      </c>
      <c r="N186" s="942"/>
      <c r="O186" s="939"/>
      <c r="P186" s="940">
        <v>91</v>
      </c>
      <c r="Q186" s="1108">
        <v>2730</v>
      </c>
      <c r="R186" s="1115">
        <v>53270</v>
      </c>
      <c r="S186" s="936"/>
      <c r="T186" s="1115">
        <v>57</v>
      </c>
      <c r="U186" s="936"/>
      <c r="V186" s="1115">
        <v>39</v>
      </c>
      <c r="W186" s="1138" t="s">
        <v>256</v>
      </c>
      <c r="X186" s="941" t="s">
        <v>610</v>
      </c>
      <c r="Y186" s="1105">
        <v>6</v>
      </c>
      <c r="Z186" s="939">
        <v>5</v>
      </c>
      <c r="AA186" s="1139">
        <v>36</v>
      </c>
      <c r="AB186" s="939">
        <v>36</v>
      </c>
      <c r="AC186" s="939">
        <v>56</v>
      </c>
      <c r="AD186" s="948">
        <v>0.072533069649589</v>
      </c>
      <c r="AE186" s="1115">
        <v>0.44</v>
      </c>
      <c r="AF186" s="939" t="str">
        <f>_xlfn.DISPIMG("ID_B9138EC3B2594ECBB2229B716F153796",1)</f>
        <v>=DISPIMG("ID_B9138EC3B2594ECBB2229B716F153796",1)</v>
      </c>
      <c r="AG186" s="939"/>
      <c r="AH186" s="1106" t="s">
        <v>611</v>
      </c>
      <c r="AI186" s="942">
        <v>45996</v>
      </c>
      <c r="AJ186" s="939" t="s">
        <v>612</v>
      </c>
      <c r="AK186" s="942">
        <v>45996</v>
      </c>
      <c r="AL186" s="945">
        <v>91</v>
      </c>
      <c r="AM186" s="945">
        <v>2730</v>
      </c>
      <c r="AN186" s="1114">
        <v>53270</v>
      </c>
      <c r="AO186" s="936"/>
      <c r="AP186" s="936"/>
      <c r="AQ186" s="1090" t="s">
        <v>551</v>
      </c>
      <c r="AR186" s="1120">
        <v>45667</v>
      </c>
      <c r="AS186" s="1106" t="s">
        <v>552</v>
      </c>
      <c r="AT186" s="1121">
        <v>45680</v>
      </c>
      <c r="AU186" s="1106" t="s">
        <v>553</v>
      </c>
      <c r="AV186" s="1106" t="s">
        <v>59</v>
      </c>
      <c r="AW186" s="1106" t="s">
        <v>540</v>
      </c>
      <c r="AX186" s="1122">
        <v>16188</v>
      </c>
      <c r="AY186" s="1123"/>
      <c r="AZ186" s="894">
        <v>214082</v>
      </c>
    </row>
    <row r="187" ht="150" customHeight="1" spans="1:52">
      <c r="A187" s="937">
        <v>20</v>
      </c>
      <c r="B187" s="938">
        <v>3926909090</v>
      </c>
      <c r="C187" s="938">
        <v>392690</v>
      </c>
      <c r="D187" s="937"/>
      <c r="E187" s="937" t="s">
        <v>613</v>
      </c>
      <c r="F187" s="937" t="s">
        <v>608</v>
      </c>
      <c r="G187" s="937" t="s">
        <v>614</v>
      </c>
      <c r="H187" s="937"/>
      <c r="I187" s="938" t="s">
        <v>51</v>
      </c>
      <c r="J187" s="1105">
        <v>50</v>
      </c>
      <c r="K187" s="939">
        <v>50</v>
      </c>
      <c r="L187" s="1106" t="s">
        <v>254</v>
      </c>
      <c r="M187" s="939"/>
      <c r="N187" s="942"/>
      <c r="O187" s="939"/>
      <c r="P187" s="940">
        <v>68</v>
      </c>
      <c r="Q187" s="1108">
        <v>3400</v>
      </c>
      <c r="R187" s="1115"/>
      <c r="S187" s="936"/>
      <c r="T187" s="1115">
        <v>59</v>
      </c>
      <c r="U187" s="936"/>
      <c r="V187" s="1115">
        <v>44</v>
      </c>
      <c r="W187" s="1138"/>
      <c r="X187" s="941" t="s">
        <v>615</v>
      </c>
      <c r="Y187" s="1105">
        <v>5</v>
      </c>
      <c r="Z187" s="939">
        <v>10</v>
      </c>
      <c r="AA187" s="1139">
        <v>36</v>
      </c>
      <c r="AB187" s="939">
        <v>36</v>
      </c>
      <c r="AC187" s="939">
        <v>67</v>
      </c>
      <c r="AD187" s="948">
        <v>0.0867806369021869</v>
      </c>
      <c r="AE187" s="1115">
        <v>0.43</v>
      </c>
      <c r="AF187" s="939" t="str">
        <f>_xlfn.DISPIMG("ID_FD172ADB04564173855CB82352FA6728",1)</f>
        <v>=DISPIMG("ID_FD172ADB04564173855CB82352FA6728",1)</v>
      </c>
      <c r="AG187" s="939"/>
      <c r="AH187" s="1106"/>
      <c r="AI187" s="942"/>
      <c r="AJ187" s="939"/>
      <c r="AK187" s="942"/>
      <c r="AL187" s="945">
        <v>68</v>
      </c>
      <c r="AM187" s="945">
        <v>3400</v>
      </c>
      <c r="AN187" s="1114"/>
      <c r="AO187" s="936"/>
      <c r="AP187" s="936"/>
      <c r="AQ187" s="1090" t="s">
        <v>551</v>
      </c>
      <c r="AR187" s="1120">
        <v>45667</v>
      </c>
      <c r="AS187" s="1106" t="s">
        <v>552</v>
      </c>
      <c r="AT187" s="1121">
        <v>45680</v>
      </c>
      <c r="AU187" s="1106" t="s">
        <v>553</v>
      </c>
      <c r="AV187" s="1106" t="s">
        <v>59</v>
      </c>
      <c r="AW187" s="1106" t="s">
        <v>540</v>
      </c>
      <c r="AX187" s="1122"/>
      <c r="AY187" s="1125"/>
      <c r="AZ187" s="897"/>
    </row>
    <row r="188" ht="150" customHeight="1" spans="1:52">
      <c r="A188" s="937">
        <v>21</v>
      </c>
      <c r="B188" s="938">
        <v>3926909090</v>
      </c>
      <c r="C188" s="938">
        <v>392690</v>
      </c>
      <c r="D188" s="937"/>
      <c r="E188" s="937" t="s">
        <v>616</v>
      </c>
      <c r="F188" s="937" t="s">
        <v>608</v>
      </c>
      <c r="G188" s="937" t="s">
        <v>617</v>
      </c>
      <c r="H188" s="937"/>
      <c r="I188" s="938" t="s">
        <v>51</v>
      </c>
      <c r="J188" s="1105">
        <v>20</v>
      </c>
      <c r="K188" s="939">
        <v>20</v>
      </c>
      <c r="L188" s="1106" t="s">
        <v>254</v>
      </c>
      <c r="M188" s="939"/>
      <c r="N188" s="942"/>
      <c r="O188" s="939"/>
      <c r="P188" s="940">
        <v>77</v>
      </c>
      <c r="Q188" s="1108">
        <v>1540</v>
      </c>
      <c r="R188" s="1115"/>
      <c r="S188" s="936"/>
      <c r="T188" s="1115">
        <v>30</v>
      </c>
      <c r="U188" s="936"/>
      <c r="V188" s="1115">
        <v>21</v>
      </c>
      <c r="W188" s="1138" t="s">
        <v>262</v>
      </c>
      <c r="X188" s="941" t="s">
        <v>618</v>
      </c>
      <c r="Y188" s="1105">
        <v>2</v>
      </c>
      <c r="Z188" s="939" t="s">
        <v>619</v>
      </c>
      <c r="AA188" s="1139">
        <v>36</v>
      </c>
      <c r="AB188" s="939">
        <v>36</v>
      </c>
      <c r="AC188" s="939">
        <v>67</v>
      </c>
      <c r="AD188" s="948">
        <v>0.0867806369021869</v>
      </c>
      <c r="AE188" s="1115">
        <v>0.17</v>
      </c>
      <c r="AF188" s="939" t="str">
        <f>_xlfn.DISPIMG("ID_EF78C0C89756496FA31FEB48018A8DC9",1)</f>
        <v>=DISPIMG("ID_EF78C0C89756496FA31FEB48018A8DC9",1)</v>
      </c>
      <c r="AG188" s="939"/>
      <c r="AH188" s="1106"/>
      <c r="AI188" s="942"/>
      <c r="AJ188" s="939"/>
      <c r="AK188" s="942"/>
      <c r="AL188" s="945">
        <v>77</v>
      </c>
      <c r="AM188" s="945">
        <v>1540</v>
      </c>
      <c r="AN188" s="1114"/>
      <c r="AO188" s="936"/>
      <c r="AP188" s="936"/>
      <c r="AQ188" s="1090" t="s">
        <v>551</v>
      </c>
      <c r="AR188" s="1120">
        <v>45667</v>
      </c>
      <c r="AS188" s="1106" t="s">
        <v>552</v>
      </c>
      <c r="AT188" s="1121">
        <v>45680</v>
      </c>
      <c r="AU188" s="1106" t="s">
        <v>553</v>
      </c>
      <c r="AV188" s="1106" t="s">
        <v>59</v>
      </c>
      <c r="AW188" s="1106" t="s">
        <v>540</v>
      </c>
      <c r="AX188" s="1122"/>
      <c r="AY188" s="1125"/>
      <c r="AZ188" s="897"/>
    </row>
    <row r="189" ht="150" customHeight="1" spans="1:52">
      <c r="A189" s="937">
        <v>22</v>
      </c>
      <c r="B189" s="938">
        <v>3926909090</v>
      </c>
      <c r="C189" s="938">
        <v>392690</v>
      </c>
      <c r="D189" s="937"/>
      <c r="E189" s="937" t="s">
        <v>620</v>
      </c>
      <c r="F189" s="937" t="s">
        <v>608</v>
      </c>
      <c r="G189" s="937" t="s">
        <v>621</v>
      </c>
      <c r="H189" s="937"/>
      <c r="I189" s="938" t="s">
        <v>51</v>
      </c>
      <c r="J189" s="1105">
        <v>10</v>
      </c>
      <c r="K189" s="939">
        <v>10</v>
      </c>
      <c r="L189" s="1106" t="s">
        <v>254</v>
      </c>
      <c r="M189" s="939"/>
      <c r="N189" s="942"/>
      <c r="O189" s="939"/>
      <c r="P189" s="940">
        <v>135</v>
      </c>
      <c r="Q189" s="1108">
        <v>1350</v>
      </c>
      <c r="R189" s="1115"/>
      <c r="S189" s="936"/>
      <c r="T189" s="1115">
        <v>23</v>
      </c>
      <c r="U189" s="936"/>
      <c r="V189" s="1115">
        <v>17</v>
      </c>
      <c r="W189" s="1138"/>
      <c r="X189" s="946" t="s">
        <v>622</v>
      </c>
      <c r="Y189" s="1091">
        <v>3</v>
      </c>
      <c r="Z189" s="939" t="s">
        <v>623</v>
      </c>
      <c r="AA189" s="937">
        <v>36</v>
      </c>
      <c r="AB189" s="937">
        <v>36</v>
      </c>
      <c r="AC189" s="937">
        <v>67</v>
      </c>
      <c r="AD189" s="1140">
        <v>0.0867806369021869</v>
      </c>
      <c r="AE189" s="1141">
        <v>0.09</v>
      </c>
      <c r="AF189" s="939" t="str">
        <f>_xlfn.DISPIMG("ID_7F4D20E100CB470F8F80E44FEEA2F093",1)</f>
        <v>=DISPIMG("ID_7F4D20E100CB470F8F80E44FEEA2F093",1)</v>
      </c>
      <c r="AG189" s="939"/>
      <c r="AH189" s="1106"/>
      <c r="AI189" s="942"/>
      <c r="AJ189" s="939"/>
      <c r="AK189" s="942"/>
      <c r="AL189" s="945">
        <v>135</v>
      </c>
      <c r="AM189" s="945">
        <v>1350</v>
      </c>
      <c r="AN189" s="1114"/>
      <c r="AO189" s="936"/>
      <c r="AP189" s="936"/>
      <c r="AQ189" s="1090" t="s">
        <v>551</v>
      </c>
      <c r="AR189" s="1120">
        <v>45667</v>
      </c>
      <c r="AS189" s="1106" t="s">
        <v>552</v>
      </c>
      <c r="AT189" s="1121">
        <v>45680</v>
      </c>
      <c r="AU189" s="1106" t="s">
        <v>553</v>
      </c>
      <c r="AV189" s="1106" t="s">
        <v>59</v>
      </c>
      <c r="AW189" s="1106" t="s">
        <v>540</v>
      </c>
      <c r="AX189" s="1122"/>
      <c r="AY189" s="1125"/>
      <c r="AZ189" s="897"/>
    </row>
    <row r="190" ht="150" customHeight="1" spans="1:52">
      <c r="A190" s="937">
        <v>23</v>
      </c>
      <c r="B190" s="938">
        <v>3926909090</v>
      </c>
      <c r="C190" s="938">
        <v>392690</v>
      </c>
      <c r="D190" s="937"/>
      <c r="E190" s="937" t="s">
        <v>624</v>
      </c>
      <c r="F190" s="937" t="s">
        <v>608</v>
      </c>
      <c r="G190" s="937" t="s">
        <v>625</v>
      </c>
      <c r="H190" s="937"/>
      <c r="I190" s="938" t="s">
        <v>51</v>
      </c>
      <c r="J190" s="1105">
        <v>30</v>
      </c>
      <c r="K190" s="939">
        <v>30</v>
      </c>
      <c r="L190" s="1106" t="s">
        <v>254</v>
      </c>
      <c r="M190" s="939"/>
      <c r="N190" s="942"/>
      <c r="O190" s="939"/>
      <c r="P190" s="940">
        <v>85</v>
      </c>
      <c r="Q190" s="1108">
        <v>2550</v>
      </c>
      <c r="R190" s="1115"/>
      <c r="S190" s="936"/>
      <c r="T190" s="1115">
        <v>47</v>
      </c>
      <c r="U190" s="936"/>
      <c r="V190" s="1115">
        <v>32.14</v>
      </c>
      <c r="W190" s="1138" t="s">
        <v>446</v>
      </c>
      <c r="X190" s="941" t="s">
        <v>626</v>
      </c>
      <c r="Y190" s="1105">
        <v>5</v>
      </c>
      <c r="Z190" s="939" t="s">
        <v>627</v>
      </c>
      <c r="AA190" s="1139">
        <v>36</v>
      </c>
      <c r="AB190" s="939">
        <v>36</v>
      </c>
      <c r="AC190" s="939">
        <v>67</v>
      </c>
      <c r="AD190" s="948">
        <v>0.0867806369021869</v>
      </c>
      <c r="AE190" s="1115">
        <v>0.35</v>
      </c>
      <c r="AF190" s="939" t="str">
        <f>_xlfn.DISPIMG("ID_858E582760AF44B19A6976C0BF092C04",1)</f>
        <v>=DISPIMG("ID_858E582760AF44B19A6976C0BF092C04",1)</v>
      </c>
      <c r="AG190" s="939"/>
      <c r="AH190" s="1106"/>
      <c r="AI190" s="942"/>
      <c r="AJ190" s="939"/>
      <c r="AK190" s="942"/>
      <c r="AL190" s="945">
        <v>85</v>
      </c>
      <c r="AM190" s="945">
        <v>2550</v>
      </c>
      <c r="AN190" s="1114"/>
      <c r="AO190" s="936"/>
      <c r="AP190" s="936"/>
      <c r="AQ190" s="1090" t="s">
        <v>551</v>
      </c>
      <c r="AR190" s="1120">
        <v>45667</v>
      </c>
      <c r="AS190" s="1106" t="s">
        <v>552</v>
      </c>
      <c r="AT190" s="1121">
        <v>45680</v>
      </c>
      <c r="AU190" s="1106" t="s">
        <v>553</v>
      </c>
      <c r="AV190" s="1106" t="s">
        <v>59</v>
      </c>
      <c r="AW190" s="1106" t="s">
        <v>540</v>
      </c>
      <c r="AX190" s="1122"/>
      <c r="AY190" s="1125"/>
      <c r="AZ190" s="897"/>
    </row>
    <row r="191" ht="150" customHeight="1" spans="1:52">
      <c r="A191" s="937">
        <v>24</v>
      </c>
      <c r="B191" s="938">
        <v>3926909090</v>
      </c>
      <c r="C191" s="938">
        <v>392690</v>
      </c>
      <c r="D191" s="937"/>
      <c r="E191" s="937" t="s">
        <v>628</v>
      </c>
      <c r="F191" s="937" t="s">
        <v>608</v>
      </c>
      <c r="G191" s="937" t="s">
        <v>629</v>
      </c>
      <c r="H191" s="937"/>
      <c r="I191" s="938" t="s">
        <v>51</v>
      </c>
      <c r="J191" s="1105">
        <v>20</v>
      </c>
      <c r="K191" s="939">
        <v>20</v>
      </c>
      <c r="L191" s="1106" t="s">
        <v>254</v>
      </c>
      <c r="M191" s="939"/>
      <c r="N191" s="942"/>
      <c r="O191" s="939"/>
      <c r="P191" s="940">
        <v>100</v>
      </c>
      <c r="Q191" s="1108">
        <v>2000</v>
      </c>
      <c r="R191" s="1115"/>
      <c r="S191" s="936"/>
      <c r="T191" s="1115">
        <v>38</v>
      </c>
      <c r="U191" s="936"/>
      <c r="V191" s="1115">
        <v>26.4</v>
      </c>
      <c r="W191" s="1138"/>
      <c r="X191" s="941" t="s">
        <v>630</v>
      </c>
      <c r="Y191" s="1105">
        <v>4</v>
      </c>
      <c r="Z191" s="939">
        <v>5</v>
      </c>
      <c r="AA191" s="1139">
        <v>36</v>
      </c>
      <c r="AB191" s="939">
        <v>36</v>
      </c>
      <c r="AC191" s="939">
        <v>67</v>
      </c>
      <c r="AD191" s="948">
        <v>0.0867806369021869</v>
      </c>
      <c r="AE191" s="1115">
        <v>0.35</v>
      </c>
      <c r="AF191" s="939" t="str">
        <f>_xlfn.DISPIMG("ID_755C4592F1F54F97BBD462A036275C65",1)</f>
        <v>=DISPIMG("ID_755C4592F1F54F97BBD462A036275C65",1)</v>
      </c>
      <c r="AG191" s="939"/>
      <c r="AH191" s="1106"/>
      <c r="AI191" s="942"/>
      <c r="AJ191" s="939"/>
      <c r="AK191" s="942"/>
      <c r="AL191" s="945">
        <v>100</v>
      </c>
      <c r="AM191" s="945">
        <v>2000</v>
      </c>
      <c r="AN191" s="1114"/>
      <c r="AO191" s="936"/>
      <c r="AP191" s="936"/>
      <c r="AQ191" s="1090" t="s">
        <v>551</v>
      </c>
      <c r="AR191" s="1120">
        <v>45667</v>
      </c>
      <c r="AS191" s="1106" t="s">
        <v>552</v>
      </c>
      <c r="AT191" s="1121">
        <v>45680</v>
      </c>
      <c r="AU191" s="1106" t="s">
        <v>553</v>
      </c>
      <c r="AV191" s="1106" t="s">
        <v>59</v>
      </c>
      <c r="AW191" s="1106" t="s">
        <v>540</v>
      </c>
      <c r="AX191" s="1122"/>
      <c r="AY191" s="1125"/>
      <c r="AZ191" s="897"/>
    </row>
    <row r="192" ht="150" customHeight="1" spans="1:52">
      <c r="A192" s="937">
        <v>25</v>
      </c>
      <c r="B192" s="938">
        <v>3926909090</v>
      </c>
      <c r="C192" s="938">
        <v>392690</v>
      </c>
      <c r="D192" s="937"/>
      <c r="E192" s="937" t="s">
        <v>631</v>
      </c>
      <c r="F192" s="937" t="s">
        <v>608</v>
      </c>
      <c r="G192" s="937" t="s">
        <v>632</v>
      </c>
      <c r="H192" s="937"/>
      <c r="I192" s="938" t="s">
        <v>51</v>
      </c>
      <c r="J192" s="1105">
        <v>20</v>
      </c>
      <c r="K192" s="939">
        <v>20</v>
      </c>
      <c r="L192" s="1106" t="s">
        <v>254</v>
      </c>
      <c r="M192" s="939"/>
      <c r="N192" s="942"/>
      <c r="O192" s="939"/>
      <c r="P192" s="940">
        <v>115</v>
      </c>
      <c r="Q192" s="1108">
        <v>2300</v>
      </c>
      <c r="R192" s="1115"/>
      <c r="S192" s="936"/>
      <c r="T192" s="1115">
        <v>47</v>
      </c>
      <c r="U192" s="936"/>
      <c r="V192" s="1115">
        <v>32.8</v>
      </c>
      <c r="W192" s="1138" t="s">
        <v>633</v>
      </c>
      <c r="X192" s="941" t="s">
        <v>634</v>
      </c>
      <c r="Y192" s="1105">
        <v>5</v>
      </c>
      <c r="Z192" s="939">
        <v>4</v>
      </c>
      <c r="AA192" s="1139">
        <v>36</v>
      </c>
      <c r="AB192" s="939">
        <v>36</v>
      </c>
      <c r="AC192" s="939">
        <v>62</v>
      </c>
      <c r="AD192" s="948">
        <v>0.0803044699691878</v>
      </c>
      <c r="AE192" s="1115">
        <v>0.4</v>
      </c>
      <c r="AF192" s="939" t="str">
        <f>_xlfn.DISPIMG("ID_CECB130E286147FB830DD31C73F3E877",1)</f>
        <v>=DISPIMG("ID_CECB130E286147FB830DD31C73F3E877",1)</v>
      </c>
      <c r="AG192" s="939"/>
      <c r="AH192" s="1106"/>
      <c r="AI192" s="942"/>
      <c r="AJ192" s="939"/>
      <c r="AK192" s="942"/>
      <c r="AL192" s="945">
        <v>115</v>
      </c>
      <c r="AM192" s="945">
        <v>2300</v>
      </c>
      <c r="AN192" s="1114"/>
      <c r="AO192" s="936"/>
      <c r="AP192" s="936"/>
      <c r="AQ192" s="1090" t="s">
        <v>551</v>
      </c>
      <c r="AR192" s="1120">
        <v>45667</v>
      </c>
      <c r="AS192" s="1106" t="s">
        <v>552</v>
      </c>
      <c r="AT192" s="1121">
        <v>45680</v>
      </c>
      <c r="AU192" s="1106" t="s">
        <v>553</v>
      </c>
      <c r="AV192" s="1106" t="s">
        <v>59</v>
      </c>
      <c r="AW192" s="1106" t="s">
        <v>540</v>
      </c>
      <c r="AX192" s="1122"/>
      <c r="AY192" s="1125"/>
      <c r="AZ192" s="897"/>
    </row>
    <row r="193" ht="150" customHeight="1" spans="1:52">
      <c r="A193" s="937">
        <v>26</v>
      </c>
      <c r="B193" s="938">
        <v>3926909090</v>
      </c>
      <c r="C193" s="938">
        <v>392690</v>
      </c>
      <c r="D193" s="937"/>
      <c r="E193" s="937" t="s">
        <v>635</v>
      </c>
      <c r="F193" s="937" t="s">
        <v>608</v>
      </c>
      <c r="G193" s="937" t="s">
        <v>636</v>
      </c>
      <c r="H193" s="937"/>
      <c r="I193" s="938" t="s">
        <v>51</v>
      </c>
      <c r="J193" s="1105">
        <v>10</v>
      </c>
      <c r="K193" s="939">
        <v>10</v>
      </c>
      <c r="L193" s="1106" t="s">
        <v>254</v>
      </c>
      <c r="M193" s="939"/>
      <c r="N193" s="942"/>
      <c r="O193" s="939"/>
      <c r="P193" s="940">
        <v>125</v>
      </c>
      <c r="Q193" s="1108">
        <v>1250</v>
      </c>
      <c r="R193" s="1115"/>
      <c r="S193" s="936"/>
      <c r="T193" s="1115">
        <v>25.6</v>
      </c>
      <c r="U193" s="936"/>
      <c r="V193" s="1115">
        <v>16.6</v>
      </c>
      <c r="W193" s="1138"/>
      <c r="X193" s="941" t="s">
        <v>637</v>
      </c>
      <c r="Y193" s="1105">
        <v>3</v>
      </c>
      <c r="Z193" s="939" t="s">
        <v>638</v>
      </c>
      <c r="AA193" s="1139">
        <v>36</v>
      </c>
      <c r="AB193" s="939">
        <v>36</v>
      </c>
      <c r="AC193" s="939">
        <v>33</v>
      </c>
      <c r="AD193" s="948">
        <v>0.0427427017577935</v>
      </c>
      <c r="AE193" s="1115">
        <v>0.13</v>
      </c>
      <c r="AF193" s="939" t="str">
        <f>_xlfn.DISPIMG("ID_30C274C15F2E408DB8C16AC02A008074",1)</f>
        <v>=DISPIMG("ID_30C274C15F2E408DB8C16AC02A008074",1)</v>
      </c>
      <c r="AG193" s="939"/>
      <c r="AH193" s="1106"/>
      <c r="AI193" s="942"/>
      <c r="AJ193" s="939"/>
      <c r="AK193" s="942"/>
      <c r="AL193" s="945">
        <v>125</v>
      </c>
      <c r="AM193" s="945">
        <v>1250</v>
      </c>
      <c r="AN193" s="1114"/>
      <c r="AO193" s="936"/>
      <c r="AP193" s="936"/>
      <c r="AQ193" s="1090" t="s">
        <v>551</v>
      </c>
      <c r="AR193" s="1120">
        <v>45667</v>
      </c>
      <c r="AS193" s="1106" t="s">
        <v>552</v>
      </c>
      <c r="AT193" s="1121">
        <v>45680</v>
      </c>
      <c r="AU193" s="1106" t="s">
        <v>553</v>
      </c>
      <c r="AV193" s="1106" t="s">
        <v>59</v>
      </c>
      <c r="AW193" s="1106" t="s">
        <v>540</v>
      </c>
      <c r="AX193" s="1122"/>
      <c r="AY193" s="1125"/>
      <c r="AZ193" s="897"/>
    </row>
    <row r="194" ht="150" customHeight="1" spans="1:52">
      <c r="A194" s="937">
        <v>27</v>
      </c>
      <c r="B194" s="938">
        <v>3926909090</v>
      </c>
      <c r="C194" s="938">
        <v>821194</v>
      </c>
      <c r="D194" s="937"/>
      <c r="E194" s="937" t="s">
        <v>639</v>
      </c>
      <c r="F194" s="937" t="s">
        <v>640</v>
      </c>
      <c r="G194" s="937"/>
      <c r="H194" s="937"/>
      <c r="I194" s="938" t="s">
        <v>51</v>
      </c>
      <c r="J194" s="1105">
        <v>500</v>
      </c>
      <c r="K194" s="939">
        <v>500</v>
      </c>
      <c r="L194" s="1106" t="s">
        <v>254</v>
      </c>
      <c r="M194" s="939"/>
      <c r="N194" s="942"/>
      <c r="O194" s="939"/>
      <c r="P194" s="940">
        <v>13.8</v>
      </c>
      <c r="Q194" s="1108">
        <v>6900</v>
      </c>
      <c r="R194" s="1115"/>
      <c r="S194" s="936"/>
      <c r="T194" s="1115">
        <v>17</v>
      </c>
      <c r="U194" s="936"/>
      <c r="V194" s="1115">
        <v>14</v>
      </c>
      <c r="W194" s="1138" t="s">
        <v>641</v>
      </c>
      <c r="X194" s="941" t="s">
        <v>642</v>
      </c>
      <c r="Y194" s="1105">
        <v>1</v>
      </c>
      <c r="Z194" s="939">
        <v>500</v>
      </c>
      <c r="AA194" s="1139">
        <v>53</v>
      </c>
      <c r="AB194" s="939">
        <v>32</v>
      </c>
      <c r="AC194" s="939">
        <v>23</v>
      </c>
      <c r="AD194" s="948">
        <v>0.0389849258830904</v>
      </c>
      <c r="AE194" s="1115">
        <v>0.04</v>
      </c>
      <c r="AF194" s="939" t="str">
        <f>_xlfn.DISPIMG("ID_4B058EC948C9401DA5938EEDABBF8860",1)</f>
        <v>=DISPIMG("ID_4B058EC948C9401DA5938EEDABBF8860",1)</v>
      </c>
      <c r="AG194" s="939" t="s">
        <v>643</v>
      </c>
      <c r="AH194" s="1106"/>
      <c r="AI194" s="942"/>
      <c r="AJ194" s="939"/>
      <c r="AK194" s="942"/>
      <c r="AL194" s="945">
        <v>13.8</v>
      </c>
      <c r="AM194" s="945">
        <v>6900</v>
      </c>
      <c r="AN194" s="1114"/>
      <c r="AO194" s="936"/>
      <c r="AP194" s="936"/>
      <c r="AQ194" s="1090" t="s">
        <v>551</v>
      </c>
      <c r="AR194" s="1120">
        <v>45667</v>
      </c>
      <c r="AS194" s="1106" t="s">
        <v>552</v>
      </c>
      <c r="AT194" s="1121">
        <v>45680</v>
      </c>
      <c r="AU194" s="1106" t="s">
        <v>553</v>
      </c>
      <c r="AV194" s="1106" t="s">
        <v>59</v>
      </c>
      <c r="AW194" s="1106" t="s">
        <v>540</v>
      </c>
      <c r="AX194" s="1122"/>
      <c r="AY194" s="1125"/>
      <c r="AZ194" s="897"/>
    </row>
    <row r="195" ht="150" customHeight="1" spans="1:52">
      <c r="A195" s="937">
        <v>28</v>
      </c>
      <c r="B195" s="938">
        <v>8211940000</v>
      </c>
      <c r="C195" s="938">
        <v>821194</v>
      </c>
      <c r="D195" s="937"/>
      <c r="E195" s="937" t="s">
        <v>644</v>
      </c>
      <c r="F195" s="937" t="s">
        <v>645</v>
      </c>
      <c r="G195" s="937"/>
      <c r="H195" s="937"/>
      <c r="I195" s="938" t="s">
        <v>51</v>
      </c>
      <c r="J195" s="1105">
        <v>5000</v>
      </c>
      <c r="K195" s="939">
        <v>5000</v>
      </c>
      <c r="L195" s="1106" t="s">
        <v>254</v>
      </c>
      <c r="M195" s="939"/>
      <c r="N195" s="942"/>
      <c r="O195" s="939"/>
      <c r="P195" s="940">
        <v>0.75</v>
      </c>
      <c r="Q195" s="1108">
        <v>3750</v>
      </c>
      <c r="R195" s="1115"/>
      <c r="S195" s="936"/>
      <c r="T195" s="1115">
        <v>19</v>
      </c>
      <c r="U195" s="936"/>
      <c r="V195" s="1115">
        <v>17.2</v>
      </c>
      <c r="W195" s="1138"/>
      <c r="X195" s="941" t="s">
        <v>646</v>
      </c>
      <c r="Y195" s="1105">
        <v>1</v>
      </c>
      <c r="Z195" s="939">
        <v>5000</v>
      </c>
      <c r="AA195" s="1139">
        <v>24</v>
      </c>
      <c r="AB195" s="939">
        <v>25</v>
      </c>
      <c r="AC195" s="939">
        <v>13</v>
      </c>
      <c r="AD195" s="948">
        <v>0.00779538612305438</v>
      </c>
      <c r="AE195" s="1115">
        <v>0.01</v>
      </c>
      <c r="AF195" s="939" t="str">
        <f>_xlfn.DISPIMG("ID_EE4405AD48334095951090315A361461",1)</f>
        <v>=DISPIMG("ID_EE4405AD48334095951090315A361461",1)</v>
      </c>
      <c r="AG195" s="939" t="s">
        <v>643</v>
      </c>
      <c r="AH195" s="1106"/>
      <c r="AI195" s="942"/>
      <c r="AJ195" s="939"/>
      <c r="AK195" s="942"/>
      <c r="AL195" s="945">
        <v>0.75</v>
      </c>
      <c r="AM195" s="945">
        <v>3750</v>
      </c>
      <c r="AN195" s="1114"/>
      <c r="AO195" s="936"/>
      <c r="AP195" s="936"/>
      <c r="AQ195" s="1090" t="s">
        <v>551</v>
      </c>
      <c r="AR195" s="1120">
        <v>45667</v>
      </c>
      <c r="AS195" s="1106" t="s">
        <v>552</v>
      </c>
      <c r="AT195" s="1121">
        <v>45680</v>
      </c>
      <c r="AU195" s="1106" t="s">
        <v>553</v>
      </c>
      <c r="AV195" s="1106" t="s">
        <v>59</v>
      </c>
      <c r="AW195" s="1106" t="s">
        <v>540</v>
      </c>
      <c r="AX195" s="1122"/>
      <c r="AY195" s="1125"/>
      <c r="AZ195" s="897"/>
    </row>
    <row r="196" ht="150" customHeight="1" spans="1:52">
      <c r="A196" s="937">
        <v>29</v>
      </c>
      <c r="B196" s="938">
        <v>3920490090</v>
      </c>
      <c r="C196" s="938">
        <v>392049</v>
      </c>
      <c r="D196" s="937"/>
      <c r="E196" s="937" t="s">
        <v>647</v>
      </c>
      <c r="F196" s="937" t="s">
        <v>648</v>
      </c>
      <c r="G196" s="937" t="s">
        <v>649</v>
      </c>
      <c r="H196" s="937"/>
      <c r="I196" s="938" t="s">
        <v>51</v>
      </c>
      <c r="J196" s="1105">
        <v>50</v>
      </c>
      <c r="K196" s="939">
        <v>50</v>
      </c>
      <c r="L196" s="1106" t="s">
        <v>254</v>
      </c>
      <c r="M196" s="939"/>
      <c r="N196" s="942"/>
      <c r="O196" s="939"/>
      <c r="P196" s="940">
        <v>160</v>
      </c>
      <c r="Q196" s="1108">
        <v>8000</v>
      </c>
      <c r="R196" s="1115"/>
      <c r="S196" s="936"/>
      <c r="T196" s="1115">
        <v>48</v>
      </c>
      <c r="U196" s="936"/>
      <c r="V196" s="1115">
        <v>42</v>
      </c>
      <c r="W196" s="1138" t="s">
        <v>650</v>
      </c>
      <c r="X196" s="941" t="s">
        <v>651</v>
      </c>
      <c r="Y196" s="1105">
        <v>2</v>
      </c>
      <c r="Z196" s="939">
        <v>25</v>
      </c>
      <c r="AA196" s="1139">
        <v>54</v>
      </c>
      <c r="AB196" s="939">
        <v>34</v>
      </c>
      <c r="AC196" s="939">
        <v>33</v>
      </c>
      <c r="AD196" s="948">
        <v>0.0605521608235408</v>
      </c>
      <c r="AE196" s="1115">
        <v>0.12</v>
      </c>
      <c r="AF196" s="939" t="str">
        <f>_xlfn.DISPIMG("ID_4DA2646B0AC34E3E897B537025FEB2AB",1)</f>
        <v>=DISPIMG("ID_4DA2646B0AC34E3E897B537025FEB2AB",1)</v>
      </c>
      <c r="AG196" s="939" t="s">
        <v>652</v>
      </c>
      <c r="AH196" s="1106"/>
      <c r="AI196" s="942"/>
      <c r="AJ196" s="939"/>
      <c r="AK196" s="942"/>
      <c r="AL196" s="945">
        <v>160</v>
      </c>
      <c r="AM196" s="945">
        <v>8000</v>
      </c>
      <c r="AN196" s="1114"/>
      <c r="AO196" s="936"/>
      <c r="AP196" s="936"/>
      <c r="AQ196" s="1090" t="s">
        <v>551</v>
      </c>
      <c r="AR196" s="1120">
        <v>45667</v>
      </c>
      <c r="AS196" s="1106" t="s">
        <v>552</v>
      </c>
      <c r="AT196" s="1121">
        <v>45680</v>
      </c>
      <c r="AU196" s="1106" t="s">
        <v>553</v>
      </c>
      <c r="AV196" s="1106" t="s">
        <v>59</v>
      </c>
      <c r="AW196" s="1106" t="s">
        <v>540</v>
      </c>
      <c r="AX196" s="1122"/>
      <c r="AY196" s="1125"/>
      <c r="AZ196" s="897"/>
    </row>
    <row r="197" ht="150" customHeight="1" spans="1:52">
      <c r="A197" s="937">
        <v>30</v>
      </c>
      <c r="B197" s="938">
        <v>3920490090</v>
      </c>
      <c r="C197" s="938">
        <v>392049</v>
      </c>
      <c r="D197" s="937"/>
      <c r="E197" s="937" t="s">
        <v>647</v>
      </c>
      <c r="F197" s="937" t="s">
        <v>648</v>
      </c>
      <c r="G197" s="937" t="s">
        <v>653</v>
      </c>
      <c r="H197" s="937"/>
      <c r="I197" s="938" t="s">
        <v>51</v>
      </c>
      <c r="J197" s="1105">
        <v>50</v>
      </c>
      <c r="K197" s="939">
        <v>50</v>
      </c>
      <c r="L197" s="1106" t="s">
        <v>254</v>
      </c>
      <c r="M197" s="939"/>
      <c r="N197" s="942"/>
      <c r="O197" s="939"/>
      <c r="P197" s="940">
        <v>170</v>
      </c>
      <c r="Q197" s="1108">
        <v>8500</v>
      </c>
      <c r="R197" s="1115"/>
      <c r="S197" s="936"/>
      <c r="T197" s="1115">
        <v>45</v>
      </c>
      <c r="U197" s="936"/>
      <c r="V197" s="1115">
        <v>36</v>
      </c>
      <c r="W197" s="1138"/>
      <c r="X197" s="941" t="s">
        <v>654</v>
      </c>
      <c r="Y197" s="1105">
        <v>3</v>
      </c>
      <c r="Z197" s="939" t="s">
        <v>655</v>
      </c>
      <c r="AA197" s="1139">
        <v>54</v>
      </c>
      <c r="AB197" s="939">
        <v>34</v>
      </c>
      <c r="AC197" s="939">
        <v>33</v>
      </c>
      <c r="AD197" s="948">
        <v>0.0605521608235408</v>
      </c>
      <c r="AE197" s="1115">
        <v>0.18</v>
      </c>
      <c r="AF197" s="939" t="str">
        <f>_xlfn.DISPIMG("ID_22FD1CCC2F384FECB3045641AD60FEA0",1)</f>
        <v>=DISPIMG("ID_22FD1CCC2F384FECB3045641AD60FEA0",1)</v>
      </c>
      <c r="AG197" s="939" t="s">
        <v>652</v>
      </c>
      <c r="AH197" s="1106"/>
      <c r="AI197" s="942"/>
      <c r="AJ197" s="939"/>
      <c r="AK197" s="942"/>
      <c r="AL197" s="945">
        <v>170</v>
      </c>
      <c r="AM197" s="945">
        <v>8500</v>
      </c>
      <c r="AN197" s="1114"/>
      <c r="AO197" s="936"/>
      <c r="AP197" s="936"/>
      <c r="AQ197" s="1090" t="s">
        <v>551</v>
      </c>
      <c r="AR197" s="1120">
        <v>45667</v>
      </c>
      <c r="AS197" s="1106" t="s">
        <v>552</v>
      </c>
      <c r="AT197" s="1121">
        <v>45680</v>
      </c>
      <c r="AU197" s="1106" t="s">
        <v>553</v>
      </c>
      <c r="AV197" s="1106" t="s">
        <v>59</v>
      </c>
      <c r="AW197" s="1106" t="s">
        <v>540</v>
      </c>
      <c r="AX197" s="1122"/>
      <c r="AY197" s="1125"/>
      <c r="AZ197" s="897"/>
    </row>
    <row r="198" ht="150" customHeight="1" spans="1:52">
      <c r="A198" s="937">
        <v>31</v>
      </c>
      <c r="B198" s="938">
        <v>3920490090</v>
      </c>
      <c r="C198" s="938">
        <v>392049</v>
      </c>
      <c r="D198" s="937"/>
      <c r="E198" s="937" t="s">
        <v>647</v>
      </c>
      <c r="F198" s="937" t="s">
        <v>648</v>
      </c>
      <c r="G198" s="937" t="s">
        <v>656</v>
      </c>
      <c r="H198" s="937"/>
      <c r="I198" s="938" t="s">
        <v>51</v>
      </c>
      <c r="J198" s="1105">
        <v>50</v>
      </c>
      <c r="K198" s="939">
        <v>50</v>
      </c>
      <c r="L198" s="1106" t="s">
        <v>254</v>
      </c>
      <c r="M198" s="939"/>
      <c r="N198" s="942"/>
      <c r="O198" s="939"/>
      <c r="P198" s="940">
        <v>180</v>
      </c>
      <c r="Q198" s="1108">
        <v>9000</v>
      </c>
      <c r="R198" s="1115"/>
      <c r="S198" s="936"/>
      <c r="T198" s="1115">
        <v>23</v>
      </c>
      <c r="U198" s="936"/>
      <c r="V198" s="1115">
        <v>14</v>
      </c>
      <c r="W198" s="1138" t="s">
        <v>657</v>
      </c>
      <c r="X198" s="941" t="s">
        <v>658</v>
      </c>
      <c r="Y198" s="1105">
        <v>3</v>
      </c>
      <c r="Z198" s="939" t="s">
        <v>659</v>
      </c>
      <c r="AA198" s="1139">
        <v>54</v>
      </c>
      <c r="AB198" s="939">
        <v>34</v>
      </c>
      <c r="AC198" s="939">
        <v>33</v>
      </c>
      <c r="AD198" s="948">
        <v>0.0605521608235408</v>
      </c>
      <c r="AE198" s="1115">
        <v>0.18</v>
      </c>
      <c r="AF198" s="939" t="str">
        <f>_xlfn.DISPIMG("ID_F4C186DA0FA2496BA30CFDC8ECA4978F",1)</f>
        <v>=DISPIMG("ID_F4C186DA0FA2496BA30CFDC8ECA4978F",1)</v>
      </c>
      <c r="AG198" s="939" t="s">
        <v>652</v>
      </c>
      <c r="AH198" s="1106"/>
      <c r="AI198" s="942"/>
      <c r="AJ198" s="939"/>
      <c r="AK198" s="942"/>
      <c r="AL198" s="945">
        <v>180</v>
      </c>
      <c r="AM198" s="945">
        <v>9000</v>
      </c>
      <c r="AN198" s="1114"/>
      <c r="AO198" s="936"/>
      <c r="AP198" s="936"/>
      <c r="AQ198" s="1090" t="s">
        <v>551</v>
      </c>
      <c r="AR198" s="1120">
        <v>45667</v>
      </c>
      <c r="AS198" s="1106" t="s">
        <v>552</v>
      </c>
      <c r="AT198" s="1121">
        <v>45680</v>
      </c>
      <c r="AU198" s="1106" t="s">
        <v>553</v>
      </c>
      <c r="AV198" s="1106" t="s">
        <v>59</v>
      </c>
      <c r="AW198" s="1106" t="s">
        <v>540</v>
      </c>
      <c r="AX198" s="1122"/>
      <c r="AY198" s="1125"/>
      <c r="AZ198" s="897"/>
    </row>
    <row r="199" ht="150" customHeight="1" spans="1:52">
      <c r="A199" s="937">
        <v>32</v>
      </c>
      <c r="B199" s="938">
        <v>8440102000</v>
      </c>
      <c r="C199" s="938">
        <v>844010</v>
      </c>
      <c r="D199" s="937"/>
      <c r="E199" s="937" t="s">
        <v>660</v>
      </c>
      <c r="F199" s="937" t="s">
        <v>661</v>
      </c>
      <c r="G199" s="937" t="s">
        <v>662</v>
      </c>
      <c r="H199" s="937"/>
      <c r="I199" s="938" t="s">
        <v>51</v>
      </c>
      <c r="J199" s="1105">
        <v>30</v>
      </c>
      <c r="K199" s="939">
        <v>30</v>
      </c>
      <c r="L199" s="1106" t="s">
        <v>254</v>
      </c>
      <c r="M199" s="939"/>
      <c r="N199" s="942"/>
      <c r="O199" s="939"/>
      <c r="P199" s="940">
        <v>5900</v>
      </c>
      <c r="Q199" s="1108">
        <v>177000</v>
      </c>
      <c r="R199" s="1114">
        <v>806076.54</v>
      </c>
      <c r="S199" s="936"/>
      <c r="T199" s="1115">
        <v>1235.8</v>
      </c>
      <c r="U199" s="936"/>
      <c r="V199" s="1115">
        <v>885</v>
      </c>
      <c r="W199" s="946" t="s">
        <v>663</v>
      </c>
      <c r="X199" s="941" t="s">
        <v>663</v>
      </c>
      <c r="Y199" s="1105">
        <v>8</v>
      </c>
      <c r="Z199" s="939" t="s">
        <v>664</v>
      </c>
      <c r="AA199" s="1139">
        <v>126</v>
      </c>
      <c r="AB199" s="939">
        <v>102</v>
      </c>
      <c r="AC199" s="939">
        <v>114</v>
      </c>
      <c r="AD199" s="948">
        <v>1.46426134355108</v>
      </c>
      <c r="AE199" s="1115">
        <v>10.25</v>
      </c>
      <c r="AF199" s="939" t="str">
        <f>_xlfn.DISPIMG("ID_E616AED064BE4772BC5817E7E120AC57",1)</f>
        <v>=DISPIMG("ID_E616AED064BE4772BC5817E7E120AC57",1)</v>
      </c>
      <c r="AG199" s="939" t="s">
        <v>294</v>
      </c>
      <c r="AH199" s="938" t="s">
        <v>665</v>
      </c>
      <c r="AI199" s="950">
        <v>45637</v>
      </c>
      <c r="AJ199" s="937" t="s">
        <v>666</v>
      </c>
      <c r="AK199" s="950">
        <v>45637</v>
      </c>
      <c r="AL199" s="945">
        <v>5900</v>
      </c>
      <c r="AM199" s="945">
        <v>177000</v>
      </c>
      <c r="AN199" s="1114">
        <v>177000</v>
      </c>
      <c r="AO199" s="936"/>
      <c r="AP199" s="936"/>
      <c r="AQ199" s="1090" t="s">
        <v>551</v>
      </c>
      <c r="AR199" s="1120">
        <v>45667</v>
      </c>
      <c r="AS199" s="1106" t="s">
        <v>667</v>
      </c>
      <c r="AT199" s="1121">
        <v>45680</v>
      </c>
      <c r="AU199" s="1106" t="s">
        <v>553</v>
      </c>
      <c r="AV199" s="1106" t="s">
        <v>59</v>
      </c>
      <c r="AW199" s="1106" t="s">
        <v>540</v>
      </c>
      <c r="AX199" s="1122"/>
      <c r="AY199" s="1137"/>
      <c r="AZ199" s="901"/>
    </row>
    <row r="200" ht="150" customHeight="1" spans="1:52">
      <c r="A200" s="804"/>
      <c r="B200" s="805"/>
      <c r="C200" s="805"/>
      <c r="D200" s="804"/>
      <c r="E200" s="804"/>
      <c r="F200" s="804"/>
      <c r="G200" s="804"/>
      <c r="H200" s="804"/>
      <c r="I200" s="805"/>
      <c r="J200" s="809"/>
      <c r="K200" s="810"/>
      <c r="L200" s="811"/>
      <c r="M200" s="810"/>
      <c r="N200" s="812"/>
      <c r="O200" s="810"/>
      <c r="P200" s="813"/>
      <c r="Q200" s="922">
        <v>230270</v>
      </c>
      <c r="R200" s="922">
        <v>859346.54</v>
      </c>
      <c r="T200" s="922">
        <v>1714.4</v>
      </c>
      <c r="V200" s="922">
        <v>1237.14</v>
      </c>
      <c r="W200" s="923"/>
      <c r="X200" s="810"/>
      <c r="Y200" s="922">
        <v>51</v>
      </c>
      <c r="Z200" s="810"/>
      <c r="AA200" s="815"/>
      <c r="AB200" s="810"/>
      <c r="AC200" s="810"/>
      <c r="AD200" s="816"/>
      <c r="AE200" s="922">
        <v>13.14</v>
      </c>
      <c r="AF200" s="810"/>
      <c r="AG200" s="810"/>
      <c r="AH200" s="924"/>
      <c r="AI200" s="925"/>
      <c r="AJ200" s="926"/>
      <c r="AK200" s="925"/>
      <c r="AL200" s="809"/>
      <c r="AM200" s="922">
        <v>230270</v>
      </c>
      <c r="AN200" s="922">
        <v>230270</v>
      </c>
      <c r="AQ200" s="1113"/>
      <c r="AR200" s="807"/>
      <c r="AS200" s="807"/>
      <c r="AT200" s="807"/>
      <c r="AU200" s="807"/>
      <c r="AV200" s="807"/>
      <c r="AW200" s="807"/>
      <c r="AX200" s="1142">
        <v>16188</v>
      </c>
      <c r="AY200" s="820"/>
      <c r="AZ200" s="821"/>
    </row>
    <row r="201" ht="150" customHeight="1" spans="1:52">
      <c r="A201" s="822"/>
      <c r="B201" s="822"/>
      <c r="C201" s="822"/>
      <c r="D201" s="822"/>
      <c r="E201" s="822"/>
      <c r="F201" s="823"/>
      <c r="G201" s="823"/>
      <c r="H201" s="823"/>
      <c r="I201" s="823"/>
      <c r="J201" s="826"/>
      <c r="K201" s="823"/>
      <c r="L201" s="823"/>
      <c r="M201" s="823"/>
      <c r="N201" s="827"/>
      <c r="O201" s="823"/>
      <c r="P201" s="826"/>
      <c r="Q201" s="826"/>
      <c r="R201" s="828"/>
      <c r="S201" s="956"/>
      <c r="T201" s="826"/>
      <c r="U201" s="956"/>
      <c r="V201" s="826"/>
      <c r="W201" s="829"/>
      <c r="X201" s="830"/>
      <c r="Y201" s="823"/>
      <c r="Z201" s="823"/>
      <c r="AA201" s="823"/>
      <c r="AB201" s="823"/>
      <c r="AC201" s="823"/>
      <c r="AD201" s="823"/>
      <c r="AE201" s="823"/>
      <c r="AF201" s="823"/>
      <c r="AG201" s="823"/>
      <c r="AH201" s="831"/>
      <c r="AI201" s="832"/>
      <c r="AJ201" s="831"/>
      <c r="AK201" s="832"/>
      <c r="AL201" s="826"/>
      <c r="AM201" s="826"/>
      <c r="AN201" s="833"/>
      <c r="AQ201" s="1113"/>
      <c r="AR201" s="807"/>
      <c r="AS201" s="807"/>
      <c r="AT201" s="807"/>
      <c r="AU201" s="807"/>
      <c r="AV201" s="807"/>
      <c r="AW201" s="807"/>
      <c r="AX201" s="820"/>
      <c r="AY201" s="820"/>
      <c r="AZ201" s="821"/>
    </row>
    <row r="202" ht="150" customHeight="1" spans="1:52">
      <c r="A202" s="804"/>
      <c r="B202" s="805"/>
      <c r="C202" s="805"/>
      <c r="D202" s="804"/>
      <c r="E202" s="804"/>
      <c r="F202" s="804"/>
      <c r="G202" s="804"/>
      <c r="H202" s="804"/>
      <c r="I202" s="805"/>
      <c r="J202" s="809"/>
      <c r="K202" s="810"/>
      <c r="L202" s="811"/>
      <c r="M202" s="810" t="s">
        <v>303</v>
      </c>
      <c r="N202" s="812"/>
      <c r="O202" s="810"/>
      <c r="P202" s="813"/>
      <c r="Q202" s="922">
        <v>398806.54</v>
      </c>
      <c r="R202" s="922">
        <v>1027883.08</v>
      </c>
      <c r="S202" s="956"/>
      <c r="T202" s="922">
        <v>9070</v>
      </c>
      <c r="U202" s="956"/>
      <c r="V202" s="922">
        <v>8106.69</v>
      </c>
      <c r="W202" s="923"/>
      <c r="X202" s="810"/>
      <c r="Y202" s="922">
        <v>456</v>
      </c>
      <c r="Z202" s="810"/>
      <c r="AA202" s="815"/>
      <c r="AB202" s="810"/>
      <c r="AC202" s="810"/>
      <c r="AD202" s="816"/>
      <c r="AE202" s="922">
        <v>44.5</v>
      </c>
      <c r="AF202" s="810"/>
      <c r="AG202" s="810"/>
      <c r="AH202" s="924"/>
      <c r="AI202" s="925"/>
      <c r="AJ202" s="926"/>
      <c r="AK202" s="925"/>
      <c r="AL202" s="809"/>
      <c r="AM202" s="922">
        <v>398806.54</v>
      </c>
      <c r="AN202" s="922">
        <v>398806.54</v>
      </c>
      <c r="AQ202" s="1113"/>
      <c r="AR202" s="807"/>
      <c r="AS202" s="807"/>
      <c r="AT202" s="807"/>
      <c r="AU202" s="807"/>
      <c r="AV202" s="807"/>
      <c r="AW202" s="807"/>
      <c r="AX202" s="1142">
        <v>16188</v>
      </c>
      <c r="AY202" s="820"/>
      <c r="AZ202" s="821"/>
    </row>
    <row r="203" ht="118.75" customHeight="1" spans="1:52">
      <c r="A203" s="937">
        <v>1</v>
      </c>
      <c r="B203" s="938">
        <v>9405429000</v>
      </c>
      <c r="C203" s="938">
        <v>940542</v>
      </c>
      <c r="D203" s="940" t="s">
        <v>668</v>
      </c>
      <c r="E203" s="940" t="s">
        <v>669</v>
      </c>
      <c r="F203" s="940" t="s">
        <v>670</v>
      </c>
      <c r="G203" s="940"/>
      <c r="H203" s="940"/>
      <c r="I203" s="940" t="s">
        <v>123</v>
      </c>
      <c r="J203" s="940">
        <v>2409</v>
      </c>
      <c r="K203" s="1143">
        <v>30000</v>
      </c>
      <c r="L203" s="1143" t="s">
        <v>52</v>
      </c>
      <c r="M203" s="937" t="s">
        <v>671</v>
      </c>
      <c r="N203" s="1144"/>
      <c r="O203" s="1145"/>
      <c r="P203" s="1107">
        <v>145.7</v>
      </c>
      <c r="Q203" s="943">
        <v>350991.3</v>
      </c>
      <c r="R203" s="944">
        <v>350991.3</v>
      </c>
      <c r="S203" s="936"/>
      <c r="T203" s="1108">
        <v>2604</v>
      </c>
      <c r="U203" s="936"/>
      <c r="V203" s="945">
        <v>2409</v>
      </c>
      <c r="W203" s="1146" t="s">
        <v>672</v>
      </c>
      <c r="X203" s="1106" t="s">
        <v>673</v>
      </c>
      <c r="Y203" s="939">
        <v>188</v>
      </c>
      <c r="Z203" s="939">
        <v>30000</v>
      </c>
      <c r="AA203" s="936"/>
      <c r="AB203" s="936"/>
      <c r="AC203" s="936"/>
      <c r="AD203" s="948">
        <v>0.0567114340452206</v>
      </c>
      <c r="AE203" s="1109">
        <v>10.66</v>
      </c>
      <c r="AF203" s="1147" t="str">
        <f>_xlfn.DISPIMG("ID_22786F9CB77A41CD8B9CEE5512AF711C",1)</f>
        <v>=DISPIMG("ID_22786F9CB77A41CD8B9CEE5512AF711C",1)</v>
      </c>
      <c r="AG203" s="1106" t="s">
        <v>674</v>
      </c>
      <c r="AH203" s="938" t="s">
        <v>675</v>
      </c>
      <c r="AI203" s="1098">
        <v>45631</v>
      </c>
      <c r="AJ203" s="938" t="s">
        <v>676</v>
      </c>
      <c r="AK203" s="1098">
        <v>45631</v>
      </c>
      <c r="AL203" s="944">
        <v>145.7</v>
      </c>
      <c r="AM203" s="944">
        <v>350991.3</v>
      </c>
      <c r="AN203" s="944">
        <v>350991.3</v>
      </c>
      <c r="AO203" s="1143">
        <v>30000</v>
      </c>
      <c r="AP203" s="1143" t="s">
        <v>52</v>
      </c>
      <c r="AQ203" s="953" t="s">
        <v>677</v>
      </c>
      <c r="AR203" s="1120">
        <v>45667</v>
      </c>
      <c r="AS203" s="1148" t="s">
        <v>678</v>
      </c>
      <c r="AT203" s="1121">
        <v>45680</v>
      </c>
      <c r="AU203" s="1106" t="s">
        <v>553</v>
      </c>
      <c r="AV203" s="1106" t="s">
        <v>59</v>
      </c>
      <c r="AW203" s="1106" t="s">
        <v>540</v>
      </c>
      <c r="AX203" s="1122">
        <v>16188</v>
      </c>
      <c r="AY203" s="1149"/>
      <c r="AZ203" s="955">
        <v>311269.12</v>
      </c>
    </row>
    <row r="204" ht="118.75" customHeight="1" spans="1:52">
      <c r="A204" s="804"/>
      <c r="B204" s="805"/>
      <c r="C204" s="805"/>
      <c r="D204" s="804"/>
      <c r="E204" s="804"/>
      <c r="F204" s="804"/>
      <c r="G204" s="804"/>
      <c r="H204" s="804"/>
      <c r="I204" s="805"/>
      <c r="J204" s="809"/>
      <c r="K204" s="810"/>
      <c r="L204" s="811"/>
      <c r="M204" s="810"/>
      <c r="N204" s="812"/>
      <c r="O204" s="810"/>
      <c r="P204" s="813"/>
      <c r="Q204" s="922">
        <v>350991.3</v>
      </c>
      <c r="R204" s="922">
        <v>350991.3</v>
      </c>
      <c r="T204" s="922">
        <v>2604</v>
      </c>
      <c r="V204" s="922">
        <v>2409</v>
      </c>
      <c r="W204" s="923"/>
      <c r="X204" s="810"/>
      <c r="Y204" s="922">
        <v>188</v>
      </c>
      <c r="Z204" s="810"/>
      <c r="AD204" s="816"/>
      <c r="AE204" s="922">
        <v>10.66</v>
      </c>
      <c r="AF204" s="810"/>
      <c r="AG204" s="810"/>
      <c r="AH204" s="924"/>
      <c r="AI204" s="925"/>
      <c r="AJ204" s="926"/>
      <c r="AK204" s="925"/>
      <c r="AL204" s="809"/>
      <c r="AM204" s="922">
        <v>350991.3</v>
      </c>
      <c r="AN204" s="922">
        <v>350991.3</v>
      </c>
      <c r="AO204" s="810"/>
      <c r="AP204" s="811"/>
      <c r="AQ204" s="885"/>
      <c r="AR204" s="807"/>
      <c r="AS204" s="807"/>
      <c r="AT204" s="807"/>
      <c r="AU204" s="807"/>
      <c r="AV204" s="807"/>
      <c r="AW204" s="807"/>
      <c r="AX204" s="1122"/>
      <c r="AY204" s="1150"/>
      <c r="AZ204" s="821"/>
    </row>
    <row r="205" ht="118.75" customHeight="1" spans="1:52">
      <c r="A205" s="937">
        <v>2</v>
      </c>
      <c r="B205" s="937">
        <v>9607190000</v>
      </c>
      <c r="C205" s="937">
        <v>960711</v>
      </c>
      <c r="D205" s="939" t="s">
        <v>679</v>
      </c>
      <c r="E205" s="939" t="s">
        <v>680</v>
      </c>
      <c r="F205" s="939" t="s">
        <v>681</v>
      </c>
      <c r="G205" s="939"/>
      <c r="H205" s="939"/>
      <c r="I205" s="939" t="s">
        <v>123</v>
      </c>
      <c r="J205" s="940">
        <v>28</v>
      </c>
      <c r="K205" s="941">
        <v>1600</v>
      </c>
      <c r="L205" s="939" t="s">
        <v>682</v>
      </c>
      <c r="M205" s="1129" t="s">
        <v>683</v>
      </c>
      <c r="N205" s="942"/>
      <c r="O205" s="941"/>
      <c r="P205" s="940">
        <v>29.14</v>
      </c>
      <c r="Q205" s="940">
        <v>815.92</v>
      </c>
      <c r="R205" s="1151">
        <v>2359.92</v>
      </c>
      <c r="S205" s="936"/>
      <c r="T205" s="940">
        <v>34.6</v>
      </c>
      <c r="U205" s="936"/>
      <c r="V205" s="1135">
        <v>28</v>
      </c>
      <c r="W205" s="1152" t="s">
        <v>684</v>
      </c>
      <c r="X205" s="1152" t="s">
        <v>685</v>
      </c>
      <c r="Y205" s="938">
        <v>2</v>
      </c>
      <c r="Z205" s="1091">
        <v>1600</v>
      </c>
      <c r="AA205" s="936"/>
      <c r="AB205" s="936"/>
      <c r="AC205" s="936"/>
      <c r="AD205" s="948">
        <v>1.68900032666178</v>
      </c>
      <c r="AE205" s="1153"/>
      <c r="AF205" s="802" t="str">
        <f>_xlfn.DISPIMG("ID_0AAA99AD76FD4E76BA31DC576F072101",1)</f>
        <v>=DISPIMG("ID_0AAA99AD76FD4E76BA31DC576F072101",1)</v>
      </c>
      <c r="AG205" s="939"/>
      <c r="AH205" s="937" t="s">
        <v>686</v>
      </c>
      <c r="AI205" s="950">
        <v>45631</v>
      </c>
      <c r="AJ205" s="937" t="s">
        <v>687</v>
      </c>
      <c r="AK205" s="950">
        <v>45631</v>
      </c>
      <c r="AL205" s="1135">
        <v>29.72</v>
      </c>
      <c r="AM205" s="1135">
        <v>832.16</v>
      </c>
      <c r="AN205" s="1151">
        <v>4953.95</v>
      </c>
      <c r="AO205" s="941">
        <v>1600</v>
      </c>
      <c r="AP205" s="939" t="s">
        <v>682</v>
      </c>
      <c r="AQ205" s="1148" t="s">
        <v>677</v>
      </c>
      <c r="AR205" s="1120">
        <v>45667</v>
      </c>
      <c r="AS205" s="1148" t="s">
        <v>537</v>
      </c>
      <c r="AT205" s="1121">
        <v>45680</v>
      </c>
      <c r="AU205" s="1106" t="s">
        <v>553</v>
      </c>
      <c r="AV205" s="1106" t="s">
        <v>59</v>
      </c>
      <c r="AW205" s="1106" t="s">
        <v>540</v>
      </c>
      <c r="AX205" s="1122"/>
      <c r="AY205" s="1123"/>
      <c r="AZ205" s="894">
        <v>96999.21</v>
      </c>
    </row>
    <row r="206" ht="118.75" customHeight="1" spans="1:52">
      <c r="A206" s="937">
        <v>3</v>
      </c>
      <c r="B206" s="937">
        <v>9607200000</v>
      </c>
      <c r="C206" s="937">
        <v>960720</v>
      </c>
      <c r="D206" s="939" t="s">
        <v>679</v>
      </c>
      <c r="E206" s="939" t="s">
        <v>688</v>
      </c>
      <c r="F206" s="939" t="s">
        <v>689</v>
      </c>
      <c r="G206" s="939"/>
      <c r="H206" s="939"/>
      <c r="I206" s="939" t="s">
        <v>123</v>
      </c>
      <c r="J206" s="940">
        <v>16</v>
      </c>
      <c r="K206" s="941">
        <v>16</v>
      </c>
      <c r="L206" s="939" t="s">
        <v>690</v>
      </c>
      <c r="M206" s="1129"/>
      <c r="N206" s="942"/>
      <c r="O206" s="941"/>
      <c r="P206" s="940">
        <v>96.5</v>
      </c>
      <c r="Q206" s="940">
        <v>1544</v>
      </c>
      <c r="R206" s="1151"/>
      <c r="S206" s="936"/>
      <c r="T206" s="940">
        <v>21.52</v>
      </c>
      <c r="U206" s="936"/>
      <c r="V206" s="1135">
        <v>16</v>
      </c>
      <c r="W206" s="1152"/>
      <c r="X206" s="1152"/>
      <c r="Y206" s="938"/>
      <c r="Z206" s="1091">
        <v>16</v>
      </c>
      <c r="AA206" s="936"/>
      <c r="AB206" s="936"/>
      <c r="AC206" s="936"/>
      <c r="AD206" s="948"/>
      <c r="AE206" s="1153"/>
      <c r="AF206" s="802" t="str">
        <f>_xlfn.DISPIMG("ID_59A496CB9F6E446AB14B94AD6756DC8B",1)</f>
        <v>=DISPIMG("ID_59A496CB9F6E446AB14B94AD6756DC8B",1)</v>
      </c>
      <c r="AG206" s="939"/>
      <c r="AH206" s="937"/>
      <c r="AI206" s="950"/>
      <c r="AJ206" s="937"/>
      <c r="AK206" s="950"/>
      <c r="AL206" s="1135">
        <v>98.43</v>
      </c>
      <c r="AM206" s="1135">
        <v>1574.88</v>
      </c>
      <c r="AN206" s="1151"/>
      <c r="AO206" s="941">
        <v>16</v>
      </c>
      <c r="AP206" s="939" t="s">
        <v>690</v>
      </c>
      <c r="AQ206" s="1154" t="s">
        <v>677</v>
      </c>
      <c r="AR206" s="1120">
        <v>45667</v>
      </c>
      <c r="AS206" s="1154" t="s">
        <v>537</v>
      </c>
      <c r="AT206" s="1121">
        <v>45680</v>
      </c>
      <c r="AU206" s="1106" t="s">
        <v>553</v>
      </c>
      <c r="AV206" s="1106" t="s">
        <v>59</v>
      </c>
      <c r="AW206" s="1106" t="s">
        <v>540</v>
      </c>
      <c r="AX206" s="1122"/>
      <c r="AY206" s="1125"/>
      <c r="AZ206" s="897"/>
    </row>
    <row r="207" ht="118.75" customHeight="1" spans="1:52">
      <c r="A207" s="937">
        <v>4</v>
      </c>
      <c r="B207" s="937">
        <v>5807900000</v>
      </c>
      <c r="C207" s="937">
        <v>580790</v>
      </c>
      <c r="D207" s="939" t="s">
        <v>691</v>
      </c>
      <c r="E207" s="939" t="s">
        <v>692</v>
      </c>
      <c r="F207" s="939" t="s">
        <v>693</v>
      </c>
      <c r="G207" s="939"/>
      <c r="H207" s="939"/>
      <c r="I207" s="939" t="s">
        <v>123</v>
      </c>
      <c r="J207" s="940">
        <v>0.3</v>
      </c>
      <c r="K207" s="941">
        <v>1500</v>
      </c>
      <c r="L207" s="939" t="s">
        <v>254</v>
      </c>
      <c r="M207" s="1129" t="s">
        <v>694</v>
      </c>
      <c r="N207" s="942"/>
      <c r="O207" s="941"/>
      <c r="P207" s="940">
        <v>475</v>
      </c>
      <c r="Q207" s="940">
        <v>142.5</v>
      </c>
      <c r="R207" s="1151">
        <v>3247.5</v>
      </c>
      <c r="S207" s="936"/>
      <c r="T207" s="940">
        <v>1.38</v>
      </c>
      <c r="U207" s="936"/>
      <c r="V207" s="1135">
        <v>0.3</v>
      </c>
      <c r="W207" s="1152" t="s">
        <v>695</v>
      </c>
      <c r="X207" s="1152">
        <v>225</v>
      </c>
      <c r="Y207" s="1152">
        <v>1</v>
      </c>
      <c r="Z207" s="1091">
        <v>1500</v>
      </c>
      <c r="AA207" s="936"/>
      <c r="AB207" s="936"/>
      <c r="AC207" s="936"/>
      <c r="AD207" s="948">
        <v>2.98823134717084</v>
      </c>
      <c r="AE207" s="1153">
        <v>2.99</v>
      </c>
      <c r="AF207" s="802" t="str">
        <f>_xlfn.DISPIMG("ID_DB216805AF6249B7973007540C3F7CB2",1)</f>
        <v>=DISPIMG("ID_DB216805AF6249B7973007540C3F7CB2",1)</v>
      </c>
      <c r="AG207" s="939"/>
      <c r="AH207" s="937"/>
      <c r="AI207" s="950"/>
      <c r="AJ207" s="937"/>
      <c r="AK207" s="950"/>
      <c r="AL207" s="1135">
        <v>484.5</v>
      </c>
      <c r="AM207" s="1135">
        <v>145.35</v>
      </c>
      <c r="AN207" s="1151"/>
      <c r="AO207" s="941">
        <v>1500</v>
      </c>
      <c r="AP207" s="939" t="s">
        <v>254</v>
      </c>
      <c r="AQ207" s="1154" t="s">
        <v>677</v>
      </c>
      <c r="AR207" s="1120">
        <v>45667</v>
      </c>
      <c r="AS207" s="1154" t="s">
        <v>537</v>
      </c>
      <c r="AT207" s="1121">
        <v>45680</v>
      </c>
      <c r="AU207" s="1106" t="s">
        <v>553</v>
      </c>
      <c r="AV207" s="1106" t="s">
        <v>59</v>
      </c>
      <c r="AW207" s="1106" t="s">
        <v>540</v>
      </c>
      <c r="AX207" s="1122"/>
      <c r="AY207" s="1125"/>
      <c r="AZ207" s="897"/>
    </row>
    <row r="208" ht="118.75" customHeight="1" spans="1:52">
      <c r="A208" s="937">
        <v>5</v>
      </c>
      <c r="B208" s="937">
        <v>5807900000</v>
      </c>
      <c r="C208" s="937">
        <v>580790</v>
      </c>
      <c r="D208" s="939" t="s">
        <v>691</v>
      </c>
      <c r="E208" s="939" t="s">
        <v>696</v>
      </c>
      <c r="F208" s="939" t="s">
        <v>697</v>
      </c>
      <c r="G208" s="939"/>
      <c r="H208" s="939"/>
      <c r="I208" s="939" t="s">
        <v>123</v>
      </c>
      <c r="J208" s="940">
        <v>0.3</v>
      </c>
      <c r="K208" s="941">
        <v>1500</v>
      </c>
      <c r="L208" s="939" t="s">
        <v>254</v>
      </c>
      <c r="M208" s="1129"/>
      <c r="N208" s="942"/>
      <c r="O208" s="941"/>
      <c r="P208" s="940">
        <v>380</v>
      </c>
      <c r="Q208" s="940">
        <v>114</v>
      </c>
      <c r="R208" s="1151"/>
      <c r="S208" s="936"/>
      <c r="T208" s="940">
        <v>1.4</v>
      </c>
      <c r="U208" s="936"/>
      <c r="V208" s="1135">
        <v>0.3</v>
      </c>
      <c r="W208" s="1152"/>
      <c r="X208" s="1152"/>
      <c r="Y208" s="1152"/>
      <c r="Z208" s="1091">
        <v>1500</v>
      </c>
      <c r="AA208" s="936"/>
      <c r="AB208" s="936"/>
      <c r="AC208" s="936"/>
      <c r="AD208" s="948"/>
      <c r="AE208" s="1153"/>
      <c r="AF208" s="802" t="str">
        <f>_xlfn.DISPIMG("ID_70AF7963477B475ABB38EE5A44E70BC4",1)</f>
        <v>=DISPIMG("ID_70AF7963477B475ABB38EE5A44E70BC4",1)</v>
      </c>
      <c r="AG208" s="939"/>
      <c r="AH208" s="937"/>
      <c r="AI208" s="950"/>
      <c r="AJ208" s="937"/>
      <c r="AK208" s="950"/>
      <c r="AL208" s="1135">
        <v>387.6</v>
      </c>
      <c r="AM208" s="1135">
        <v>116.28</v>
      </c>
      <c r="AN208" s="1151"/>
      <c r="AO208" s="941">
        <v>1500</v>
      </c>
      <c r="AP208" s="939" t="s">
        <v>254</v>
      </c>
      <c r="AQ208" s="1154" t="s">
        <v>677</v>
      </c>
      <c r="AR208" s="1120">
        <v>45667</v>
      </c>
      <c r="AS208" s="1154" t="s">
        <v>537</v>
      </c>
      <c r="AT208" s="1121">
        <v>45680</v>
      </c>
      <c r="AU208" s="1106" t="s">
        <v>553</v>
      </c>
      <c r="AV208" s="1106" t="s">
        <v>59</v>
      </c>
      <c r="AW208" s="1106" t="s">
        <v>540</v>
      </c>
      <c r="AX208" s="1122"/>
      <c r="AY208" s="1125"/>
      <c r="AZ208" s="897"/>
    </row>
    <row r="209" ht="118.75" customHeight="1" spans="1:52">
      <c r="A209" s="937">
        <v>6</v>
      </c>
      <c r="B209" s="937">
        <v>5807900000</v>
      </c>
      <c r="C209" s="937">
        <v>580790</v>
      </c>
      <c r="D209" s="939" t="s">
        <v>691</v>
      </c>
      <c r="E209" s="939" t="s">
        <v>698</v>
      </c>
      <c r="F209" s="939" t="s">
        <v>699</v>
      </c>
      <c r="G209" s="939"/>
      <c r="H209" s="939"/>
      <c r="I209" s="939" t="s">
        <v>123</v>
      </c>
      <c r="J209" s="940">
        <v>1.05</v>
      </c>
      <c r="K209" s="941">
        <v>1500</v>
      </c>
      <c r="L209" s="939" t="s">
        <v>254</v>
      </c>
      <c r="M209" s="1129"/>
      <c r="N209" s="942"/>
      <c r="O209" s="941"/>
      <c r="P209" s="940">
        <v>200</v>
      </c>
      <c r="Q209" s="940">
        <v>210</v>
      </c>
      <c r="R209" s="1151"/>
      <c r="S209" s="936"/>
      <c r="T209" s="940">
        <v>2.13</v>
      </c>
      <c r="U209" s="936"/>
      <c r="V209" s="1135">
        <v>1.05</v>
      </c>
      <c r="W209" s="1152"/>
      <c r="X209" s="1152"/>
      <c r="Y209" s="1152"/>
      <c r="Z209" s="1091">
        <v>1500</v>
      </c>
      <c r="AA209" s="936"/>
      <c r="AB209" s="936"/>
      <c r="AC209" s="936"/>
      <c r="AD209" s="948"/>
      <c r="AE209" s="1153"/>
      <c r="AF209" s="802" t="str">
        <f>_xlfn.DISPIMG("ID_051B6E1AEF0A46A9A380794E6E9FEB84",1)</f>
        <v>=DISPIMG("ID_051B6E1AEF0A46A9A380794E6E9FEB84",1)</v>
      </c>
      <c r="AG209" s="939"/>
      <c r="AH209" s="937"/>
      <c r="AI209" s="950"/>
      <c r="AJ209" s="937"/>
      <c r="AK209" s="950"/>
      <c r="AL209" s="1135">
        <v>204</v>
      </c>
      <c r="AM209" s="1135">
        <v>214.2</v>
      </c>
      <c r="AN209" s="1151"/>
      <c r="AO209" s="941">
        <v>1500</v>
      </c>
      <c r="AP209" s="939" t="s">
        <v>254</v>
      </c>
      <c r="AQ209" s="1154" t="s">
        <v>677</v>
      </c>
      <c r="AR209" s="1120">
        <v>45667</v>
      </c>
      <c r="AS209" s="1154" t="s">
        <v>537</v>
      </c>
      <c r="AT209" s="1121">
        <v>45680</v>
      </c>
      <c r="AU209" s="1106" t="s">
        <v>553</v>
      </c>
      <c r="AV209" s="1106" t="s">
        <v>59</v>
      </c>
      <c r="AW209" s="1106" t="s">
        <v>540</v>
      </c>
      <c r="AX209" s="1122"/>
      <c r="AY209" s="1125"/>
      <c r="AZ209" s="897"/>
    </row>
    <row r="210" ht="118.75" customHeight="1" spans="1:52">
      <c r="A210" s="937">
        <v>7</v>
      </c>
      <c r="B210" s="937">
        <v>5807900000</v>
      </c>
      <c r="C210" s="937">
        <v>580790</v>
      </c>
      <c r="D210" s="939" t="s">
        <v>691</v>
      </c>
      <c r="E210" s="939" t="s">
        <v>700</v>
      </c>
      <c r="F210" s="939" t="s">
        <v>701</v>
      </c>
      <c r="G210" s="939"/>
      <c r="H210" s="939"/>
      <c r="I210" s="939" t="s">
        <v>123</v>
      </c>
      <c r="J210" s="940">
        <v>1.8</v>
      </c>
      <c r="K210" s="941">
        <v>1500</v>
      </c>
      <c r="L210" s="939" t="s">
        <v>254</v>
      </c>
      <c r="M210" s="1129"/>
      <c r="N210" s="942"/>
      <c r="O210" s="941"/>
      <c r="P210" s="940">
        <v>190</v>
      </c>
      <c r="Q210" s="940">
        <v>342</v>
      </c>
      <c r="R210" s="1151"/>
      <c r="S210" s="936"/>
      <c r="T210" s="940">
        <v>2.99</v>
      </c>
      <c r="U210" s="936"/>
      <c r="V210" s="1135">
        <v>1.8</v>
      </c>
      <c r="W210" s="1152"/>
      <c r="X210" s="1152"/>
      <c r="Y210" s="1152"/>
      <c r="Z210" s="1091">
        <v>1500</v>
      </c>
      <c r="AA210" s="936"/>
      <c r="AB210" s="936"/>
      <c r="AC210" s="936"/>
      <c r="AD210" s="948"/>
      <c r="AE210" s="1153"/>
      <c r="AF210" s="802" t="str">
        <f>_xlfn.DISPIMG("ID_0360A12D53354975B7F1A858D1DE250E",1)</f>
        <v>=DISPIMG("ID_0360A12D53354975B7F1A858D1DE250E",1)</v>
      </c>
      <c r="AG210" s="939"/>
      <c r="AH210" s="937"/>
      <c r="AI210" s="950"/>
      <c r="AJ210" s="937"/>
      <c r="AK210" s="950"/>
      <c r="AL210" s="1135">
        <v>193.8</v>
      </c>
      <c r="AM210" s="1135">
        <v>348.84</v>
      </c>
      <c r="AN210" s="1151"/>
      <c r="AO210" s="941">
        <v>1500</v>
      </c>
      <c r="AP210" s="939" t="s">
        <v>254</v>
      </c>
      <c r="AQ210" s="1154" t="s">
        <v>677</v>
      </c>
      <c r="AR210" s="1120">
        <v>45667</v>
      </c>
      <c r="AS210" s="1154" t="s">
        <v>537</v>
      </c>
      <c r="AT210" s="1121">
        <v>45680</v>
      </c>
      <c r="AU210" s="1106" t="s">
        <v>553</v>
      </c>
      <c r="AV210" s="1106" t="s">
        <v>59</v>
      </c>
      <c r="AW210" s="1106" t="s">
        <v>540</v>
      </c>
      <c r="AX210" s="1122"/>
      <c r="AY210" s="1125"/>
      <c r="AZ210" s="897"/>
    </row>
    <row r="211" ht="118.75" customHeight="1" spans="1:52">
      <c r="A211" s="937">
        <v>8</v>
      </c>
      <c r="B211" s="937">
        <v>5807900000</v>
      </c>
      <c r="C211" s="937">
        <v>580790</v>
      </c>
      <c r="D211" s="939" t="s">
        <v>702</v>
      </c>
      <c r="E211" s="939" t="s">
        <v>703</v>
      </c>
      <c r="F211" s="939" t="s">
        <v>704</v>
      </c>
      <c r="G211" s="939"/>
      <c r="H211" s="939"/>
      <c r="I211" s="939" t="s">
        <v>123</v>
      </c>
      <c r="J211" s="940">
        <v>0.15</v>
      </c>
      <c r="K211" s="941">
        <v>750</v>
      </c>
      <c r="L211" s="939" t="s">
        <v>254</v>
      </c>
      <c r="M211" s="1129"/>
      <c r="N211" s="942"/>
      <c r="O211" s="941"/>
      <c r="P211" s="940">
        <v>475</v>
      </c>
      <c r="Q211" s="940">
        <v>71.25</v>
      </c>
      <c r="R211" s="1151"/>
      <c r="S211" s="936"/>
      <c r="T211" s="940">
        <v>1.2</v>
      </c>
      <c r="U211" s="936"/>
      <c r="V211" s="1135">
        <v>0.15</v>
      </c>
      <c r="W211" s="1152"/>
      <c r="X211" s="1152"/>
      <c r="Y211" s="1152"/>
      <c r="Z211" s="1091">
        <v>750</v>
      </c>
      <c r="AA211" s="936"/>
      <c r="AB211" s="936"/>
      <c r="AC211" s="936"/>
      <c r="AD211" s="948"/>
      <c r="AE211" s="1153"/>
      <c r="AF211" s="802" t="str">
        <f>_xlfn.DISPIMG("ID_01002F9EDBD94735BC0B18E74046BD4F",1)</f>
        <v>=DISPIMG("ID_01002F9EDBD94735BC0B18E74046BD4F",1)</v>
      </c>
      <c r="AG211" s="939"/>
      <c r="AH211" s="937"/>
      <c r="AI211" s="950"/>
      <c r="AJ211" s="937"/>
      <c r="AK211" s="950"/>
      <c r="AL211" s="1135">
        <v>485</v>
      </c>
      <c r="AM211" s="1135">
        <v>72.75</v>
      </c>
      <c r="AN211" s="1151"/>
      <c r="AO211" s="941">
        <v>750</v>
      </c>
      <c r="AP211" s="939" t="s">
        <v>254</v>
      </c>
      <c r="AQ211" s="1154" t="s">
        <v>677</v>
      </c>
      <c r="AR211" s="1120">
        <v>45667</v>
      </c>
      <c r="AS211" s="1154" t="s">
        <v>537</v>
      </c>
      <c r="AT211" s="1121">
        <v>45680</v>
      </c>
      <c r="AU211" s="1106" t="s">
        <v>553</v>
      </c>
      <c r="AV211" s="1106" t="s">
        <v>59</v>
      </c>
      <c r="AW211" s="1106" t="s">
        <v>540</v>
      </c>
      <c r="AX211" s="1122"/>
      <c r="AY211" s="1125"/>
      <c r="AZ211" s="897"/>
    </row>
    <row r="212" ht="118.75" customHeight="1" spans="1:52">
      <c r="A212" s="937">
        <v>9</v>
      </c>
      <c r="B212" s="937">
        <v>5807900000</v>
      </c>
      <c r="C212" s="937">
        <v>580790</v>
      </c>
      <c r="D212" s="939" t="s">
        <v>702</v>
      </c>
      <c r="E212" s="939" t="s">
        <v>705</v>
      </c>
      <c r="F212" s="939" t="s">
        <v>706</v>
      </c>
      <c r="G212" s="939"/>
      <c r="H212" s="939"/>
      <c r="I212" s="939" t="s">
        <v>123</v>
      </c>
      <c r="J212" s="940">
        <v>0.15</v>
      </c>
      <c r="K212" s="941">
        <v>750</v>
      </c>
      <c r="L212" s="939" t="s">
        <v>254</v>
      </c>
      <c r="M212" s="1129"/>
      <c r="N212" s="942"/>
      <c r="O212" s="941"/>
      <c r="P212" s="940">
        <v>380</v>
      </c>
      <c r="Q212" s="940">
        <v>57</v>
      </c>
      <c r="R212" s="1151"/>
      <c r="S212" s="936"/>
      <c r="T212" s="940">
        <v>1.2</v>
      </c>
      <c r="U212" s="936"/>
      <c r="V212" s="1135">
        <v>0.15</v>
      </c>
      <c r="W212" s="1152"/>
      <c r="X212" s="1152"/>
      <c r="Y212" s="1152"/>
      <c r="Z212" s="1091">
        <v>750</v>
      </c>
      <c r="AA212" s="936"/>
      <c r="AB212" s="936"/>
      <c r="AC212" s="936"/>
      <c r="AD212" s="948"/>
      <c r="AE212" s="1153"/>
      <c r="AF212" s="802" t="str">
        <f>_xlfn.DISPIMG("ID_49E9557D68E64CD9938DD0D132E331F1",1)</f>
        <v>=DISPIMG("ID_49E9557D68E64CD9938DD0D132E331F1",1)</v>
      </c>
      <c r="AG212" s="939"/>
      <c r="AH212" s="937"/>
      <c r="AI212" s="950"/>
      <c r="AJ212" s="937"/>
      <c r="AK212" s="950"/>
      <c r="AL212" s="1135">
        <v>387.6</v>
      </c>
      <c r="AM212" s="1135">
        <v>58.14</v>
      </c>
      <c r="AN212" s="1151"/>
      <c r="AO212" s="941">
        <v>750</v>
      </c>
      <c r="AP212" s="939" t="s">
        <v>254</v>
      </c>
      <c r="AQ212" s="1154" t="s">
        <v>677</v>
      </c>
      <c r="AR212" s="1120">
        <v>45667</v>
      </c>
      <c r="AS212" s="1154" t="s">
        <v>537</v>
      </c>
      <c r="AT212" s="1121">
        <v>45680</v>
      </c>
      <c r="AU212" s="1106" t="s">
        <v>553</v>
      </c>
      <c r="AV212" s="1106" t="s">
        <v>59</v>
      </c>
      <c r="AW212" s="1106" t="s">
        <v>540</v>
      </c>
      <c r="AX212" s="1122"/>
      <c r="AY212" s="1125"/>
      <c r="AZ212" s="897"/>
    </row>
    <row r="213" ht="118.75" customHeight="1" spans="1:52">
      <c r="A213" s="937">
        <v>10</v>
      </c>
      <c r="B213" s="937">
        <v>5807900000</v>
      </c>
      <c r="C213" s="937">
        <v>580790</v>
      </c>
      <c r="D213" s="939" t="s">
        <v>702</v>
      </c>
      <c r="E213" s="939" t="s">
        <v>707</v>
      </c>
      <c r="F213" s="939" t="s">
        <v>708</v>
      </c>
      <c r="G213" s="939"/>
      <c r="H213" s="939"/>
      <c r="I213" s="939" t="s">
        <v>123</v>
      </c>
      <c r="J213" s="940">
        <v>0.56</v>
      </c>
      <c r="K213" s="941">
        <v>750</v>
      </c>
      <c r="L213" s="939" t="s">
        <v>254</v>
      </c>
      <c r="M213" s="1129"/>
      <c r="N213" s="942"/>
      <c r="O213" s="941"/>
      <c r="P213" s="940">
        <v>187.5</v>
      </c>
      <c r="Q213" s="940">
        <v>105</v>
      </c>
      <c r="R213" s="1151"/>
      <c r="S213" s="936"/>
      <c r="T213" s="940">
        <v>1.59</v>
      </c>
      <c r="U213" s="936"/>
      <c r="V213" s="1135">
        <v>0.56</v>
      </c>
      <c r="W213" s="1152"/>
      <c r="X213" s="1152"/>
      <c r="Y213" s="1152"/>
      <c r="Z213" s="1091">
        <v>750</v>
      </c>
      <c r="AA213" s="936"/>
      <c r="AB213" s="936"/>
      <c r="AC213" s="936"/>
      <c r="AD213" s="948"/>
      <c r="AE213" s="1153"/>
      <c r="AF213" s="802" t="str">
        <f>_xlfn.DISPIMG("ID_15104C8251634BA2B975D156BB595F38",1)</f>
        <v>=DISPIMG("ID_15104C8251634BA2B975D156BB595F38",1)</v>
      </c>
      <c r="AG213" s="939"/>
      <c r="AH213" s="937"/>
      <c r="AI213" s="950"/>
      <c r="AJ213" s="937"/>
      <c r="AK213" s="950"/>
      <c r="AL213" s="1135">
        <v>191.25</v>
      </c>
      <c r="AM213" s="1135">
        <v>107.1</v>
      </c>
      <c r="AN213" s="1151"/>
      <c r="AO213" s="941">
        <v>750</v>
      </c>
      <c r="AP213" s="939" t="s">
        <v>254</v>
      </c>
      <c r="AQ213" s="1154" t="s">
        <v>677</v>
      </c>
      <c r="AR213" s="1120">
        <v>45667</v>
      </c>
      <c r="AS213" s="1154" t="s">
        <v>537</v>
      </c>
      <c r="AT213" s="1121">
        <v>45680</v>
      </c>
      <c r="AU213" s="1106" t="s">
        <v>553</v>
      </c>
      <c r="AV213" s="1106" t="s">
        <v>59</v>
      </c>
      <c r="AW213" s="1106" t="s">
        <v>540</v>
      </c>
      <c r="AX213" s="1122"/>
      <c r="AY213" s="1125"/>
      <c r="AZ213" s="897"/>
    </row>
    <row r="214" ht="118.75" customHeight="1" spans="1:52">
      <c r="A214" s="937">
        <v>11</v>
      </c>
      <c r="B214" s="937">
        <v>5807900000</v>
      </c>
      <c r="C214" s="937">
        <v>580790</v>
      </c>
      <c r="D214" s="939" t="s">
        <v>702</v>
      </c>
      <c r="E214" s="939" t="s">
        <v>709</v>
      </c>
      <c r="F214" s="939" t="s">
        <v>710</v>
      </c>
      <c r="G214" s="939"/>
      <c r="H214" s="939"/>
      <c r="I214" s="939" t="s">
        <v>123</v>
      </c>
      <c r="J214" s="940">
        <v>0.9</v>
      </c>
      <c r="K214" s="941">
        <v>750</v>
      </c>
      <c r="L214" s="939" t="s">
        <v>254</v>
      </c>
      <c r="M214" s="1129"/>
      <c r="N214" s="942"/>
      <c r="O214" s="941"/>
      <c r="P214" s="940">
        <v>190</v>
      </c>
      <c r="Q214" s="940">
        <v>171</v>
      </c>
      <c r="R214" s="1151"/>
      <c r="S214" s="936"/>
      <c r="T214" s="940">
        <v>2</v>
      </c>
      <c r="U214" s="936"/>
      <c r="V214" s="1135">
        <v>0.9</v>
      </c>
      <c r="W214" s="1152"/>
      <c r="X214" s="1152"/>
      <c r="Y214" s="1152"/>
      <c r="Z214" s="1091">
        <v>750</v>
      </c>
      <c r="AA214" s="936"/>
      <c r="AB214" s="936"/>
      <c r="AC214" s="936"/>
      <c r="AD214" s="948"/>
      <c r="AE214" s="1153"/>
      <c r="AF214" s="802" t="str">
        <f>_xlfn.DISPIMG("ID_C62156A2F0B547489C522BEFDE49A901",1)</f>
        <v>=DISPIMG("ID_C62156A2F0B547489C522BEFDE49A901",1)</v>
      </c>
      <c r="AG214" s="939"/>
      <c r="AH214" s="937"/>
      <c r="AI214" s="950"/>
      <c r="AJ214" s="937"/>
      <c r="AK214" s="950"/>
      <c r="AL214" s="1135">
        <v>193.8</v>
      </c>
      <c r="AM214" s="1135">
        <v>174.42</v>
      </c>
      <c r="AN214" s="1151"/>
      <c r="AO214" s="941">
        <v>750</v>
      </c>
      <c r="AP214" s="939" t="s">
        <v>254</v>
      </c>
      <c r="AQ214" s="1154" t="s">
        <v>677</v>
      </c>
      <c r="AR214" s="1120">
        <v>45667</v>
      </c>
      <c r="AS214" s="1154" t="s">
        <v>537</v>
      </c>
      <c r="AT214" s="1121">
        <v>45680</v>
      </c>
      <c r="AU214" s="1106" t="s">
        <v>553</v>
      </c>
      <c r="AV214" s="1106" t="s">
        <v>59</v>
      </c>
      <c r="AW214" s="1106" t="s">
        <v>540</v>
      </c>
      <c r="AX214" s="1122"/>
      <c r="AY214" s="1125"/>
      <c r="AZ214" s="897"/>
    </row>
    <row r="215" ht="118.75" customHeight="1" spans="1:52">
      <c r="A215" s="937">
        <v>12</v>
      </c>
      <c r="B215" s="937">
        <v>5807900000</v>
      </c>
      <c r="C215" s="937">
        <v>580790</v>
      </c>
      <c r="D215" s="939" t="s">
        <v>702</v>
      </c>
      <c r="E215" s="939" t="s">
        <v>703</v>
      </c>
      <c r="F215" s="939" t="s">
        <v>704</v>
      </c>
      <c r="G215" s="939"/>
      <c r="H215" s="939"/>
      <c r="I215" s="939" t="s">
        <v>123</v>
      </c>
      <c r="J215" s="940">
        <v>0.15</v>
      </c>
      <c r="K215" s="941">
        <v>750</v>
      </c>
      <c r="L215" s="939" t="s">
        <v>254</v>
      </c>
      <c r="M215" s="1129"/>
      <c r="N215" s="942"/>
      <c r="O215" s="941"/>
      <c r="P215" s="940">
        <v>475</v>
      </c>
      <c r="Q215" s="940">
        <v>71.25</v>
      </c>
      <c r="R215" s="1151"/>
      <c r="S215" s="936"/>
      <c r="T215" s="940">
        <v>1.2</v>
      </c>
      <c r="U215" s="936"/>
      <c r="V215" s="1135">
        <v>0.15</v>
      </c>
      <c r="W215" s="1152"/>
      <c r="X215" s="1152"/>
      <c r="Y215" s="1152"/>
      <c r="Z215" s="1091">
        <v>750</v>
      </c>
      <c r="AA215" s="936"/>
      <c r="AB215" s="936"/>
      <c r="AC215" s="936"/>
      <c r="AD215" s="948"/>
      <c r="AE215" s="1153"/>
      <c r="AF215" s="802" t="str">
        <f>_xlfn.DISPIMG("ID_45786DA52BE847A7A66E2EC76A87B381",1)</f>
        <v>=DISPIMG("ID_45786DA52BE847A7A66E2EC76A87B381",1)</v>
      </c>
      <c r="AG215" s="939"/>
      <c r="AH215" s="937"/>
      <c r="AI215" s="950"/>
      <c r="AJ215" s="937"/>
      <c r="AK215" s="950"/>
      <c r="AL215" s="1135">
        <v>485</v>
      </c>
      <c r="AM215" s="1135">
        <v>72.75</v>
      </c>
      <c r="AN215" s="1151"/>
      <c r="AO215" s="941">
        <v>750</v>
      </c>
      <c r="AP215" s="939" t="s">
        <v>254</v>
      </c>
      <c r="AQ215" s="1154" t="s">
        <v>677</v>
      </c>
      <c r="AR215" s="1120">
        <v>45667</v>
      </c>
      <c r="AS215" s="1154" t="s">
        <v>537</v>
      </c>
      <c r="AT215" s="1121">
        <v>45680</v>
      </c>
      <c r="AU215" s="1106" t="s">
        <v>553</v>
      </c>
      <c r="AV215" s="1106" t="s">
        <v>59</v>
      </c>
      <c r="AW215" s="1106" t="s">
        <v>540</v>
      </c>
      <c r="AX215" s="1122"/>
      <c r="AY215" s="1125"/>
      <c r="AZ215" s="897"/>
    </row>
    <row r="216" ht="118.75" customHeight="1" spans="1:52">
      <c r="A216" s="937">
        <v>13</v>
      </c>
      <c r="B216" s="937">
        <v>5807900000</v>
      </c>
      <c r="C216" s="937">
        <v>580790</v>
      </c>
      <c r="D216" s="939" t="s">
        <v>702</v>
      </c>
      <c r="E216" s="939" t="s">
        <v>705</v>
      </c>
      <c r="F216" s="939" t="s">
        <v>706</v>
      </c>
      <c r="G216" s="939"/>
      <c r="H216" s="939"/>
      <c r="I216" s="939" t="s">
        <v>123</v>
      </c>
      <c r="J216" s="940">
        <v>0.15</v>
      </c>
      <c r="K216" s="941">
        <v>750</v>
      </c>
      <c r="L216" s="939" t="s">
        <v>254</v>
      </c>
      <c r="M216" s="1129"/>
      <c r="N216" s="942"/>
      <c r="O216" s="941"/>
      <c r="P216" s="940">
        <v>380</v>
      </c>
      <c r="Q216" s="940">
        <v>57</v>
      </c>
      <c r="R216" s="1151"/>
      <c r="S216" s="936"/>
      <c r="T216" s="940">
        <v>1.2</v>
      </c>
      <c r="U216" s="936"/>
      <c r="V216" s="1135">
        <v>0.15</v>
      </c>
      <c r="W216" s="1152"/>
      <c r="X216" s="1152"/>
      <c r="Y216" s="1152"/>
      <c r="Z216" s="1091">
        <v>750</v>
      </c>
      <c r="AA216" s="936"/>
      <c r="AB216" s="936"/>
      <c r="AC216" s="936"/>
      <c r="AD216" s="948"/>
      <c r="AE216" s="1153"/>
      <c r="AF216" s="802" t="str">
        <f>_xlfn.DISPIMG("ID_4A9331B2D6CC4D1EB65B82DA956224B3",1)</f>
        <v>=DISPIMG("ID_4A9331B2D6CC4D1EB65B82DA956224B3",1)</v>
      </c>
      <c r="AG216" s="939"/>
      <c r="AH216" s="937"/>
      <c r="AI216" s="950"/>
      <c r="AJ216" s="937"/>
      <c r="AK216" s="950"/>
      <c r="AL216" s="1135">
        <v>387.6</v>
      </c>
      <c r="AM216" s="1135">
        <v>58.14</v>
      </c>
      <c r="AN216" s="1151"/>
      <c r="AO216" s="941">
        <v>750</v>
      </c>
      <c r="AP216" s="939" t="s">
        <v>254</v>
      </c>
      <c r="AQ216" s="1154" t="s">
        <v>677</v>
      </c>
      <c r="AR216" s="1120">
        <v>45667</v>
      </c>
      <c r="AS216" s="1154" t="s">
        <v>537</v>
      </c>
      <c r="AT216" s="1121">
        <v>45680</v>
      </c>
      <c r="AU216" s="1106" t="s">
        <v>553</v>
      </c>
      <c r="AV216" s="1106" t="s">
        <v>59</v>
      </c>
      <c r="AW216" s="1106" t="s">
        <v>540</v>
      </c>
      <c r="AX216" s="1122"/>
      <c r="AY216" s="1125"/>
      <c r="AZ216" s="897"/>
    </row>
    <row r="217" ht="118.75" customHeight="1" spans="1:52">
      <c r="A217" s="937">
        <v>14</v>
      </c>
      <c r="B217" s="937">
        <v>5807900000</v>
      </c>
      <c r="C217" s="937">
        <v>580790</v>
      </c>
      <c r="D217" s="939" t="s">
        <v>702</v>
      </c>
      <c r="E217" s="939" t="s">
        <v>707</v>
      </c>
      <c r="F217" s="939" t="s">
        <v>708</v>
      </c>
      <c r="G217" s="939"/>
      <c r="H217" s="939"/>
      <c r="I217" s="939" t="s">
        <v>123</v>
      </c>
      <c r="J217" s="940">
        <v>0.56</v>
      </c>
      <c r="K217" s="941">
        <v>750</v>
      </c>
      <c r="L217" s="939" t="s">
        <v>254</v>
      </c>
      <c r="M217" s="1129"/>
      <c r="N217" s="942"/>
      <c r="O217" s="941"/>
      <c r="P217" s="940">
        <v>187.5</v>
      </c>
      <c r="Q217" s="940">
        <v>105</v>
      </c>
      <c r="R217" s="1151"/>
      <c r="S217" s="936"/>
      <c r="T217" s="940">
        <v>1.57</v>
      </c>
      <c r="U217" s="936"/>
      <c r="V217" s="1135">
        <v>0.56</v>
      </c>
      <c r="W217" s="1152"/>
      <c r="X217" s="1152"/>
      <c r="Y217" s="1152"/>
      <c r="Z217" s="1091">
        <v>750</v>
      </c>
      <c r="AA217" s="936"/>
      <c r="AB217" s="936"/>
      <c r="AC217" s="936"/>
      <c r="AD217" s="948"/>
      <c r="AE217" s="1153"/>
      <c r="AF217" s="802" t="str">
        <f>_xlfn.DISPIMG("ID_C06BBCE6CE39441A89AB0B677FF57B25",1)</f>
        <v>=DISPIMG("ID_C06BBCE6CE39441A89AB0B677FF57B25",1)</v>
      </c>
      <c r="AG217" s="939"/>
      <c r="AH217" s="937"/>
      <c r="AI217" s="950"/>
      <c r="AJ217" s="937"/>
      <c r="AK217" s="950"/>
      <c r="AL217" s="1135">
        <v>191.25</v>
      </c>
      <c r="AM217" s="1135">
        <v>107.1</v>
      </c>
      <c r="AN217" s="1151"/>
      <c r="AO217" s="941">
        <v>750</v>
      </c>
      <c r="AP217" s="939" t="s">
        <v>254</v>
      </c>
      <c r="AQ217" s="1154" t="s">
        <v>677</v>
      </c>
      <c r="AR217" s="1120">
        <v>45667</v>
      </c>
      <c r="AS217" s="1154" t="s">
        <v>537</v>
      </c>
      <c r="AT217" s="1121">
        <v>45680</v>
      </c>
      <c r="AU217" s="1106" t="s">
        <v>553</v>
      </c>
      <c r="AV217" s="1106" t="s">
        <v>59</v>
      </c>
      <c r="AW217" s="1106" t="s">
        <v>540</v>
      </c>
      <c r="AX217" s="1122"/>
      <c r="AY217" s="1125"/>
      <c r="AZ217" s="897"/>
    </row>
    <row r="218" ht="118.75" customHeight="1" spans="1:52">
      <c r="A218" s="937">
        <v>15</v>
      </c>
      <c r="B218" s="937">
        <v>5807900000</v>
      </c>
      <c r="C218" s="937">
        <v>580790</v>
      </c>
      <c r="D218" s="939" t="s">
        <v>702</v>
      </c>
      <c r="E218" s="939" t="s">
        <v>709</v>
      </c>
      <c r="F218" s="939" t="s">
        <v>710</v>
      </c>
      <c r="G218" s="939"/>
      <c r="H218" s="939"/>
      <c r="I218" s="939" t="s">
        <v>123</v>
      </c>
      <c r="J218" s="940">
        <v>0.9</v>
      </c>
      <c r="K218" s="941">
        <v>750</v>
      </c>
      <c r="L218" s="939" t="s">
        <v>254</v>
      </c>
      <c r="M218" s="1129"/>
      <c r="N218" s="942"/>
      <c r="O218" s="941"/>
      <c r="P218" s="940">
        <v>190</v>
      </c>
      <c r="Q218" s="940">
        <v>171</v>
      </c>
      <c r="R218" s="1151"/>
      <c r="S218" s="936"/>
      <c r="T218" s="940">
        <v>2</v>
      </c>
      <c r="U218" s="936"/>
      <c r="V218" s="1135">
        <v>0.9</v>
      </c>
      <c r="W218" s="1152"/>
      <c r="X218" s="1152"/>
      <c r="Y218" s="1152"/>
      <c r="Z218" s="1091">
        <v>750</v>
      </c>
      <c r="AA218" s="936"/>
      <c r="AB218" s="936"/>
      <c r="AC218" s="936"/>
      <c r="AD218" s="948"/>
      <c r="AE218" s="1153"/>
      <c r="AF218" s="802" t="str">
        <f>_xlfn.DISPIMG("ID_0AB6290EA5A543ADAB4F802B2AD0C288",1)</f>
        <v>=DISPIMG("ID_0AB6290EA5A543ADAB4F802B2AD0C288",1)</v>
      </c>
      <c r="AG218" s="939"/>
      <c r="AH218" s="937"/>
      <c r="AI218" s="950"/>
      <c r="AJ218" s="937"/>
      <c r="AK218" s="950"/>
      <c r="AL218" s="1135">
        <v>193.8</v>
      </c>
      <c r="AM218" s="1135">
        <v>174.42</v>
      </c>
      <c r="AN218" s="1151"/>
      <c r="AO218" s="941">
        <v>750</v>
      </c>
      <c r="AP218" s="939" t="s">
        <v>254</v>
      </c>
      <c r="AQ218" s="1154" t="s">
        <v>677</v>
      </c>
      <c r="AR218" s="1120">
        <v>45667</v>
      </c>
      <c r="AS218" s="1154" t="s">
        <v>537</v>
      </c>
      <c r="AT218" s="1121">
        <v>45680</v>
      </c>
      <c r="AU218" s="1106" t="s">
        <v>553</v>
      </c>
      <c r="AV218" s="1106" t="s">
        <v>59</v>
      </c>
      <c r="AW218" s="1106" t="s">
        <v>540</v>
      </c>
      <c r="AX218" s="1122"/>
      <c r="AY218" s="1125"/>
      <c r="AZ218" s="897"/>
    </row>
    <row r="219" ht="118.75" customHeight="1" spans="1:52">
      <c r="A219" s="937">
        <v>16</v>
      </c>
      <c r="B219" s="937">
        <v>5807900000</v>
      </c>
      <c r="C219" s="937">
        <v>580790</v>
      </c>
      <c r="D219" s="939" t="s">
        <v>711</v>
      </c>
      <c r="E219" s="939" t="s">
        <v>712</v>
      </c>
      <c r="F219" s="939" t="s">
        <v>713</v>
      </c>
      <c r="G219" s="939"/>
      <c r="H219" s="939"/>
      <c r="I219" s="939" t="s">
        <v>123</v>
      </c>
      <c r="J219" s="940">
        <v>0.3</v>
      </c>
      <c r="K219" s="941">
        <v>1500</v>
      </c>
      <c r="L219" s="939" t="s">
        <v>254</v>
      </c>
      <c r="M219" s="1129"/>
      <c r="N219" s="942"/>
      <c r="O219" s="941"/>
      <c r="P219" s="940">
        <v>475</v>
      </c>
      <c r="Q219" s="940">
        <v>142.5</v>
      </c>
      <c r="R219" s="1151"/>
      <c r="S219" s="936"/>
      <c r="T219" s="940">
        <v>1.41</v>
      </c>
      <c r="U219" s="936"/>
      <c r="V219" s="1135">
        <v>0.3</v>
      </c>
      <c r="W219" s="1152"/>
      <c r="X219" s="1152"/>
      <c r="Y219" s="1152"/>
      <c r="Z219" s="1091">
        <v>1500</v>
      </c>
      <c r="AA219" s="936"/>
      <c r="AB219" s="936"/>
      <c r="AC219" s="936"/>
      <c r="AD219" s="948"/>
      <c r="AE219" s="1153"/>
      <c r="AF219" s="802" t="str">
        <f>_xlfn.DISPIMG("ID_B8D954928B9D43279068919097DB3F0C",1)</f>
        <v>=DISPIMG("ID_B8D954928B9D43279068919097DB3F0C",1)</v>
      </c>
      <c r="AG219" s="939"/>
      <c r="AH219" s="937"/>
      <c r="AI219" s="950"/>
      <c r="AJ219" s="937"/>
      <c r="AK219" s="950"/>
      <c r="AL219" s="1135">
        <v>484.5</v>
      </c>
      <c r="AM219" s="1135">
        <v>145.35</v>
      </c>
      <c r="AN219" s="1151"/>
      <c r="AO219" s="941">
        <v>1500</v>
      </c>
      <c r="AP219" s="939" t="s">
        <v>254</v>
      </c>
      <c r="AQ219" s="1154" t="s">
        <v>677</v>
      </c>
      <c r="AR219" s="1120">
        <v>45667</v>
      </c>
      <c r="AS219" s="1154" t="s">
        <v>537</v>
      </c>
      <c r="AT219" s="1121">
        <v>45680</v>
      </c>
      <c r="AU219" s="1106" t="s">
        <v>553</v>
      </c>
      <c r="AV219" s="1106" t="s">
        <v>59</v>
      </c>
      <c r="AW219" s="1106" t="s">
        <v>540</v>
      </c>
      <c r="AX219" s="1122"/>
      <c r="AY219" s="1125"/>
      <c r="AZ219" s="897"/>
    </row>
    <row r="220" ht="118.75" customHeight="1" spans="1:52">
      <c r="A220" s="937">
        <v>17</v>
      </c>
      <c r="B220" s="937">
        <v>5807900000</v>
      </c>
      <c r="C220" s="937">
        <v>580790</v>
      </c>
      <c r="D220" s="939" t="s">
        <v>711</v>
      </c>
      <c r="E220" s="939" t="s">
        <v>714</v>
      </c>
      <c r="F220" s="939" t="s">
        <v>715</v>
      </c>
      <c r="G220" s="939"/>
      <c r="H220" s="939"/>
      <c r="I220" s="939" t="s">
        <v>123</v>
      </c>
      <c r="J220" s="940">
        <v>0.3</v>
      </c>
      <c r="K220" s="941">
        <v>1500</v>
      </c>
      <c r="L220" s="939" t="s">
        <v>254</v>
      </c>
      <c r="M220" s="1129"/>
      <c r="N220" s="942"/>
      <c r="O220" s="941"/>
      <c r="P220" s="940">
        <v>380</v>
      </c>
      <c r="Q220" s="940">
        <v>114</v>
      </c>
      <c r="R220" s="1151"/>
      <c r="S220" s="936"/>
      <c r="T220" s="940">
        <v>1.41</v>
      </c>
      <c r="U220" s="936"/>
      <c r="V220" s="1135">
        <v>0.3</v>
      </c>
      <c r="W220" s="1152"/>
      <c r="X220" s="1152"/>
      <c r="Y220" s="1152"/>
      <c r="Z220" s="1091">
        <v>1500</v>
      </c>
      <c r="AA220" s="936"/>
      <c r="AB220" s="936"/>
      <c r="AC220" s="936"/>
      <c r="AD220" s="948"/>
      <c r="AE220" s="1153"/>
      <c r="AF220" s="802" t="str">
        <f>_xlfn.DISPIMG("ID_4CBE41D8C33D4916B086953AE035FB8E",1)</f>
        <v>=DISPIMG("ID_4CBE41D8C33D4916B086953AE035FB8E",1)</v>
      </c>
      <c r="AG220" s="939"/>
      <c r="AH220" s="937"/>
      <c r="AI220" s="950"/>
      <c r="AJ220" s="937"/>
      <c r="AK220" s="950"/>
      <c r="AL220" s="1135">
        <v>387.6</v>
      </c>
      <c r="AM220" s="1135">
        <v>116.28</v>
      </c>
      <c r="AN220" s="1151"/>
      <c r="AO220" s="941">
        <v>1500</v>
      </c>
      <c r="AP220" s="939" t="s">
        <v>254</v>
      </c>
      <c r="AQ220" s="1154" t="s">
        <v>677</v>
      </c>
      <c r="AR220" s="1120">
        <v>45667</v>
      </c>
      <c r="AS220" s="1154" t="s">
        <v>537</v>
      </c>
      <c r="AT220" s="1121">
        <v>45680</v>
      </c>
      <c r="AU220" s="1106" t="s">
        <v>553</v>
      </c>
      <c r="AV220" s="1106" t="s">
        <v>59</v>
      </c>
      <c r="AW220" s="1106" t="s">
        <v>540</v>
      </c>
      <c r="AX220" s="1122"/>
      <c r="AY220" s="1125"/>
      <c r="AZ220" s="897"/>
    </row>
    <row r="221" ht="118.75" customHeight="1" spans="1:52">
      <c r="A221" s="937">
        <v>18</v>
      </c>
      <c r="B221" s="937">
        <v>5807900000</v>
      </c>
      <c r="C221" s="937">
        <v>580790</v>
      </c>
      <c r="D221" s="939" t="s">
        <v>711</v>
      </c>
      <c r="E221" s="939" t="s">
        <v>716</v>
      </c>
      <c r="F221" s="939" t="s">
        <v>717</v>
      </c>
      <c r="G221" s="939"/>
      <c r="H221" s="939"/>
      <c r="I221" s="939" t="s">
        <v>123</v>
      </c>
      <c r="J221" s="940">
        <v>1.05</v>
      </c>
      <c r="K221" s="941">
        <v>1500</v>
      </c>
      <c r="L221" s="939" t="s">
        <v>254</v>
      </c>
      <c r="M221" s="1129"/>
      <c r="N221" s="942"/>
      <c r="O221" s="941"/>
      <c r="P221" s="940">
        <v>200</v>
      </c>
      <c r="Q221" s="940">
        <v>210</v>
      </c>
      <c r="R221" s="1151"/>
      <c r="S221" s="936"/>
      <c r="T221" s="940">
        <v>2.11</v>
      </c>
      <c r="U221" s="936"/>
      <c r="V221" s="1135">
        <v>1.05</v>
      </c>
      <c r="W221" s="1152"/>
      <c r="X221" s="1152"/>
      <c r="Y221" s="1152"/>
      <c r="Z221" s="1091">
        <v>1500</v>
      </c>
      <c r="AA221" s="936"/>
      <c r="AB221" s="936"/>
      <c r="AC221" s="936"/>
      <c r="AD221" s="948"/>
      <c r="AE221" s="1153"/>
      <c r="AF221" s="802" t="str">
        <f>_xlfn.DISPIMG("ID_F37E8DC825084683A71025D8D2350818",1)</f>
        <v>=DISPIMG("ID_F37E8DC825084683A71025D8D2350818",1)</v>
      </c>
      <c r="AG221" s="939"/>
      <c r="AH221" s="937"/>
      <c r="AI221" s="950"/>
      <c r="AJ221" s="937"/>
      <c r="AK221" s="950"/>
      <c r="AL221" s="1135">
        <v>204</v>
      </c>
      <c r="AM221" s="1135">
        <v>214.2</v>
      </c>
      <c r="AN221" s="1151"/>
      <c r="AO221" s="941">
        <v>1500</v>
      </c>
      <c r="AP221" s="939" t="s">
        <v>254</v>
      </c>
      <c r="AQ221" s="1154" t="s">
        <v>677</v>
      </c>
      <c r="AR221" s="1120">
        <v>45667</v>
      </c>
      <c r="AS221" s="1154" t="s">
        <v>537</v>
      </c>
      <c r="AT221" s="1121">
        <v>45680</v>
      </c>
      <c r="AU221" s="1106" t="s">
        <v>553</v>
      </c>
      <c r="AV221" s="1106" t="s">
        <v>59</v>
      </c>
      <c r="AW221" s="1106" t="s">
        <v>540</v>
      </c>
      <c r="AX221" s="1122"/>
      <c r="AY221" s="1125"/>
      <c r="AZ221" s="897"/>
    </row>
    <row r="222" ht="118.75" customHeight="1" spans="1:52">
      <c r="A222" s="937">
        <v>19</v>
      </c>
      <c r="B222" s="937">
        <v>5807900000</v>
      </c>
      <c r="C222" s="937">
        <v>580790</v>
      </c>
      <c r="D222" s="939" t="s">
        <v>711</v>
      </c>
      <c r="E222" s="939" t="s">
        <v>718</v>
      </c>
      <c r="F222" s="939" t="s">
        <v>719</v>
      </c>
      <c r="G222" s="939"/>
      <c r="H222" s="939"/>
      <c r="I222" s="939" t="s">
        <v>123</v>
      </c>
      <c r="J222" s="940">
        <v>1.8</v>
      </c>
      <c r="K222" s="941">
        <v>1500</v>
      </c>
      <c r="L222" s="939" t="s">
        <v>254</v>
      </c>
      <c r="M222" s="1129"/>
      <c r="N222" s="942"/>
      <c r="O222" s="941"/>
      <c r="P222" s="940">
        <v>190</v>
      </c>
      <c r="Q222" s="940">
        <v>342</v>
      </c>
      <c r="R222" s="1151"/>
      <c r="S222" s="936"/>
      <c r="T222" s="940">
        <v>2.87</v>
      </c>
      <c r="U222" s="936"/>
      <c r="V222" s="1135">
        <v>1.8</v>
      </c>
      <c r="W222" s="1152"/>
      <c r="X222" s="1152"/>
      <c r="Y222" s="1152"/>
      <c r="Z222" s="1091">
        <v>1500</v>
      </c>
      <c r="AA222" s="936"/>
      <c r="AB222" s="936"/>
      <c r="AC222" s="936"/>
      <c r="AD222" s="948"/>
      <c r="AE222" s="1153"/>
      <c r="AF222" s="802" t="str">
        <f>_xlfn.DISPIMG("ID_41EC7CA33E0041EAB6B8FDCA6D9D85FA",1)</f>
        <v>=DISPIMG("ID_41EC7CA33E0041EAB6B8FDCA6D9D85FA",1)</v>
      </c>
      <c r="AG222" s="939"/>
      <c r="AH222" s="937"/>
      <c r="AI222" s="950"/>
      <c r="AJ222" s="937"/>
      <c r="AK222" s="950"/>
      <c r="AL222" s="1135">
        <v>193.8</v>
      </c>
      <c r="AM222" s="1135">
        <v>348.84</v>
      </c>
      <c r="AN222" s="1151"/>
      <c r="AO222" s="941">
        <v>1500</v>
      </c>
      <c r="AP222" s="939" t="s">
        <v>254</v>
      </c>
      <c r="AQ222" s="1154" t="s">
        <v>677</v>
      </c>
      <c r="AR222" s="1120">
        <v>45667</v>
      </c>
      <c r="AS222" s="1154" t="s">
        <v>537</v>
      </c>
      <c r="AT222" s="1121">
        <v>45680</v>
      </c>
      <c r="AU222" s="1106" t="s">
        <v>553</v>
      </c>
      <c r="AV222" s="1106" t="s">
        <v>59</v>
      </c>
      <c r="AW222" s="1106" t="s">
        <v>540</v>
      </c>
      <c r="AX222" s="1122"/>
      <c r="AY222" s="1125"/>
      <c r="AZ222" s="897"/>
    </row>
    <row r="223" ht="118.75" customHeight="1" spans="1:52">
      <c r="A223" s="937">
        <v>20</v>
      </c>
      <c r="B223" s="937">
        <v>5807900000</v>
      </c>
      <c r="C223" s="937">
        <v>580790</v>
      </c>
      <c r="D223" s="939" t="s">
        <v>720</v>
      </c>
      <c r="E223" s="939" t="s">
        <v>721</v>
      </c>
      <c r="F223" s="939" t="s">
        <v>722</v>
      </c>
      <c r="G223" s="939"/>
      <c r="H223" s="939"/>
      <c r="I223" s="939" t="s">
        <v>123</v>
      </c>
      <c r="J223" s="940">
        <v>0.15</v>
      </c>
      <c r="K223" s="941">
        <v>750</v>
      </c>
      <c r="L223" s="939" t="s">
        <v>254</v>
      </c>
      <c r="M223" s="1129"/>
      <c r="N223" s="942"/>
      <c r="O223" s="941"/>
      <c r="P223" s="940">
        <v>475</v>
      </c>
      <c r="Q223" s="940">
        <v>71.25</v>
      </c>
      <c r="R223" s="1151"/>
      <c r="S223" s="936"/>
      <c r="T223" s="940">
        <v>1.2</v>
      </c>
      <c r="U223" s="936"/>
      <c r="V223" s="1135">
        <v>0.15</v>
      </c>
      <c r="W223" s="1152"/>
      <c r="X223" s="1152"/>
      <c r="Y223" s="1152"/>
      <c r="Z223" s="1091">
        <v>750</v>
      </c>
      <c r="AA223" s="936"/>
      <c r="AB223" s="936"/>
      <c r="AC223" s="936"/>
      <c r="AD223" s="948"/>
      <c r="AE223" s="1153"/>
      <c r="AF223" s="802" t="str">
        <f>_xlfn.DISPIMG("ID_AC69CBFB868543BEA3F59C89C7D4365D",1)</f>
        <v>=DISPIMG("ID_AC69CBFB868543BEA3F59C89C7D4365D",1)</v>
      </c>
      <c r="AG223" s="939"/>
      <c r="AH223" s="937"/>
      <c r="AI223" s="950"/>
      <c r="AJ223" s="937"/>
      <c r="AK223" s="950"/>
      <c r="AL223" s="1135">
        <v>485</v>
      </c>
      <c r="AM223" s="1135">
        <v>72.75</v>
      </c>
      <c r="AN223" s="1151"/>
      <c r="AO223" s="941">
        <v>750</v>
      </c>
      <c r="AP223" s="939" t="s">
        <v>254</v>
      </c>
      <c r="AQ223" s="1154" t="s">
        <v>677</v>
      </c>
      <c r="AR223" s="1120">
        <v>45667</v>
      </c>
      <c r="AS223" s="1154" t="s">
        <v>537</v>
      </c>
      <c r="AT223" s="1121">
        <v>45680</v>
      </c>
      <c r="AU223" s="1106" t="s">
        <v>553</v>
      </c>
      <c r="AV223" s="1106" t="s">
        <v>59</v>
      </c>
      <c r="AW223" s="1106" t="s">
        <v>540</v>
      </c>
      <c r="AX223" s="1122"/>
      <c r="AY223" s="1125"/>
      <c r="AZ223" s="897"/>
    </row>
    <row r="224" ht="118.75" customHeight="1" spans="1:52">
      <c r="A224" s="937">
        <v>21</v>
      </c>
      <c r="B224" s="937">
        <v>5807900000</v>
      </c>
      <c r="C224" s="937">
        <v>580790</v>
      </c>
      <c r="D224" s="939" t="s">
        <v>720</v>
      </c>
      <c r="E224" s="939" t="s">
        <v>723</v>
      </c>
      <c r="F224" s="939" t="s">
        <v>724</v>
      </c>
      <c r="G224" s="939"/>
      <c r="H224" s="939"/>
      <c r="I224" s="939" t="s">
        <v>123</v>
      </c>
      <c r="J224" s="940">
        <v>0.25</v>
      </c>
      <c r="K224" s="941">
        <v>750</v>
      </c>
      <c r="L224" s="939" t="s">
        <v>254</v>
      </c>
      <c r="M224" s="1129"/>
      <c r="N224" s="942"/>
      <c r="O224" s="941"/>
      <c r="P224" s="940">
        <v>255</v>
      </c>
      <c r="Q224" s="940">
        <v>63.75</v>
      </c>
      <c r="R224" s="1151"/>
      <c r="S224" s="936"/>
      <c r="T224" s="940">
        <v>1.29</v>
      </c>
      <c r="U224" s="936"/>
      <c r="V224" s="1135">
        <v>0.25</v>
      </c>
      <c r="W224" s="1152"/>
      <c r="X224" s="1152"/>
      <c r="Y224" s="1152"/>
      <c r="Z224" s="1091">
        <v>750</v>
      </c>
      <c r="AA224" s="936"/>
      <c r="AB224" s="936"/>
      <c r="AC224" s="936"/>
      <c r="AD224" s="948"/>
      <c r="AE224" s="1153"/>
      <c r="AF224" s="1155" t="str">
        <f>_xlfn.DISPIMG("ID_D79F8EDBDE9C4B9BAFB437569CFB4EFD",1)</f>
        <v>=DISPIMG("ID_D79F8EDBDE9C4B9BAFB437569CFB4EFD",1)</v>
      </c>
      <c r="AG224" s="939"/>
      <c r="AH224" s="937" t="s">
        <v>725</v>
      </c>
      <c r="AI224" s="950">
        <v>45631</v>
      </c>
      <c r="AJ224" s="937" t="s">
        <v>726</v>
      </c>
      <c r="AK224" s="950">
        <v>45631</v>
      </c>
      <c r="AL224" s="1135">
        <v>260</v>
      </c>
      <c r="AM224" s="1135">
        <v>65</v>
      </c>
      <c r="AN224" s="1135">
        <v>11016.11</v>
      </c>
      <c r="AO224" s="941">
        <v>750</v>
      </c>
      <c r="AP224" s="939" t="s">
        <v>254</v>
      </c>
      <c r="AQ224" s="1154" t="s">
        <v>677</v>
      </c>
      <c r="AR224" s="1120">
        <v>45667</v>
      </c>
      <c r="AS224" s="1154" t="s">
        <v>537</v>
      </c>
      <c r="AT224" s="1121">
        <v>45680</v>
      </c>
      <c r="AU224" s="1106" t="s">
        <v>553</v>
      </c>
      <c r="AV224" s="1106" t="s">
        <v>59</v>
      </c>
      <c r="AW224" s="1106" t="s">
        <v>540</v>
      </c>
      <c r="AX224" s="1122"/>
      <c r="AY224" s="1125"/>
      <c r="AZ224" s="897"/>
    </row>
    <row r="225" ht="118.75" customHeight="1" spans="1:52">
      <c r="A225" s="937">
        <v>22</v>
      </c>
      <c r="B225" s="937">
        <v>5807900000</v>
      </c>
      <c r="C225" s="937">
        <v>580790</v>
      </c>
      <c r="D225" s="939" t="s">
        <v>720</v>
      </c>
      <c r="E225" s="939" t="s">
        <v>727</v>
      </c>
      <c r="F225" s="939" t="s">
        <v>728</v>
      </c>
      <c r="G225" s="939"/>
      <c r="H225" s="939"/>
      <c r="I225" s="939" t="s">
        <v>123</v>
      </c>
      <c r="J225" s="940">
        <v>0.56</v>
      </c>
      <c r="K225" s="941">
        <v>750</v>
      </c>
      <c r="L225" s="939" t="s">
        <v>254</v>
      </c>
      <c r="M225" s="1129"/>
      <c r="N225" s="942"/>
      <c r="O225" s="941"/>
      <c r="P225" s="940">
        <v>187.5</v>
      </c>
      <c r="Q225" s="940">
        <v>105</v>
      </c>
      <c r="R225" s="1151"/>
      <c r="S225" s="936"/>
      <c r="T225" s="940">
        <v>1.57</v>
      </c>
      <c r="U225" s="936"/>
      <c r="V225" s="1135">
        <v>0.56</v>
      </c>
      <c r="W225" s="1152"/>
      <c r="X225" s="1152"/>
      <c r="Y225" s="1152"/>
      <c r="Z225" s="1091">
        <v>750</v>
      </c>
      <c r="AA225" s="936"/>
      <c r="AB225" s="936"/>
      <c r="AC225" s="936"/>
      <c r="AD225" s="948"/>
      <c r="AE225" s="1153"/>
      <c r="AF225" s="802" t="str">
        <f>_xlfn.DISPIMG("ID_C2634D8F8F61411E87BAF2B76DB96771",1)</f>
        <v>=DISPIMG("ID_C2634D8F8F61411E87BAF2B76DB96771",1)</v>
      </c>
      <c r="AG225" s="939"/>
      <c r="AH225" s="937"/>
      <c r="AI225" s="950"/>
      <c r="AJ225" s="937"/>
      <c r="AK225" s="950"/>
      <c r="AL225" s="1135">
        <v>191.25</v>
      </c>
      <c r="AM225" s="1135">
        <v>107.1</v>
      </c>
      <c r="AN225" s="1135"/>
      <c r="AO225" s="941">
        <v>750</v>
      </c>
      <c r="AP225" s="939" t="s">
        <v>254</v>
      </c>
      <c r="AQ225" s="1154" t="s">
        <v>677</v>
      </c>
      <c r="AR225" s="1120">
        <v>45667</v>
      </c>
      <c r="AS225" s="1154" t="s">
        <v>537</v>
      </c>
      <c r="AT225" s="1121">
        <v>45680</v>
      </c>
      <c r="AU225" s="1106" t="s">
        <v>553</v>
      </c>
      <c r="AV225" s="1106" t="s">
        <v>59</v>
      </c>
      <c r="AW225" s="1106" t="s">
        <v>540</v>
      </c>
      <c r="AX225" s="1122"/>
      <c r="AY225" s="1125"/>
      <c r="AZ225" s="897"/>
    </row>
    <row r="226" ht="118.75" customHeight="1" spans="1:52">
      <c r="A226" s="937">
        <v>23</v>
      </c>
      <c r="B226" s="937">
        <v>5807900000</v>
      </c>
      <c r="C226" s="937">
        <v>580790</v>
      </c>
      <c r="D226" s="939" t="s">
        <v>720</v>
      </c>
      <c r="E226" s="939" t="s">
        <v>729</v>
      </c>
      <c r="F226" s="939" t="s">
        <v>730</v>
      </c>
      <c r="G226" s="939"/>
      <c r="H226" s="939"/>
      <c r="I226" s="939" t="s">
        <v>123</v>
      </c>
      <c r="J226" s="940">
        <v>0.9</v>
      </c>
      <c r="K226" s="941">
        <v>750</v>
      </c>
      <c r="L226" s="939" t="s">
        <v>254</v>
      </c>
      <c r="M226" s="1129"/>
      <c r="N226" s="942"/>
      <c r="O226" s="941"/>
      <c r="P226" s="940">
        <v>190</v>
      </c>
      <c r="Q226" s="940">
        <v>171</v>
      </c>
      <c r="R226" s="1151"/>
      <c r="S226" s="936"/>
      <c r="T226" s="940">
        <v>2</v>
      </c>
      <c r="U226" s="936"/>
      <c r="V226" s="1135">
        <v>0.9</v>
      </c>
      <c r="W226" s="1152"/>
      <c r="X226" s="1152"/>
      <c r="Y226" s="1152"/>
      <c r="Z226" s="1091">
        <v>750</v>
      </c>
      <c r="AA226" s="936"/>
      <c r="AB226" s="936"/>
      <c r="AC226" s="936"/>
      <c r="AD226" s="948"/>
      <c r="AE226" s="1153"/>
      <c r="AF226" s="802" t="str">
        <f>_xlfn.DISPIMG("ID_EA1EF33BF4EB4794B2AC346E151542EA",1)</f>
        <v>=DISPIMG("ID_EA1EF33BF4EB4794B2AC346E151542EA",1)</v>
      </c>
      <c r="AG226" s="939"/>
      <c r="AH226" s="937"/>
      <c r="AI226" s="950"/>
      <c r="AJ226" s="937"/>
      <c r="AK226" s="950"/>
      <c r="AL226" s="1135">
        <v>193.8</v>
      </c>
      <c r="AM226" s="1135">
        <v>174.42</v>
      </c>
      <c r="AN226" s="1135"/>
      <c r="AO226" s="941">
        <v>750</v>
      </c>
      <c r="AP226" s="939" t="s">
        <v>254</v>
      </c>
      <c r="AQ226" s="1154" t="s">
        <v>677</v>
      </c>
      <c r="AR226" s="1120">
        <v>45667</v>
      </c>
      <c r="AS226" s="1154" t="s">
        <v>537</v>
      </c>
      <c r="AT226" s="1121">
        <v>45680</v>
      </c>
      <c r="AU226" s="1106" t="s">
        <v>553</v>
      </c>
      <c r="AV226" s="1106" t="s">
        <v>59</v>
      </c>
      <c r="AW226" s="1106" t="s">
        <v>540</v>
      </c>
      <c r="AX226" s="1122"/>
      <c r="AY226" s="1125"/>
      <c r="AZ226" s="897"/>
    </row>
    <row r="227" ht="118.75" customHeight="1" spans="1:52">
      <c r="A227" s="937">
        <v>24</v>
      </c>
      <c r="B227" s="937">
        <v>5807900000</v>
      </c>
      <c r="C227" s="937">
        <v>580790</v>
      </c>
      <c r="D227" s="939" t="s">
        <v>720</v>
      </c>
      <c r="E227" s="939" t="s">
        <v>721</v>
      </c>
      <c r="F227" s="939" t="s">
        <v>722</v>
      </c>
      <c r="G227" s="939"/>
      <c r="H227" s="939"/>
      <c r="I227" s="939" t="s">
        <v>123</v>
      </c>
      <c r="J227" s="940">
        <v>0.15</v>
      </c>
      <c r="K227" s="941">
        <v>750</v>
      </c>
      <c r="L227" s="939" t="s">
        <v>254</v>
      </c>
      <c r="M227" s="1129"/>
      <c r="N227" s="942"/>
      <c r="O227" s="941"/>
      <c r="P227" s="940">
        <v>475</v>
      </c>
      <c r="Q227" s="940">
        <v>71.25</v>
      </c>
      <c r="R227" s="1151"/>
      <c r="S227" s="936"/>
      <c r="T227" s="940">
        <v>1.2</v>
      </c>
      <c r="U227" s="936"/>
      <c r="V227" s="1135">
        <v>0.15</v>
      </c>
      <c r="W227" s="1152"/>
      <c r="X227" s="1152"/>
      <c r="Y227" s="1152"/>
      <c r="Z227" s="1091">
        <v>750</v>
      </c>
      <c r="AA227" s="936"/>
      <c r="AB227" s="936"/>
      <c r="AC227" s="936"/>
      <c r="AD227" s="948"/>
      <c r="AE227" s="1153"/>
      <c r="AF227" s="802" t="str">
        <f>_xlfn.DISPIMG("ID_EF889CBD9E3349AB9D1A1A7239AD5F0C",1)</f>
        <v>=DISPIMG("ID_EF889CBD9E3349AB9D1A1A7239AD5F0C",1)</v>
      </c>
      <c r="AG227" s="939"/>
      <c r="AH227" s="937"/>
      <c r="AI227" s="950"/>
      <c r="AJ227" s="937"/>
      <c r="AK227" s="950"/>
      <c r="AL227" s="1135">
        <v>505</v>
      </c>
      <c r="AM227" s="1135">
        <v>75.75</v>
      </c>
      <c r="AN227" s="1135"/>
      <c r="AO227" s="941">
        <v>750</v>
      </c>
      <c r="AP227" s="939" t="s">
        <v>254</v>
      </c>
      <c r="AQ227" s="1154" t="s">
        <v>677</v>
      </c>
      <c r="AR227" s="1120">
        <v>45667</v>
      </c>
      <c r="AS227" s="1154" t="s">
        <v>537</v>
      </c>
      <c r="AT227" s="1121">
        <v>45680</v>
      </c>
      <c r="AU227" s="1106" t="s">
        <v>553</v>
      </c>
      <c r="AV227" s="1106" t="s">
        <v>59</v>
      </c>
      <c r="AW227" s="1106" t="s">
        <v>540</v>
      </c>
      <c r="AX227" s="1122"/>
      <c r="AY227" s="1125"/>
      <c r="AZ227" s="897"/>
    </row>
    <row r="228" ht="118.75" customHeight="1" spans="1:52">
      <c r="A228" s="937">
        <v>25</v>
      </c>
      <c r="B228" s="937">
        <v>5807900000</v>
      </c>
      <c r="C228" s="937">
        <v>580790</v>
      </c>
      <c r="D228" s="939" t="s">
        <v>720</v>
      </c>
      <c r="E228" s="939" t="s">
        <v>723</v>
      </c>
      <c r="F228" s="939" t="s">
        <v>724</v>
      </c>
      <c r="G228" s="939"/>
      <c r="H228" s="939"/>
      <c r="I228" s="939" t="s">
        <v>123</v>
      </c>
      <c r="J228" s="940">
        <v>0.25</v>
      </c>
      <c r="K228" s="941">
        <v>750</v>
      </c>
      <c r="L228" s="939" t="s">
        <v>254</v>
      </c>
      <c r="M228" s="1129"/>
      <c r="N228" s="942"/>
      <c r="O228" s="941"/>
      <c r="P228" s="940">
        <v>255</v>
      </c>
      <c r="Q228" s="940">
        <v>63.75</v>
      </c>
      <c r="R228" s="1151"/>
      <c r="S228" s="936"/>
      <c r="T228" s="940">
        <v>1.25</v>
      </c>
      <c r="U228" s="936"/>
      <c r="V228" s="1135">
        <v>0.25</v>
      </c>
      <c r="W228" s="1152"/>
      <c r="X228" s="1152"/>
      <c r="Y228" s="1152"/>
      <c r="Z228" s="1091">
        <v>750</v>
      </c>
      <c r="AA228" s="936"/>
      <c r="AB228" s="936"/>
      <c r="AC228" s="936"/>
      <c r="AD228" s="948"/>
      <c r="AE228" s="1153"/>
      <c r="AF228" s="802" t="str">
        <f>_xlfn.DISPIMG("ID_13763677F97E482497561660B224C9F1",1)</f>
        <v>=DISPIMG("ID_13763677F97E482497561660B224C9F1",1)</v>
      </c>
      <c r="AG228" s="939"/>
      <c r="AH228" s="937"/>
      <c r="AI228" s="950"/>
      <c r="AJ228" s="937"/>
      <c r="AK228" s="950"/>
      <c r="AL228" s="1135">
        <v>260</v>
      </c>
      <c r="AM228" s="1135">
        <v>65</v>
      </c>
      <c r="AN228" s="1135"/>
      <c r="AO228" s="941">
        <v>750</v>
      </c>
      <c r="AP228" s="939" t="s">
        <v>254</v>
      </c>
      <c r="AQ228" s="1154" t="s">
        <v>677</v>
      </c>
      <c r="AR228" s="1120">
        <v>45667</v>
      </c>
      <c r="AS228" s="1154" t="s">
        <v>537</v>
      </c>
      <c r="AT228" s="1121">
        <v>45680</v>
      </c>
      <c r="AU228" s="1106" t="s">
        <v>553</v>
      </c>
      <c r="AV228" s="1106" t="s">
        <v>59</v>
      </c>
      <c r="AW228" s="1106" t="s">
        <v>540</v>
      </c>
      <c r="AX228" s="1122"/>
      <c r="AY228" s="1125"/>
      <c r="AZ228" s="897"/>
    </row>
    <row r="229" ht="118.75" customHeight="1" spans="1:52">
      <c r="A229" s="937">
        <v>26</v>
      </c>
      <c r="B229" s="937">
        <v>5807900000</v>
      </c>
      <c r="C229" s="937">
        <v>580790</v>
      </c>
      <c r="D229" s="939" t="s">
        <v>720</v>
      </c>
      <c r="E229" s="939" t="s">
        <v>727</v>
      </c>
      <c r="F229" s="939" t="s">
        <v>731</v>
      </c>
      <c r="G229" s="939"/>
      <c r="H229" s="939"/>
      <c r="I229" s="939" t="s">
        <v>123</v>
      </c>
      <c r="J229" s="940">
        <v>0.56</v>
      </c>
      <c r="K229" s="941">
        <v>750</v>
      </c>
      <c r="L229" s="939" t="s">
        <v>254</v>
      </c>
      <c r="M229" s="1129"/>
      <c r="N229" s="942"/>
      <c r="O229" s="941"/>
      <c r="P229" s="940">
        <v>187.5</v>
      </c>
      <c r="Q229" s="940">
        <v>105</v>
      </c>
      <c r="R229" s="1151"/>
      <c r="S229" s="936"/>
      <c r="T229" s="940">
        <v>1.57</v>
      </c>
      <c r="U229" s="936"/>
      <c r="V229" s="1135">
        <v>0.56</v>
      </c>
      <c r="W229" s="1152"/>
      <c r="X229" s="1152"/>
      <c r="Y229" s="1152"/>
      <c r="Z229" s="1091">
        <v>750</v>
      </c>
      <c r="AA229" s="936"/>
      <c r="AB229" s="936"/>
      <c r="AC229" s="936"/>
      <c r="AD229" s="948"/>
      <c r="AE229" s="1153"/>
      <c r="AF229" s="802" t="str">
        <f>_xlfn.DISPIMG("ID_58A6C778F09F4CF28FFD77012AF4563C",1)</f>
        <v>=DISPIMG("ID_58A6C778F09F4CF28FFD77012AF4563C",1)</v>
      </c>
      <c r="AG229" s="939"/>
      <c r="AH229" s="937"/>
      <c r="AI229" s="950"/>
      <c r="AJ229" s="937"/>
      <c r="AK229" s="950"/>
      <c r="AL229" s="1135">
        <v>191.25</v>
      </c>
      <c r="AM229" s="1135">
        <v>107.1</v>
      </c>
      <c r="AN229" s="1135"/>
      <c r="AO229" s="941">
        <v>750</v>
      </c>
      <c r="AP229" s="939" t="s">
        <v>254</v>
      </c>
      <c r="AQ229" s="1154" t="s">
        <v>677</v>
      </c>
      <c r="AR229" s="1120">
        <v>45667</v>
      </c>
      <c r="AS229" s="1154" t="s">
        <v>537</v>
      </c>
      <c r="AT229" s="1121">
        <v>45680</v>
      </c>
      <c r="AU229" s="1106" t="s">
        <v>553</v>
      </c>
      <c r="AV229" s="1106" t="s">
        <v>59</v>
      </c>
      <c r="AW229" s="1106" t="s">
        <v>540</v>
      </c>
      <c r="AX229" s="1122"/>
      <c r="AY229" s="1125"/>
      <c r="AZ229" s="897"/>
    </row>
    <row r="230" ht="118.75" customHeight="1" spans="1:52">
      <c r="A230" s="937">
        <v>27</v>
      </c>
      <c r="B230" s="937">
        <v>5807900000</v>
      </c>
      <c r="C230" s="937">
        <v>580790</v>
      </c>
      <c r="D230" s="939" t="s">
        <v>720</v>
      </c>
      <c r="E230" s="939" t="s">
        <v>729</v>
      </c>
      <c r="F230" s="939" t="s">
        <v>732</v>
      </c>
      <c r="G230" s="939"/>
      <c r="H230" s="939"/>
      <c r="I230" s="939" t="s">
        <v>123</v>
      </c>
      <c r="J230" s="940">
        <v>0.9</v>
      </c>
      <c r="K230" s="941">
        <v>750</v>
      </c>
      <c r="L230" s="939" t="s">
        <v>254</v>
      </c>
      <c r="M230" s="1129"/>
      <c r="N230" s="942"/>
      <c r="O230" s="941"/>
      <c r="P230" s="940">
        <v>190</v>
      </c>
      <c r="Q230" s="940">
        <v>171</v>
      </c>
      <c r="R230" s="1151"/>
      <c r="S230" s="936"/>
      <c r="T230" s="940">
        <v>2</v>
      </c>
      <c r="U230" s="936"/>
      <c r="V230" s="1135">
        <v>0.9</v>
      </c>
      <c r="W230" s="1152"/>
      <c r="X230" s="1152"/>
      <c r="Y230" s="1152"/>
      <c r="Z230" s="1091">
        <v>750</v>
      </c>
      <c r="AA230" s="936"/>
      <c r="AB230" s="936"/>
      <c r="AC230" s="936"/>
      <c r="AD230" s="948"/>
      <c r="AE230" s="1153"/>
      <c r="AF230" s="802" t="str">
        <f>_xlfn.DISPIMG("ID_090D38B749214D34934C3D55C99B9990",1)</f>
        <v>=DISPIMG("ID_090D38B749214D34934C3D55C99B9990",1)</v>
      </c>
      <c r="AG230" s="939"/>
      <c r="AH230" s="937"/>
      <c r="AI230" s="950"/>
      <c r="AJ230" s="937"/>
      <c r="AK230" s="950"/>
      <c r="AL230" s="1135">
        <v>193.8</v>
      </c>
      <c r="AM230" s="1135">
        <v>174.42</v>
      </c>
      <c r="AN230" s="1135"/>
      <c r="AO230" s="941">
        <v>750</v>
      </c>
      <c r="AP230" s="939" t="s">
        <v>254</v>
      </c>
      <c r="AQ230" s="1154" t="s">
        <v>677</v>
      </c>
      <c r="AR230" s="1120">
        <v>45667</v>
      </c>
      <c r="AS230" s="1154" t="s">
        <v>537</v>
      </c>
      <c r="AT230" s="1121">
        <v>45680</v>
      </c>
      <c r="AU230" s="1106" t="s">
        <v>553</v>
      </c>
      <c r="AV230" s="1106" t="s">
        <v>59</v>
      </c>
      <c r="AW230" s="1106" t="s">
        <v>540</v>
      </c>
      <c r="AX230" s="1122"/>
      <c r="AY230" s="1125"/>
      <c r="AZ230" s="897"/>
    </row>
    <row r="231" ht="118.75" customHeight="1" spans="1:52">
      <c r="A231" s="937">
        <v>28</v>
      </c>
      <c r="B231" s="937">
        <v>4821100000</v>
      </c>
      <c r="C231" s="937">
        <v>482110</v>
      </c>
      <c r="D231" s="939" t="s">
        <v>720</v>
      </c>
      <c r="E231" s="939" t="s">
        <v>733</v>
      </c>
      <c r="F231" s="939" t="s">
        <v>734</v>
      </c>
      <c r="G231" s="939"/>
      <c r="H231" s="939"/>
      <c r="I231" s="939" t="s">
        <v>123</v>
      </c>
      <c r="J231" s="940">
        <v>27.36</v>
      </c>
      <c r="K231" s="941">
        <v>1520</v>
      </c>
      <c r="L231" s="939" t="s">
        <v>254</v>
      </c>
      <c r="M231" s="1129" t="s">
        <v>735</v>
      </c>
      <c r="N231" s="942"/>
      <c r="O231" s="941"/>
      <c r="P231" s="940">
        <v>30</v>
      </c>
      <c r="Q231" s="940">
        <v>820.8</v>
      </c>
      <c r="R231" s="1151">
        <v>4919.65</v>
      </c>
      <c r="S231" s="936"/>
      <c r="T231" s="940">
        <v>36.38</v>
      </c>
      <c r="U231" s="936"/>
      <c r="V231" s="1135">
        <v>27.36</v>
      </c>
      <c r="W231" s="1152" t="s">
        <v>684</v>
      </c>
      <c r="X231" s="1152" t="s">
        <v>736</v>
      </c>
      <c r="Y231" s="938">
        <v>2</v>
      </c>
      <c r="Z231" s="1091">
        <v>750</v>
      </c>
      <c r="AA231" s="936"/>
      <c r="AB231" s="936"/>
      <c r="AC231" s="936"/>
      <c r="AD231" s="948">
        <v>1.68900032666178</v>
      </c>
      <c r="AE231" s="1156">
        <v>1.69</v>
      </c>
      <c r="AF231" s="802" t="str">
        <f>_xlfn.DISPIMG("ID_49DF9B0FE6D74277B82BB4BB85A7D3F1",1)</f>
        <v>=DISPIMG("ID_49DF9B0FE6D74277B82BB4BB85A7D3F1",1)</v>
      </c>
      <c r="AG231" s="939"/>
      <c r="AH231" s="937"/>
      <c r="AI231" s="950"/>
      <c r="AJ231" s="937"/>
      <c r="AK231" s="950"/>
      <c r="AL231" s="1135">
        <v>30.5</v>
      </c>
      <c r="AM231" s="1135">
        <v>834.48</v>
      </c>
      <c r="AN231" s="1135"/>
      <c r="AO231" s="941">
        <v>1520</v>
      </c>
      <c r="AP231" s="939" t="s">
        <v>254</v>
      </c>
      <c r="AQ231" s="1154" t="s">
        <v>677</v>
      </c>
      <c r="AR231" s="1120">
        <v>45667</v>
      </c>
      <c r="AS231" s="1154" t="s">
        <v>537</v>
      </c>
      <c r="AT231" s="1121">
        <v>45680</v>
      </c>
      <c r="AU231" s="1106" t="s">
        <v>553</v>
      </c>
      <c r="AV231" s="1106" t="s">
        <v>59</v>
      </c>
      <c r="AW231" s="1106" t="s">
        <v>540</v>
      </c>
      <c r="AX231" s="1122"/>
      <c r="AY231" s="1125"/>
      <c r="AZ231" s="897"/>
    </row>
    <row r="232" ht="118.75" customHeight="1" spans="1:52">
      <c r="A232" s="937">
        <v>29</v>
      </c>
      <c r="B232" s="937">
        <v>4821100000</v>
      </c>
      <c r="C232" s="937">
        <v>482110</v>
      </c>
      <c r="D232" s="939" t="s">
        <v>711</v>
      </c>
      <c r="E232" s="939" t="s">
        <v>737</v>
      </c>
      <c r="F232" s="939" t="s">
        <v>738</v>
      </c>
      <c r="G232" s="939"/>
      <c r="H232" s="939"/>
      <c r="I232" s="939" t="s">
        <v>123</v>
      </c>
      <c r="J232" s="940">
        <v>27.36</v>
      </c>
      <c r="K232" s="941">
        <v>1520</v>
      </c>
      <c r="L232" s="939" t="s">
        <v>254</v>
      </c>
      <c r="M232" s="1129"/>
      <c r="N232" s="942"/>
      <c r="O232" s="941"/>
      <c r="P232" s="940">
        <v>30</v>
      </c>
      <c r="Q232" s="940">
        <v>820.8</v>
      </c>
      <c r="R232" s="1151"/>
      <c r="S232" s="936"/>
      <c r="T232" s="940">
        <v>37.2</v>
      </c>
      <c r="U232" s="936"/>
      <c r="V232" s="1135">
        <v>27.36</v>
      </c>
      <c r="W232" s="1152"/>
      <c r="X232" s="1152" t="s">
        <v>739</v>
      </c>
      <c r="Y232" s="938">
        <v>2</v>
      </c>
      <c r="Z232" s="1091">
        <v>750</v>
      </c>
      <c r="AA232" s="936"/>
      <c r="AB232" s="936"/>
      <c r="AC232" s="936"/>
      <c r="AD232" s="948"/>
      <c r="AE232" s="1156"/>
      <c r="AF232" s="802" t="str">
        <f>_xlfn.DISPIMG("ID_C2B69209EBFD4965B3E3C711E2788A0E",1)</f>
        <v>=DISPIMG("ID_C2B69209EBFD4965B3E3C711E2788A0E",1)</v>
      </c>
      <c r="AG232" s="939"/>
      <c r="AH232" s="937"/>
      <c r="AI232" s="950"/>
      <c r="AJ232" s="937"/>
      <c r="AK232" s="950"/>
      <c r="AL232" s="1135">
        <v>30.5</v>
      </c>
      <c r="AM232" s="1135">
        <v>834.48</v>
      </c>
      <c r="AN232" s="1135"/>
      <c r="AO232" s="941">
        <v>1520</v>
      </c>
      <c r="AP232" s="939" t="s">
        <v>254</v>
      </c>
      <c r="AQ232" s="1154" t="s">
        <v>677</v>
      </c>
      <c r="AR232" s="1120">
        <v>45667</v>
      </c>
      <c r="AS232" s="1154" t="s">
        <v>537</v>
      </c>
      <c r="AT232" s="1121">
        <v>45680</v>
      </c>
      <c r="AU232" s="1106" t="s">
        <v>553</v>
      </c>
      <c r="AV232" s="1106" t="s">
        <v>59</v>
      </c>
      <c r="AW232" s="1106" t="s">
        <v>540</v>
      </c>
      <c r="AX232" s="1122"/>
      <c r="AY232" s="1125"/>
      <c r="AZ232" s="897"/>
    </row>
    <row r="233" ht="118.75" customHeight="1" spans="1:52">
      <c r="A233" s="937">
        <v>30</v>
      </c>
      <c r="B233" s="937">
        <v>4821100000</v>
      </c>
      <c r="C233" s="937">
        <v>482110</v>
      </c>
      <c r="D233" s="939" t="s">
        <v>702</v>
      </c>
      <c r="E233" s="939" t="s">
        <v>740</v>
      </c>
      <c r="F233" s="939" t="s">
        <v>741</v>
      </c>
      <c r="G233" s="939"/>
      <c r="H233" s="939"/>
      <c r="I233" s="939" t="s">
        <v>123</v>
      </c>
      <c r="J233" s="940">
        <v>27.36</v>
      </c>
      <c r="K233" s="941">
        <v>1520</v>
      </c>
      <c r="L233" s="939" t="s">
        <v>254</v>
      </c>
      <c r="M233" s="1129"/>
      <c r="N233" s="942"/>
      <c r="O233" s="941"/>
      <c r="P233" s="940">
        <v>30</v>
      </c>
      <c r="Q233" s="940">
        <v>820.8</v>
      </c>
      <c r="R233" s="1151"/>
      <c r="S233" s="936"/>
      <c r="T233" s="940">
        <v>36.56</v>
      </c>
      <c r="U233" s="936"/>
      <c r="V233" s="1135">
        <v>27.36</v>
      </c>
      <c r="W233" s="1152"/>
      <c r="X233" s="1152" t="s">
        <v>742</v>
      </c>
      <c r="Y233" s="938">
        <v>2</v>
      </c>
      <c r="Z233" s="1091">
        <v>750</v>
      </c>
      <c r="AA233" s="936"/>
      <c r="AB233" s="936"/>
      <c r="AC233" s="936"/>
      <c r="AD233" s="948"/>
      <c r="AE233" s="1156"/>
      <c r="AF233" s="802" t="str">
        <f>_xlfn.DISPIMG("ID_374A5C6286D849FC8C2A51E2BEE27B06",1)</f>
        <v>=DISPIMG("ID_374A5C6286D849FC8C2A51E2BEE27B06",1)</v>
      </c>
      <c r="AG233" s="939"/>
      <c r="AH233" s="937"/>
      <c r="AI233" s="950"/>
      <c r="AJ233" s="937"/>
      <c r="AK233" s="950"/>
      <c r="AL233" s="1135">
        <v>30.5</v>
      </c>
      <c r="AM233" s="1135">
        <v>834.48</v>
      </c>
      <c r="AN233" s="1135"/>
      <c r="AO233" s="941">
        <v>1520</v>
      </c>
      <c r="AP233" s="939" t="s">
        <v>254</v>
      </c>
      <c r="AQ233" s="1154" t="s">
        <v>677</v>
      </c>
      <c r="AR233" s="1120">
        <v>45667</v>
      </c>
      <c r="AS233" s="1154" t="s">
        <v>537</v>
      </c>
      <c r="AT233" s="1121">
        <v>45680</v>
      </c>
      <c r="AU233" s="1106" t="s">
        <v>553</v>
      </c>
      <c r="AV233" s="1106" t="s">
        <v>59</v>
      </c>
      <c r="AW233" s="1106" t="s">
        <v>540</v>
      </c>
      <c r="AX233" s="1122"/>
      <c r="AY233" s="1125"/>
      <c r="AZ233" s="897"/>
    </row>
    <row r="234" ht="118.75" customHeight="1" spans="1:52">
      <c r="A234" s="937">
        <v>31</v>
      </c>
      <c r="B234" s="937">
        <v>4821100000</v>
      </c>
      <c r="C234" s="937">
        <v>482110</v>
      </c>
      <c r="D234" s="939" t="s">
        <v>691</v>
      </c>
      <c r="E234" s="939" t="s">
        <v>743</v>
      </c>
      <c r="F234" s="939" t="s">
        <v>744</v>
      </c>
      <c r="G234" s="939"/>
      <c r="H234" s="939"/>
      <c r="I234" s="939" t="s">
        <v>123</v>
      </c>
      <c r="J234" s="940">
        <v>27.36</v>
      </c>
      <c r="K234" s="941">
        <v>1520</v>
      </c>
      <c r="L234" s="939" t="s">
        <v>254</v>
      </c>
      <c r="M234" s="1129"/>
      <c r="N234" s="942"/>
      <c r="O234" s="941"/>
      <c r="P234" s="940">
        <v>30</v>
      </c>
      <c r="Q234" s="940">
        <v>820.8</v>
      </c>
      <c r="R234" s="1151"/>
      <c r="S234" s="936"/>
      <c r="T234" s="940">
        <v>36.06</v>
      </c>
      <c r="U234" s="936"/>
      <c r="V234" s="1135">
        <v>27.36</v>
      </c>
      <c r="W234" s="1152"/>
      <c r="X234" s="1152" t="s">
        <v>745</v>
      </c>
      <c r="Y234" s="938">
        <v>2</v>
      </c>
      <c r="Z234" s="1091">
        <v>750</v>
      </c>
      <c r="AA234" s="936"/>
      <c r="AB234" s="936"/>
      <c r="AC234" s="936"/>
      <c r="AD234" s="948"/>
      <c r="AE234" s="1156"/>
      <c r="AF234" s="802" t="str">
        <f>_xlfn.DISPIMG("ID_2C940B6C712846EE9D9722399D75F3E3",1)</f>
        <v>=DISPIMG("ID_2C940B6C712846EE9D9722399D75F3E3",1)</v>
      </c>
      <c r="AG234" s="939"/>
      <c r="AH234" s="937"/>
      <c r="AI234" s="950"/>
      <c r="AJ234" s="937"/>
      <c r="AK234" s="950"/>
      <c r="AL234" s="1135">
        <v>30.5</v>
      </c>
      <c r="AM234" s="1135">
        <v>834.48</v>
      </c>
      <c r="AN234" s="1135"/>
      <c r="AO234" s="941">
        <v>1520</v>
      </c>
      <c r="AP234" s="939" t="s">
        <v>254</v>
      </c>
      <c r="AQ234" s="1154" t="s">
        <v>677</v>
      </c>
      <c r="AR234" s="1120">
        <v>45667</v>
      </c>
      <c r="AS234" s="1154" t="s">
        <v>537</v>
      </c>
      <c r="AT234" s="1121">
        <v>45680</v>
      </c>
      <c r="AU234" s="1106" t="s">
        <v>553</v>
      </c>
      <c r="AV234" s="1106" t="s">
        <v>59</v>
      </c>
      <c r="AW234" s="1106" t="s">
        <v>540</v>
      </c>
      <c r="AX234" s="1122"/>
      <c r="AY234" s="1125"/>
      <c r="AZ234" s="897"/>
    </row>
    <row r="235" ht="118.75" customHeight="1" spans="1:52">
      <c r="A235" s="937">
        <v>32</v>
      </c>
      <c r="B235" s="937">
        <v>4821100000</v>
      </c>
      <c r="C235" s="937">
        <v>482110</v>
      </c>
      <c r="D235" s="939" t="s">
        <v>746</v>
      </c>
      <c r="E235" s="939" t="s">
        <v>747</v>
      </c>
      <c r="F235" s="939" t="s">
        <v>748</v>
      </c>
      <c r="G235" s="939"/>
      <c r="H235" s="939"/>
      <c r="I235" s="939" t="s">
        <v>123</v>
      </c>
      <c r="J235" s="940">
        <v>57.5</v>
      </c>
      <c r="K235" s="941">
        <v>3030</v>
      </c>
      <c r="L235" s="939" t="s">
        <v>254</v>
      </c>
      <c r="M235" s="1129"/>
      <c r="N235" s="942"/>
      <c r="O235" s="941"/>
      <c r="P235" s="940">
        <v>28.46</v>
      </c>
      <c r="Q235" s="940">
        <v>1636.45</v>
      </c>
      <c r="R235" s="1151"/>
      <c r="S235" s="936"/>
      <c r="T235" s="940">
        <v>69.52</v>
      </c>
      <c r="U235" s="936"/>
      <c r="V235" s="1135">
        <v>57.5</v>
      </c>
      <c r="W235" s="1152"/>
      <c r="X235" s="1152" t="s">
        <v>749</v>
      </c>
      <c r="Y235" s="938">
        <v>3</v>
      </c>
      <c r="Z235" s="1091">
        <v>1009</v>
      </c>
      <c r="AA235" s="936"/>
      <c r="AB235" s="936"/>
      <c r="AC235" s="936"/>
      <c r="AD235" s="948"/>
      <c r="AE235" s="1156"/>
      <c r="AF235" s="802" t="str">
        <f>_xlfn.DISPIMG("ID_E183934F328D42C4BBA4184D273E5187",1)</f>
        <v>=DISPIMG("ID_E183934F328D42C4BBA4184D273E5187",1)</v>
      </c>
      <c r="AG235" s="939"/>
      <c r="AH235" s="937"/>
      <c r="AI235" s="950"/>
      <c r="AJ235" s="937"/>
      <c r="AK235" s="950"/>
      <c r="AL235" s="1135">
        <v>29</v>
      </c>
      <c r="AM235" s="1135">
        <v>1667.5</v>
      </c>
      <c r="AN235" s="1135"/>
      <c r="AO235" s="941">
        <v>3030</v>
      </c>
      <c r="AP235" s="939" t="s">
        <v>254</v>
      </c>
      <c r="AQ235" s="1154" t="s">
        <v>677</v>
      </c>
      <c r="AR235" s="1120">
        <v>45667</v>
      </c>
      <c r="AS235" s="1154" t="s">
        <v>537</v>
      </c>
      <c r="AT235" s="1121">
        <v>45680</v>
      </c>
      <c r="AU235" s="1106" t="s">
        <v>553</v>
      </c>
      <c r="AV235" s="1106" t="s">
        <v>59</v>
      </c>
      <c r="AW235" s="1106" t="s">
        <v>540</v>
      </c>
      <c r="AX235" s="1122"/>
      <c r="AY235" s="1125"/>
      <c r="AZ235" s="897"/>
    </row>
    <row r="236" ht="118.75" customHeight="1" spans="1:52">
      <c r="A236" s="937">
        <v>33</v>
      </c>
      <c r="B236" s="937">
        <v>4821100000</v>
      </c>
      <c r="C236" s="937">
        <v>481910</v>
      </c>
      <c r="D236" s="939" t="s">
        <v>750</v>
      </c>
      <c r="E236" s="939" t="s">
        <v>751</v>
      </c>
      <c r="F236" s="939" t="s">
        <v>752</v>
      </c>
      <c r="G236" s="939"/>
      <c r="H236" s="939"/>
      <c r="I236" s="939" t="s">
        <v>123</v>
      </c>
      <c r="J236" s="940">
        <v>15.6</v>
      </c>
      <c r="K236" s="941">
        <v>6000</v>
      </c>
      <c r="L236" s="939" t="s">
        <v>254</v>
      </c>
      <c r="M236" s="1133" t="s">
        <v>753</v>
      </c>
      <c r="N236" s="942"/>
      <c r="O236" s="941"/>
      <c r="P236" s="940">
        <v>29.25</v>
      </c>
      <c r="Q236" s="940">
        <v>456.3</v>
      </c>
      <c r="R236" s="1135">
        <v>1026.3</v>
      </c>
      <c r="S236" s="936"/>
      <c r="T236" s="940">
        <v>22.14</v>
      </c>
      <c r="U236" s="936"/>
      <c r="V236" s="1135">
        <v>15.6</v>
      </c>
      <c r="W236" s="1152"/>
      <c r="X236" s="1152">
        <v>308</v>
      </c>
      <c r="Y236" s="938">
        <v>1</v>
      </c>
      <c r="Z236" s="1091">
        <v>6000</v>
      </c>
      <c r="AA236" s="936"/>
      <c r="AB236" s="936"/>
      <c r="AC236" s="936"/>
      <c r="AD236" s="948"/>
      <c r="AE236" s="1156"/>
      <c r="AF236" s="802" t="str">
        <f>_xlfn.DISPIMG("ID_4CB492BC88BF46A598DA52DDB61ECECE",1)</f>
        <v>=DISPIMG("ID_4CB492BC88BF46A598DA52DDB61ECECE",1)</v>
      </c>
      <c r="AG236" s="939"/>
      <c r="AH236" s="937"/>
      <c r="AI236" s="950"/>
      <c r="AJ236" s="937"/>
      <c r="AK236" s="950"/>
      <c r="AL236" s="1135">
        <v>298.75</v>
      </c>
      <c r="AM236" s="1135">
        <v>4660.5</v>
      </c>
      <c r="AN236" s="1135"/>
      <c r="AO236" s="941">
        <v>6000</v>
      </c>
      <c r="AP236" s="939" t="s">
        <v>254</v>
      </c>
      <c r="AQ236" s="1154" t="s">
        <v>677</v>
      </c>
      <c r="AR236" s="1120">
        <v>45667</v>
      </c>
      <c r="AS236" s="1154" t="s">
        <v>537</v>
      </c>
      <c r="AT236" s="1121">
        <v>45680</v>
      </c>
      <c r="AU236" s="1106" t="s">
        <v>553</v>
      </c>
      <c r="AV236" s="1106" t="s">
        <v>59</v>
      </c>
      <c r="AW236" s="1106" t="s">
        <v>540</v>
      </c>
      <c r="AX236" s="1122"/>
      <c r="AY236" s="1125"/>
      <c r="AZ236" s="897"/>
    </row>
    <row r="237" ht="118.75" customHeight="1" spans="1:52">
      <c r="A237" s="937">
        <v>34</v>
      </c>
      <c r="B237" s="937">
        <v>4911101000</v>
      </c>
      <c r="C237" s="937">
        <v>481910</v>
      </c>
      <c r="D237" s="939" t="s">
        <v>750</v>
      </c>
      <c r="E237" s="939" t="s">
        <v>754</v>
      </c>
      <c r="F237" s="939" t="s">
        <v>755</v>
      </c>
      <c r="G237" s="939"/>
      <c r="H237" s="939"/>
      <c r="I237" s="939" t="s">
        <v>123</v>
      </c>
      <c r="J237" s="940">
        <v>30</v>
      </c>
      <c r="K237" s="941">
        <v>6000</v>
      </c>
      <c r="L237" s="939" t="s">
        <v>254</v>
      </c>
      <c r="M237" s="1133"/>
      <c r="N237" s="942"/>
      <c r="O237" s="941"/>
      <c r="P237" s="940">
        <v>19</v>
      </c>
      <c r="Q237" s="940">
        <v>570</v>
      </c>
      <c r="R237" s="1135"/>
      <c r="S237" s="936"/>
      <c r="T237" s="940">
        <v>36</v>
      </c>
      <c r="U237" s="936"/>
      <c r="V237" s="1135">
        <v>30</v>
      </c>
      <c r="W237" s="1152"/>
      <c r="X237" s="1152">
        <v>307</v>
      </c>
      <c r="Y237" s="938">
        <v>4</v>
      </c>
      <c r="Z237" s="1091">
        <v>1500</v>
      </c>
      <c r="AA237" s="936"/>
      <c r="AB237" s="936"/>
      <c r="AC237" s="936"/>
      <c r="AD237" s="948"/>
      <c r="AE237" s="1156"/>
      <c r="AF237" s="802" t="str">
        <f>_xlfn.DISPIMG("ID_77D7BE6530F44F25A464A6FB5A23B567",1)</f>
        <v>=DISPIMG("ID_77D7BE6530F44F25A464A6FB5A23B567",1)</v>
      </c>
      <c r="AG237" s="939"/>
      <c r="AH237" s="937"/>
      <c r="AI237" s="950"/>
      <c r="AJ237" s="937"/>
      <c r="AK237" s="950"/>
      <c r="AL237" s="1135">
        <v>19.38</v>
      </c>
      <c r="AM237" s="1135">
        <v>581.4</v>
      </c>
      <c r="AN237" s="1135"/>
      <c r="AO237" s="941">
        <v>6000</v>
      </c>
      <c r="AP237" s="939" t="s">
        <v>254</v>
      </c>
      <c r="AQ237" s="1154" t="s">
        <v>677</v>
      </c>
      <c r="AR237" s="1120">
        <v>45667</v>
      </c>
      <c r="AS237" s="1154" t="s">
        <v>537</v>
      </c>
      <c r="AT237" s="1121">
        <v>45680</v>
      </c>
      <c r="AU237" s="1106" t="s">
        <v>553</v>
      </c>
      <c r="AV237" s="1106" t="s">
        <v>59</v>
      </c>
      <c r="AW237" s="1106" t="s">
        <v>540</v>
      </c>
      <c r="AX237" s="1122"/>
      <c r="AY237" s="1137"/>
      <c r="AZ237" s="901"/>
    </row>
    <row r="238" ht="118.75" customHeight="1" spans="1:52">
      <c r="A238" s="777"/>
      <c r="B238" s="777"/>
      <c r="C238" s="777"/>
      <c r="D238" s="874"/>
      <c r="E238" s="874"/>
      <c r="F238" s="874"/>
      <c r="G238" s="874"/>
      <c r="H238" s="874"/>
      <c r="I238" s="874"/>
      <c r="J238" s="813">
        <v>270.68</v>
      </c>
      <c r="K238" s="1157"/>
      <c r="L238" s="874"/>
      <c r="M238" s="1158"/>
      <c r="N238" s="1159"/>
      <c r="O238" s="1157"/>
      <c r="P238" s="870"/>
      <c r="Q238" s="814">
        <v>11553.37</v>
      </c>
      <c r="R238" s="1160">
        <v>11553.37</v>
      </c>
      <c r="T238" s="814">
        <v>369.72</v>
      </c>
      <c r="V238" s="1160">
        <v>270.68</v>
      </c>
      <c r="W238" s="1161"/>
      <c r="X238" s="1162"/>
      <c r="Y238" s="1160">
        <v>19</v>
      </c>
      <c r="Z238" s="1163"/>
      <c r="AD238" s="1164"/>
      <c r="AE238" s="1160">
        <v>4.68</v>
      </c>
      <c r="AF238" s="777"/>
      <c r="AG238" s="874"/>
      <c r="AH238" s="1165"/>
      <c r="AI238" s="1166"/>
      <c r="AJ238" s="1165"/>
      <c r="AK238" s="1166"/>
      <c r="AL238" s="1167"/>
      <c r="AM238" s="813">
        <v>15970.06</v>
      </c>
      <c r="AN238" s="813">
        <v>15970.06</v>
      </c>
      <c r="AO238" s="1157"/>
      <c r="AP238" s="874"/>
      <c r="AQ238" s="1113"/>
      <c r="AR238" s="807"/>
      <c r="AS238" s="1168"/>
      <c r="AT238" s="887"/>
      <c r="AU238" s="807"/>
      <c r="AV238" s="807"/>
      <c r="AW238" s="878"/>
      <c r="AX238" s="820"/>
      <c r="AY238" s="820"/>
      <c r="AZ238" s="1169"/>
    </row>
    <row r="239" ht="118.75" customHeight="1" spans="1:52">
      <c r="A239" s="937">
        <v>35</v>
      </c>
      <c r="B239" s="938">
        <v>5806320000</v>
      </c>
      <c r="C239" s="938">
        <v>580632</v>
      </c>
      <c r="D239" s="940" t="s">
        <v>720</v>
      </c>
      <c r="E239" s="940" t="s">
        <v>756</v>
      </c>
      <c r="F239" s="940" t="s">
        <v>757</v>
      </c>
      <c r="G239" s="940"/>
      <c r="H239" s="940"/>
      <c r="I239" s="940" t="s">
        <v>123</v>
      </c>
      <c r="J239" s="940">
        <v>54</v>
      </c>
      <c r="K239" s="1143">
        <v>1500</v>
      </c>
      <c r="L239" s="1143" t="s">
        <v>254</v>
      </c>
      <c r="M239" s="937" t="s">
        <v>758</v>
      </c>
      <c r="N239" s="1144"/>
      <c r="O239" s="1145"/>
      <c r="P239" s="940">
        <v>62.78</v>
      </c>
      <c r="Q239" s="1108">
        <v>3390.12</v>
      </c>
      <c r="R239" s="945">
        <v>97217.15</v>
      </c>
      <c r="S239" s="936"/>
      <c r="T239" s="1108">
        <v>68.62</v>
      </c>
      <c r="U239" s="936"/>
      <c r="V239" s="945">
        <v>54</v>
      </c>
      <c r="W239" s="1152" t="s">
        <v>695</v>
      </c>
      <c r="X239" s="1152" t="s">
        <v>759</v>
      </c>
      <c r="Y239" s="938">
        <v>2</v>
      </c>
      <c r="Z239" s="1091">
        <v>800</v>
      </c>
      <c r="AA239" s="936"/>
      <c r="AB239" s="936"/>
      <c r="AC239" s="936"/>
      <c r="AD239" s="948">
        <v>2.98823134717084</v>
      </c>
      <c r="AE239" s="1170"/>
      <c r="AF239" s="802" t="str">
        <f>_xlfn.DISPIMG("ID_33E0417AE60D40D49D41751A7CE08978",1)</f>
        <v>=DISPIMG("ID_33E0417AE60D40D49D41751A7CE08978",1)</v>
      </c>
      <c r="AG239" s="1106"/>
      <c r="AH239" s="938" t="s">
        <v>760</v>
      </c>
      <c r="AI239" s="1098">
        <v>45631</v>
      </c>
      <c r="AJ239" s="938" t="s">
        <v>761</v>
      </c>
      <c r="AK239" s="1098">
        <v>45631</v>
      </c>
      <c r="AL239" s="945">
        <v>62.78</v>
      </c>
      <c r="AM239" s="945">
        <v>3390.12</v>
      </c>
      <c r="AN239" s="945">
        <v>40220.33</v>
      </c>
      <c r="AO239" s="1143">
        <v>1500</v>
      </c>
      <c r="AP239" s="1143" t="s">
        <v>254</v>
      </c>
      <c r="AQ239" s="1154" t="s">
        <v>677</v>
      </c>
      <c r="AR239" s="1120">
        <v>45667</v>
      </c>
      <c r="AS239" s="1154" t="s">
        <v>537</v>
      </c>
      <c r="AT239" s="1121">
        <v>45680</v>
      </c>
      <c r="AU239" s="1106" t="s">
        <v>553</v>
      </c>
      <c r="AV239" s="1106" t="s">
        <v>59</v>
      </c>
      <c r="AW239" s="1106" t="s">
        <v>540</v>
      </c>
      <c r="AX239" s="894">
        <v>16188</v>
      </c>
      <c r="AY239" s="857"/>
      <c r="AZ239" s="894">
        <v>96999.21</v>
      </c>
    </row>
    <row r="240" ht="118.75" customHeight="1" spans="1:52">
      <c r="A240" s="937">
        <v>36</v>
      </c>
      <c r="B240" s="938">
        <v>5806320000</v>
      </c>
      <c r="C240" s="938">
        <v>580632</v>
      </c>
      <c r="D240" s="940" t="s">
        <v>720</v>
      </c>
      <c r="E240" s="940" t="s">
        <v>762</v>
      </c>
      <c r="F240" s="940" t="s">
        <v>763</v>
      </c>
      <c r="G240" s="940"/>
      <c r="H240" s="940"/>
      <c r="I240" s="940" t="s">
        <v>123</v>
      </c>
      <c r="J240" s="940">
        <v>42</v>
      </c>
      <c r="K240" s="1143">
        <v>1500</v>
      </c>
      <c r="L240" s="1143" t="s">
        <v>254</v>
      </c>
      <c r="M240" s="937"/>
      <c r="N240" s="1144"/>
      <c r="O240" s="1145"/>
      <c r="P240" s="940">
        <v>59.64</v>
      </c>
      <c r="Q240" s="1108">
        <v>2504.88</v>
      </c>
      <c r="R240" s="945"/>
      <c r="S240" s="936"/>
      <c r="T240" s="1108">
        <v>51</v>
      </c>
      <c r="U240" s="936"/>
      <c r="V240" s="945">
        <v>42</v>
      </c>
      <c r="W240" s="1152"/>
      <c r="X240" s="1152">
        <v>218</v>
      </c>
      <c r="Y240" s="938">
        <v>1</v>
      </c>
      <c r="Z240" s="1091">
        <v>1533</v>
      </c>
      <c r="AA240" s="936"/>
      <c r="AB240" s="936"/>
      <c r="AC240" s="936"/>
      <c r="AD240" s="948"/>
      <c r="AE240" s="1170"/>
      <c r="AF240" s="802" t="str">
        <f>_xlfn.DISPIMG("ID_7E10E7B1285243818A9194E3153E566F",1)</f>
        <v>=DISPIMG("ID_7E10E7B1285243818A9194E3153E566F",1)</v>
      </c>
      <c r="AG240" s="1106"/>
      <c r="AH240" s="938"/>
      <c r="AI240" s="1098"/>
      <c r="AJ240" s="938"/>
      <c r="AK240" s="1098"/>
      <c r="AL240" s="945">
        <v>59.64</v>
      </c>
      <c r="AM240" s="945">
        <v>2504.88</v>
      </c>
      <c r="AN240" s="945"/>
      <c r="AO240" s="1143">
        <v>1500</v>
      </c>
      <c r="AP240" s="1143" t="s">
        <v>254</v>
      </c>
      <c r="AQ240" s="1154" t="s">
        <v>677</v>
      </c>
      <c r="AR240" s="1120">
        <v>45667</v>
      </c>
      <c r="AS240" s="1154" t="s">
        <v>537</v>
      </c>
      <c r="AT240" s="1121">
        <v>45680</v>
      </c>
      <c r="AU240" s="1106" t="s">
        <v>553</v>
      </c>
      <c r="AV240" s="1106" t="s">
        <v>59</v>
      </c>
      <c r="AW240" s="1106" t="s">
        <v>540</v>
      </c>
      <c r="AX240" s="897"/>
      <c r="AY240" s="860"/>
      <c r="AZ240" s="897"/>
    </row>
    <row r="241" ht="118.75" customHeight="1" spans="1:52">
      <c r="A241" s="937">
        <v>37</v>
      </c>
      <c r="B241" s="938">
        <v>5806320000</v>
      </c>
      <c r="C241" s="938">
        <v>580632</v>
      </c>
      <c r="D241" s="940" t="s">
        <v>720</v>
      </c>
      <c r="E241" s="940" t="s">
        <v>764</v>
      </c>
      <c r="F241" s="940" t="s">
        <v>765</v>
      </c>
      <c r="G241" s="940"/>
      <c r="H241" s="940"/>
      <c r="I241" s="940" t="s">
        <v>123</v>
      </c>
      <c r="J241" s="940">
        <v>58.5</v>
      </c>
      <c r="K241" s="1143">
        <v>1500</v>
      </c>
      <c r="L241" s="1143" t="s">
        <v>254</v>
      </c>
      <c r="M241" s="937"/>
      <c r="N241" s="1144"/>
      <c r="O241" s="1145"/>
      <c r="P241" s="940">
        <v>26.4</v>
      </c>
      <c r="Q241" s="1108">
        <v>1544.4</v>
      </c>
      <c r="R241" s="945"/>
      <c r="S241" s="936"/>
      <c r="T241" s="1108">
        <v>85.5</v>
      </c>
      <c r="U241" s="936"/>
      <c r="V241" s="945">
        <v>58.5</v>
      </c>
      <c r="W241" s="1152"/>
      <c r="X241" s="1152" t="s">
        <v>766</v>
      </c>
      <c r="Y241" s="938">
        <v>9</v>
      </c>
      <c r="Z241" s="1091">
        <v>250</v>
      </c>
      <c r="AA241" s="936"/>
      <c r="AB241" s="936"/>
      <c r="AC241" s="936"/>
      <c r="AD241" s="948"/>
      <c r="AE241" s="1170"/>
      <c r="AF241" s="802" t="str">
        <f>_xlfn.DISPIMG("ID_AE1F4B8007DB4945A8C3CF93ED207D90",1)</f>
        <v>=DISPIMG("ID_AE1F4B8007DB4945A8C3CF93ED207D90",1)</v>
      </c>
      <c r="AG241" s="1106"/>
      <c r="AH241" s="938"/>
      <c r="AI241" s="1098"/>
      <c r="AJ241" s="938"/>
      <c r="AK241" s="1098"/>
      <c r="AL241" s="945">
        <v>26.4</v>
      </c>
      <c r="AM241" s="945">
        <v>1544.4</v>
      </c>
      <c r="AN241" s="945"/>
      <c r="AO241" s="1143">
        <v>1500</v>
      </c>
      <c r="AP241" s="1143" t="s">
        <v>254</v>
      </c>
      <c r="AQ241" s="1154" t="s">
        <v>677</v>
      </c>
      <c r="AR241" s="1120">
        <v>45667</v>
      </c>
      <c r="AS241" s="1154" t="s">
        <v>537</v>
      </c>
      <c r="AT241" s="1121">
        <v>45680</v>
      </c>
      <c r="AU241" s="1106" t="s">
        <v>553</v>
      </c>
      <c r="AV241" s="1106" t="s">
        <v>59</v>
      </c>
      <c r="AW241" s="1106" t="s">
        <v>540</v>
      </c>
      <c r="AX241" s="897"/>
      <c r="AY241" s="860"/>
      <c r="AZ241" s="897"/>
    </row>
    <row r="242" ht="118.75" customHeight="1" spans="1:52">
      <c r="A242" s="937">
        <v>38</v>
      </c>
      <c r="B242" s="938">
        <v>5806320000</v>
      </c>
      <c r="C242" s="938">
        <v>580632</v>
      </c>
      <c r="D242" s="940" t="s">
        <v>720</v>
      </c>
      <c r="E242" s="940" t="s">
        <v>767</v>
      </c>
      <c r="F242" s="940" t="s">
        <v>768</v>
      </c>
      <c r="G242" s="940"/>
      <c r="H242" s="940"/>
      <c r="I242" s="940" t="s">
        <v>123</v>
      </c>
      <c r="J242" s="940">
        <v>58.5</v>
      </c>
      <c r="K242" s="1143">
        <v>1500</v>
      </c>
      <c r="L242" s="1143" t="s">
        <v>254</v>
      </c>
      <c r="M242" s="937"/>
      <c r="N242" s="1144"/>
      <c r="O242" s="1145"/>
      <c r="P242" s="940">
        <v>24.62</v>
      </c>
      <c r="Q242" s="1108">
        <v>1440.27</v>
      </c>
      <c r="R242" s="945"/>
      <c r="S242" s="936"/>
      <c r="T242" s="1108">
        <v>81.08</v>
      </c>
      <c r="U242" s="936"/>
      <c r="V242" s="945">
        <v>58.5</v>
      </c>
      <c r="W242" s="1152" t="s">
        <v>769</v>
      </c>
      <c r="X242" s="1152" t="s">
        <v>770</v>
      </c>
      <c r="Y242" s="938">
        <v>12</v>
      </c>
      <c r="Z242" s="1091">
        <v>150</v>
      </c>
      <c r="AA242" s="936"/>
      <c r="AB242" s="936"/>
      <c r="AC242" s="936"/>
      <c r="AD242" s="948">
        <v>2.46853893896722</v>
      </c>
      <c r="AE242" s="1170">
        <v>2.47</v>
      </c>
      <c r="AF242" s="802" t="str">
        <f>_xlfn.DISPIMG("ID_86BD1D5A72A14D23BE9ED95573A8298B",1)</f>
        <v>=DISPIMG("ID_86BD1D5A72A14D23BE9ED95573A8298B",1)</v>
      </c>
      <c r="AG242" s="1106"/>
      <c r="AH242" s="938"/>
      <c r="AI242" s="1098"/>
      <c r="AJ242" s="938"/>
      <c r="AK242" s="1098"/>
      <c r="AL242" s="945">
        <v>24.62</v>
      </c>
      <c r="AM242" s="945">
        <v>1440.27</v>
      </c>
      <c r="AN242" s="945"/>
      <c r="AO242" s="1143">
        <v>1500</v>
      </c>
      <c r="AP242" s="1143" t="s">
        <v>254</v>
      </c>
      <c r="AQ242" s="1154" t="s">
        <v>677</v>
      </c>
      <c r="AR242" s="1120">
        <v>45667</v>
      </c>
      <c r="AS242" s="1154" t="s">
        <v>537</v>
      </c>
      <c r="AT242" s="1121">
        <v>45680</v>
      </c>
      <c r="AU242" s="1106" t="s">
        <v>553</v>
      </c>
      <c r="AV242" s="1106" t="s">
        <v>59</v>
      </c>
      <c r="AW242" s="1106" t="s">
        <v>540</v>
      </c>
      <c r="AX242" s="897"/>
      <c r="AY242" s="860"/>
      <c r="AZ242" s="897"/>
    </row>
    <row r="243" ht="118.75" customHeight="1" spans="1:52">
      <c r="A243" s="937">
        <v>39</v>
      </c>
      <c r="B243" s="938">
        <v>5806320000</v>
      </c>
      <c r="C243" s="938">
        <v>580632</v>
      </c>
      <c r="D243" s="940" t="s">
        <v>720</v>
      </c>
      <c r="E243" s="940" t="s">
        <v>771</v>
      </c>
      <c r="F243" s="940" t="s">
        <v>772</v>
      </c>
      <c r="G243" s="940"/>
      <c r="H243" s="940"/>
      <c r="I243" s="940" t="s">
        <v>123</v>
      </c>
      <c r="J243" s="940">
        <v>126</v>
      </c>
      <c r="K243" s="1143">
        <v>4500</v>
      </c>
      <c r="L243" s="1143" t="s">
        <v>254</v>
      </c>
      <c r="M243" s="937"/>
      <c r="N243" s="1144"/>
      <c r="O243" s="1145"/>
      <c r="P243" s="940">
        <v>56.25</v>
      </c>
      <c r="Q243" s="1108">
        <v>7087.5</v>
      </c>
      <c r="R243" s="945"/>
      <c r="S243" s="936"/>
      <c r="T243" s="1108">
        <v>154.76</v>
      </c>
      <c r="U243" s="936"/>
      <c r="V243" s="945">
        <v>126</v>
      </c>
      <c r="W243" s="1152" t="s">
        <v>773</v>
      </c>
      <c r="X243" s="1152" t="s">
        <v>774</v>
      </c>
      <c r="Y243" s="938">
        <v>23</v>
      </c>
      <c r="Z243" s="1091">
        <v>250</v>
      </c>
      <c r="AA243" s="936"/>
      <c r="AB243" s="936"/>
      <c r="AC243" s="936"/>
      <c r="AD243" s="948">
        <v>2.46853893896722</v>
      </c>
      <c r="AE243" s="1170">
        <v>2.47</v>
      </c>
      <c r="AF243" s="802" t="str">
        <f>_xlfn.DISPIMG("ID_CDD3DD15342E4B568C3FA9E7B3D43EB1",1)</f>
        <v>=DISPIMG("ID_CDD3DD15342E4B568C3FA9E7B3D43EB1",1)</v>
      </c>
      <c r="AG243" s="1106"/>
      <c r="AH243" s="938"/>
      <c r="AI243" s="1098"/>
      <c r="AJ243" s="938"/>
      <c r="AK243" s="1098"/>
      <c r="AL243" s="945">
        <v>56.25</v>
      </c>
      <c r="AM243" s="945">
        <v>7087.5</v>
      </c>
      <c r="AN243" s="945"/>
      <c r="AO243" s="1143">
        <v>4500</v>
      </c>
      <c r="AP243" s="1143" t="s">
        <v>254</v>
      </c>
      <c r="AQ243" s="1154" t="s">
        <v>677</v>
      </c>
      <c r="AR243" s="1120">
        <v>45667</v>
      </c>
      <c r="AS243" s="1154" t="s">
        <v>537</v>
      </c>
      <c r="AT243" s="1121">
        <v>45680</v>
      </c>
      <c r="AU243" s="1106" t="s">
        <v>553</v>
      </c>
      <c r="AV243" s="1106" t="s">
        <v>59</v>
      </c>
      <c r="AW243" s="1106" t="s">
        <v>540</v>
      </c>
      <c r="AX243" s="897"/>
      <c r="AY243" s="860"/>
      <c r="AZ243" s="897"/>
    </row>
    <row r="244" ht="118.75" customHeight="1" spans="1:52">
      <c r="A244" s="937">
        <v>40</v>
      </c>
      <c r="B244" s="938">
        <v>5806320000</v>
      </c>
      <c r="C244" s="938">
        <v>580632</v>
      </c>
      <c r="D244" s="940" t="s">
        <v>720</v>
      </c>
      <c r="E244" s="940" t="s">
        <v>775</v>
      </c>
      <c r="F244" s="940" t="s">
        <v>776</v>
      </c>
      <c r="G244" s="940"/>
      <c r="H244" s="940"/>
      <c r="I244" s="940" t="s">
        <v>123</v>
      </c>
      <c r="J244" s="940">
        <v>39</v>
      </c>
      <c r="K244" s="1143">
        <v>1500</v>
      </c>
      <c r="L244" s="1143" t="s">
        <v>254</v>
      </c>
      <c r="M244" s="937"/>
      <c r="N244" s="1144"/>
      <c r="O244" s="1145"/>
      <c r="P244" s="940">
        <v>33.46</v>
      </c>
      <c r="Q244" s="1108">
        <v>1304.94</v>
      </c>
      <c r="R244" s="945"/>
      <c r="S244" s="936"/>
      <c r="T244" s="1108">
        <v>54.48</v>
      </c>
      <c r="U244" s="936"/>
      <c r="V244" s="945">
        <v>39</v>
      </c>
      <c r="W244" s="1152" t="s">
        <v>769</v>
      </c>
      <c r="X244" s="1152" t="s">
        <v>777</v>
      </c>
      <c r="Y244" s="938">
        <v>8</v>
      </c>
      <c r="Z244" s="1091">
        <v>250</v>
      </c>
      <c r="AA244" s="936"/>
      <c r="AB244" s="936"/>
      <c r="AC244" s="936"/>
      <c r="AD244" s="948">
        <v>2.46853893896722</v>
      </c>
      <c r="AE244" s="1170"/>
      <c r="AF244" s="802" t="str">
        <f>_xlfn.DISPIMG("ID_D5D1E62E315B4A91A53BF94C60C07AB1",1)</f>
        <v>=DISPIMG("ID_D5D1E62E315B4A91A53BF94C60C07AB1",1)</v>
      </c>
      <c r="AG244" s="1106"/>
      <c r="AH244" s="938"/>
      <c r="AI244" s="1098"/>
      <c r="AJ244" s="938"/>
      <c r="AK244" s="1098"/>
      <c r="AL244" s="945">
        <v>33.46</v>
      </c>
      <c r="AM244" s="945">
        <v>1304.94</v>
      </c>
      <c r="AN244" s="945"/>
      <c r="AO244" s="1143">
        <v>1500</v>
      </c>
      <c r="AP244" s="1143" t="s">
        <v>254</v>
      </c>
      <c r="AQ244" s="1154" t="s">
        <v>677</v>
      </c>
      <c r="AR244" s="1120">
        <v>45667</v>
      </c>
      <c r="AS244" s="1154" t="s">
        <v>537</v>
      </c>
      <c r="AT244" s="1121">
        <v>45680</v>
      </c>
      <c r="AU244" s="1106" t="s">
        <v>553</v>
      </c>
      <c r="AV244" s="1106" t="s">
        <v>59</v>
      </c>
      <c r="AW244" s="1106" t="s">
        <v>540</v>
      </c>
      <c r="AX244" s="897"/>
      <c r="AY244" s="860"/>
      <c r="AZ244" s="897"/>
    </row>
    <row r="245" ht="118.75" customHeight="1" spans="1:52">
      <c r="A245" s="937">
        <v>41</v>
      </c>
      <c r="B245" s="938">
        <v>5806320000</v>
      </c>
      <c r="C245" s="938">
        <v>580632</v>
      </c>
      <c r="D245" s="940" t="s">
        <v>720</v>
      </c>
      <c r="E245" s="940" t="s">
        <v>778</v>
      </c>
      <c r="F245" s="940" t="s">
        <v>779</v>
      </c>
      <c r="G245" s="940"/>
      <c r="H245" s="940"/>
      <c r="I245" s="940" t="s">
        <v>123</v>
      </c>
      <c r="J245" s="940">
        <v>4.5</v>
      </c>
      <c r="K245" s="1143">
        <v>1500</v>
      </c>
      <c r="L245" s="1143" t="s">
        <v>254</v>
      </c>
      <c r="M245" s="937"/>
      <c r="N245" s="1144"/>
      <c r="O245" s="1145"/>
      <c r="P245" s="940">
        <v>143.3</v>
      </c>
      <c r="Q245" s="1108">
        <v>644.85</v>
      </c>
      <c r="R245" s="945"/>
      <c r="S245" s="936"/>
      <c r="T245" s="1108">
        <v>9.4</v>
      </c>
      <c r="U245" s="936"/>
      <c r="V245" s="945">
        <v>4.5</v>
      </c>
      <c r="W245" s="1152" t="s">
        <v>780</v>
      </c>
      <c r="X245" s="1152">
        <v>204</v>
      </c>
      <c r="Y245" s="938">
        <v>1</v>
      </c>
      <c r="Z245" s="1091">
        <v>1725</v>
      </c>
      <c r="AA245" s="936"/>
      <c r="AB245" s="936"/>
      <c r="AC245" s="936"/>
      <c r="AD245" s="948">
        <v>2.46853893896722</v>
      </c>
      <c r="AE245" s="1170">
        <v>2.47</v>
      </c>
      <c r="AF245" s="802" t="str">
        <f>_xlfn.DISPIMG("ID_BEFF42A93940417FAECB812A19DC5A95",1)</f>
        <v>=DISPIMG("ID_BEFF42A93940417FAECB812A19DC5A95",1)</v>
      </c>
      <c r="AG245" s="1106"/>
      <c r="AH245" s="938"/>
      <c r="AI245" s="1098"/>
      <c r="AJ245" s="938"/>
      <c r="AK245" s="1098"/>
      <c r="AL245" s="945">
        <v>143.3</v>
      </c>
      <c r="AM245" s="945">
        <v>644.85</v>
      </c>
      <c r="AN245" s="945"/>
      <c r="AO245" s="1143">
        <v>1500</v>
      </c>
      <c r="AP245" s="1143" t="s">
        <v>254</v>
      </c>
      <c r="AQ245" s="1154" t="s">
        <v>677</v>
      </c>
      <c r="AR245" s="1120">
        <v>45667</v>
      </c>
      <c r="AS245" s="1154" t="s">
        <v>537</v>
      </c>
      <c r="AT245" s="1121">
        <v>45680</v>
      </c>
      <c r="AU245" s="1106" t="s">
        <v>553</v>
      </c>
      <c r="AV245" s="1106" t="s">
        <v>59</v>
      </c>
      <c r="AW245" s="1106" t="s">
        <v>540</v>
      </c>
      <c r="AX245" s="897"/>
      <c r="AY245" s="860"/>
      <c r="AZ245" s="897"/>
    </row>
    <row r="246" ht="118.75" customHeight="1" spans="1:52">
      <c r="A246" s="937">
        <v>42</v>
      </c>
      <c r="B246" s="938">
        <v>5806320000</v>
      </c>
      <c r="C246" s="938">
        <v>580632</v>
      </c>
      <c r="D246" s="940" t="s">
        <v>720</v>
      </c>
      <c r="E246" s="940" t="s">
        <v>781</v>
      </c>
      <c r="F246" s="940" t="s">
        <v>782</v>
      </c>
      <c r="G246" s="940"/>
      <c r="H246" s="940"/>
      <c r="I246" s="940" t="s">
        <v>123</v>
      </c>
      <c r="J246" s="940">
        <v>105</v>
      </c>
      <c r="K246" s="1143">
        <v>3000</v>
      </c>
      <c r="L246" s="1143" t="s">
        <v>254</v>
      </c>
      <c r="M246" s="937"/>
      <c r="N246" s="1144"/>
      <c r="O246" s="1145"/>
      <c r="P246" s="940">
        <v>35.43</v>
      </c>
      <c r="Q246" s="1108">
        <v>3720.15</v>
      </c>
      <c r="R246" s="945"/>
      <c r="S246" s="936"/>
      <c r="T246" s="1108">
        <v>132.74</v>
      </c>
      <c r="U246" s="936"/>
      <c r="V246" s="945">
        <v>105</v>
      </c>
      <c r="W246" s="1152"/>
      <c r="X246" s="1152" t="s">
        <v>783</v>
      </c>
      <c r="Y246" s="938">
        <v>15</v>
      </c>
      <c r="Z246" s="1091">
        <v>220</v>
      </c>
      <c r="AA246" s="936"/>
      <c r="AB246" s="936"/>
      <c r="AC246" s="936"/>
      <c r="AD246" s="948"/>
      <c r="AE246" s="1170"/>
      <c r="AF246" s="802" t="str">
        <f>_xlfn.DISPIMG("ID_2877118BCFE447F3B0AD39085F017B64",1)</f>
        <v>=DISPIMG("ID_2877118BCFE447F3B0AD39085F017B64",1)</v>
      </c>
      <c r="AG246" s="1106"/>
      <c r="AH246" s="938"/>
      <c r="AI246" s="1098"/>
      <c r="AJ246" s="938"/>
      <c r="AK246" s="1098"/>
      <c r="AL246" s="945">
        <v>35.43</v>
      </c>
      <c r="AM246" s="945">
        <v>3720.15</v>
      </c>
      <c r="AN246" s="945"/>
      <c r="AO246" s="1143">
        <v>3000</v>
      </c>
      <c r="AP246" s="1143" t="s">
        <v>254</v>
      </c>
      <c r="AQ246" s="1154" t="s">
        <v>677</v>
      </c>
      <c r="AR246" s="1120">
        <v>45667</v>
      </c>
      <c r="AS246" s="1154" t="s">
        <v>537</v>
      </c>
      <c r="AT246" s="1121">
        <v>45680</v>
      </c>
      <c r="AU246" s="1106" t="s">
        <v>553</v>
      </c>
      <c r="AV246" s="1106" t="s">
        <v>59</v>
      </c>
      <c r="AW246" s="1106" t="s">
        <v>540</v>
      </c>
      <c r="AX246" s="897"/>
      <c r="AY246" s="860"/>
      <c r="AZ246" s="897"/>
    </row>
    <row r="247" ht="118.75" customHeight="1" spans="1:52">
      <c r="A247" s="937">
        <v>43</v>
      </c>
      <c r="B247" s="938">
        <v>5806320000</v>
      </c>
      <c r="C247" s="938">
        <v>580632</v>
      </c>
      <c r="D247" s="940" t="s">
        <v>720</v>
      </c>
      <c r="E247" s="940" t="s">
        <v>784</v>
      </c>
      <c r="F247" s="940" t="s">
        <v>785</v>
      </c>
      <c r="G247" s="940"/>
      <c r="H247" s="940"/>
      <c r="I247" s="940" t="s">
        <v>123</v>
      </c>
      <c r="J247" s="940">
        <v>15</v>
      </c>
      <c r="K247" s="1143">
        <v>3000</v>
      </c>
      <c r="L247" s="1143" t="s">
        <v>254</v>
      </c>
      <c r="M247" s="937"/>
      <c r="N247" s="1144"/>
      <c r="O247" s="1145"/>
      <c r="P247" s="940">
        <v>44</v>
      </c>
      <c r="Q247" s="1108">
        <v>660</v>
      </c>
      <c r="R247" s="945"/>
      <c r="S247" s="936"/>
      <c r="T247" s="1108">
        <v>20.4</v>
      </c>
      <c r="U247" s="936"/>
      <c r="V247" s="945">
        <v>15</v>
      </c>
      <c r="W247" s="1152" t="s">
        <v>695</v>
      </c>
      <c r="X247" s="1152" t="s">
        <v>786</v>
      </c>
      <c r="Y247" s="938">
        <v>2</v>
      </c>
      <c r="Z247" s="1091">
        <v>1617</v>
      </c>
      <c r="AA247" s="936"/>
      <c r="AB247" s="936"/>
      <c r="AC247" s="936"/>
      <c r="AD247" s="948">
        <v>2.98823134717084</v>
      </c>
      <c r="AE247" s="1170"/>
      <c r="AF247" s="802" t="str">
        <f>_xlfn.DISPIMG("ID_EAEDE2C3012141B38950447429992C7A",1)</f>
        <v>=DISPIMG("ID_EAEDE2C3012141B38950447429992C7A",1)</v>
      </c>
      <c r="AG247" s="1106"/>
      <c r="AH247" s="938"/>
      <c r="AI247" s="1098"/>
      <c r="AJ247" s="938"/>
      <c r="AK247" s="1098"/>
      <c r="AL247" s="945">
        <v>44</v>
      </c>
      <c r="AM247" s="945">
        <v>660</v>
      </c>
      <c r="AN247" s="945"/>
      <c r="AO247" s="1143">
        <v>3000</v>
      </c>
      <c r="AP247" s="1143" t="s">
        <v>254</v>
      </c>
      <c r="AQ247" s="1154" t="s">
        <v>677</v>
      </c>
      <c r="AR247" s="1120">
        <v>45667</v>
      </c>
      <c r="AS247" s="1154" t="s">
        <v>537</v>
      </c>
      <c r="AT247" s="1121">
        <v>45680</v>
      </c>
      <c r="AU247" s="1106" t="s">
        <v>553</v>
      </c>
      <c r="AV247" s="1106" t="s">
        <v>59</v>
      </c>
      <c r="AW247" s="1106" t="s">
        <v>540</v>
      </c>
      <c r="AX247" s="897"/>
      <c r="AY247" s="860"/>
      <c r="AZ247" s="897"/>
    </row>
    <row r="248" ht="118.75" customHeight="1" spans="1:52">
      <c r="A248" s="937">
        <v>44</v>
      </c>
      <c r="B248" s="938">
        <v>5806320000</v>
      </c>
      <c r="C248" s="938">
        <v>580632</v>
      </c>
      <c r="D248" s="940" t="s">
        <v>720</v>
      </c>
      <c r="E248" s="940" t="s">
        <v>787</v>
      </c>
      <c r="F248" s="940" t="s">
        <v>788</v>
      </c>
      <c r="G248" s="940"/>
      <c r="H248" s="940"/>
      <c r="I248" s="940" t="s">
        <v>123</v>
      </c>
      <c r="J248" s="940">
        <v>26.3</v>
      </c>
      <c r="K248" s="1143">
        <v>1500</v>
      </c>
      <c r="L248" s="1143" t="s">
        <v>254</v>
      </c>
      <c r="M248" s="937"/>
      <c r="N248" s="1144"/>
      <c r="O248" s="1145"/>
      <c r="P248" s="940">
        <v>56.5</v>
      </c>
      <c r="Q248" s="1108">
        <v>1485.95</v>
      </c>
      <c r="R248" s="945"/>
      <c r="S248" s="936"/>
      <c r="T248" s="1108">
        <v>39.2</v>
      </c>
      <c r="U248" s="936"/>
      <c r="V248" s="945">
        <v>26.3</v>
      </c>
      <c r="W248" s="1152"/>
      <c r="X248" s="1152">
        <v>219</v>
      </c>
      <c r="Y248" s="938">
        <v>1</v>
      </c>
      <c r="Z248" s="1091">
        <v>1500</v>
      </c>
      <c r="AA248" s="936"/>
      <c r="AB248" s="936"/>
      <c r="AC248" s="936"/>
      <c r="AD248" s="948"/>
      <c r="AE248" s="1170"/>
      <c r="AF248" s="802" t="str">
        <f>_xlfn.DISPIMG("ID_07390C740FDE463A95248D33D8BEC7BF",1)</f>
        <v>=DISPIMG("ID_07390C740FDE463A95248D33D8BEC7BF",1)</v>
      </c>
      <c r="AG248" s="1106"/>
      <c r="AH248" s="938"/>
      <c r="AI248" s="1098"/>
      <c r="AJ248" s="938"/>
      <c r="AK248" s="1098"/>
      <c r="AL248" s="945">
        <v>56.5</v>
      </c>
      <c r="AM248" s="945">
        <v>1485.95</v>
      </c>
      <c r="AN248" s="945"/>
      <c r="AO248" s="1143">
        <v>1500</v>
      </c>
      <c r="AP248" s="1143" t="s">
        <v>254</v>
      </c>
      <c r="AQ248" s="1154" t="s">
        <v>677</v>
      </c>
      <c r="AR248" s="1120">
        <v>45667</v>
      </c>
      <c r="AS248" s="1154" t="s">
        <v>537</v>
      </c>
      <c r="AT248" s="1121">
        <v>45680</v>
      </c>
      <c r="AU248" s="1106" t="s">
        <v>553</v>
      </c>
      <c r="AV248" s="1106" t="s">
        <v>59</v>
      </c>
      <c r="AW248" s="1106" t="s">
        <v>540</v>
      </c>
      <c r="AX248" s="897"/>
      <c r="AY248" s="860"/>
      <c r="AZ248" s="897"/>
    </row>
    <row r="249" ht="118.75" customHeight="1" spans="1:52">
      <c r="A249" s="937">
        <v>45</v>
      </c>
      <c r="B249" s="938">
        <v>5806320000</v>
      </c>
      <c r="C249" s="938">
        <v>580632</v>
      </c>
      <c r="D249" s="940" t="s">
        <v>720</v>
      </c>
      <c r="E249" s="940" t="s">
        <v>789</v>
      </c>
      <c r="F249" s="940" t="s">
        <v>790</v>
      </c>
      <c r="G249" s="940"/>
      <c r="H249" s="940"/>
      <c r="I249" s="940" t="s">
        <v>123</v>
      </c>
      <c r="J249" s="940">
        <v>12</v>
      </c>
      <c r="K249" s="1143">
        <v>3000</v>
      </c>
      <c r="L249" s="1143" t="s">
        <v>254</v>
      </c>
      <c r="M249" s="937"/>
      <c r="N249" s="1144"/>
      <c r="O249" s="1145"/>
      <c r="P249" s="940">
        <v>24.9</v>
      </c>
      <c r="Q249" s="1108">
        <v>298.8</v>
      </c>
      <c r="R249" s="945"/>
      <c r="S249" s="936"/>
      <c r="T249" s="1108">
        <v>15.56</v>
      </c>
      <c r="U249" s="936"/>
      <c r="V249" s="945">
        <v>12</v>
      </c>
      <c r="W249" s="1152"/>
      <c r="X249" s="1152">
        <v>221</v>
      </c>
      <c r="Y249" s="938">
        <v>1</v>
      </c>
      <c r="Z249" s="1091">
        <v>1764</v>
      </c>
      <c r="AA249" s="936"/>
      <c r="AB249" s="936"/>
      <c r="AC249" s="936"/>
      <c r="AD249" s="948"/>
      <c r="AE249" s="1170"/>
      <c r="AF249" s="802" t="str">
        <f>_xlfn.DISPIMG("ID_545B55EB4739413CBCE95A50B43E9426",1)</f>
        <v>=DISPIMG("ID_545B55EB4739413CBCE95A50B43E9426",1)</v>
      </c>
      <c r="AG249" s="1106"/>
      <c r="AH249" s="938"/>
      <c r="AI249" s="1098"/>
      <c r="AJ249" s="938"/>
      <c r="AK249" s="1098"/>
      <c r="AL249" s="945">
        <v>24.9</v>
      </c>
      <c r="AM249" s="945">
        <v>298.8</v>
      </c>
      <c r="AN249" s="945"/>
      <c r="AO249" s="1143">
        <v>3000</v>
      </c>
      <c r="AP249" s="1143" t="s">
        <v>254</v>
      </c>
      <c r="AQ249" s="1154" t="s">
        <v>677</v>
      </c>
      <c r="AR249" s="1120">
        <v>45667</v>
      </c>
      <c r="AS249" s="1154" t="s">
        <v>537</v>
      </c>
      <c r="AT249" s="1121">
        <v>45680</v>
      </c>
      <c r="AU249" s="1106" t="s">
        <v>553</v>
      </c>
      <c r="AV249" s="1106" t="s">
        <v>59</v>
      </c>
      <c r="AW249" s="1106" t="s">
        <v>540</v>
      </c>
      <c r="AX249" s="897"/>
      <c r="AY249" s="860"/>
      <c r="AZ249" s="897"/>
    </row>
    <row r="250" ht="118.75" customHeight="1" spans="1:52">
      <c r="A250" s="937">
        <v>46</v>
      </c>
      <c r="B250" s="938">
        <v>5806320000</v>
      </c>
      <c r="C250" s="938">
        <v>580632</v>
      </c>
      <c r="D250" s="940" t="s">
        <v>720</v>
      </c>
      <c r="E250" s="940" t="s">
        <v>791</v>
      </c>
      <c r="F250" s="940" t="s">
        <v>792</v>
      </c>
      <c r="G250" s="940"/>
      <c r="H250" s="940"/>
      <c r="I250" s="940" t="s">
        <v>123</v>
      </c>
      <c r="J250" s="940">
        <v>11.2</v>
      </c>
      <c r="K250" s="1143">
        <v>3000</v>
      </c>
      <c r="L250" s="1143" t="s">
        <v>254</v>
      </c>
      <c r="M250" s="937"/>
      <c r="N250" s="1144"/>
      <c r="O250" s="1145"/>
      <c r="P250" s="940">
        <v>42.8</v>
      </c>
      <c r="Q250" s="1108">
        <v>479.36</v>
      </c>
      <c r="R250" s="945"/>
      <c r="S250" s="936"/>
      <c r="T250" s="1108">
        <v>14.8</v>
      </c>
      <c r="U250" s="936"/>
      <c r="V250" s="945">
        <v>11.2</v>
      </c>
      <c r="W250" s="1152"/>
      <c r="X250" s="1152"/>
      <c r="Y250" s="938"/>
      <c r="Z250" s="1091">
        <v>1560</v>
      </c>
      <c r="AA250" s="936"/>
      <c r="AB250" s="936"/>
      <c r="AC250" s="936"/>
      <c r="AD250" s="948"/>
      <c r="AE250" s="1170"/>
      <c r="AF250" s="802" t="str">
        <f>_xlfn.DISPIMG("ID_87AB0650D7AD4121A0D4FC069848C702",1)</f>
        <v>=DISPIMG("ID_87AB0650D7AD4121A0D4FC069848C702",1)</v>
      </c>
      <c r="AG250" s="1106"/>
      <c r="AH250" s="938"/>
      <c r="AI250" s="1098"/>
      <c r="AJ250" s="938"/>
      <c r="AK250" s="1098"/>
      <c r="AL250" s="945">
        <v>42.8</v>
      </c>
      <c r="AM250" s="945">
        <v>479.36</v>
      </c>
      <c r="AN250" s="945"/>
      <c r="AO250" s="1143">
        <v>3000</v>
      </c>
      <c r="AP250" s="1143" t="s">
        <v>254</v>
      </c>
      <c r="AQ250" s="1154" t="s">
        <v>677</v>
      </c>
      <c r="AR250" s="1120">
        <v>45667</v>
      </c>
      <c r="AS250" s="1154" t="s">
        <v>537</v>
      </c>
      <c r="AT250" s="1121">
        <v>45680</v>
      </c>
      <c r="AU250" s="1106" t="s">
        <v>553</v>
      </c>
      <c r="AV250" s="1106" t="s">
        <v>59</v>
      </c>
      <c r="AW250" s="1106" t="s">
        <v>540</v>
      </c>
      <c r="AX250" s="897"/>
      <c r="AY250" s="860"/>
      <c r="AZ250" s="897"/>
    </row>
    <row r="251" ht="118.75" customHeight="1" spans="1:52">
      <c r="A251" s="937">
        <v>47</v>
      </c>
      <c r="B251" s="938">
        <v>5806320000</v>
      </c>
      <c r="C251" s="938">
        <v>580632</v>
      </c>
      <c r="D251" s="940" t="s">
        <v>720</v>
      </c>
      <c r="E251" s="940" t="s">
        <v>793</v>
      </c>
      <c r="F251" s="940" t="s">
        <v>794</v>
      </c>
      <c r="G251" s="940"/>
      <c r="H251" s="940"/>
      <c r="I251" s="940" t="s">
        <v>123</v>
      </c>
      <c r="J251" s="940">
        <v>11.9</v>
      </c>
      <c r="K251" s="1143">
        <v>10500</v>
      </c>
      <c r="L251" s="1143" t="s">
        <v>254</v>
      </c>
      <c r="M251" s="937"/>
      <c r="N251" s="1144"/>
      <c r="O251" s="1145"/>
      <c r="P251" s="940">
        <v>21.2</v>
      </c>
      <c r="Q251" s="1108">
        <v>252.28</v>
      </c>
      <c r="R251" s="945"/>
      <c r="S251" s="936"/>
      <c r="T251" s="1108">
        <v>16.54</v>
      </c>
      <c r="U251" s="936"/>
      <c r="V251" s="945">
        <v>11.9</v>
      </c>
      <c r="W251" s="1152"/>
      <c r="X251" s="1152">
        <v>220</v>
      </c>
      <c r="Y251" s="938">
        <v>1</v>
      </c>
      <c r="Z251" s="1091">
        <v>11856</v>
      </c>
      <c r="AA251" s="936"/>
      <c r="AB251" s="936"/>
      <c r="AC251" s="936"/>
      <c r="AD251" s="948"/>
      <c r="AE251" s="1170"/>
      <c r="AF251" s="802" t="str">
        <f>_xlfn.DISPIMG("ID_3D1A90DC11CE40028464CB1859AA8A33",1)</f>
        <v>=DISPIMG("ID_3D1A90DC11CE40028464CB1859AA8A33",1)</v>
      </c>
      <c r="AG251" s="1106"/>
      <c r="AH251" s="938"/>
      <c r="AI251" s="1098"/>
      <c r="AJ251" s="938"/>
      <c r="AK251" s="1098"/>
      <c r="AL251" s="945">
        <v>21.2</v>
      </c>
      <c r="AM251" s="945">
        <v>252.28</v>
      </c>
      <c r="AN251" s="945"/>
      <c r="AO251" s="1143">
        <v>10500</v>
      </c>
      <c r="AP251" s="1143" t="s">
        <v>254</v>
      </c>
      <c r="AQ251" s="1154" t="s">
        <v>677</v>
      </c>
      <c r="AR251" s="1120">
        <v>45667</v>
      </c>
      <c r="AS251" s="1154" t="s">
        <v>537</v>
      </c>
      <c r="AT251" s="1121">
        <v>45680</v>
      </c>
      <c r="AU251" s="1106" t="s">
        <v>553</v>
      </c>
      <c r="AV251" s="1106" t="s">
        <v>59</v>
      </c>
      <c r="AW251" s="1106" t="s">
        <v>540</v>
      </c>
      <c r="AX251" s="897"/>
      <c r="AY251" s="860"/>
      <c r="AZ251" s="897"/>
    </row>
    <row r="252" ht="118.75" customHeight="1" spans="1:52">
      <c r="A252" s="937">
        <v>48</v>
      </c>
      <c r="B252" s="938">
        <v>5806320000</v>
      </c>
      <c r="C252" s="938">
        <v>580632</v>
      </c>
      <c r="D252" s="940" t="s">
        <v>720</v>
      </c>
      <c r="E252" s="940" t="s">
        <v>795</v>
      </c>
      <c r="F252" s="940" t="s">
        <v>796</v>
      </c>
      <c r="G252" s="940"/>
      <c r="H252" s="940"/>
      <c r="I252" s="940" t="s">
        <v>123</v>
      </c>
      <c r="J252" s="940">
        <v>3.65</v>
      </c>
      <c r="K252" s="1143">
        <v>4500</v>
      </c>
      <c r="L252" s="1143" t="s">
        <v>254</v>
      </c>
      <c r="M252" s="937"/>
      <c r="N252" s="1144"/>
      <c r="O252" s="1145"/>
      <c r="P252" s="940">
        <v>84</v>
      </c>
      <c r="Q252" s="1108">
        <v>306.6</v>
      </c>
      <c r="R252" s="945"/>
      <c r="S252" s="936"/>
      <c r="T252" s="1108">
        <v>5.32</v>
      </c>
      <c r="U252" s="936"/>
      <c r="V252" s="945">
        <v>3.65</v>
      </c>
      <c r="W252" s="1152"/>
      <c r="X252" s="1152"/>
      <c r="Y252" s="938"/>
      <c r="Z252" s="1091">
        <v>5148</v>
      </c>
      <c r="AA252" s="936"/>
      <c r="AB252" s="936"/>
      <c r="AC252" s="936"/>
      <c r="AD252" s="948"/>
      <c r="AE252" s="1170"/>
      <c r="AF252" s="802" t="str">
        <f>_xlfn.DISPIMG("ID_1FC57BC6FCA7402E943124C07F4F4B15",1)</f>
        <v>=DISPIMG("ID_1FC57BC6FCA7402E943124C07F4F4B15",1)</v>
      </c>
      <c r="AG252" s="1106"/>
      <c r="AH252" s="938"/>
      <c r="AI252" s="1098"/>
      <c r="AJ252" s="938"/>
      <c r="AK252" s="1098"/>
      <c r="AL252" s="945">
        <v>84</v>
      </c>
      <c r="AM252" s="945">
        <v>306.6</v>
      </c>
      <c r="AN252" s="945"/>
      <c r="AO252" s="1143">
        <v>4500</v>
      </c>
      <c r="AP252" s="1143" t="s">
        <v>254</v>
      </c>
      <c r="AQ252" s="1154" t="s">
        <v>677</v>
      </c>
      <c r="AR252" s="1120">
        <v>45667</v>
      </c>
      <c r="AS252" s="1154" t="s">
        <v>537</v>
      </c>
      <c r="AT252" s="1121">
        <v>45680</v>
      </c>
      <c r="AU252" s="1106" t="s">
        <v>553</v>
      </c>
      <c r="AV252" s="1106" t="s">
        <v>59</v>
      </c>
      <c r="AW252" s="1106" t="s">
        <v>540</v>
      </c>
      <c r="AX252" s="897"/>
      <c r="AY252" s="860"/>
      <c r="AZ252" s="897"/>
    </row>
    <row r="253" ht="118.75" customHeight="1" spans="1:52">
      <c r="A253" s="937">
        <v>49</v>
      </c>
      <c r="B253" s="938">
        <v>5806320000</v>
      </c>
      <c r="C253" s="938">
        <v>580632</v>
      </c>
      <c r="D253" s="940" t="s">
        <v>702</v>
      </c>
      <c r="E253" s="940" t="s">
        <v>756</v>
      </c>
      <c r="F253" s="940" t="s">
        <v>757</v>
      </c>
      <c r="G253" s="940"/>
      <c r="H253" s="940"/>
      <c r="I253" s="940" t="s">
        <v>123</v>
      </c>
      <c r="J253" s="940">
        <v>52.5</v>
      </c>
      <c r="K253" s="1143">
        <v>1500</v>
      </c>
      <c r="L253" s="1143" t="s">
        <v>254</v>
      </c>
      <c r="M253" s="937"/>
      <c r="N253" s="1144"/>
      <c r="O253" s="1145"/>
      <c r="P253" s="940">
        <v>64.5</v>
      </c>
      <c r="Q253" s="1108">
        <v>3386.25</v>
      </c>
      <c r="R253" s="945"/>
      <c r="S253" s="936"/>
      <c r="T253" s="1108">
        <v>63.64</v>
      </c>
      <c r="U253" s="936"/>
      <c r="V253" s="945">
        <v>52.5</v>
      </c>
      <c r="W253" s="1152" t="s">
        <v>684</v>
      </c>
      <c r="X253" s="1152" t="s">
        <v>797</v>
      </c>
      <c r="Y253" s="938">
        <v>2</v>
      </c>
      <c r="Z253" s="1091">
        <v>800</v>
      </c>
      <c r="AA253" s="936"/>
      <c r="AB253" s="936"/>
      <c r="AC253" s="936"/>
      <c r="AD253" s="948">
        <v>1.68900032666178</v>
      </c>
      <c r="AE253" s="1170"/>
      <c r="AF253" s="802" t="str">
        <f>_xlfn.DISPIMG("ID_E67054218D564F7296D9DA0B5A1A6493",1)</f>
        <v>=DISPIMG("ID_E67054218D564F7296D9DA0B5A1A6493",1)</v>
      </c>
      <c r="AG253" s="1106"/>
      <c r="AH253" s="938"/>
      <c r="AI253" s="1098"/>
      <c r="AJ253" s="938"/>
      <c r="AK253" s="1098"/>
      <c r="AL253" s="945">
        <v>64.5</v>
      </c>
      <c r="AM253" s="945">
        <v>3386.25</v>
      </c>
      <c r="AN253" s="945"/>
      <c r="AO253" s="1143">
        <v>1500</v>
      </c>
      <c r="AP253" s="1143" t="s">
        <v>254</v>
      </c>
      <c r="AQ253" s="1154" t="s">
        <v>677</v>
      </c>
      <c r="AR253" s="1120">
        <v>45667</v>
      </c>
      <c r="AS253" s="1154" t="s">
        <v>537</v>
      </c>
      <c r="AT253" s="1121">
        <v>45680</v>
      </c>
      <c r="AU253" s="1106" t="s">
        <v>553</v>
      </c>
      <c r="AV253" s="1106" t="s">
        <v>59</v>
      </c>
      <c r="AW253" s="1106" t="s">
        <v>540</v>
      </c>
      <c r="AX253" s="897"/>
      <c r="AY253" s="860"/>
      <c r="AZ253" s="897"/>
    </row>
    <row r="254" ht="118.75" customHeight="1" spans="1:52">
      <c r="A254" s="937">
        <v>50</v>
      </c>
      <c r="B254" s="938">
        <v>5806320000</v>
      </c>
      <c r="C254" s="938">
        <v>580632</v>
      </c>
      <c r="D254" s="940" t="s">
        <v>702</v>
      </c>
      <c r="E254" s="940" t="s">
        <v>762</v>
      </c>
      <c r="F254" s="940" t="s">
        <v>763</v>
      </c>
      <c r="G254" s="940"/>
      <c r="H254" s="940"/>
      <c r="I254" s="940" t="s">
        <v>123</v>
      </c>
      <c r="J254" s="940">
        <v>42</v>
      </c>
      <c r="K254" s="1143">
        <v>1500</v>
      </c>
      <c r="L254" s="1143" t="s">
        <v>254</v>
      </c>
      <c r="M254" s="937"/>
      <c r="N254" s="1144"/>
      <c r="O254" s="1145"/>
      <c r="P254" s="940">
        <v>59.64</v>
      </c>
      <c r="Q254" s="1108">
        <v>2504.88</v>
      </c>
      <c r="R254" s="945"/>
      <c r="S254" s="936"/>
      <c r="T254" s="1108">
        <v>58.14</v>
      </c>
      <c r="U254" s="936"/>
      <c r="V254" s="945">
        <v>42</v>
      </c>
      <c r="W254" s="1152"/>
      <c r="X254" s="1152">
        <v>291</v>
      </c>
      <c r="Y254" s="938">
        <v>1</v>
      </c>
      <c r="Z254" s="1091">
        <v>1520</v>
      </c>
      <c r="AA254" s="936"/>
      <c r="AB254" s="936"/>
      <c r="AC254" s="936"/>
      <c r="AD254" s="948"/>
      <c r="AE254" s="1170"/>
      <c r="AF254" s="802" t="str">
        <f>_xlfn.DISPIMG("ID_A6D8A7EB51164566BA60072BC7B5C42C",1)</f>
        <v>=DISPIMG("ID_A6D8A7EB51164566BA60072BC7B5C42C",1)</v>
      </c>
      <c r="AG254" s="1106"/>
      <c r="AH254" s="938"/>
      <c r="AI254" s="1098"/>
      <c r="AJ254" s="938"/>
      <c r="AK254" s="1098"/>
      <c r="AL254" s="945">
        <v>59.64</v>
      </c>
      <c r="AM254" s="945">
        <v>2504.88</v>
      </c>
      <c r="AN254" s="945"/>
      <c r="AO254" s="1143">
        <v>1500</v>
      </c>
      <c r="AP254" s="1143" t="s">
        <v>254</v>
      </c>
      <c r="AQ254" s="1154" t="s">
        <v>677</v>
      </c>
      <c r="AR254" s="1120">
        <v>45667</v>
      </c>
      <c r="AS254" s="1154" t="s">
        <v>537</v>
      </c>
      <c r="AT254" s="1121">
        <v>45680</v>
      </c>
      <c r="AU254" s="1106" t="s">
        <v>553</v>
      </c>
      <c r="AV254" s="1106" t="s">
        <v>59</v>
      </c>
      <c r="AW254" s="1106" t="s">
        <v>540</v>
      </c>
      <c r="AX254" s="897"/>
      <c r="AY254" s="860"/>
      <c r="AZ254" s="897"/>
    </row>
    <row r="255" ht="118.75" customHeight="1" spans="1:52">
      <c r="A255" s="937">
        <v>51</v>
      </c>
      <c r="B255" s="938">
        <v>5806320000</v>
      </c>
      <c r="C255" s="938">
        <v>580632</v>
      </c>
      <c r="D255" s="940" t="s">
        <v>702</v>
      </c>
      <c r="E255" s="940" t="s">
        <v>798</v>
      </c>
      <c r="F255" s="940" t="s">
        <v>799</v>
      </c>
      <c r="G255" s="940"/>
      <c r="H255" s="940"/>
      <c r="I255" s="940" t="s">
        <v>123</v>
      </c>
      <c r="J255" s="940">
        <v>60</v>
      </c>
      <c r="K255" s="1143">
        <v>1500</v>
      </c>
      <c r="L255" s="1143" t="s">
        <v>254</v>
      </c>
      <c r="M255" s="937"/>
      <c r="N255" s="1144"/>
      <c r="O255" s="1145"/>
      <c r="P255" s="940">
        <v>28.25</v>
      </c>
      <c r="Q255" s="1108">
        <v>1695</v>
      </c>
      <c r="R255" s="945"/>
      <c r="S255" s="936"/>
      <c r="T255" s="1108">
        <v>81</v>
      </c>
      <c r="U255" s="936"/>
      <c r="V255" s="945">
        <v>60</v>
      </c>
      <c r="W255" s="1152" t="s">
        <v>800</v>
      </c>
      <c r="X255" s="1152" t="s">
        <v>801</v>
      </c>
      <c r="Y255" s="938">
        <v>7</v>
      </c>
      <c r="Z255" s="1091">
        <v>240</v>
      </c>
      <c r="AA255" s="936"/>
      <c r="AB255" s="936"/>
      <c r="AC255" s="936"/>
      <c r="AD255" s="948">
        <v>2.46853893896722</v>
      </c>
      <c r="AE255" s="1170">
        <v>2.47</v>
      </c>
      <c r="AF255" s="802" t="str">
        <f>_xlfn.DISPIMG("ID_6A4D8576F43248969E149252DF5FC153",1)</f>
        <v>=DISPIMG("ID_6A4D8576F43248969E149252DF5FC153",1)</v>
      </c>
      <c r="AG255" s="1106"/>
      <c r="AH255" s="938"/>
      <c r="AI255" s="1098"/>
      <c r="AJ255" s="938"/>
      <c r="AK255" s="1098"/>
      <c r="AL255" s="945">
        <v>28.25</v>
      </c>
      <c r="AM255" s="945">
        <v>1695</v>
      </c>
      <c r="AN255" s="945"/>
      <c r="AO255" s="1143">
        <v>1500</v>
      </c>
      <c r="AP255" s="1143" t="s">
        <v>254</v>
      </c>
      <c r="AQ255" s="1154" t="s">
        <v>677</v>
      </c>
      <c r="AR255" s="1120">
        <v>45667</v>
      </c>
      <c r="AS255" s="1154" t="s">
        <v>537</v>
      </c>
      <c r="AT255" s="1121">
        <v>45680</v>
      </c>
      <c r="AU255" s="1106" t="s">
        <v>553</v>
      </c>
      <c r="AV255" s="1106" t="s">
        <v>59</v>
      </c>
      <c r="AW255" s="1106" t="s">
        <v>540</v>
      </c>
      <c r="AX255" s="897"/>
      <c r="AY255" s="860"/>
      <c r="AZ255" s="897"/>
    </row>
    <row r="256" ht="118.75" customHeight="1" spans="1:52">
      <c r="A256" s="937">
        <v>52</v>
      </c>
      <c r="B256" s="938">
        <v>5806320000</v>
      </c>
      <c r="C256" s="938">
        <v>580632</v>
      </c>
      <c r="D256" s="940" t="s">
        <v>702</v>
      </c>
      <c r="E256" s="940" t="s">
        <v>802</v>
      </c>
      <c r="F256" s="940" t="s">
        <v>803</v>
      </c>
      <c r="G256" s="940"/>
      <c r="H256" s="940"/>
      <c r="I256" s="940" t="s">
        <v>123</v>
      </c>
      <c r="J256" s="940">
        <v>61.5</v>
      </c>
      <c r="K256" s="1143">
        <v>1500</v>
      </c>
      <c r="L256" s="1143" t="s">
        <v>254</v>
      </c>
      <c r="M256" s="937"/>
      <c r="N256" s="1144"/>
      <c r="O256" s="1145"/>
      <c r="P256" s="940">
        <v>23.4</v>
      </c>
      <c r="Q256" s="1108">
        <v>1439.1</v>
      </c>
      <c r="R256" s="945"/>
      <c r="S256" s="936"/>
      <c r="T256" s="1108">
        <v>80.32</v>
      </c>
      <c r="U256" s="936"/>
      <c r="V256" s="945">
        <v>61.5</v>
      </c>
      <c r="W256" s="1152"/>
      <c r="X256" s="1152" t="s">
        <v>804</v>
      </c>
      <c r="Y256" s="938">
        <v>9</v>
      </c>
      <c r="Z256" s="1091">
        <v>252</v>
      </c>
      <c r="AA256" s="936"/>
      <c r="AB256" s="936"/>
      <c r="AC256" s="936"/>
      <c r="AD256" s="948"/>
      <c r="AE256" s="1170"/>
      <c r="AF256" s="802" t="str">
        <f>_xlfn.DISPIMG("ID_EAA724D38D034BEEBF06CAB31228FB5C",1)</f>
        <v>=DISPIMG("ID_EAA724D38D034BEEBF06CAB31228FB5C",1)</v>
      </c>
      <c r="AG256" s="1106"/>
      <c r="AH256" s="938"/>
      <c r="AI256" s="1098"/>
      <c r="AJ256" s="938"/>
      <c r="AK256" s="1098"/>
      <c r="AL256" s="945">
        <v>23.4</v>
      </c>
      <c r="AM256" s="945">
        <v>1439.1</v>
      </c>
      <c r="AN256" s="945"/>
      <c r="AO256" s="1143">
        <v>1500</v>
      </c>
      <c r="AP256" s="1143" t="s">
        <v>254</v>
      </c>
      <c r="AQ256" s="1154" t="s">
        <v>677</v>
      </c>
      <c r="AR256" s="1120">
        <v>45667</v>
      </c>
      <c r="AS256" s="1154" t="s">
        <v>537</v>
      </c>
      <c r="AT256" s="1121">
        <v>45680</v>
      </c>
      <c r="AU256" s="1106" t="s">
        <v>553</v>
      </c>
      <c r="AV256" s="1106" t="s">
        <v>59</v>
      </c>
      <c r="AW256" s="1106" t="s">
        <v>540</v>
      </c>
      <c r="AX256" s="897"/>
      <c r="AY256" s="860"/>
      <c r="AZ256" s="897"/>
    </row>
    <row r="257" ht="118.75" customHeight="1" spans="1:52">
      <c r="A257" s="937">
        <v>53</v>
      </c>
      <c r="B257" s="938">
        <v>5806320000</v>
      </c>
      <c r="C257" s="938">
        <v>580632</v>
      </c>
      <c r="D257" s="940" t="s">
        <v>702</v>
      </c>
      <c r="E257" s="940" t="s">
        <v>805</v>
      </c>
      <c r="F257" s="940" t="s">
        <v>806</v>
      </c>
      <c r="G257" s="940"/>
      <c r="H257" s="940"/>
      <c r="I257" s="940" t="s">
        <v>123</v>
      </c>
      <c r="J257" s="940">
        <v>112.5</v>
      </c>
      <c r="K257" s="1143">
        <v>4500</v>
      </c>
      <c r="L257" s="1143" t="s">
        <v>254</v>
      </c>
      <c r="M257" s="937"/>
      <c r="N257" s="1144"/>
      <c r="O257" s="1145"/>
      <c r="P257" s="940">
        <v>54</v>
      </c>
      <c r="Q257" s="1108">
        <v>6075</v>
      </c>
      <c r="R257" s="945"/>
      <c r="S257" s="936"/>
      <c r="T257" s="1108">
        <v>161.74</v>
      </c>
      <c r="U257" s="936"/>
      <c r="V257" s="945">
        <v>112.5</v>
      </c>
      <c r="W257" s="1152" t="s">
        <v>807</v>
      </c>
      <c r="X257" s="1152" t="s">
        <v>808</v>
      </c>
      <c r="Y257" s="938">
        <v>13</v>
      </c>
      <c r="Z257" s="1091">
        <v>240</v>
      </c>
      <c r="AA257" s="936"/>
      <c r="AB257" s="936"/>
      <c r="AC257" s="936"/>
      <c r="AD257" s="948">
        <v>2.72838514306903</v>
      </c>
      <c r="AE257" s="1170">
        <v>2.73</v>
      </c>
      <c r="AF257" s="802" t="str">
        <f>_xlfn.DISPIMG("ID_535F06E1F57E4DE6BB246C6A9560A7D9",1)</f>
        <v>=DISPIMG("ID_535F06E1F57E4DE6BB246C6A9560A7D9",1)</v>
      </c>
      <c r="AG257" s="1106"/>
      <c r="AH257" s="938"/>
      <c r="AI257" s="1098"/>
      <c r="AJ257" s="938"/>
      <c r="AK257" s="1098"/>
      <c r="AL257" s="945">
        <v>54</v>
      </c>
      <c r="AM257" s="945">
        <v>6075</v>
      </c>
      <c r="AN257" s="945"/>
      <c r="AO257" s="1143">
        <v>4500</v>
      </c>
      <c r="AP257" s="1143" t="s">
        <v>254</v>
      </c>
      <c r="AQ257" s="1154" t="s">
        <v>677</v>
      </c>
      <c r="AR257" s="1120">
        <v>45667</v>
      </c>
      <c r="AS257" s="1154" t="s">
        <v>537</v>
      </c>
      <c r="AT257" s="1121">
        <v>45680</v>
      </c>
      <c r="AU257" s="1106" t="s">
        <v>553</v>
      </c>
      <c r="AV257" s="1106" t="s">
        <v>59</v>
      </c>
      <c r="AW257" s="1106" t="s">
        <v>540</v>
      </c>
      <c r="AX257" s="897"/>
      <c r="AY257" s="860"/>
      <c r="AZ257" s="897"/>
    </row>
    <row r="258" ht="118.75" customHeight="1" spans="1:52">
      <c r="A258" s="937">
        <v>54</v>
      </c>
      <c r="B258" s="938">
        <v>5806320000</v>
      </c>
      <c r="C258" s="938">
        <v>580632</v>
      </c>
      <c r="D258" s="940" t="s">
        <v>702</v>
      </c>
      <c r="E258" s="940" t="s">
        <v>809</v>
      </c>
      <c r="F258" s="940" t="s">
        <v>810</v>
      </c>
      <c r="G258" s="940"/>
      <c r="H258" s="940"/>
      <c r="I258" s="940" t="s">
        <v>123</v>
      </c>
      <c r="J258" s="940">
        <v>40.5</v>
      </c>
      <c r="K258" s="1143">
        <v>1500</v>
      </c>
      <c r="L258" s="1143" t="s">
        <v>254</v>
      </c>
      <c r="M258" s="937"/>
      <c r="N258" s="1144"/>
      <c r="O258" s="1145"/>
      <c r="P258" s="940">
        <v>32.22</v>
      </c>
      <c r="Q258" s="1108">
        <v>1304.91</v>
      </c>
      <c r="R258" s="945"/>
      <c r="S258" s="936"/>
      <c r="T258" s="1108">
        <v>55.94</v>
      </c>
      <c r="U258" s="936"/>
      <c r="V258" s="945">
        <v>40.5</v>
      </c>
      <c r="W258" s="1152" t="s">
        <v>811</v>
      </c>
      <c r="X258" s="1152" t="s">
        <v>812</v>
      </c>
      <c r="Y258" s="938">
        <v>6</v>
      </c>
      <c r="Z258" s="1091">
        <v>250</v>
      </c>
      <c r="AA258" s="936"/>
      <c r="AB258" s="936"/>
      <c r="AC258" s="936"/>
      <c r="AD258" s="948">
        <v>2.46853893896722</v>
      </c>
      <c r="AE258" s="1170">
        <v>2.47</v>
      </c>
      <c r="AF258" s="802" t="str">
        <f>_xlfn.DISPIMG("ID_5142FBBC16BF43D5B94B3C40184E4079",1)</f>
        <v>=DISPIMG("ID_5142FBBC16BF43D5B94B3C40184E4079",1)</v>
      </c>
      <c r="AG258" s="1106"/>
      <c r="AH258" s="938" t="s">
        <v>813</v>
      </c>
      <c r="AI258" s="1098">
        <v>45631</v>
      </c>
      <c r="AJ258" s="938" t="s">
        <v>814</v>
      </c>
      <c r="AK258" s="1098">
        <v>45631</v>
      </c>
      <c r="AL258" s="945">
        <v>32.22</v>
      </c>
      <c r="AM258" s="945">
        <v>1304.91</v>
      </c>
      <c r="AN258" s="1108">
        <v>31537.16</v>
      </c>
      <c r="AO258" s="1143">
        <v>1500</v>
      </c>
      <c r="AP258" s="1143" t="s">
        <v>254</v>
      </c>
      <c r="AQ258" s="1154" t="s">
        <v>677</v>
      </c>
      <c r="AR258" s="1120">
        <v>45667</v>
      </c>
      <c r="AS258" s="1154" t="s">
        <v>537</v>
      </c>
      <c r="AT258" s="1121">
        <v>45680</v>
      </c>
      <c r="AU258" s="1106" t="s">
        <v>553</v>
      </c>
      <c r="AV258" s="1106" t="s">
        <v>59</v>
      </c>
      <c r="AW258" s="1106" t="s">
        <v>540</v>
      </c>
      <c r="AX258" s="897"/>
      <c r="AY258" s="860"/>
      <c r="AZ258" s="897"/>
    </row>
    <row r="259" ht="118.75" customHeight="1" spans="1:52">
      <c r="A259" s="937">
        <v>55</v>
      </c>
      <c r="B259" s="938">
        <v>5806320000</v>
      </c>
      <c r="C259" s="938">
        <v>580632</v>
      </c>
      <c r="D259" s="940" t="s">
        <v>702</v>
      </c>
      <c r="E259" s="940" t="s">
        <v>815</v>
      </c>
      <c r="F259" s="940" t="s">
        <v>816</v>
      </c>
      <c r="G259" s="940"/>
      <c r="H259" s="940"/>
      <c r="I259" s="940" t="s">
        <v>123</v>
      </c>
      <c r="J259" s="940">
        <v>4.5</v>
      </c>
      <c r="K259" s="1143">
        <v>1500</v>
      </c>
      <c r="L259" s="1143" t="s">
        <v>254</v>
      </c>
      <c r="M259" s="937"/>
      <c r="N259" s="1144"/>
      <c r="O259" s="1145"/>
      <c r="P259" s="940">
        <v>26.7</v>
      </c>
      <c r="Q259" s="1108">
        <v>120.15</v>
      </c>
      <c r="R259" s="945"/>
      <c r="S259" s="936"/>
      <c r="T259" s="1108">
        <v>7.58</v>
      </c>
      <c r="U259" s="936"/>
      <c r="V259" s="945">
        <v>4.5</v>
      </c>
      <c r="W259" s="1152" t="s">
        <v>684</v>
      </c>
      <c r="X259" s="1152">
        <v>288</v>
      </c>
      <c r="Y259" s="938">
        <v>1</v>
      </c>
      <c r="Z259" s="1091">
        <v>1800</v>
      </c>
      <c r="AA259" s="936"/>
      <c r="AB259" s="936"/>
      <c r="AC259" s="936"/>
      <c r="AD259" s="948">
        <v>1.68900032666178</v>
      </c>
      <c r="AE259" s="1170"/>
      <c r="AF259" s="802" t="str">
        <f>_xlfn.DISPIMG("ID_92F4B5D7266042F0BD22DEC4A58B5CD9",1)</f>
        <v>=DISPIMG("ID_92F4B5D7266042F0BD22DEC4A58B5CD9",1)</v>
      </c>
      <c r="AG259" s="1106"/>
      <c r="AH259" s="938"/>
      <c r="AI259" s="1098"/>
      <c r="AJ259" s="938"/>
      <c r="AK259" s="1098"/>
      <c r="AL259" s="945">
        <v>26.7</v>
      </c>
      <c r="AM259" s="945">
        <v>120.15</v>
      </c>
      <c r="AN259" s="1108"/>
      <c r="AO259" s="1143">
        <v>1500</v>
      </c>
      <c r="AP259" s="1143" t="s">
        <v>254</v>
      </c>
      <c r="AQ259" s="1154" t="s">
        <v>677</v>
      </c>
      <c r="AR259" s="1120">
        <v>45667</v>
      </c>
      <c r="AS259" s="1154" t="s">
        <v>537</v>
      </c>
      <c r="AT259" s="1121">
        <v>45680</v>
      </c>
      <c r="AU259" s="1106" t="s">
        <v>553</v>
      </c>
      <c r="AV259" s="1106" t="s">
        <v>59</v>
      </c>
      <c r="AW259" s="1106" t="s">
        <v>540</v>
      </c>
      <c r="AX259" s="897"/>
      <c r="AY259" s="860"/>
      <c r="AZ259" s="897"/>
    </row>
    <row r="260" ht="118.75" customHeight="1" spans="1:52">
      <c r="A260" s="937">
        <v>56</v>
      </c>
      <c r="B260" s="938">
        <v>5806320000</v>
      </c>
      <c r="C260" s="938">
        <v>580632</v>
      </c>
      <c r="D260" s="940" t="s">
        <v>702</v>
      </c>
      <c r="E260" s="940" t="s">
        <v>817</v>
      </c>
      <c r="F260" s="940" t="s">
        <v>818</v>
      </c>
      <c r="G260" s="940"/>
      <c r="H260" s="940"/>
      <c r="I260" s="940" t="s">
        <v>123</v>
      </c>
      <c r="J260" s="940">
        <v>105</v>
      </c>
      <c r="K260" s="1143">
        <v>3000</v>
      </c>
      <c r="L260" s="1143" t="s">
        <v>254</v>
      </c>
      <c r="M260" s="937"/>
      <c r="N260" s="1144"/>
      <c r="O260" s="1145"/>
      <c r="P260" s="940">
        <v>35.43</v>
      </c>
      <c r="Q260" s="1108">
        <v>3720.15</v>
      </c>
      <c r="R260" s="945"/>
      <c r="S260" s="936"/>
      <c r="T260" s="1108">
        <v>125.54</v>
      </c>
      <c r="U260" s="936"/>
      <c r="V260" s="945">
        <v>105</v>
      </c>
      <c r="W260" s="1152" t="s">
        <v>811</v>
      </c>
      <c r="X260" s="1152" t="s">
        <v>819</v>
      </c>
      <c r="Y260" s="938">
        <v>14</v>
      </c>
      <c r="Z260" s="1091">
        <v>210</v>
      </c>
      <c r="AA260" s="936"/>
      <c r="AB260" s="936"/>
      <c r="AC260" s="936"/>
      <c r="AD260" s="948">
        <v>2.46853893896722</v>
      </c>
      <c r="AE260" s="1170"/>
      <c r="AF260" s="802" t="str">
        <f>_xlfn.DISPIMG("ID_89E97041F7664C5C8213FCE26348715E",1)</f>
        <v>=DISPIMG("ID_89E97041F7664C5C8213FCE26348715E",1)</v>
      </c>
      <c r="AG260" s="1106"/>
      <c r="AH260" s="938"/>
      <c r="AI260" s="1098"/>
      <c r="AJ260" s="938"/>
      <c r="AK260" s="1098"/>
      <c r="AL260" s="945">
        <v>35.43</v>
      </c>
      <c r="AM260" s="945">
        <v>3720.15</v>
      </c>
      <c r="AN260" s="1108"/>
      <c r="AO260" s="1143">
        <v>3000</v>
      </c>
      <c r="AP260" s="1143" t="s">
        <v>254</v>
      </c>
      <c r="AQ260" s="1154" t="s">
        <v>677</v>
      </c>
      <c r="AR260" s="1120">
        <v>45667</v>
      </c>
      <c r="AS260" s="1154" t="s">
        <v>537</v>
      </c>
      <c r="AT260" s="1121">
        <v>45680</v>
      </c>
      <c r="AU260" s="1106" t="s">
        <v>553</v>
      </c>
      <c r="AV260" s="1106" t="s">
        <v>59</v>
      </c>
      <c r="AW260" s="1106" t="s">
        <v>540</v>
      </c>
      <c r="AX260" s="897"/>
      <c r="AY260" s="860"/>
      <c r="AZ260" s="897"/>
    </row>
    <row r="261" ht="118.75" customHeight="1" spans="1:52">
      <c r="A261" s="937">
        <v>57</v>
      </c>
      <c r="B261" s="938">
        <v>5806320000</v>
      </c>
      <c r="C261" s="938">
        <v>580632</v>
      </c>
      <c r="D261" s="940" t="s">
        <v>702</v>
      </c>
      <c r="E261" s="940" t="s">
        <v>820</v>
      </c>
      <c r="F261" s="940" t="s">
        <v>821</v>
      </c>
      <c r="G261" s="940"/>
      <c r="H261" s="940"/>
      <c r="I261" s="940" t="s">
        <v>123</v>
      </c>
      <c r="J261" s="940">
        <v>15</v>
      </c>
      <c r="K261" s="1143">
        <v>3000</v>
      </c>
      <c r="L261" s="1143" t="s">
        <v>254</v>
      </c>
      <c r="M261" s="937"/>
      <c r="N261" s="1144"/>
      <c r="O261" s="1145"/>
      <c r="P261" s="940">
        <v>56</v>
      </c>
      <c r="Q261" s="1108">
        <v>840</v>
      </c>
      <c r="R261" s="945"/>
      <c r="S261" s="936"/>
      <c r="T261" s="1108">
        <v>21.98</v>
      </c>
      <c r="U261" s="936"/>
      <c r="V261" s="945">
        <v>15</v>
      </c>
      <c r="W261" s="1152" t="s">
        <v>684</v>
      </c>
      <c r="X261" s="1152" t="s">
        <v>822</v>
      </c>
      <c r="Y261" s="938">
        <v>2</v>
      </c>
      <c r="Z261" s="1091">
        <v>1752</v>
      </c>
      <c r="AA261" s="936"/>
      <c r="AB261" s="936"/>
      <c r="AC261" s="936"/>
      <c r="AD261" s="948">
        <v>1.68900032666178</v>
      </c>
      <c r="AE261" s="1170"/>
      <c r="AF261" s="802" t="str">
        <f>_xlfn.DISPIMG("ID_C601C44894044750A1734E5A04FC3691",1)</f>
        <v>=DISPIMG("ID_C601C44894044750A1734E5A04FC3691",1)</v>
      </c>
      <c r="AG261" s="1106"/>
      <c r="AH261" s="938"/>
      <c r="AI261" s="1098"/>
      <c r="AJ261" s="938"/>
      <c r="AK261" s="1098"/>
      <c r="AL261" s="945">
        <v>56</v>
      </c>
      <c r="AM261" s="945">
        <v>840</v>
      </c>
      <c r="AN261" s="1108"/>
      <c r="AO261" s="1143">
        <v>3000</v>
      </c>
      <c r="AP261" s="1143" t="s">
        <v>254</v>
      </c>
      <c r="AQ261" s="1154" t="s">
        <v>677</v>
      </c>
      <c r="AR261" s="1120">
        <v>45667</v>
      </c>
      <c r="AS261" s="1154" t="s">
        <v>537</v>
      </c>
      <c r="AT261" s="1121">
        <v>45680</v>
      </c>
      <c r="AU261" s="1106" t="s">
        <v>553</v>
      </c>
      <c r="AV261" s="1106" t="s">
        <v>59</v>
      </c>
      <c r="AW261" s="1106" t="s">
        <v>540</v>
      </c>
      <c r="AX261" s="897"/>
      <c r="AY261" s="860"/>
      <c r="AZ261" s="897"/>
    </row>
    <row r="262" ht="118.75" customHeight="1" spans="1:52">
      <c r="A262" s="937">
        <v>58</v>
      </c>
      <c r="B262" s="938">
        <v>5806320000</v>
      </c>
      <c r="C262" s="938">
        <v>580632</v>
      </c>
      <c r="D262" s="940" t="s">
        <v>702</v>
      </c>
      <c r="E262" s="940" t="s">
        <v>787</v>
      </c>
      <c r="F262" s="940" t="s">
        <v>788</v>
      </c>
      <c r="G262" s="940"/>
      <c r="H262" s="940"/>
      <c r="I262" s="940" t="s">
        <v>123</v>
      </c>
      <c r="J262" s="940">
        <v>26.35</v>
      </c>
      <c r="K262" s="1143">
        <v>1500</v>
      </c>
      <c r="L262" s="1143" t="s">
        <v>254</v>
      </c>
      <c r="M262" s="937"/>
      <c r="N262" s="1144"/>
      <c r="O262" s="1145"/>
      <c r="P262" s="940">
        <v>56.4</v>
      </c>
      <c r="Q262" s="1108">
        <v>1486.14</v>
      </c>
      <c r="R262" s="945"/>
      <c r="S262" s="936"/>
      <c r="T262" s="1108">
        <v>33.82</v>
      </c>
      <c r="U262" s="936"/>
      <c r="V262" s="945">
        <v>26.35</v>
      </c>
      <c r="W262" s="1152" t="s">
        <v>695</v>
      </c>
      <c r="X262" s="1152">
        <v>222</v>
      </c>
      <c r="Y262" s="938">
        <v>1</v>
      </c>
      <c r="Z262" s="1091">
        <v>1500</v>
      </c>
      <c r="AA262" s="936"/>
      <c r="AB262" s="936"/>
      <c r="AC262" s="936"/>
      <c r="AD262" s="948">
        <v>2.98823134717084</v>
      </c>
      <c r="AE262" s="1170"/>
      <c r="AF262" s="802" t="str">
        <f>_xlfn.DISPIMG("ID_4D4C0C296FC3440CB2329F1949FC9F95",1)</f>
        <v>=DISPIMG("ID_4D4C0C296FC3440CB2329F1949FC9F95",1)</v>
      </c>
      <c r="AG262" s="1106"/>
      <c r="AH262" s="938"/>
      <c r="AI262" s="1098"/>
      <c r="AJ262" s="938"/>
      <c r="AK262" s="1098"/>
      <c r="AL262" s="945">
        <v>56.4</v>
      </c>
      <c r="AM262" s="945">
        <v>1486.14</v>
      </c>
      <c r="AN262" s="1108"/>
      <c r="AO262" s="1143">
        <v>1500</v>
      </c>
      <c r="AP262" s="1143" t="s">
        <v>254</v>
      </c>
      <c r="AQ262" s="1154" t="s">
        <v>677</v>
      </c>
      <c r="AR262" s="1120">
        <v>45667</v>
      </c>
      <c r="AS262" s="1154" t="s">
        <v>537</v>
      </c>
      <c r="AT262" s="1121">
        <v>45680</v>
      </c>
      <c r="AU262" s="1106" t="s">
        <v>553</v>
      </c>
      <c r="AV262" s="1106" t="s">
        <v>59</v>
      </c>
      <c r="AW262" s="1106" t="s">
        <v>540</v>
      </c>
      <c r="AX262" s="897"/>
      <c r="AY262" s="860"/>
      <c r="AZ262" s="897"/>
    </row>
    <row r="263" ht="118.75" customHeight="1" spans="1:52">
      <c r="A263" s="937">
        <v>59</v>
      </c>
      <c r="B263" s="938">
        <v>5806320000</v>
      </c>
      <c r="C263" s="938">
        <v>580632</v>
      </c>
      <c r="D263" s="940" t="s">
        <v>702</v>
      </c>
      <c r="E263" s="940" t="s">
        <v>789</v>
      </c>
      <c r="F263" s="940" t="s">
        <v>790</v>
      </c>
      <c r="G263" s="940"/>
      <c r="H263" s="940"/>
      <c r="I263" s="940" t="s">
        <v>123</v>
      </c>
      <c r="J263" s="940">
        <v>12</v>
      </c>
      <c r="K263" s="1143">
        <v>3000</v>
      </c>
      <c r="L263" s="1143" t="s">
        <v>254</v>
      </c>
      <c r="M263" s="937"/>
      <c r="N263" s="1144"/>
      <c r="O263" s="1145"/>
      <c r="P263" s="940">
        <v>25</v>
      </c>
      <c r="Q263" s="1108">
        <v>300</v>
      </c>
      <c r="R263" s="945"/>
      <c r="S263" s="936"/>
      <c r="T263" s="1108">
        <v>15.66</v>
      </c>
      <c r="U263" s="936"/>
      <c r="V263" s="945">
        <v>12</v>
      </c>
      <c r="W263" s="1152"/>
      <c r="X263" s="1152">
        <v>224</v>
      </c>
      <c r="Y263" s="938">
        <v>1</v>
      </c>
      <c r="Z263" s="1091">
        <v>3528</v>
      </c>
      <c r="AA263" s="936"/>
      <c r="AB263" s="936"/>
      <c r="AC263" s="936"/>
      <c r="AD263" s="948"/>
      <c r="AE263" s="1170"/>
      <c r="AF263" s="802" t="str">
        <f>_xlfn.DISPIMG("ID_05BF6466991245FB9D31EE07CF4AEB83",1)</f>
        <v>=DISPIMG("ID_05BF6466991245FB9D31EE07CF4AEB83",1)</v>
      </c>
      <c r="AG263" s="1106"/>
      <c r="AH263" s="938"/>
      <c r="AI263" s="1098"/>
      <c r="AJ263" s="938"/>
      <c r="AK263" s="1098"/>
      <c r="AL263" s="945">
        <v>25</v>
      </c>
      <c r="AM263" s="945">
        <v>300</v>
      </c>
      <c r="AN263" s="1108"/>
      <c r="AO263" s="1143">
        <v>3000</v>
      </c>
      <c r="AP263" s="1143" t="s">
        <v>254</v>
      </c>
      <c r="AQ263" s="1154" t="s">
        <v>677</v>
      </c>
      <c r="AR263" s="1120">
        <v>45667</v>
      </c>
      <c r="AS263" s="1154" t="s">
        <v>537</v>
      </c>
      <c r="AT263" s="1121">
        <v>45680</v>
      </c>
      <c r="AU263" s="1106" t="s">
        <v>553</v>
      </c>
      <c r="AV263" s="1106" t="s">
        <v>59</v>
      </c>
      <c r="AW263" s="1106" t="s">
        <v>540</v>
      </c>
      <c r="AX263" s="897"/>
      <c r="AY263" s="860"/>
      <c r="AZ263" s="897"/>
    </row>
    <row r="264" ht="118.75" customHeight="1" spans="1:52">
      <c r="A264" s="937">
        <v>60</v>
      </c>
      <c r="B264" s="938">
        <v>5806320000</v>
      </c>
      <c r="C264" s="938">
        <v>580632</v>
      </c>
      <c r="D264" s="940" t="s">
        <v>702</v>
      </c>
      <c r="E264" s="940" t="s">
        <v>791</v>
      </c>
      <c r="F264" s="940" t="s">
        <v>792</v>
      </c>
      <c r="G264" s="940"/>
      <c r="H264" s="940"/>
      <c r="I264" s="940" t="s">
        <v>123</v>
      </c>
      <c r="J264" s="940">
        <v>11.2</v>
      </c>
      <c r="K264" s="1143">
        <v>3000</v>
      </c>
      <c r="L264" s="1143" t="s">
        <v>254</v>
      </c>
      <c r="M264" s="937"/>
      <c r="N264" s="1144"/>
      <c r="O264" s="1145"/>
      <c r="P264" s="940">
        <v>42.8</v>
      </c>
      <c r="Q264" s="1108">
        <v>479.36</v>
      </c>
      <c r="R264" s="945"/>
      <c r="S264" s="936"/>
      <c r="T264" s="1108">
        <v>15.66</v>
      </c>
      <c r="U264" s="936"/>
      <c r="V264" s="945">
        <v>11.2</v>
      </c>
      <c r="W264" s="1152"/>
      <c r="X264" s="1152"/>
      <c r="Y264" s="938"/>
      <c r="Z264" s="1091">
        <v>3120</v>
      </c>
      <c r="AA264" s="936"/>
      <c r="AB264" s="936"/>
      <c r="AC264" s="936"/>
      <c r="AD264" s="948"/>
      <c r="AE264" s="1170"/>
      <c r="AF264" s="802" t="str">
        <f>_xlfn.DISPIMG("ID_D198073EB648472BA0A08C6CDF4ABF46",1)</f>
        <v>=DISPIMG("ID_D198073EB648472BA0A08C6CDF4ABF46",1)</v>
      </c>
      <c r="AG264" s="1106"/>
      <c r="AH264" s="938"/>
      <c r="AI264" s="1098"/>
      <c r="AJ264" s="938"/>
      <c r="AK264" s="1098"/>
      <c r="AL264" s="945">
        <v>42.8</v>
      </c>
      <c r="AM264" s="945">
        <v>479.36</v>
      </c>
      <c r="AN264" s="1108"/>
      <c r="AO264" s="1143">
        <v>3000</v>
      </c>
      <c r="AP264" s="1143" t="s">
        <v>254</v>
      </c>
      <c r="AQ264" s="1154" t="s">
        <v>677</v>
      </c>
      <c r="AR264" s="1120">
        <v>45667</v>
      </c>
      <c r="AS264" s="1154" t="s">
        <v>537</v>
      </c>
      <c r="AT264" s="1121">
        <v>45680</v>
      </c>
      <c r="AU264" s="1106" t="s">
        <v>553</v>
      </c>
      <c r="AV264" s="1106" t="s">
        <v>59</v>
      </c>
      <c r="AW264" s="1106" t="s">
        <v>540</v>
      </c>
      <c r="AX264" s="897"/>
      <c r="AY264" s="860"/>
      <c r="AZ264" s="897"/>
    </row>
    <row r="265" ht="118.75" customHeight="1" spans="1:52">
      <c r="A265" s="937">
        <v>61</v>
      </c>
      <c r="B265" s="938">
        <v>5806320000</v>
      </c>
      <c r="C265" s="938">
        <v>580632</v>
      </c>
      <c r="D265" s="940" t="s">
        <v>702</v>
      </c>
      <c r="E265" s="940" t="s">
        <v>793</v>
      </c>
      <c r="F265" s="940" t="s">
        <v>794</v>
      </c>
      <c r="G265" s="940"/>
      <c r="H265" s="940"/>
      <c r="I265" s="940" t="s">
        <v>123</v>
      </c>
      <c r="J265" s="940">
        <v>11.9</v>
      </c>
      <c r="K265" s="1143">
        <v>10500</v>
      </c>
      <c r="L265" s="1143" t="s">
        <v>254</v>
      </c>
      <c r="M265" s="937"/>
      <c r="N265" s="1144"/>
      <c r="O265" s="1145"/>
      <c r="P265" s="940">
        <v>21.2</v>
      </c>
      <c r="Q265" s="1108">
        <v>252.28</v>
      </c>
      <c r="R265" s="945"/>
      <c r="S265" s="936"/>
      <c r="T265" s="1108">
        <v>15.36</v>
      </c>
      <c r="U265" s="936"/>
      <c r="V265" s="945">
        <v>11.9</v>
      </c>
      <c r="W265" s="1152"/>
      <c r="X265" s="1152">
        <v>223</v>
      </c>
      <c r="Y265" s="938">
        <v>1</v>
      </c>
      <c r="Z265" s="1091">
        <v>10816</v>
      </c>
      <c r="AA265" s="936"/>
      <c r="AB265" s="936"/>
      <c r="AC265" s="936"/>
      <c r="AD265" s="948"/>
      <c r="AE265" s="1170"/>
      <c r="AF265" s="802" t="str">
        <f>_xlfn.DISPIMG("ID_38FB71E9FC364792B050BB58FC57444B",1)</f>
        <v>=DISPIMG("ID_38FB71E9FC364792B050BB58FC57444B",1)</v>
      </c>
      <c r="AG265" s="1106"/>
      <c r="AH265" s="938"/>
      <c r="AI265" s="1098"/>
      <c r="AJ265" s="938"/>
      <c r="AK265" s="1098"/>
      <c r="AL265" s="945">
        <v>21.2</v>
      </c>
      <c r="AM265" s="945">
        <v>252.28</v>
      </c>
      <c r="AN265" s="1108"/>
      <c r="AO265" s="1143">
        <v>10500</v>
      </c>
      <c r="AP265" s="1143" t="s">
        <v>254</v>
      </c>
      <c r="AQ265" s="1154" t="s">
        <v>677</v>
      </c>
      <c r="AR265" s="1120">
        <v>45667</v>
      </c>
      <c r="AS265" s="1154" t="s">
        <v>537</v>
      </c>
      <c r="AT265" s="1121">
        <v>45680</v>
      </c>
      <c r="AU265" s="1106" t="s">
        <v>553</v>
      </c>
      <c r="AV265" s="1106" t="s">
        <v>59</v>
      </c>
      <c r="AW265" s="1106" t="s">
        <v>540</v>
      </c>
      <c r="AX265" s="897"/>
      <c r="AY265" s="860"/>
      <c r="AZ265" s="897"/>
    </row>
    <row r="266" ht="118.75" customHeight="1" spans="1:52">
      <c r="A266" s="937">
        <v>62</v>
      </c>
      <c r="B266" s="938">
        <v>5806320000</v>
      </c>
      <c r="C266" s="938">
        <v>580632</v>
      </c>
      <c r="D266" s="940" t="s">
        <v>702</v>
      </c>
      <c r="E266" s="940" t="s">
        <v>795</v>
      </c>
      <c r="F266" s="940" t="s">
        <v>796</v>
      </c>
      <c r="G266" s="940"/>
      <c r="H266" s="940"/>
      <c r="I266" s="940" t="s">
        <v>123</v>
      </c>
      <c r="J266" s="940">
        <v>3.65</v>
      </c>
      <c r="K266" s="1143">
        <v>4500</v>
      </c>
      <c r="L266" s="1143" t="s">
        <v>254</v>
      </c>
      <c r="M266" s="937"/>
      <c r="N266" s="1144"/>
      <c r="O266" s="1145"/>
      <c r="P266" s="940">
        <v>83.8</v>
      </c>
      <c r="Q266" s="1108">
        <v>305.87</v>
      </c>
      <c r="R266" s="945"/>
      <c r="S266" s="936"/>
      <c r="T266" s="1108">
        <v>5.92</v>
      </c>
      <c r="U266" s="936"/>
      <c r="V266" s="945">
        <v>3.65</v>
      </c>
      <c r="W266" s="1152"/>
      <c r="X266" s="1152"/>
      <c r="Y266" s="938"/>
      <c r="Z266" s="1091">
        <v>4680</v>
      </c>
      <c r="AA266" s="936"/>
      <c r="AB266" s="936"/>
      <c r="AC266" s="936"/>
      <c r="AD266" s="948"/>
      <c r="AE266" s="1170"/>
      <c r="AF266" s="802" t="str">
        <f>_xlfn.DISPIMG("ID_AD10332B2640427B9D46DE362DA80570",1)</f>
        <v>=DISPIMG("ID_AD10332B2640427B9D46DE362DA80570",1)</v>
      </c>
      <c r="AG266" s="1106"/>
      <c r="AH266" s="938"/>
      <c r="AI266" s="1098"/>
      <c r="AJ266" s="938"/>
      <c r="AK266" s="1098"/>
      <c r="AL266" s="945">
        <v>83.8</v>
      </c>
      <c r="AM266" s="945">
        <v>305.87</v>
      </c>
      <c r="AN266" s="1108"/>
      <c r="AO266" s="1143">
        <v>4500</v>
      </c>
      <c r="AP266" s="1143" t="s">
        <v>254</v>
      </c>
      <c r="AQ266" s="1154" t="s">
        <v>677</v>
      </c>
      <c r="AR266" s="1120">
        <v>45667</v>
      </c>
      <c r="AS266" s="1154" t="s">
        <v>537</v>
      </c>
      <c r="AT266" s="1121">
        <v>45680</v>
      </c>
      <c r="AU266" s="1106" t="s">
        <v>553</v>
      </c>
      <c r="AV266" s="1106" t="s">
        <v>59</v>
      </c>
      <c r="AW266" s="1106" t="s">
        <v>540</v>
      </c>
      <c r="AX266" s="897"/>
      <c r="AY266" s="860"/>
      <c r="AZ266" s="897"/>
    </row>
    <row r="267" ht="118.75" customHeight="1" spans="1:52">
      <c r="A267" s="937">
        <v>63</v>
      </c>
      <c r="B267" s="938">
        <v>5806320000</v>
      </c>
      <c r="C267" s="938">
        <v>580632</v>
      </c>
      <c r="D267" s="940" t="s">
        <v>711</v>
      </c>
      <c r="E267" s="940" t="s">
        <v>756</v>
      </c>
      <c r="F267" s="940" t="s">
        <v>757</v>
      </c>
      <c r="G267" s="940"/>
      <c r="H267" s="940"/>
      <c r="I267" s="940" t="s">
        <v>123</v>
      </c>
      <c r="J267" s="940">
        <v>54</v>
      </c>
      <c r="K267" s="1143">
        <v>1500</v>
      </c>
      <c r="L267" s="1143" t="s">
        <v>254</v>
      </c>
      <c r="M267" s="937"/>
      <c r="N267" s="1144"/>
      <c r="O267" s="1145"/>
      <c r="P267" s="940">
        <v>62.78</v>
      </c>
      <c r="Q267" s="1108">
        <v>3390.12</v>
      </c>
      <c r="R267" s="945"/>
      <c r="S267" s="936"/>
      <c r="T267" s="1108">
        <v>63.62</v>
      </c>
      <c r="U267" s="936"/>
      <c r="V267" s="945">
        <v>54</v>
      </c>
      <c r="W267" s="1152" t="s">
        <v>823</v>
      </c>
      <c r="X267" s="1152" t="s">
        <v>824</v>
      </c>
      <c r="Y267" s="938">
        <v>2</v>
      </c>
      <c r="Z267" s="1091">
        <v>800</v>
      </c>
      <c r="AA267" s="936"/>
      <c r="AB267" s="936"/>
      <c r="AC267" s="936"/>
      <c r="AD267" s="948">
        <v>2.20869273486541</v>
      </c>
      <c r="AE267" s="1170"/>
      <c r="AF267" s="802" t="str">
        <f>_xlfn.DISPIMG("ID_4094650511AF4C4EBB6189883FACBE09",1)</f>
        <v>=DISPIMG("ID_4094650511AF4C4EBB6189883FACBE09",1)</v>
      </c>
      <c r="AG267" s="1106"/>
      <c r="AH267" s="938"/>
      <c r="AI267" s="1098"/>
      <c r="AJ267" s="938"/>
      <c r="AK267" s="1098"/>
      <c r="AL267" s="945">
        <v>62.78</v>
      </c>
      <c r="AM267" s="945">
        <v>3390.12</v>
      </c>
      <c r="AN267" s="1108"/>
      <c r="AO267" s="1143">
        <v>1500</v>
      </c>
      <c r="AP267" s="1143" t="s">
        <v>254</v>
      </c>
      <c r="AQ267" s="1154" t="s">
        <v>677</v>
      </c>
      <c r="AR267" s="1120">
        <v>45667</v>
      </c>
      <c r="AS267" s="1154" t="s">
        <v>537</v>
      </c>
      <c r="AT267" s="1121">
        <v>45680</v>
      </c>
      <c r="AU267" s="1106" t="s">
        <v>553</v>
      </c>
      <c r="AV267" s="1106" t="s">
        <v>59</v>
      </c>
      <c r="AW267" s="1106" t="s">
        <v>540</v>
      </c>
      <c r="AX267" s="897"/>
      <c r="AY267" s="860"/>
      <c r="AZ267" s="897"/>
    </row>
    <row r="268" ht="118.75" customHeight="1" spans="1:52">
      <c r="A268" s="937">
        <v>64</v>
      </c>
      <c r="B268" s="938">
        <v>5806320000</v>
      </c>
      <c r="C268" s="938">
        <v>580632</v>
      </c>
      <c r="D268" s="940" t="s">
        <v>711</v>
      </c>
      <c r="E268" s="940" t="s">
        <v>762</v>
      </c>
      <c r="F268" s="940" t="s">
        <v>763</v>
      </c>
      <c r="G268" s="940"/>
      <c r="H268" s="940"/>
      <c r="I268" s="940" t="s">
        <v>123</v>
      </c>
      <c r="J268" s="940">
        <v>43.5</v>
      </c>
      <c r="K268" s="1143">
        <v>1500</v>
      </c>
      <c r="L268" s="1143" t="s">
        <v>254</v>
      </c>
      <c r="M268" s="937"/>
      <c r="N268" s="1144"/>
      <c r="O268" s="1145"/>
      <c r="P268" s="940">
        <v>57.6</v>
      </c>
      <c r="Q268" s="1108">
        <v>2505.6</v>
      </c>
      <c r="R268" s="945"/>
      <c r="S268" s="936"/>
      <c r="T268" s="1108">
        <v>52.42</v>
      </c>
      <c r="U268" s="936"/>
      <c r="V268" s="945">
        <v>43.5</v>
      </c>
      <c r="W268" s="1152"/>
      <c r="X268" s="1152">
        <v>140</v>
      </c>
      <c r="Y268" s="938">
        <v>1</v>
      </c>
      <c r="Z268" s="1091">
        <v>1575</v>
      </c>
      <c r="AA268" s="936"/>
      <c r="AB268" s="936"/>
      <c r="AC268" s="936"/>
      <c r="AD268" s="948"/>
      <c r="AE268" s="1170"/>
      <c r="AF268" s="802" t="str">
        <f>_xlfn.DISPIMG("ID_9E0C9A2C62B849EE83B23EFC21D2F73E",1)</f>
        <v>=DISPIMG("ID_9E0C9A2C62B849EE83B23EFC21D2F73E",1)</v>
      </c>
      <c r="AG268" s="1106"/>
      <c r="AH268" s="938"/>
      <c r="AI268" s="1098"/>
      <c r="AJ268" s="938"/>
      <c r="AK268" s="1098"/>
      <c r="AL268" s="945">
        <v>57.6</v>
      </c>
      <c r="AM268" s="945">
        <v>2505.6</v>
      </c>
      <c r="AN268" s="1108"/>
      <c r="AO268" s="1143">
        <v>1500</v>
      </c>
      <c r="AP268" s="1143" t="s">
        <v>254</v>
      </c>
      <c r="AQ268" s="1154" t="s">
        <v>677</v>
      </c>
      <c r="AR268" s="1120">
        <v>45667</v>
      </c>
      <c r="AS268" s="1154" t="s">
        <v>537</v>
      </c>
      <c r="AT268" s="1121">
        <v>45680</v>
      </c>
      <c r="AU268" s="1106" t="s">
        <v>553</v>
      </c>
      <c r="AV268" s="1106" t="s">
        <v>59</v>
      </c>
      <c r="AW268" s="1106" t="s">
        <v>540</v>
      </c>
      <c r="AX268" s="897"/>
      <c r="AY268" s="860"/>
      <c r="AZ268" s="897"/>
    </row>
    <row r="269" ht="118.75" customHeight="1" spans="1:52">
      <c r="A269" s="937">
        <v>65</v>
      </c>
      <c r="B269" s="938">
        <v>5806320000</v>
      </c>
      <c r="C269" s="938">
        <v>580632</v>
      </c>
      <c r="D269" s="940" t="s">
        <v>711</v>
      </c>
      <c r="E269" s="940" t="s">
        <v>825</v>
      </c>
      <c r="F269" s="940" t="s">
        <v>765</v>
      </c>
      <c r="G269" s="940"/>
      <c r="H269" s="940"/>
      <c r="I269" s="940" t="s">
        <v>123</v>
      </c>
      <c r="J269" s="940">
        <v>58.5</v>
      </c>
      <c r="K269" s="1143">
        <v>1500</v>
      </c>
      <c r="L269" s="1143" t="s">
        <v>254</v>
      </c>
      <c r="M269" s="937"/>
      <c r="N269" s="1144"/>
      <c r="O269" s="1145"/>
      <c r="P269" s="940">
        <v>29.5</v>
      </c>
      <c r="Q269" s="1108">
        <v>1725.75</v>
      </c>
      <c r="R269" s="945"/>
      <c r="S269" s="936"/>
      <c r="T269" s="1108">
        <v>89.74</v>
      </c>
      <c r="U269" s="936"/>
      <c r="V269" s="945">
        <v>58.5</v>
      </c>
      <c r="W269" s="1152" t="s">
        <v>826</v>
      </c>
      <c r="X269" s="1152" t="s">
        <v>827</v>
      </c>
      <c r="Y269" s="938">
        <v>8</v>
      </c>
      <c r="Z269" s="1091">
        <v>250</v>
      </c>
      <c r="AA269" s="936"/>
      <c r="AB269" s="936"/>
      <c r="AC269" s="936"/>
      <c r="AD269" s="948">
        <v>3.11815444922175</v>
      </c>
      <c r="AE269" s="1170">
        <v>3.12</v>
      </c>
      <c r="AF269" s="802" t="str">
        <f>_xlfn.DISPIMG("ID_D1ABBAD46FC64DC3BCB0094B7A7C877F",1)</f>
        <v>=DISPIMG("ID_D1ABBAD46FC64DC3BCB0094B7A7C877F",1)</v>
      </c>
      <c r="AG269" s="1106"/>
      <c r="AH269" s="938"/>
      <c r="AI269" s="1098"/>
      <c r="AJ269" s="938"/>
      <c r="AK269" s="1098"/>
      <c r="AL269" s="945">
        <v>29.5</v>
      </c>
      <c r="AM269" s="945">
        <v>1725.75</v>
      </c>
      <c r="AN269" s="1108"/>
      <c r="AO269" s="1143">
        <v>1500</v>
      </c>
      <c r="AP269" s="1143" t="s">
        <v>254</v>
      </c>
      <c r="AQ269" s="1154" t="s">
        <v>677</v>
      </c>
      <c r="AR269" s="1120">
        <v>45667</v>
      </c>
      <c r="AS269" s="1154" t="s">
        <v>537</v>
      </c>
      <c r="AT269" s="1121">
        <v>45680</v>
      </c>
      <c r="AU269" s="1106" t="s">
        <v>553</v>
      </c>
      <c r="AV269" s="1106" t="s">
        <v>59</v>
      </c>
      <c r="AW269" s="1106" t="s">
        <v>540</v>
      </c>
      <c r="AX269" s="897"/>
      <c r="AY269" s="860"/>
      <c r="AZ269" s="897"/>
    </row>
    <row r="270" ht="118.75" customHeight="1" spans="1:52">
      <c r="A270" s="937">
        <v>66</v>
      </c>
      <c r="B270" s="938">
        <v>5806320000</v>
      </c>
      <c r="C270" s="938">
        <v>580632</v>
      </c>
      <c r="D270" s="940" t="s">
        <v>711</v>
      </c>
      <c r="E270" s="940" t="s">
        <v>828</v>
      </c>
      <c r="F270" s="940" t="s">
        <v>768</v>
      </c>
      <c r="G270" s="940"/>
      <c r="H270" s="940"/>
      <c r="I270" s="940" t="s">
        <v>123</v>
      </c>
      <c r="J270" s="940">
        <v>58.5</v>
      </c>
      <c r="K270" s="1143">
        <v>1500</v>
      </c>
      <c r="L270" s="1143" t="s">
        <v>254</v>
      </c>
      <c r="M270" s="937"/>
      <c r="N270" s="1144"/>
      <c r="O270" s="1145"/>
      <c r="P270" s="940">
        <v>24.62</v>
      </c>
      <c r="Q270" s="1108">
        <v>1440.27</v>
      </c>
      <c r="R270" s="945"/>
      <c r="S270" s="936"/>
      <c r="T270" s="1108">
        <v>76.48</v>
      </c>
      <c r="U270" s="936"/>
      <c r="V270" s="945">
        <v>58.5</v>
      </c>
      <c r="W270" s="1152"/>
      <c r="X270" s="1152" t="s">
        <v>829</v>
      </c>
      <c r="Y270" s="938">
        <v>13</v>
      </c>
      <c r="Z270" s="1091">
        <v>150</v>
      </c>
      <c r="AA270" s="936"/>
      <c r="AB270" s="936"/>
      <c r="AC270" s="936"/>
      <c r="AD270" s="948"/>
      <c r="AE270" s="1170"/>
      <c r="AF270" s="802" t="str">
        <f>_xlfn.DISPIMG("ID_0B375358699843A6BD8277B2C1623C9F",1)</f>
        <v>=DISPIMG("ID_0B375358699843A6BD8277B2C1623C9F",1)</v>
      </c>
      <c r="AG270" s="1106"/>
      <c r="AH270" s="938"/>
      <c r="AI270" s="1098"/>
      <c r="AJ270" s="938"/>
      <c r="AK270" s="1098"/>
      <c r="AL270" s="945">
        <v>24.62</v>
      </c>
      <c r="AM270" s="945">
        <v>1440.27</v>
      </c>
      <c r="AN270" s="1108"/>
      <c r="AO270" s="1143">
        <v>1500</v>
      </c>
      <c r="AP270" s="1143" t="s">
        <v>254</v>
      </c>
      <c r="AQ270" s="1154" t="s">
        <v>677</v>
      </c>
      <c r="AR270" s="1120">
        <v>45667</v>
      </c>
      <c r="AS270" s="1154" t="s">
        <v>537</v>
      </c>
      <c r="AT270" s="1121">
        <v>45680</v>
      </c>
      <c r="AU270" s="1106" t="s">
        <v>553</v>
      </c>
      <c r="AV270" s="1106" t="s">
        <v>59</v>
      </c>
      <c r="AW270" s="1106" t="s">
        <v>540</v>
      </c>
      <c r="AX270" s="897"/>
      <c r="AY270" s="860"/>
      <c r="AZ270" s="897"/>
    </row>
    <row r="271" ht="118.75" customHeight="1" spans="1:52">
      <c r="A271" s="937">
        <v>67</v>
      </c>
      <c r="B271" s="938">
        <v>5806320000</v>
      </c>
      <c r="C271" s="938">
        <v>580632</v>
      </c>
      <c r="D271" s="940" t="s">
        <v>711</v>
      </c>
      <c r="E271" s="940" t="s">
        <v>830</v>
      </c>
      <c r="F271" s="940" t="s">
        <v>772</v>
      </c>
      <c r="G271" s="940"/>
      <c r="H271" s="940"/>
      <c r="I271" s="940" t="s">
        <v>123</v>
      </c>
      <c r="J271" s="940">
        <v>112.5</v>
      </c>
      <c r="K271" s="1143">
        <v>4500</v>
      </c>
      <c r="L271" s="1143" t="s">
        <v>254</v>
      </c>
      <c r="M271" s="937"/>
      <c r="N271" s="1144"/>
      <c r="O271" s="1145"/>
      <c r="P271" s="940">
        <v>54</v>
      </c>
      <c r="Q271" s="1108">
        <v>6075</v>
      </c>
      <c r="R271" s="945"/>
      <c r="S271" s="936"/>
      <c r="T271" s="1108">
        <v>150.27</v>
      </c>
      <c r="U271" s="936"/>
      <c r="V271" s="945">
        <v>112.5</v>
      </c>
      <c r="W271" s="1152" t="s">
        <v>831</v>
      </c>
      <c r="X271" s="1152" t="s">
        <v>832</v>
      </c>
      <c r="Y271" s="938">
        <v>23</v>
      </c>
      <c r="Z271" s="1091">
        <v>250</v>
      </c>
      <c r="AA271" s="936"/>
      <c r="AB271" s="936"/>
      <c r="AC271" s="936"/>
      <c r="AD271" s="948">
        <v>2.72838514306903</v>
      </c>
      <c r="AE271" s="1170">
        <v>2.73</v>
      </c>
      <c r="AF271" s="802" t="str">
        <f>_xlfn.DISPIMG("ID_81F636D69D964285844D82E236D348F5",1)</f>
        <v>=DISPIMG("ID_81F636D69D964285844D82E236D348F5",1)</v>
      </c>
      <c r="AG271" s="1106"/>
      <c r="AH271" s="938"/>
      <c r="AI271" s="1098"/>
      <c r="AJ271" s="938"/>
      <c r="AK271" s="1098"/>
      <c r="AL271" s="945">
        <v>54</v>
      </c>
      <c r="AM271" s="945">
        <v>6075</v>
      </c>
      <c r="AN271" s="1108"/>
      <c r="AO271" s="1143">
        <v>4500</v>
      </c>
      <c r="AP271" s="1143" t="s">
        <v>254</v>
      </c>
      <c r="AQ271" s="1154" t="s">
        <v>677</v>
      </c>
      <c r="AR271" s="1120">
        <v>45667</v>
      </c>
      <c r="AS271" s="1154" t="s">
        <v>537</v>
      </c>
      <c r="AT271" s="1121">
        <v>45680</v>
      </c>
      <c r="AU271" s="1106" t="s">
        <v>553</v>
      </c>
      <c r="AV271" s="1106" t="s">
        <v>59</v>
      </c>
      <c r="AW271" s="1106" t="s">
        <v>540</v>
      </c>
      <c r="AX271" s="897"/>
      <c r="AY271" s="860"/>
      <c r="AZ271" s="897"/>
    </row>
    <row r="272" ht="118.75" customHeight="1" spans="1:52">
      <c r="A272" s="937">
        <v>68</v>
      </c>
      <c r="B272" s="938">
        <v>5806320000</v>
      </c>
      <c r="C272" s="938">
        <v>580632</v>
      </c>
      <c r="D272" s="940" t="s">
        <v>711</v>
      </c>
      <c r="E272" s="940" t="s">
        <v>833</v>
      </c>
      <c r="F272" s="940" t="s">
        <v>776</v>
      </c>
      <c r="G272" s="940"/>
      <c r="H272" s="940"/>
      <c r="I272" s="940" t="s">
        <v>123</v>
      </c>
      <c r="J272" s="940">
        <v>39</v>
      </c>
      <c r="K272" s="1143">
        <v>1500</v>
      </c>
      <c r="L272" s="1143" t="s">
        <v>254</v>
      </c>
      <c r="M272" s="937"/>
      <c r="N272" s="1144"/>
      <c r="O272" s="1145"/>
      <c r="P272" s="940">
        <v>33.46</v>
      </c>
      <c r="Q272" s="1108">
        <v>1304.94</v>
      </c>
      <c r="R272" s="945"/>
      <c r="S272" s="936"/>
      <c r="T272" s="1108">
        <v>51.74</v>
      </c>
      <c r="U272" s="936"/>
      <c r="V272" s="945">
        <v>39</v>
      </c>
      <c r="W272" s="1152" t="s">
        <v>823</v>
      </c>
      <c r="X272" s="1152" t="s">
        <v>834</v>
      </c>
      <c r="Y272" s="938">
        <v>8</v>
      </c>
      <c r="Z272" s="1091">
        <v>250</v>
      </c>
      <c r="AA272" s="936"/>
      <c r="AB272" s="936"/>
      <c r="AC272" s="936"/>
      <c r="AD272" s="948">
        <v>2.20869273486541</v>
      </c>
      <c r="AE272" s="1170"/>
      <c r="AF272" s="802" t="str">
        <f>_xlfn.DISPIMG("ID_88951E0A2AAA408E9BD062AC8F6FBCD7",1)</f>
        <v>=DISPIMG("ID_88951E0A2AAA408E9BD062AC8F6FBCD7",1)</v>
      </c>
      <c r="AG272" s="1106"/>
      <c r="AH272" s="938"/>
      <c r="AI272" s="1098"/>
      <c r="AJ272" s="938"/>
      <c r="AK272" s="1098"/>
      <c r="AL272" s="945">
        <v>33.46</v>
      </c>
      <c r="AM272" s="945">
        <v>1304.94</v>
      </c>
      <c r="AN272" s="1108"/>
      <c r="AO272" s="1143">
        <v>1500</v>
      </c>
      <c r="AP272" s="1143" t="s">
        <v>254</v>
      </c>
      <c r="AQ272" s="1154" t="s">
        <v>677</v>
      </c>
      <c r="AR272" s="1120">
        <v>45667</v>
      </c>
      <c r="AS272" s="1154" t="s">
        <v>537</v>
      </c>
      <c r="AT272" s="1121">
        <v>45680</v>
      </c>
      <c r="AU272" s="1106" t="s">
        <v>553</v>
      </c>
      <c r="AV272" s="1106" t="s">
        <v>59</v>
      </c>
      <c r="AW272" s="1106" t="s">
        <v>540</v>
      </c>
      <c r="AX272" s="897"/>
      <c r="AY272" s="860"/>
      <c r="AZ272" s="897"/>
    </row>
    <row r="273" ht="118.75" customHeight="1" spans="1:52">
      <c r="A273" s="937">
        <v>69</v>
      </c>
      <c r="B273" s="938">
        <v>5806320000</v>
      </c>
      <c r="C273" s="938">
        <v>580632</v>
      </c>
      <c r="D273" s="940" t="s">
        <v>711</v>
      </c>
      <c r="E273" s="940" t="s">
        <v>835</v>
      </c>
      <c r="F273" s="940" t="s">
        <v>779</v>
      </c>
      <c r="G273" s="940"/>
      <c r="H273" s="940"/>
      <c r="I273" s="940" t="s">
        <v>123</v>
      </c>
      <c r="J273" s="940">
        <v>3</v>
      </c>
      <c r="K273" s="1143">
        <v>1500</v>
      </c>
      <c r="L273" s="1143" t="s">
        <v>254</v>
      </c>
      <c r="M273" s="937"/>
      <c r="N273" s="1144"/>
      <c r="O273" s="1145"/>
      <c r="P273" s="940">
        <v>40</v>
      </c>
      <c r="Q273" s="1108">
        <v>120</v>
      </c>
      <c r="R273" s="945"/>
      <c r="S273" s="936"/>
      <c r="T273" s="1108">
        <v>7.08</v>
      </c>
      <c r="U273" s="936"/>
      <c r="V273" s="945">
        <v>3</v>
      </c>
      <c r="W273" s="1152"/>
      <c r="X273" s="1152">
        <v>139</v>
      </c>
      <c r="Y273" s="938">
        <v>1</v>
      </c>
      <c r="Z273" s="1091">
        <v>1575</v>
      </c>
      <c r="AA273" s="936"/>
      <c r="AB273" s="936"/>
      <c r="AC273" s="936"/>
      <c r="AD273" s="948"/>
      <c r="AE273" s="1170"/>
      <c r="AF273" s="802" t="str">
        <f>_xlfn.DISPIMG("ID_D044E856A2F04AE79868BEF880CF4156",1)</f>
        <v>=DISPIMG("ID_D044E856A2F04AE79868BEF880CF4156",1)</v>
      </c>
      <c r="AG273" s="1106"/>
      <c r="AH273" s="938"/>
      <c r="AI273" s="1098"/>
      <c r="AJ273" s="938"/>
      <c r="AK273" s="1098"/>
      <c r="AL273" s="945">
        <v>40</v>
      </c>
      <c r="AM273" s="945">
        <v>120</v>
      </c>
      <c r="AN273" s="1108"/>
      <c r="AO273" s="1143">
        <v>1500</v>
      </c>
      <c r="AP273" s="1143" t="s">
        <v>254</v>
      </c>
      <c r="AQ273" s="1154" t="s">
        <v>677</v>
      </c>
      <c r="AR273" s="1120">
        <v>45667</v>
      </c>
      <c r="AS273" s="1154" t="s">
        <v>537</v>
      </c>
      <c r="AT273" s="1121">
        <v>45680</v>
      </c>
      <c r="AU273" s="1106" t="s">
        <v>553</v>
      </c>
      <c r="AV273" s="1106" t="s">
        <v>59</v>
      </c>
      <c r="AW273" s="1106" t="s">
        <v>540</v>
      </c>
      <c r="AX273" s="897"/>
      <c r="AY273" s="860"/>
      <c r="AZ273" s="897"/>
    </row>
    <row r="274" ht="118.75" customHeight="1" spans="1:52">
      <c r="A274" s="937">
        <v>70</v>
      </c>
      <c r="B274" s="938">
        <v>5806320000</v>
      </c>
      <c r="C274" s="938">
        <v>580632</v>
      </c>
      <c r="D274" s="940" t="s">
        <v>711</v>
      </c>
      <c r="E274" s="940" t="s">
        <v>836</v>
      </c>
      <c r="F274" s="940" t="s">
        <v>837</v>
      </c>
      <c r="G274" s="940"/>
      <c r="H274" s="940"/>
      <c r="I274" s="940" t="s">
        <v>123</v>
      </c>
      <c r="J274" s="940">
        <v>15</v>
      </c>
      <c r="K274" s="1143">
        <v>3000</v>
      </c>
      <c r="L274" s="1143" t="s">
        <v>254</v>
      </c>
      <c r="M274" s="937"/>
      <c r="N274" s="1144"/>
      <c r="O274" s="1145"/>
      <c r="P274" s="940">
        <v>256</v>
      </c>
      <c r="Q274" s="1108">
        <v>3840</v>
      </c>
      <c r="R274" s="945"/>
      <c r="S274" s="936"/>
      <c r="T274" s="1108">
        <v>18.4</v>
      </c>
      <c r="U274" s="936"/>
      <c r="V274" s="945">
        <v>15</v>
      </c>
      <c r="W274" s="1152"/>
      <c r="X274" s="1152" t="s">
        <v>838</v>
      </c>
      <c r="Y274" s="938">
        <v>2</v>
      </c>
      <c r="Z274" s="1091">
        <v>3344</v>
      </c>
      <c r="AA274" s="936"/>
      <c r="AB274" s="936"/>
      <c r="AC274" s="936"/>
      <c r="AD274" s="948"/>
      <c r="AE274" s="1170"/>
      <c r="AF274" s="802" t="str">
        <f>_xlfn.DISPIMG("ID_E67E1A568C4349ACB11E29108C0F1C8E",1)</f>
        <v>=DISPIMG("ID_E67E1A568C4349ACB11E29108C0F1C8E",1)</v>
      </c>
      <c r="AG274" s="1106"/>
      <c r="AH274" s="938"/>
      <c r="AI274" s="1098"/>
      <c r="AJ274" s="938"/>
      <c r="AK274" s="1098"/>
      <c r="AL274" s="945">
        <v>256</v>
      </c>
      <c r="AM274" s="945">
        <v>3840</v>
      </c>
      <c r="AN274" s="1108"/>
      <c r="AO274" s="1143">
        <v>3000</v>
      </c>
      <c r="AP274" s="1143" t="s">
        <v>254</v>
      </c>
      <c r="AQ274" s="1154" t="s">
        <v>677</v>
      </c>
      <c r="AR274" s="1120">
        <v>45667</v>
      </c>
      <c r="AS274" s="1154" t="s">
        <v>537</v>
      </c>
      <c r="AT274" s="1121">
        <v>45680</v>
      </c>
      <c r="AU274" s="1106" t="s">
        <v>553</v>
      </c>
      <c r="AV274" s="1106" t="s">
        <v>59</v>
      </c>
      <c r="AW274" s="1106" t="s">
        <v>540</v>
      </c>
      <c r="AX274" s="897"/>
      <c r="AY274" s="860"/>
      <c r="AZ274" s="897"/>
    </row>
    <row r="275" ht="118.75" customHeight="1" spans="1:52">
      <c r="A275" s="937">
        <v>71</v>
      </c>
      <c r="B275" s="938">
        <v>5806320000</v>
      </c>
      <c r="C275" s="938">
        <v>580632</v>
      </c>
      <c r="D275" s="940" t="s">
        <v>711</v>
      </c>
      <c r="E275" s="940" t="s">
        <v>839</v>
      </c>
      <c r="F275" s="940" t="s">
        <v>840</v>
      </c>
      <c r="G275" s="940"/>
      <c r="H275" s="940"/>
      <c r="I275" s="940" t="s">
        <v>123</v>
      </c>
      <c r="J275" s="940">
        <v>102</v>
      </c>
      <c r="K275" s="1143">
        <v>3000</v>
      </c>
      <c r="L275" s="1143" t="s">
        <v>254</v>
      </c>
      <c r="M275" s="937"/>
      <c r="N275" s="1144"/>
      <c r="O275" s="1145"/>
      <c r="P275" s="940">
        <v>8.24</v>
      </c>
      <c r="Q275" s="1108">
        <v>840.48</v>
      </c>
      <c r="R275" s="945"/>
      <c r="S275" s="936"/>
      <c r="T275" s="1108">
        <v>143.86</v>
      </c>
      <c r="U275" s="936"/>
      <c r="V275" s="945">
        <v>102</v>
      </c>
      <c r="W275" s="1152" t="s">
        <v>841</v>
      </c>
      <c r="X275" s="1152" t="s">
        <v>842</v>
      </c>
      <c r="Y275" s="938">
        <v>18</v>
      </c>
      <c r="Z275" s="1091">
        <v>200</v>
      </c>
      <c r="AA275" s="936"/>
      <c r="AB275" s="936"/>
      <c r="AC275" s="936"/>
      <c r="AD275" s="948">
        <v>2.20869273486541</v>
      </c>
      <c r="AE275" s="1170">
        <v>2.21</v>
      </c>
      <c r="AF275" s="802" t="str">
        <f>_xlfn.DISPIMG("ID_D764EB359E584733828AB82A8997B97A",1)</f>
        <v>=DISPIMG("ID_D764EB359E584733828AB82A8997B97A",1)</v>
      </c>
      <c r="AG275" s="1106"/>
      <c r="AH275" s="938"/>
      <c r="AI275" s="1098"/>
      <c r="AJ275" s="938"/>
      <c r="AK275" s="1098"/>
      <c r="AL275" s="945">
        <v>8.24</v>
      </c>
      <c r="AM275" s="945">
        <v>840.48</v>
      </c>
      <c r="AN275" s="1108"/>
      <c r="AO275" s="1143">
        <v>3000</v>
      </c>
      <c r="AP275" s="1143" t="s">
        <v>254</v>
      </c>
      <c r="AQ275" s="1154" t="s">
        <v>677</v>
      </c>
      <c r="AR275" s="1120">
        <v>45667</v>
      </c>
      <c r="AS275" s="1154" t="s">
        <v>537</v>
      </c>
      <c r="AT275" s="1121">
        <v>45680</v>
      </c>
      <c r="AU275" s="1106" t="s">
        <v>553</v>
      </c>
      <c r="AV275" s="1106" t="s">
        <v>59</v>
      </c>
      <c r="AW275" s="1106" t="s">
        <v>540</v>
      </c>
      <c r="AX275" s="897"/>
      <c r="AY275" s="860"/>
      <c r="AZ275" s="897"/>
    </row>
    <row r="276" ht="118.75" customHeight="1" spans="1:52">
      <c r="A276" s="937">
        <v>72</v>
      </c>
      <c r="B276" s="938">
        <v>5806320000</v>
      </c>
      <c r="C276" s="938">
        <v>580632</v>
      </c>
      <c r="D276" s="940" t="s">
        <v>711</v>
      </c>
      <c r="E276" s="940" t="s">
        <v>787</v>
      </c>
      <c r="F276" s="940" t="s">
        <v>788</v>
      </c>
      <c r="G276" s="940"/>
      <c r="H276" s="940"/>
      <c r="I276" s="940" t="s">
        <v>123</v>
      </c>
      <c r="J276" s="940">
        <v>26.35</v>
      </c>
      <c r="K276" s="1143">
        <v>1500</v>
      </c>
      <c r="L276" s="1143" t="s">
        <v>254</v>
      </c>
      <c r="M276" s="937"/>
      <c r="N276" s="1144"/>
      <c r="O276" s="1145"/>
      <c r="P276" s="940">
        <v>56.4</v>
      </c>
      <c r="Q276" s="1108">
        <v>1486.14</v>
      </c>
      <c r="R276" s="945"/>
      <c r="S276" s="936"/>
      <c r="T276" s="1108">
        <v>39.58</v>
      </c>
      <c r="U276" s="936"/>
      <c r="V276" s="945">
        <v>26.35</v>
      </c>
      <c r="W276" s="1152" t="s">
        <v>823</v>
      </c>
      <c r="X276" s="1152">
        <v>145</v>
      </c>
      <c r="Y276" s="938">
        <v>1</v>
      </c>
      <c r="Z276" s="1091">
        <v>1500</v>
      </c>
      <c r="AA276" s="936"/>
      <c r="AB276" s="936"/>
      <c r="AC276" s="936"/>
      <c r="AD276" s="948">
        <v>2.20869273486541</v>
      </c>
      <c r="AE276" s="1170">
        <v>2.21</v>
      </c>
      <c r="AF276" s="802" t="str">
        <f>_xlfn.DISPIMG("ID_A675033A5A3545F6B308E15EB5884063",1)</f>
        <v>=DISPIMG("ID_A675033A5A3545F6B308E15EB5884063",1)</v>
      </c>
      <c r="AG276" s="1106"/>
      <c r="AH276" s="938"/>
      <c r="AI276" s="1098"/>
      <c r="AJ276" s="938"/>
      <c r="AK276" s="1098"/>
      <c r="AL276" s="945">
        <v>56.4</v>
      </c>
      <c r="AM276" s="945">
        <v>1486.14</v>
      </c>
      <c r="AN276" s="1108"/>
      <c r="AO276" s="1143">
        <v>1500</v>
      </c>
      <c r="AP276" s="1143" t="s">
        <v>254</v>
      </c>
      <c r="AQ276" s="1154" t="s">
        <v>677</v>
      </c>
      <c r="AR276" s="1120">
        <v>45667</v>
      </c>
      <c r="AS276" s="1154" t="s">
        <v>537</v>
      </c>
      <c r="AT276" s="1121">
        <v>45680</v>
      </c>
      <c r="AU276" s="1106" t="s">
        <v>553</v>
      </c>
      <c r="AV276" s="1106" t="s">
        <v>59</v>
      </c>
      <c r="AW276" s="1106" t="s">
        <v>540</v>
      </c>
      <c r="AX276" s="897"/>
      <c r="AY276" s="860"/>
      <c r="AZ276" s="897"/>
    </row>
    <row r="277" ht="118.75" customHeight="1" spans="1:52">
      <c r="A277" s="937">
        <v>73</v>
      </c>
      <c r="B277" s="938">
        <v>5806320000</v>
      </c>
      <c r="C277" s="938">
        <v>580632</v>
      </c>
      <c r="D277" s="940" t="s">
        <v>711</v>
      </c>
      <c r="E277" s="940" t="s">
        <v>789</v>
      </c>
      <c r="F277" s="940" t="s">
        <v>790</v>
      </c>
      <c r="G277" s="940"/>
      <c r="H277" s="940"/>
      <c r="I277" s="940" t="s">
        <v>123</v>
      </c>
      <c r="J277" s="940">
        <v>12</v>
      </c>
      <c r="K277" s="1143">
        <v>3000</v>
      </c>
      <c r="L277" s="1143" t="s">
        <v>254</v>
      </c>
      <c r="M277" s="937"/>
      <c r="N277" s="1144"/>
      <c r="O277" s="1145"/>
      <c r="P277" s="940">
        <v>25</v>
      </c>
      <c r="Q277" s="1108">
        <v>300</v>
      </c>
      <c r="R277" s="945"/>
      <c r="S277" s="936"/>
      <c r="T277" s="1108">
        <v>15.56</v>
      </c>
      <c r="U277" s="936"/>
      <c r="V277" s="945">
        <v>12</v>
      </c>
      <c r="W277" s="1152"/>
      <c r="X277" s="1152">
        <v>143</v>
      </c>
      <c r="Y277" s="938">
        <v>1</v>
      </c>
      <c r="Z277" s="1091">
        <v>3528</v>
      </c>
      <c r="AA277" s="936"/>
      <c r="AB277" s="936"/>
      <c r="AC277" s="936"/>
      <c r="AD277" s="948"/>
      <c r="AE277" s="1170"/>
      <c r="AF277" s="802" t="str">
        <f>_xlfn.DISPIMG("ID_7B8351D3495F4CA18B1D5B69CDC79ABC",1)</f>
        <v>=DISPIMG("ID_7B8351D3495F4CA18B1D5B69CDC79ABC",1)</v>
      </c>
      <c r="AG277" s="1106"/>
      <c r="AH277" s="938" t="s">
        <v>843</v>
      </c>
      <c r="AI277" s="1098">
        <v>45631</v>
      </c>
      <c r="AJ277" s="938" t="s">
        <v>844</v>
      </c>
      <c r="AK277" s="1098">
        <v>45631</v>
      </c>
      <c r="AL277" s="945">
        <v>25</v>
      </c>
      <c r="AM277" s="945">
        <v>300</v>
      </c>
      <c r="AN277" s="1108">
        <v>25459.66</v>
      </c>
      <c r="AO277" s="1143">
        <v>3000</v>
      </c>
      <c r="AP277" s="1143" t="s">
        <v>254</v>
      </c>
      <c r="AQ277" s="1154" t="s">
        <v>677</v>
      </c>
      <c r="AR277" s="1120">
        <v>45667</v>
      </c>
      <c r="AS277" s="1154" t="s">
        <v>537</v>
      </c>
      <c r="AT277" s="1121">
        <v>45680</v>
      </c>
      <c r="AU277" s="1106" t="s">
        <v>553</v>
      </c>
      <c r="AV277" s="1106" t="s">
        <v>59</v>
      </c>
      <c r="AW277" s="1106" t="s">
        <v>540</v>
      </c>
      <c r="AX277" s="897"/>
      <c r="AY277" s="860"/>
      <c r="AZ277" s="897"/>
    </row>
    <row r="278" ht="118.75" customHeight="1" spans="1:52">
      <c r="A278" s="937">
        <v>74</v>
      </c>
      <c r="B278" s="938">
        <v>5806320000</v>
      </c>
      <c r="C278" s="938">
        <v>580632</v>
      </c>
      <c r="D278" s="940" t="s">
        <v>711</v>
      </c>
      <c r="E278" s="940" t="s">
        <v>791</v>
      </c>
      <c r="F278" s="940" t="s">
        <v>792</v>
      </c>
      <c r="G278" s="940"/>
      <c r="H278" s="940"/>
      <c r="I278" s="940" t="s">
        <v>123</v>
      </c>
      <c r="J278" s="940">
        <v>11.2</v>
      </c>
      <c r="K278" s="1143">
        <v>3000</v>
      </c>
      <c r="L278" s="1143" t="s">
        <v>254</v>
      </c>
      <c r="M278" s="937"/>
      <c r="N278" s="1144"/>
      <c r="O278" s="1145"/>
      <c r="P278" s="940">
        <v>42.8</v>
      </c>
      <c r="Q278" s="1108">
        <v>479.36</v>
      </c>
      <c r="R278" s="945"/>
      <c r="S278" s="936"/>
      <c r="T278" s="1108">
        <v>15.2</v>
      </c>
      <c r="U278" s="936"/>
      <c r="V278" s="945">
        <v>11.2</v>
      </c>
      <c r="W278" s="1152"/>
      <c r="X278" s="1152"/>
      <c r="Y278" s="938"/>
      <c r="Z278" s="1091">
        <v>3120</v>
      </c>
      <c r="AA278" s="936"/>
      <c r="AB278" s="936"/>
      <c r="AC278" s="936"/>
      <c r="AD278" s="948"/>
      <c r="AE278" s="1170"/>
      <c r="AF278" s="802" t="str">
        <f>_xlfn.DISPIMG("ID_34899AC523254F94A69178274B969F00",1)</f>
        <v>=DISPIMG("ID_34899AC523254F94A69178274B969F00",1)</v>
      </c>
      <c r="AG278" s="1106"/>
      <c r="AH278" s="938"/>
      <c r="AI278" s="1098"/>
      <c r="AJ278" s="938"/>
      <c r="AK278" s="1098"/>
      <c r="AL278" s="945">
        <v>42.8</v>
      </c>
      <c r="AM278" s="945">
        <v>479.36</v>
      </c>
      <c r="AN278" s="1108"/>
      <c r="AO278" s="1143">
        <v>3000</v>
      </c>
      <c r="AP278" s="1143" t="s">
        <v>254</v>
      </c>
      <c r="AQ278" s="1154" t="s">
        <v>677</v>
      </c>
      <c r="AR278" s="1120">
        <v>45667</v>
      </c>
      <c r="AS278" s="1154" t="s">
        <v>537</v>
      </c>
      <c r="AT278" s="1121">
        <v>45680</v>
      </c>
      <c r="AU278" s="1106" t="s">
        <v>553</v>
      </c>
      <c r="AV278" s="1106" t="s">
        <v>59</v>
      </c>
      <c r="AW278" s="1106" t="s">
        <v>540</v>
      </c>
      <c r="AX278" s="897"/>
      <c r="AY278" s="860"/>
      <c r="AZ278" s="897"/>
    </row>
    <row r="279" ht="118.75" customHeight="1" spans="1:52">
      <c r="A279" s="937">
        <v>75</v>
      </c>
      <c r="B279" s="938">
        <v>5806320000</v>
      </c>
      <c r="C279" s="938">
        <v>580632</v>
      </c>
      <c r="D279" s="940" t="s">
        <v>711</v>
      </c>
      <c r="E279" s="940" t="s">
        <v>793</v>
      </c>
      <c r="F279" s="940" t="s">
        <v>794</v>
      </c>
      <c r="G279" s="940"/>
      <c r="H279" s="940"/>
      <c r="I279" s="940" t="s">
        <v>123</v>
      </c>
      <c r="J279" s="940">
        <v>11.9</v>
      </c>
      <c r="K279" s="1143">
        <v>10500</v>
      </c>
      <c r="L279" s="1143" t="s">
        <v>254</v>
      </c>
      <c r="M279" s="937"/>
      <c r="N279" s="1144"/>
      <c r="O279" s="1145"/>
      <c r="P279" s="940">
        <v>21.2</v>
      </c>
      <c r="Q279" s="1108">
        <v>252.28</v>
      </c>
      <c r="R279" s="945"/>
      <c r="S279" s="936"/>
      <c r="T279" s="1108">
        <v>15.26</v>
      </c>
      <c r="U279" s="936"/>
      <c r="V279" s="945">
        <v>11.9</v>
      </c>
      <c r="W279" s="1152"/>
      <c r="X279" s="1152">
        <v>143</v>
      </c>
      <c r="Y279" s="938">
        <v>1</v>
      </c>
      <c r="Z279" s="1091">
        <v>10816</v>
      </c>
      <c r="AA279" s="936"/>
      <c r="AB279" s="936"/>
      <c r="AC279" s="936"/>
      <c r="AD279" s="948"/>
      <c r="AE279" s="1170"/>
      <c r="AF279" s="802" t="str">
        <f>_xlfn.DISPIMG("ID_7E659BFC989A47949D24F5E1F4413B66",1)</f>
        <v>=DISPIMG("ID_7E659BFC989A47949D24F5E1F4413B66",1)</v>
      </c>
      <c r="AG279" s="1106"/>
      <c r="AH279" s="938"/>
      <c r="AI279" s="1098"/>
      <c r="AJ279" s="938"/>
      <c r="AK279" s="1098"/>
      <c r="AL279" s="945">
        <v>21.2</v>
      </c>
      <c r="AM279" s="945">
        <v>252.28</v>
      </c>
      <c r="AN279" s="1108"/>
      <c r="AO279" s="1143">
        <v>10500</v>
      </c>
      <c r="AP279" s="1143" t="s">
        <v>254</v>
      </c>
      <c r="AQ279" s="1154" t="s">
        <v>677</v>
      </c>
      <c r="AR279" s="1120">
        <v>45667</v>
      </c>
      <c r="AS279" s="1154" t="s">
        <v>537</v>
      </c>
      <c r="AT279" s="1121">
        <v>45680</v>
      </c>
      <c r="AU279" s="1106" t="s">
        <v>553</v>
      </c>
      <c r="AV279" s="1106" t="s">
        <v>59</v>
      </c>
      <c r="AW279" s="1106" t="s">
        <v>540</v>
      </c>
      <c r="AX279" s="897"/>
      <c r="AY279" s="860"/>
      <c r="AZ279" s="897"/>
    </row>
    <row r="280" ht="118.75" customHeight="1" spans="1:52">
      <c r="A280" s="937">
        <v>76</v>
      </c>
      <c r="B280" s="938">
        <v>5806320000</v>
      </c>
      <c r="C280" s="938">
        <v>580632</v>
      </c>
      <c r="D280" s="940" t="s">
        <v>711</v>
      </c>
      <c r="E280" s="940" t="s">
        <v>795</v>
      </c>
      <c r="F280" s="940" t="s">
        <v>796</v>
      </c>
      <c r="G280" s="940"/>
      <c r="H280" s="940"/>
      <c r="I280" s="940" t="s">
        <v>123</v>
      </c>
      <c r="J280" s="940">
        <v>3.65</v>
      </c>
      <c r="K280" s="1143">
        <v>4500</v>
      </c>
      <c r="L280" s="1143" t="s">
        <v>254</v>
      </c>
      <c r="M280" s="937"/>
      <c r="N280" s="1144"/>
      <c r="O280" s="1145"/>
      <c r="P280" s="940">
        <v>83.8</v>
      </c>
      <c r="Q280" s="1108">
        <v>305.87</v>
      </c>
      <c r="R280" s="945"/>
      <c r="S280" s="936"/>
      <c r="T280" s="1108">
        <v>5.38</v>
      </c>
      <c r="U280" s="936"/>
      <c r="V280" s="945">
        <v>3.65</v>
      </c>
      <c r="W280" s="1152"/>
      <c r="X280" s="1152"/>
      <c r="Y280" s="938"/>
      <c r="Z280" s="1091">
        <v>5200</v>
      </c>
      <c r="AA280" s="936"/>
      <c r="AB280" s="936"/>
      <c r="AC280" s="936"/>
      <c r="AD280" s="948"/>
      <c r="AE280" s="1170"/>
      <c r="AF280" s="802" t="str">
        <f>_xlfn.DISPIMG("ID_8624901BF1E74DEEBA48B2D55B1DB74B",1)</f>
        <v>=DISPIMG("ID_8624901BF1E74DEEBA48B2D55B1DB74B",1)</v>
      </c>
      <c r="AG280" s="1106"/>
      <c r="AH280" s="938"/>
      <c r="AI280" s="1098"/>
      <c r="AJ280" s="938"/>
      <c r="AK280" s="1098"/>
      <c r="AL280" s="945">
        <v>83.8</v>
      </c>
      <c r="AM280" s="945">
        <v>305.87</v>
      </c>
      <c r="AN280" s="1108"/>
      <c r="AO280" s="1143">
        <v>4500</v>
      </c>
      <c r="AP280" s="1143" t="s">
        <v>254</v>
      </c>
      <c r="AQ280" s="1154" t="s">
        <v>677</v>
      </c>
      <c r="AR280" s="1120">
        <v>45667</v>
      </c>
      <c r="AS280" s="1154" t="s">
        <v>537</v>
      </c>
      <c r="AT280" s="1121">
        <v>45680</v>
      </c>
      <c r="AU280" s="1106" t="s">
        <v>553</v>
      </c>
      <c r="AV280" s="1106" t="s">
        <v>59</v>
      </c>
      <c r="AW280" s="1106" t="s">
        <v>540</v>
      </c>
      <c r="AX280" s="897"/>
      <c r="AY280" s="860"/>
      <c r="AZ280" s="897"/>
    </row>
    <row r="281" ht="118.75" customHeight="1" spans="1:52">
      <c r="A281" s="937">
        <v>77</v>
      </c>
      <c r="B281" s="938">
        <v>5806320000</v>
      </c>
      <c r="C281" s="938">
        <v>580632</v>
      </c>
      <c r="D281" s="940" t="s">
        <v>691</v>
      </c>
      <c r="E281" s="940" t="s">
        <v>756</v>
      </c>
      <c r="F281" s="940" t="s">
        <v>757</v>
      </c>
      <c r="G281" s="940"/>
      <c r="H281" s="940"/>
      <c r="I281" s="940" t="s">
        <v>123</v>
      </c>
      <c r="J281" s="940">
        <v>52.5</v>
      </c>
      <c r="K281" s="1143">
        <v>1500</v>
      </c>
      <c r="L281" s="1143" t="s">
        <v>254</v>
      </c>
      <c r="M281" s="937"/>
      <c r="N281" s="1144"/>
      <c r="O281" s="1145"/>
      <c r="P281" s="940">
        <v>65</v>
      </c>
      <c r="Q281" s="1108">
        <v>3412.5</v>
      </c>
      <c r="R281" s="945"/>
      <c r="S281" s="936"/>
      <c r="T281" s="1108">
        <v>62.88</v>
      </c>
      <c r="U281" s="936"/>
      <c r="V281" s="945">
        <v>52.5</v>
      </c>
      <c r="W281" s="1152" t="s">
        <v>845</v>
      </c>
      <c r="X281" s="1152" t="s">
        <v>846</v>
      </c>
      <c r="Y281" s="938">
        <v>2</v>
      </c>
      <c r="Z281" s="1091">
        <v>821</v>
      </c>
      <c r="AA281" s="936"/>
      <c r="AB281" s="936"/>
      <c r="AC281" s="936"/>
      <c r="AD281" s="948">
        <v>2.46853893896722</v>
      </c>
      <c r="AE281" s="1170"/>
      <c r="AF281" s="802" t="str">
        <f>_xlfn.DISPIMG("ID_A1C93AED29A74D76AB0F6B2FE2B51511",1)</f>
        <v>=DISPIMG("ID_A1C93AED29A74D76AB0F6B2FE2B51511",1)</v>
      </c>
      <c r="AG281" s="1106"/>
      <c r="AH281" s="938"/>
      <c r="AI281" s="1098"/>
      <c r="AJ281" s="938"/>
      <c r="AK281" s="1098"/>
      <c r="AL281" s="945">
        <v>65</v>
      </c>
      <c r="AM281" s="945">
        <v>3412.5</v>
      </c>
      <c r="AN281" s="1108"/>
      <c r="AO281" s="1143">
        <v>1500</v>
      </c>
      <c r="AP281" s="1143" t="s">
        <v>254</v>
      </c>
      <c r="AQ281" s="1154" t="s">
        <v>677</v>
      </c>
      <c r="AR281" s="1120">
        <v>45667</v>
      </c>
      <c r="AS281" s="1154" t="s">
        <v>537</v>
      </c>
      <c r="AT281" s="1121">
        <v>45680</v>
      </c>
      <c r="AU281" s="1106" t="s">
        <v>553</v>
      </c>
      <c r="AV281" s="1106" t="s">
        <v>59</v>
      </c>
      <c r="AW281" s="1106" t="s">
        <v>540</v>
      </c>
      <c r="AX281" s="897"/>
      <c r="AY281" s="860"/>
      <c r="AZ281" s="897"/>
    </row>
    <row r="282" ht="118.75" customHeight="1" spans="1:52">
      <c r="A282" s="937">
        <v>78</v>
      </c>
      <c r="B282" s="938">
        <v>5806320000</v>
      </c>
      <c r="C282" s="938">
        <v>580632</v>
      </c>
      <c r="D282" s="940" t="s">
        <v>691</v>
      </c>
      <c r="E282" s="940" t="s">
        <v>762</v>
      </c>
      <c r="F282" s="940" t="s">
        <v>763</v>
      </c>
      <c r="G282" s="940"/>
      <c r="H282" s="940"/>
      <c r="I282" s="940" t="s">
        <v>123</v>
      </c>
      <c r="J282" s="940">
        <v>40.5</v>
      </c>
      <c r="K282" s="1143">
        <v>1500</v>
      </c>
      <c r="L282" s="1143" t="s">
        <v>254</v>
      </c>
      <c r="M282" s="937"/>
      <c r="N282" s="1144"/>
      <c r="O282" s="1145"/>
      <c r="P282" s="940">
        <v>61.86</v>
      </c>
      <c r="Q282" s="1108">
        <v>2505.33</v>
      </c>
      <c r="R282" s="945"/>
      <c r="S282" s="936"/>
      <c r="T282" s="1108">
        <v>45.96</v>
      </c>
      <c r="U282" s="936"/>
      <c r="V282" s="945">
        <v>40.5</v>
      </c>
      <c r="W282" s="1152"/>
      <c r="X282" s="1152">
        <v>66</v>
      </c>
      <c r="Y282" s="938">
        <v>1</v>
      </c>
      <c r="Z282" s="1091">
        <v>1508</v>
      </c>
      <c r="AA282" s="936"/>
      <c r="AB282" s="936"/>
      <c r="AC282" s="936"/>
      <c r="AD282" s="948"/>
      <c r="AE282" s="1170"/>
      <c r="AF282" s="802" t="str">
        <f>_xlfn.DISPIMG("ID_3B9A7BDF770045B09ABCFC2D57059071",1)</f>
        <v>=DISPIMG("ID_3B9A7BDF770045B09ABCFC2D57059071",1)</v>
      </c>
      <c r="AG282" s="1106"/>
      <c r="AH282" s="938"/>
      <c r="AI282" s="1098"/>
      <c r="AJ282" s="938"/>
      <c r="AK282" s="1098"/>
      <c r="AL282" s="945">
        <v>61.86</v>
      </c>
      <c r="AM282" s="945">
        <v>2505.33</v>
      </c>
      <c r="AN282" s="1108"/>
      <c r="AO282" s="1143">
        <v>1500</v>
      </c>
      <c r="AP282" s="1143" t="s">
        <v>254</v>
      </c>
      <c r="AQ282" s="1154" t="s">
        <v>677</v>
      </c>
      <c r="AR282" s="1120">
        <v>45667</v>
      </c>
      <c r="AS282" s="1154" t="s">
        <v>537</v>
      </c>
      <c r="AT282" s="1121">
        <v>45680</v>
      </c>
      <c r="AU282" s="1106" t="s">
        <v>553</v>
      </c>
      <c r="AV282" s="1106" t="s">
        <v>59</v>
      </c>
      <c r="AW282" s="1106" t="s">
        <v>540</v>
      </c>
      <c r="AX282" s="897"/>
      <c r="AY282" s="860"/>
      <c r="AZ282" s="897"/>
    </row>
    <row r="283" ht="118.75" customHeight="1" spans="1:52">
      <c r="A283" s="937">
        <v>79</v>
      </c>
      <c r="B283" s="938">
        <v>5806320000</v>
      </c>
      <c r="C283" s="938">
        <v>580632</v>
      </c>
      <c r="D283" s="940" t="s">
        <v>691</v>
      </c>
      <c r="E283" s="940" t="s">
        <v>847</v>
      </c>
      <c r="F283" s="940" t="s">
        <v>848</v>
      </c>
      <c r="G283" s="940"/>
      <c r="H283" s="940"/>
      <c r="I283" s="940" t="s">
        <v>123</v>
      </c>
      <c r="J283" s="940">
        <v>58.5</v>
      </c>
      <c r="K283" s="1143">
        <v>1500</v>
      </c>
      <c r="L283" s="1143" t="s">
        <v>254</v>
      </c>
      <c r="M283" s="937"/>
      <c r="N283" s="1144"/>
      <c r="O283" s="1145"/>
      <c r="P283" s="940">
        <v>29.5</v>
      </c>
      <c r="Q283" s="1108">
        <v>1725.75</v>
      </c>
      <c r="R283" s="945"/>
      <c r="S283" s="936"/>
      <c r="T283" s="1108">
        <v>85.42</v>
      </c>
      <c r="U283" s="936"/>
      <c r="V283" s="945">
        <v>58.5</v>
      </c>
      <c r="W283" s="1152" t="s">
        <v>849</v>
      </c>
      <c r="X283" s="1152" t="s">
        <v>850</v>
      </c>
      <c r="Y283" s="938">
        <v>8</v>
      </c>
      <c r="Z283" s="1091">
        <v>240</v>
      </c>
      <c r="AA283" s="936"/>
      <c r="AB283" s="936"/>
      <c r="AC283" s="936"/>
      <c r="AD283" s="948">
        <v>2.98823134717084</v>
      </c>
      <c r="AE283" s="1170">
        <v>2.99</v>
      </c>
      <c r="AF283" s="802" t="str">
        <f>_xlfn.DISPIMG("ID_1725105E319D40DCA39C6B8BDB8EB70A",1)</f>
        <v>=DISPIMG("ID_1725105E319D40DCA39C6B8BDB8EB70A",1)</v>
      </c>
      <c r="AG283" s="1106"/>
      <c r="AH283" s="938"/>
      <c r="AI283" s="1098"/>
      <c r="AJ283" s="938"/>
      <c r="AK283" s="1098"/>
      <c r="AL283" s="945">
        <v>29.5</v>
      </c>
      <c r="AM283" s="945">
        <v>1725.75</v>
      </c>
      <c r="AN283" s="1108"/>
      <c r="AO283" s="1143">
        <v>1500</v>
      </c>
      <c r="AP283" s="1143" t="s">
        <v>254</v>
      </c>
      <c r="AQ283" s="1154" t="s">
        <v>677</v>
      </c>
      <c r="AR283" s="1120">
        <v>45667</v>
      </c>
      <c r="AS283" s="1154" t="s">
        <v>537</v>
      </c>
      <c r="AT283" s="1121">
        <v>45680</v>
      </c>
      <c r="AU283" s="1106" t="s">
        <v>553</v>
      </c>
      <c r="AV283" s="1106" t="s">
        <v>59</v>
      </c>
      <c r="AW283" s="1106" t="s">
        <v>540</v>
      </c>
      <c r="AX283" s="897"/>
      <c r="AY283" s="860"/>
      <c r="AZ283" s="897"/>
    </row>
    <row r="284" ht="118.75" customHeight="1" spans="1:52">
      <c r="A284" s="937">
        <v>80</v>
      </c>
      <c r="B284" s="938">
        <v>5806320000</v>
      </c>
      <c r="C284" s="938">
        <v>580632</v>
      </c>
      <c r="D284" s="940" t="s">
        <v>691</v>
      </c>
      <c r="E284" s="940" t="s">
        <v>851</v>
      </c>
      <c r="F284" s="940" t="s">
        <v>852</v>
      </c>
      <c r="G284" s="940"/>
      <c r="H284" s="940"/>
      <c r="I284" s="940" t="s">
        <v>123</v>
      </c>
      <c r="J284" s="940">
        <v>61.5</v>
      </c>
      <c r="K284" s="1143">
        <v>1500</v>
      </c>
      <c r="L284" s="1143" t="s">
        <v>254</v>
      </c>
      <c r="M284" s="937"/>
      <c r="N284" s="1144"/>
      <c r="O284" s="1145"/>
      <c r="P284" s="940">
        <v>23.4</v>
      </c>
      <c r="Q284" s="1108">
        <v>1439.1</v>
      </c>
      <c r="R284" s="945"/>
      <c r="S284" s="936"/>
      <c r="T284" s="1108">
        <v>75.64</v>
      </c>
      <c r="U284" s="936"/>
      <c r="V284" s="945">
        <v>61.5</v>
      </c>
      <c r="W284" s="1152"/>
      <c r="X284" s="1152" t="s">
        <v>853</v>
      </c>
      <c r="Y284" s="938">
        <v>8</v>
      </c>
      <c r="Z284" s="1091">
        <v>240</v>
      </c>
      <c r="AA284" s="936"/>
      <c r="AB284" s="936"/>
      <c r="AC284" s="936"/>
      <c r="AD284" s="948"/>
      <c r="AE284" s="1170"/>
      <c r="AF284" s="802" t="str">
        <f>_xlfn.DISPIMG("ID_6818B56E61D64D3AB8F40B4CA03016AD",1)</f>
        <v>=DISPIMG("ID_6818B56E61D64D3AB8F40B4CA03016AD",1)</v>
      </c>
      <c r="AG284" s="1106"/>
      <c r="AH284" s="938"/>
      <c r="AI284" s="1098"/>
      <c r="AJ284" s="938"/>
      <c r="AK284" s="1098"/>
      <c r="AL284" s="945">
        <v>23.4</v>
      </c>
      <c r="AM284" s="945">
        <v>1439.1</v>
      </c>
      <c r="AN284" s="1108"/>
      <c r="AO284" s="1143">
        <v>1500</v>
      </c>
      <c r="AP284" s="1143" t="s">
        <v>254</v>
      </c>
      <c r="AQ284" s="1154" t="s">
        <v>677</v>
      </c>
      <c r="AR284" s="1120">
        <v>45667</v>
      </c>
      <c r="AS284" s="1154" t="s">
        <v>537</v>
      </c>
      <c r="AT284" s="1121">
        <v>45680</v>
      </c>
      <c r="AU284" s="1106" t="s">
        <v>553</v>
      </c>
      <c r="AV284" s="1106" t="s">
        <v>59</v>
      </c>
      <c r="AW284" s="1106" t="s">
        <v>540</v>
      </c>
      <c r="AX284" s="897"/>
      <c r="AY284" s="860"/>
      <c r="AZ284" s="897"/>
    </row>
    <row r="285" ht="118.75" customHeight="1" spans="1:52">
      <c r="A285" s="937">
        <v>81</v>
      </c>
      <c r="B285" s="938">
        <v>5806320000</v>
      </c>
      <c r="C285" s="938">
        <v>580632</v>
      </c>
      <c r="D285" s="940" t="s">
        <v>691</v>
      </c>
      <c r="E285" s="940" t="s">
        <v>854</v>
      </c>
      <c r="F285" s="940" t="s">
        <v>855</v>
      </c>
      <c r="G285" s="940"/>
      <c r="H285" s="940"/>
      <c r="I285" s="940" t="s">
        <v>123</v>
      </c>
      <c r="J285" s="940">
        <v>112.5</v>
      </c>
      <c r="K285" s="1143">
        <v>4500</v>
      </c>
      <c r="L285" s="1143" t="s">
        <v>254</v>
      </c>
      <c r="M285" s="937"/>
      <c r="N285" s="1144"/>
      <c r="O285" s="1145"/>
      <c r="P285" s="940">
        <v>54</v>
      </c>
      <c r="Q285" s="1108">
        <v>6075</v>
      </c>
      <c r="R285" s="945"/>
      <c r="S285" s="936"/>
      <c r="T285" s="1108">
        <v>145</v>
      </c>
      <c r="U285" s="936"/>
      <c r="V285" s="945">
        <v>112.5</v>
      </c>
      <c r="W285" s="1152" t="s">
        <v>856</v>
      </c>
      <c r="X285" s="1171">
        <v>45677</v>
      </c>
      <c r="Y285" s="938">
        <v>20</v>
      </c>
      <c r="Z285" s="1091">
        <v>220</v>
      </c>
      <c r="AA285" s="936"/>
      <c r="AB285" s="936"/>
      <c r="AC285" s="936"/>
      <c r="AD285" s="948">
        <v>2.46853893896722</v>
      </c>
      <c r="AE285" s="1170">
        <v>2.47</v>
      </c>
      <c r="AF285" s="802" t="str">
        <f>_xlfn.DISPIMG("ID_BAFED8A1A8104D33AC2FFB9328A2C7EB",1)</f>
        <v>=DISPIMG("ID_BAFED8A1A8104D33AC2FFB9328A2C7EB",1)</v>
      </c>
      <c r="AG285" s="1106"/>
      <c r="AH285" s="938"/>
      <c r="AI285" s="1098"/>
      <c r="AJ285" s="938"/>
      <c r="AK285" s="1098"/>
      <c r="AL285" s="945">
        <v>54</v>
      </c>
      <c r="AM285" s="945">
        <v>6075</v>
      </c>
      <c r="AN285" s="1108"/>
      <c r="AO285" s="1143">
        <v>4500</v>
      </c>
      <c r="AP285" s="1143" t="s">
        <v>254</v>
      </c>
      <c r="AQ285" s="1154" t="s">
        <v>677</v>
      </c>
      <c r="AR285" s="1120">
        <v>45667</v>
      </c>
      <c r="AS285" s="1154" t="s">
        <v>537</v>
      </c>
      <c r="AT285" s="1121">
        <v>45680</v>
      </c>
      <c r="AU285" s="1106" t="s">
        <v>553</v>
      </c>
      <c r="AV285" s="1106" t="s">
        <v>59</v>
      </c>
      <c r="AW285" s="1106" t="s">
        <v>540</v>
      </c>
      <c r="AX285" s="897"/>
      <c r="AY285" s="860"/>
      <c r="AZ285" s="897"/>
    </row>
    <row r="286" ht="118.75" customHeight="1" spans="1:52">
      <c r="A286" s="937">
        <v>82</v>
      </c>
      <c r="B286" s="938">
        <v>5806320000</v>
      </c>
      <c r="C286" s="938">
        <v>580632</v>
      </c>
      <c r="D286" s="940" t="s">
        <v>691</v>
      </c>
      <c r="E286" s="940" t="s">
        <v>857</v>
      </c>
      <c r="F286" s="940" t="s">
        <v>858</v>
      </c>
      <c r="G286" s="940"/>
      <c r="H286" s="940"/>
      <c r="I286" s="940" t="s">
        <v>123</v>
      </c>
      <c r="J286" s="940">
        <v>37.5</v>
      </c>
      <c r="K286" s="1143">
        <v>1500</v>
      </c>
      <c r="L286" s="1143" t="s">
        <v>254</v>
      </c>
      <c r="M286" s="937"/>
      <c r="N286" s="1144"/>
      <c r="O286" s="1145"/>
      <c r="P286" s="940">
        <v>35</v>
      </c>
      <c r="Q286" s="1108">
        <v>1312.5</v>
      </c>
      <c r="R286" s="945"/>
      <c r="S286" s="936"/>
      <c r="T286" s="1108">
        <v>50.72</v>
      </c>
      <c r="U286" s="936"/>
      <c r="V286" s="945">
        <v>37.5</v>
      </c>
      <c r="W286" s="1152" t="s">
        <v>845</v>
      </c>
      <c r="X286" s="1152" t="s">
        <v>859</v>
      </c>
      <c r="Y286" s="938">
        <v>6</v>
      </c>
      <c r="Z286" s="1091">
        <v>240</v>
      </c>
      <c r="AA286" s="936"/>
      <c r="AB286" s="936"/>
      <c r="AC286" s="936"/>
      <c r="AD286" s="948">
        <v>2.46853893896722</v>
      </c>
      <c r="AE286" s="1170"/>
      <c r="AF286" s="802" t="str">
        <f>_xlfn.DISPIMG("ID_A148F5AED6374D51BDDDEBD81BD7EA2B",1)</f>
        <v>=DISPIMG("ID_A148F5AED6374D51BDDDEBD81BD7EA2B",1)</v>
      </c>
      <c r="AG286" s="1106"/>
      <c r="AH286" s="938"/>
      <c r="AI286" s="1098"/>
      <c r="AJ286" s="938"/>
      <c r="AK286" s="1098"/>
      <c r="AL286" s="945">
        <v>35</v>
      </c>
      <c r="AM286" s="945">
        <v>1312.5</v>
      </c>
      <c r="AN286" s="1108"/>
      <c r="AO286" s="1143">
        <v>1500</v>
      </c>
      <c r="AP286" s="1143" t="s">
        <v>254</v>
      </c>
      <c r="AQ286" s="1154" t="s">
        <v>677</v>
      </c>
      <c r="AR286" s="1120">
        <v>45667</v>
      </c>
      <c r="AS286" s="1154" t="s">
        <v>537</v>
      </c>
      <c r="AT286" s="1121">
        <v>45680</v>
      </c>
      <c r="AU286" s="1106" t="s">
        <v>553</v>
      </c>
      <c r="AV286" s="1106" t="s">
        <v>59</v>
      </c>
      <c r="AW286" s="1106" t="s">
        <v>540</v>
      </c>
      <c r="AX286" s="897"/>
      <c r="AY286" s="860"/>
      <c r="AZ286" s="897"/>
    </row>
    <row r="287" ht="118.75" customHeight="1" spans="1:52">
      <c r="A287" s="937">
        <v>83</v>
      </c>
      <c r="B287" s="938">
        <v>5806320000</v>
      </c>
      <c r="C287" s="938">
        <v>580632</v>
      </c>
      <c r="D287" s="940" t="s">
        <v>691</v>
      </c>
      <c r="E287" s="940" t="s">
        <v>860</v>
      </c>
      <c r="F287" s="940" t="s">
        <v>861</v>
      </c>
      <c r="G287" s="940"/>
      <c r="H287" s="940"/>
      <c r="I287" s="940" t="s">
        <v>123</v>
      </c>
      <c r="J287" s="940">
        <v>6</v>
      </c>
      <c r="K287" s="1143">
        <v>1500</v>
      </c>
      <c r="L287" s="1143" t="s">
        <v>254</v>
      </c>
      <c r="M287" s="937"/>
      <c r="N287" s="1144"/>
      <c r="O287" s="1145"/>
      <c r="P287" s="940">
        <v>20</v>
      </c>
      <c r="Q287" s="1108">
        <v>120</v>
      </c>
      <c r="R287" s="945"/>
      <c r="S287" s="936"/>
      <c r="T287" s="1108">
        <v>8.14</v>
      </c>
      <c r="U287" s="936"/>
      <c r="V287" s="945">
        <v>6</v>
      </c>
      <c r="W287" s="1152"/>
      <c r="X287" s="1152">
        <v>60</v>
      </c>
      <c r="Y287" s="938">
        <v>1</v>
      </c>
      <c r="Z287" s="1091">
        <v>1764</v>
      </c>
      <c r="AA287" s="936"/>
      <c r="AB287" s="936"/>
      <c r="AC287" s="936"/>
      <c r="AD287" s="948"/>
      <c r="AE287" s="1170"/>
      <c r="AF287" s="802" t="str">
        <f>_xlfn.DISPIMG("ID_E075DB430ECD422B958C6744B587DCD5",1)</f>
        <v>=DISPIMG("ID_E075DB430ECD422B958C6744B587DCD5",1)</v>
      </c>
      <c r="AG287" s="1106"/>
      <c r="AH287" s="938"/>
      <c r="AI287" s="1098"/>
      <c r="AJ287" s="938"/>
      <c r="AK287" s="1098"/>
      <c r="AL287" s="945">
        <v>20</v>
      </c>
      <c r="AM287" s="945">
        <v>120</v>
      </c>
      <c r="AN287" s="1108"/>
      <c r="AO287" s="1143">
        <v>1500</v>
      </c>
      <c r="AP287" s="1143" t="s">
        <v>254</v>
      </c>
      <c r="AQ287" s="1154" t="s">
        <v>677</v>
      </c>
      <c r="AR287" s="1120">
        <v>45667</v>
      </c>
      <c r="AS287" s="1154" t="s">
        <v>537</v>
      </c>
      <c r="AT287" s="1121">
        <v>45680</v>
      </c>
      <c r="AU287" s="1106" t="s">
        <v>553</v>
      </c>
      <c r="AV287" s="1106" t="s">
        <v>59</v>
      </c>
      <c r="AW287" s="1106" t="s">
        <v>540</v>
      </c>
      <c r="AX287" s="897"/>
      <c r="AY287" s="860"/>
      <c r="AZ287" s="897"/>
    </row>
    <row r="288" ht="118.75" customHeight="1" spans="1:52">
      <c r="A288" s="937">
        <v>84</v>
      </c>
      <c r="B288" s="938">
        <v>5806320000</v>
      </c>
      <c r="C288" s="938">
        <v>580632</v>
      </c>
      <c r="D288" s="940" t="s">
        <v>691</v>
      </c>
      <c r="E288" s="940" t="s">
        <v>817</v>
      </c>
      <c r="F288" s="940" t="s">
        <v>818</v>
      </c>
      <c r="G288" s="940"/>
      <c r="H288" s="940"/>
      <c r="I288" s="940" t="s">
        <v>123</v>
      </c>
      <c r="J288" s="940">
        <v>114</v>
      </c>
      <c r="K288" s="1143">
        <v>3000</v>
      </c>
      <c r="L288" s="1143" t="s">
        <v>254</v>
      </c>
      <c r="M288" s="937"/>
      <c r="N288" s="1144"/>
      <c r="O288" s="1145"/>
      <c r="P288" s="940">
        <v>33.68</v>
      </c>
      <c r="Q288" s="1108">
        <v>3839.52</v>
      </c>
      <c r="R288" s="945"/>
      <c r="S288" s="936"/>
      <c r="T288" s="1108">
        <v>136.37</v>
      </c>
      <c r="U288" s="936"/>
      <c r="V288" s="945">
        <v>114</v>
      </c>
      <c r="W288" s="1152" t="s">
        <v>862</v>
      </c>
      <c r="X288" s="1152" t="s">
        <v>863</v>
      </c>
      <c r="Y288" s="938">
        <v>15</v>
      </c>
      <c r="Z288" s="1091">
        <v>210</v>
      </c>
      <c r="AA288" s="936"/>
      <c r="AB288" s="936"/>
      <c r="AC288" s="936"/>
      <c r="AD288" s="948">
        <v>2.33861583691631</v>
      </c>
      <c r="AE288" s="1170">
        <v>2.34</v>
      </c>
      <c r="AF288" s="802" t="str">
        <f>_xlfn.DISPIMG("ID_4FE60B2BB743415CAC1FE2B04DE00B21",1)</f>
        <v>=DISPIMG("ID_4FE60B2BB743415CAC1FE2B04DE00B21",1)</v>
      </c>
      <c r="AG288" s="1106"/>
      <c r="AH288" s="938"/>
      <c r="AI288" s="1098"/>
      <c r="AJ288" s="938"/>
      <c r="AK288" s="1098"/>
      <c r="AL288" s="945">
        <v>33.68</v>
      </c>
      <c r="AM288" s="945">
        <v>3839.52</v>
      </c>
      <c r="AN288" s="1108"/>
      <c r="AO288" s="1143">
        <v>3000</v>
      </c>
      <c r="AP288" s="1143" t="s">
        <v>254</v>
      </c>
      <c r="AQ288" s="1154" t="s">
        <v>677</v>
      </c>
      <c r="AR288" s="1120">
        <v>45667</v>
      </c>
      <c r="AS288" s="1154" t="s">
        <v>537</v>
      </c>
      <c r="AT288" s="1121">
        <v>45680</v>
      </c>
      <c r="AU288" s="1106" t="s">
        <v>553</v>
      </c>
      <c r="AV288" s="1106" t="s">
        <v>59</v>
      </c>
      <c r="AW288" s="1106" t="s">
        <v>540</v>
      </c>
      <c r="AX288" s="897"/>
      <c r="AY288" s="860"/>
      <c r="AZ288" s="897"/>
    </row>
    <row r="289" ht="118.75" customHeight="1" spans="1:52">
      <c r="A289" s="937">
        <v>85</v>
      </c>
      <c r="B289" s="938">
        <v>5806320000</v>
      </c>
      <c r="C289" s="938">
        <v>580632</v>
      </c>
      <c r="D289" s="940" t="s">
        <v>691</v>
      </c>
      <c r="E289" s="940" t="s">
        <v>864</v>
      </c>
      <c r="F289" s="940" t="s">
        <v>865</v>
      </c>
      <c r="G289" s="940"/>
      <c r="H289" s="940"/>
      <c r="I289" s="940" t="s">
        <v>123</v>
      </c>
      <c r="J289" s="940">
        <v>15</v>
      </c>
      <c r="K289" s="1143">
        <v>3000</v>
      </c>
      <c r="L289" s="1143" t="s">
        <v>254</v>
      </c>
      <c r="M289" s="937"/>
      <c r="N289" s="1144"/>
      <c r="O289" s="1145"/>
      <c r="P289" s="940">
        <v>56</v>
      </c>
      <c r="Q289" s="1108">
        <v>840</v>
      </c>
      <c r="R289" s="945"/>
      <c r="S289" s="936"/>
      <c r="T289" s="1108">
        <v>20.24</v>
      </c>
      <c r="U289" s="936"/>
      <c r="V289" s="945">
        <v>15</v>
      </c>
      <c r="W289" s="1152" t="s">
        <v>845</v>
      </c>
      <c r="X289" s="1152" t="s">
        <v>866</v>
      </c>
      <c r="Y289" s="938">
        <v>2</v>
      </c>
      <c r="Z289" s="1091">
        <v>3234</v>
      </c>
      <c r="AA289" s="936"/>
      <c r="AB289" s="936"/>
      <c r="AC289" s="936"/>
      <c r="AD289" s="948">
        <v>2.46853893896722</v>
      </c>
      <c r="AE289" s="1170"/>
      <c r="AF289" s="802" t="str">
        <f>_xlfn.DISPIMG("ID_E455EC70A39E4F19A2B4101231398460",1)</f>
        <v>=DISPIMG("ID_E455EC70A39E4F19A2B4101231398460",1)</v>
      </c>
      <c r="AG289" s="1106"/>
      <c r="AH289" s="938"/>
      <c r="AI289" s="1098"/>
      <c r="AJ289" s="938"/>
      <c r="AK289" s="1098"/>
      <c r="AL289" s="945">
        <v>56</v>
      </c>
      <c r="AM289" s="945">
        <v>840</v>
      </c>
      <c r="AN289" s="1108"/>
      <c r="AO289" s="1143">
        <v>3000</v>
      </c>
      <c r="AP289" s="1143" t="s">
        <v>254</v>
      </c>
      <c r="AQ289" s="1154" t="s">
        <v>677</v>
      </c>
      <c r="AR289" s="1120">
        <v>45667</v>
      </c>
      <c r="AS289" s="1154" t="s">
        <v>537</v>
      </c>
      <c r="AT289" s="1121">
        <v>45680</v>
      </c>
      <c r="AU289" s="1106" t="s">
        <v>553</v>
      </c>
      <c r="AV289" s="1106" t="s">
        <v>59</v>
      </c>
      <c r="AW289" s="1106" t="s">
        <v>540</v>
      </c>
      <c r="AX289" s="897"/>
      <c r="AY289" s="860"/>
      <c r="AZ289" s="897"/>
    </row>
    <row r="290" ht="118.75" customHeight="1" spans="1:52">
      <c r="A290" s="937">
        <v>86</v>
      </c>
      <c r="B290" s="938">
        <v>5806320000</v>
      </c>
      <c r="C290" s="938">
        <v>580632</v>
      </c>
      <c r="D290" s="940" t="s">
        <v>691</v>
      </c>
      <c r="E290" s="940" t="s">
        <v>787</v>
      </c>
      <c r="F290" s="940" t="s">
        <v>788</v>
      </c>
      <c r="G290" s="940"/>
      <c r="H290" s="940"/>
      <c r="I290" s="940" t="s">
        <v>123</v>
      </c>
      <c r="J290" s="940">
        <v>26.35</v>
      </c>
      <c r="K290" s="1143">
        <v>1500</v>
      </c>
      <c r="L290" s="1143" t="s">
        <v>254</v>
      </c>
      <c r="M290" s="937"/>
      <c r="N290" s="1144"/>
      <c r="O290" s="1145"/>
      <c r="P290" s="940">
        <v>56.4</v>
      </c>
      <c r="Q290" s="1108">
        <v>1486.14</v>
      </c>
      <c r="R290" s="945"/>
      <c r="S290" s="936"/>
      <c r="T290" s="1108">
        <v>38.5</v>
      </c>
      <c r="U290" s="936"/>
      <c r="V290" s="945">
        <v>26.35</v>
      </c>
      <c r="W290" s="1152"/>
      <c r="X290" s="1152">
        <v>65</v>
      </c>
      <c r="Y290" s="938">
        <v>1</v>
      </c>
      <c r="Z290" s="1091">
        <v>1506</v>
      </c>
      <c r="AA290" s="936"/>
      <c r="AB290" s="936"/>
      <c r="AC290" s="936"/>
      <c r="AD290" s="948"/>
      <c r="AE290" s="1170"/>
      <c r="AF290" s="802" t="str">
        <f>_xlfn.DISPIMG("ID_A4183E4DD6EF4B909DE082285BBB441E",1)</f>
        <v>=DISPIMG("ID_A4183E4DD6EF4B909DE082285BBB441E",1)</v>
      </c>
      <c r="AG290" s="1106"/>
      <c r="AH290" s="938"/>
      <c r="AI290" s="1098"/>
      <c r="AJ290" s="938"/>
      <c r="AK290" s="1098"/>
      <c r="AL290" s="945">
        <v>56.4</v>
      </c>
      <c r="AM290" s="945">
        <v>1486.14</v>
      </c>
      <c r="AN290" s="1108"/>
      <c r="AO290" s="1143">
        <v>1500</v>
      </c>
      <c r="AP290" s="1143" t="s">
        <v>254</v>
      </c>
      <c r="AQ290" s="1154" t="s">
        <v>677</v>
      </c>
      <c r="AR290" s="1120">
        <v>45667</v>
      </c>
      <c r="AS290" s="1154" t="s">
        <v>537</v>
      </c>
      <c r="AT290" s="1121">
        <v>45680</v>
      </c>
      <c r="AU290" s="1106" t="s">
        <v>553</v>
      </c>
      <c r="AV290" s="1106" t="s">
        <v>59</v>
      </c>
      <c r="AW290" s="1106" t="s">
        <v>540</v>
      </c>
      <c r="AX290" s="897"/>
      <c r="AY290" s="860"/>
      <c r="AZ290" s="897"/>
    </row>
    <row r="291" ht="118.75" customHeight="1" spans="1:52">
      <c r="A291" s="937">
        <v>87</v>
      </c>
      <c r="B291" s="938">
        <v>5806320000</v>
      </c>
      <c r="C291" s="938">
        <v>580632</v>
      </c>
      <c r="D291" s="940" t="s">
        <v>691</v>
      </c>
      <c r="E291" s="940" t="s">
        <v>789</v>
      </c>
      <c r="F291" s="940" t="s">
        <v>790</v>
      </c>
      <c r="G291" s="940"/>
      <c r="H291" s="940"/>
      <c r="I291" s="940" t="s">
        <v>123</v>
      </c>
      <c r="J291" s="940">
        <v>12</v>
      </c>
      <c r="K291" s="1143">
        <v>3000</v>
      </c>
      <c r="L291" s="1143" t="s">
        <v>254</v>
      </c>
      <c r="M291" s="937"/>
      <c r="N291" s="1144"/>
      <c r="O291" s="1145"/>
      <c r="P291" s="940">
        <v>24.9</v>
      </c>
      <c r="Q291" s="1108">
        <v>298.8</v>
      </c>
      <c r="R291" s="945"/>
      <c r="S291" s="936"/>
      <c r="T291" s="1108">
        <v>17.46</v>
      </c>
      <c r="U291" s="936"/>
      <c r="V291" s="945">
        <v>12</v>
      </c>
      <c r="W291" s="1152" t="s">
        <v>695</v>
      </c>
      <c r="X291" s="1152">
        <v>225</v>
      </c>
      <c r="Y291" s="938">
        <v>1</v>
      </c>
      <c r="Z291" s="1091">
        <v>3528</v>
      </c>
      <c r="AA291" s="936"/>
      <c r="AB291" s="936"/>
      <c r="AC291" s="936"/>
      <c r="AD291" s="948">
        <v>2.98823134717084</v>
      </c>
      <c r="AE291" s="1170"/>
      <c r="AF291" s="802" t="str">
        <f>_xlfn.DISPIMG("ID_6593F1FC9D5241EEA06C6607BC3FAA0C",1)</f>
        <v>=DISPIMG("ID_6593F1FC9D5241EEA06C6607BC3FAA0C",1)</v>
      </c>
      <c r="AG291" s="1106"/>
      <c r="AH291" s="938"/>
      <c r="AI291" s="1098"/>
      <c r="AJ291" s="938"/>
      <c r="AK291" s="1098"/>
      <c r="AL291" s="945">
        <v>24.9</v>
      </c>
      <c r="AM291" s="945">
        <v>298.8</v>
      </c>
      <c r="AN291" s="1108"/>
      <c r="AO291" s="1143">
        <v>3000</v>
      </c>
      <c r="AP291" s="1143" t="s">
        <v>254</v>
      </c>
      <c r="AQ291" s="1154" t="s">
        <v>677</v>
      </c>
      <c r="AR291" s="1120">
        <v>45667</v>
      </c>
      <c r="AS291" s="1154" t="s">
        <v>537</v>
      </c>
      <c r="AT291" s="1121">
        <v>45680</v>
      </c>
      <c r="AU291" s="1106" t="s">
        <v>553</v>
      </c>
      <c r="AV291" s="1106" t="s">
        <v>59</v>
      </c>
      <c r="AW291" s="1106" t="s">
        <v>540</v>
      </c>
      <c r="AX291" s="897"/>
      <c r="AY291" s="860"/>
      <c r="AZ291" s="897"/>
    </row>
    <row r="292" ht="118.75" customHeight="1" spans="1:52">
      <c r="A292" s="937">
        <v>88</v>
      </c>
      <c r="B292" s="938">
        <v>5806320000</v>
      </c>
      <c r="C292" s="938">
        <v>580632</v>
      </c>
      <c r="D292" s="940" t="s">
        <v>691</v>
      </c>
      <c r="E292" s="940" t="s">
        <v>791</v>
      </c>
      <c r="F292" s="940" t="s">
        <v>792</v>
      </c>
      <c r="G292" s="940"/>
      <c r="H292" s="940"/>
      <c r="I292" s="940" t="s">
        <v>123</v>
      </c>
      <c r="J292" s="940">
        <v>11.2</v>
      </c>
      <c r="K292" s="1143">
        <v>3000</v>
      </c>
      <c r="L292" s="1143" t="s">
        <v>254</v>
      </c>
      <c r="M292" s="937"/>
      <c r="N292" s="1144"/>
      <c r="O292" s="1145"/>
      <c r="P292" s="940">
        <v>42.8</v>
      </c>
      <c r="Q292" s="1108">
        <v>479.36</v>
      </c>
      <c r="R292" s="945"/>
      <c r="S292" s="936"/>
      <c r="T292" s="1108">
        <v>21.16</v>
      </c>
      <c r="U292" s="936"/>
      <c r="V292" s="945">
        <v>11.2</v>
      </c>
      <c r="W292" s="1152" t="s">
        <v>845</v>
      </c>
      <c r="X292" s="1152">
        <v>63</v>
      </c>
      <c r="Y292" s="938">
        <v>1</v>
      </c>
      <c r="Z292" s="1091">
        <v>3120</v>
      </c>
      <c r="AA292" s="936"/>
      <c r="AB292" s="936"/>
      <c r="AC292" s="936"/>
      <c r="AD292" s="948">
        <v>2.46853893896722</v>
      </c>
      <c r="AE292" s="1170">
        <v>2.47</v>
      </c>
      <c r="AF292" s="802" t="str">
        <f>_xlfn.DISPIMG("ID_61AA5B2A10204951A014F9F13F1D68AD",1)</f>
        <v>=DISPIMG("ID_61AA5B2A10204951A014F9F13F1D68AD",1)</v>
      </c>
      <c r="AG292" s="1106"/>
      <c r="AH292" s="938"/>
      <c r="AI292" s="1098"/>
      <c r="AJ292" s="938"/>
      <c r="AK292" s="1098"/>
      <c r="AL292" s="945">
        <v>42.8</v>
      </c>
      <c r="AM292" s="945">
        <v>479.36</v>
      </c>
      <c r="AN292" s="1108"/>
      <c r="AO292" s="1143">
        <v>3000</v>
      </c>
      <c r="AP292" s="1143" t="s">
        <v>254</v>
      </c>
      <c r="AQ292" s="1154" t="s">
        <v>677</v>
      </c>
      <c r="AR292" s="1120">
        <v>45667</v>
      </c>
      <c r="AS292" s="1154" t="s">
        <v>537</v>
      </c>
      <c r="AT292" s="1121">
        <v>45680</v>
      </c>
      <c r="AU292" s="1106" t="s">
        <v>553</v>
      </c>
      <c r="AV292" s="1106" t="s">
        <v>59</v>
      </c>
      <c r="AW292" s="1106" t="s">
        <v>540</v>
      </c>
      <c r="AX292" s="897"/>
      <c r="AY292" s="860"/>
      <c r="AZ292" s="897"/>
    </row>
    <row r="293" ht="118.75" customHeight="1" spans="1:52">
      <c r="A293" s="937">
        <v>89</v>
      </c>
      <c r="B293" s="938">
        <v>5806320000</v>
      </c>
      <c r="C293" s="938">
        <v>580632</v>
      </c>
      <c r="D293" s="940" t="s">
        <v>691</v>
      </c>
      <c r="E293" s="940" t="s">
        <v>793</v>
      </c>
      <c r="F293" s="940" t="s">
        <v>794</v>
      </c>
      <c r="G293" s="940"/>
      <c r="H293" s="940"/>
      <c r="I293" s="940" t="s">
        <v>123</v>
      </c>
      <c r="J293" s="940">
        <v>11.9</v>
      </c>
      <c r="K293" s="1143">
        <v>10500</v>
      </c>
      <c r="L293" s="1143" t="s">
        <v>254</v>
      </c>
      <c r="M293" s="937"/>
      <c r="N293" s="1144"/>
      <c r="O293" s="1145"/>
      <c r="P293" s="940">
        <v>21.2</v>
      </c>
      <c r="Q293" s="1108">
        <v>252.28</v>
      </c>
      <c r="R293" s="945"/>
      <c r="S293" s="936"/>
      <c r="T293" s="1108">
        <v>15.34</v>
      </c>
      <c r="U293" s="936"/>
      <c r="V293" s="945">
        <v>11.9</v>
      </c>
      <c r="W293" s="1152"/>
      <c r="X293" s="1152">
        <v>64</v>
      </c>
      <c r="Y293" s="938">
        <v>1</v>
      </c>
      <c r="Z293" s="1091">
        <v>10816</v>
      </c>
      <c r="AA293" s="936"/>
      <c r="AB293" s="936"/>
      <c r="AC293" s="936"/>
      <c r="AD293" s="948"/>
      <c r="AE293" s="1170"/>
      <c r="AF293" s="802" t="str">
        <f>_xlfn.DISPIMG("ID_5F0E5ECE1E5B472890DAF789D9DC6A92",1)</f>
        <v>=DISPIMG("ID_5F0E5ECE1E5B472890DAF789D9DC6A92",1)</v>
      </c>
      <c r="AG293" s="1106"/>
      <c r="AH293" s="938"/>
      <c r="AI293" s="1098"/>
      <c r="AJ293" s="938"/>
      <c r="AK293" s="1098"/>
      <c r="AL293" s="945">
        <v>21.2</v>
      </c>
      <c r="AM293" s="945">
        <v>252.28</v>
      </c>
      <c r="AN293" s="1108"/>
      <c r="AO293" s="1143">
        <v>10500</v>
      </c>
      <c r="AP293" s="1143" t="s">
        <v>254</v>
      </c>
      <c r="AQ293" s="1154" t="s">
        <v>677</v>
      </c>
      <c r="AR293" s="1120">
        <v>45667</v>
      </c>
      <c r="AS293" s="1154" t="s">
        <v>537</v>
      </c>
      <c r="AT293" s="1121">
        <v>45680</v>
      </c>
      <c r="AU293" s="1106" t="s">
        <v>553</v>
      </c>
      <c r="AV293" s="1106" t="s">
        <v>59</v>
      </c>
      <c r="AW293" s="1106" t="s">
        <v>540</v>
      </c>
      <c r="AX293" s="897"/>
      <c r="AY293" s="860"/>
      <c r="AZ293" s="897"/>
    </row>
    <row r="294" ht="118.75" customHeight="1" spans="1:52">
      <c r="A294" s="937">
        <v>90</v>
      </c>
      <c r="B294" s="938">
        <v>5806320000</v>
      </c>
      <c r="C294" s="938">
        <v>580632</v>
      </c>
      <c r="D294" s="940" t="s">
        <v>691</v>
      </c>
      <c r="E294" s="940" t="s">
        <v>795</v>
      </c>
      <c r="F294" s="940" t="s">
        <v>796</v>
      </c>
      <c r="G294" s="940"/>
      <c r="H294" s="940"/>
      <c r="I294" s="940" t="s">
        <v>123</v>
      </c>
      <c r="J294" s="940">
        <v>3.65</v>
      </c>
      <c r="K294" s="1143">
        <v>4500</v>
      </c>
      <c r="L294" s="1143" t="s">
        <v>254</v>
      </c>
      <c r="M294" s="937"/>
      <c r="N294" s="1144"/>
      <c r="O294" s="1145"/>
      <c r="P294" s="940">
        <v>83.8</v>
      </c>
      <c r="Q294" s="1108">
        <v>305.87</v>
      </c>
      <c r="R294" s="945"/>
      <c r="S294" s="936"/>
      <c r="T294" s="1108">
        <v>5.96</v>
      </c>
      <c r="U294" s="936"/>
      <c r="V294" s="945">
        <v>3.65</v>
      </c>
      <c r="W294" s="1152"/>
      <c r="X294" s="1152"/>
      <c r="Y294" s="938"/>
      <c r="Z294" s="1091">
        <v>4680</v>
      </c>
      <c r="AA294" s="936"/>
      <c r="AB294" s="936"/>
      <c r="AC294" s="936"/>
      <c r="AD294" s="948"/>
      <c r="AE294" s="1170"/>
      <c r="AF294" s="802" t="str">
        <f>_xlfn.DISPIMG("ID_CA3653747FC8422891B4DD318CF860BA",1)</f>
        <v>=DISPIMG("ID_CA3653747FC8422891B4DD318CF860BA",1)</v>
      </c>
      <c r="AG294" s="1106"/>
      <c r="AH294" s="938"/>
      <c r="AI294" s="1098"/>
      <c r="AJ294" s="938"/>
      <c r="AK294" s="1098"/>
      <c r="AL294" s="945">
        <v>83.8</v>
      </c>
      <c r="AM294" s="945">
        <v>305.87</v>
      </c>
      <c r="AN294" s="1108"/>
      <c r="AO294" s="1143">
        <v>4500</v>
      </c>
      <c r="AP294" s="1143" t="s">
        <v>254</v>
      </c>
      <c r="AQ294" s="1154" t="s">
        <v>677</v>
      </c>
      <c r="AR294" s="1120">
        <v>45667</v>
      </c>
      <c r="AS294" s="1154" t="s">
        <v>537</v>
      </c>
      <c r="AT294" s="1121">
        <v>45680</v>
      </c>
      <c r="AU294" s="1106" t="s">
        <v>553</v>
      </c>
      <c r="AV294" s="1106" t="s">
        <v>59</v>
      </c>
      <c r="AW294" s="1106" t="s">
        <v>540</v>
      </c>
      <c r="AX294" s="897"/>
      <c r="AY294" s="860"/>
      <c r="AZ294" s="897"/>
    </row>
    <row r="295" ht="118.75" customHeight="1" spans="1:52">
      <c r="A295" s="937">
        <v>91</v>
      </c>
      <c r="B295" s="938">
        <v>5806320000</v>
      </c>
      <c r="C295" s="938">
        <v>580632</v>
      </c>
      <c r="D295" s="940" t="s">
        <v>867</v>
      </c>
      <c r="E295" s="940" t="s">
        <v>791</v>
      </c>
      <c r="F295" s="940" t="s">
        <v>792</v>
      </c>
      <c r="G295" s="940"/>
      <c r="H295" s="940"/>
      <c r="I295" s="940" t="s">
        <v>123</v>
      </c>
      <c r="J295" s="940">
        <v>0.8</v>
      </c>
      <c r="K295" s="1143">
        <v>7830</v>
      </c>
      <c r="L295" s="1143" t="s">
        <v>254</v>
      </c>
      <c r="M295" s="937"/>
      <c r="N295" s="1144"/>
      <c r="O295" s="1145"/>
      <c r="P295" s="940">
        <v>37.5</v>
      </c>
      <c r="Q295" s="1108">
        <v>30</v>
      </c>
      <c r="R295" s="945"/>
      <c r="S295" s="936"/>
      <c r="T295" s="1108">
        <v>1.2</v>
      </c>
      <c r="U295" s="936"/>
      <c r="V295" s="945">
        <v>0.8</v>
      </c>
      <c r="W295" s="1172" t="s">
        <v>695</v>
      </c>
      <c r="X295" s="1172">
        <v>221</v>
      </c>
      <c r="Y295" s="1106">
        <v>1</v>
      </c>
      <c r="Z295" s="1091">
        <v>7830</v>
      </c>
      <c r="AA295" s="936"/>
      <c r="AB295" s="936"/>
      <c r="AC295" s="936"/>
      <c r="AD295" s="948">
        <v>2.98823134717084</v>
      </c>
      <c r="AE295" s="1173"/>
      <c r="AF295" s="1174" t="str">
        <f>_xlfn.DISPIMG("ID_D668924F1DED4E2A82BBCB934686CADF",1)</f>
        <v>=DISPIMG("ID_D668924F1DED4E2A82BBCB934686CADF",1)</v>
      </c>
      <c r="AG295" s="1106"/>
      <c r="AH295" s="938"/>
      <c r="AI295" s="1098"/>
      <c r="AJ295" s="938"/>
      <c r="AK295" s="1098"/>
      <c r="AL295" s="945">
        <v>37.5</v>
      </c>
      <c r="AM295" s="945">
        <v>30</v>
      </c>
      <c r="AN295" s="1108"/>
      <c r="AO295" s="1143">
        <v>7830</v>
      </c>
      <c r="AP295" s="1143" t="s">
        <v>254</v>
      </c>
      <c r="AQ295" s="1154" t="s">
        <v>677</v>
      </c>
      <c r="AR295" s="1120">
        <v>45667</v>
      </c>
      <c r="AS295" s="1154" t="s">
        <v>537</v>
      </c>
      <c r="AT295" s="1121">
        <v>45680</v>
      </c>
      <c r="AU295" s="1106" t="s">
        <v>553</v>
      </c>
      <c r="AV295" s="1106" t="s">
        <v>59</v>
      </c>
      <c r="AW295" s="1106" t="s">
        <v>540</v>
      </c>
      <c r="AX295" s="901"/>
      <c r="AY295" s="867"/>
      <c r="AZ295" s="901"/>
    </row>
    <row r="296" ht="118.75" customHeight="1" spans="1:52">
      <c r="A296" s="777"/>
      <c r="B296" s="869"/>
      <c r="C296" s="869"/>
      <c r="D296" s="870"/>
      <c r="E296" s="870"/>
      <c r="F296" s="870"/>
      <c r="G296" s="870"/>
      <c r="H296" s="870"/>
      <c r="I296" s="870"/>
      <c r="J296" s="809">
        <v>2241.15</v>
      </c>
      <c r="K296" s="873"/>
      <c r="L296" s="873"/>
      <c r="M296" s="874"/>
      <c r="N296" s="875"/>
      <c r="O296" s="876"/>
      <c r="P296" s="870"/>
      <c r="Q296" s="809">
        <v>97217.15</v>
      </c>
      <c r="R296" s="809">
        <v>97217.15</v>
      </c>
      <c r="T296" s="809">
        <v>2966.28</v>
      </c>
      <c r="V296" s="809">
        <v>2241.15</v>
      </c>
      <c r="W296" s="877"/>
      <c r="X296" s="878"/>
      <c r="Y296" s="809">
        <v>281</v>
      </c>
      <c r="Z296" s="879"/>
      <c r="AD296" s="881"/>
      <c r="AE296" s="809">
        <v>35.62</v>
      </c>
      <c r="AF296" s="882"/>
      <c r="AG296" s="878"/>
      <c r="AH296" s="883"/>
      <c r="AI296" s="1175"/>
      <c r="AJ296" s="883"/>
      <c r="AK296" s="1175"/>
      <c r="AL296" s="884"/>
      <c r="AM296" s="809">
        <v>97217.15</v>
      </c>
      <c r="AN296" s="809">
        <v>97217.15</v>
      </c>
      <c r="AO296" s="873"/>
      <c r="AP296" s="873"/>
      <c r="AQ296" s="1113"/>
      <c r="AR296" s="807"/>
      <c r="AS296" s="807"/>
      <c r="AT296" s="807"/>
      <c r="AU296" s="878"/>
      <c r="AV296" s="807"/>
      <c r="AW296" s="807"/>
      <c r="AX296" s="820"/>
      <c r="AY296" s="820"/>
      <c r="AZ296" s="821"/>
    </row>
    <row r="297" ht="118.75" customHeight="1" spans="1:52">
      <c r="A297" s="822"/>
      <c r="B297" s="822"/>
      <c r="C297" s="822"/>
      <c r="D297" s="822"/>
      <c r="E297" s="822"/>
      <c r="F297" s="823"/>
      <c r="G297" s="823"/>
      <c r="H297" s="823"/>
      <c r="I297" s="823"/>
      <c r="J297" s="826"/>
      <c r="K297" s="823"/>
      <c r="L297" s="823"/>
      <c r="M297" s="823"/>
      <c r="N297" s="827"/>
      <c r="O297" s="823"/>
      <c r="P297" s="826"/>
      <c r="Q297" s="826"/>
      <c r="R297" s="828"/>
      <c r="S297" s="956"/>
      <c r="T297" s="826"/>
      <c r="U297" s="956"/>
      <c r="V297" s="826"/>
      <c r="W297" s="905"/>
      <c r="X297" s="830"/>
      <c r="Y297" s="823"/>
      <c r="Z297" s="823"/>
      <c r="AA297" s="956"/>
      <c r="AB297" s="956"/>
      <c r="AC297" s="956"/>
      <c r="AD297" s="906"/>
      <c r="AE297" s="823"/>
      <c r="AF297" s="823"/>
      <c r="AG297" s="823"/>
      <c r="AH297" s="831"/>
      <c r="AI297" s="832"/>
      <c r="AJ297" s="831"/>
      <c r="AK297" s="832"/>
      <c r="AL297" s="826"/>
      <c r="AM297" s="826"/>
      <c r="AN297" s="826"/>
      <c r="AO297" s="823"/>
      <c r="AP297" s="823"/>
      <c r="AQ297" s="1113"/>
      <c r="AR297" s="807"/>
      <c r="AS297" s="807"/>
      <c r="AT297" s="807"/>
      <c r="AU297" s="878"/>
      <c r="AV297" s="807"/>
      <c r="AW297" s="807"/>
      <c r="AX297" s="820"/>
      <c r="AY297" s="820"/>
      <c r="AZ297" s="821"/>
    </row>
    <row r="298" ht="118.75" customHeight="1" spans="1:52">
      <c r="A298" s="834"/>
      <c r="B298" s="834"/>
      <c r="C298" s="805"/>
      <c r="D298" s="805"/>
      <c r="E298" s="805"/>
      <c r="F298" s="804"/>
      <c r="G298" s="804"/>
      <c r="H298" s="804"/>
      <c r="I298" s="804"/>
      <c r="J298" s="836"/>
      <c r="K298" s="804"/>
      <c r="L298" s="804"/>
      <c r="M298" s="804"/>
      <c r="N298" s="804"/>
      <c r="O298" s="804"/>
      <c r="P298" s="836"/>
      <c r="Q298" s="836"/>
      <c r="R298" s="804" t="s">
        <v>62</v>
      </c>
      <c r="S298" s="956"/>
      <c r="T298" s="836">
        <v>5940</v>
      </c>
      <c r="U298" s="956"/>
      <c r="V298" s="836">
        <v>4920.83</v>
      </c>
      <c r="W298" s="837"/>
      <c r="X298" s="838"/>
      <c r="Y298" s="836">
        <v>488</v>
      </c>
      <c r="Z298" s="805"/>
      <c r="AA298" s="956"/>
      <c r="AB298" s="956"/>
      <c r="AC298" s="956"/>
      <c r="AD298" s="907"/>
      <c r="AE298" s="836">
        <v>50.96</v>
      </c>
      <c r="AF298" s="804"/>
      <c r="AG298" s="804"/>
      <c r="AH298" s="840"/>
      <c r="AI298" s="841"/>
      <c r="AJ298" s="840"/>
      <c r="AK298" s="841"/>
      <c r="AL298" s="836"/>
      <c r="AM298" s="836">
        <v>464178.51</v>
      </c>
      <c r="AN298" s="836">
        <v>464178.51</v>
      </c>
      <c r="AO298" s="804"/>
      <c r="AP298" s="804"/>
      <c r="AQ298" s="1113"/>
      <c r="AR298" s="807"/>
      <c r="AS298" s="807"/>
      <c r="AT298" s="807"/>
      <c r="AU298" s="878"/>
      <c r="AV298" s="807"/>
      <c r="AW298" s="807"/>
      <c r="AX298" s="820"/>
      <c r="AY298" s="820"/>
      <c r="AZ298" s="821"/>
    </row>
    <row r="299" ht="78.75" customHeight="1" spans="1:52">
      <c r="A299" s="937">
        <v>1</v>
      </c>
      <c r="B299" s="938">
        <v>3923900000</v>
      </c>
      <c r="C299" s="938">
        <v>392390</v>
      </c>
      <c r="D299" s="937"/>
      <c r="E299" s="937" t="s">
        <v>49</v>
      </c>
      <c r="F299" s="937" t="s">
        <v>50</v>
      </c>
      <c r="G299" s="1089"/>
      <c r="H299" s="802"/>
      <c r="I299" s="1090" t="s">
        <v>51</v>
      </c>
      <c r="J299" s="1091">
        <v>4400</v>
      </c>
      <c r="K299" s="938">
        <v>4400</v>
      </c>
      <c r="L299" s="938" t="s">
        <v>52</v>
      </c>
      <c r="M299" s="937" t="s">
        <v>53</v>
      </c>
      <c r="N299" s="950"/>
      <c r="O299" s="937"/>
      <c r="P299" s="1092">
        <v>56</v>
      </c>
      <c r="Q299" s="944">
        <v>246400</v>
      </c>
      <c r="R299" s="945">
        <v>246400</v>
      </c>
      <c r="S299" s="936"/>
      <c r="T299" s="945">
        <v>10400</v>
      </c>
      <c r="U299" s="936"/>
      <c r="V299" s="945">
        <v>10296</v>
      </c>
      <c r="W299" s="1093" t="s">
        <v>54</v>
      </c>
      <c r="X299" s="1094" t="s">
        <v>54</v>
      </c>
      <c r="Y299" s="939">
        <v>22</v>
      </c>
      <c r="Z299" s="1106">
        <v>200</v>
      </c>
      <c r="AA299" s="936"/>
      <c r="AB299" s="936"/>
      <c r="AC299" s="936"/>
      <c r="AD299" s="1095">
        <v>2.8610895989123</v>
      </c>
      <c r="AE299" s="1096">
        <v>62.94</v>
      </c>
      <c r="AF299" s="1097" t="str">
        <f>_xlfn.DISPIMG("ID_61B39F98AC814B5682095C1BD7B75499",1)</f>
        <v>=DISPIMG("ID_61B39F98AC814B5682095C1BD7B75499",1)</v>
      </c>
      <c r="AG299" s="938"/>
      <c r="AH299" s="1098" t="s">
        <v>868</v>
      </c>
      <c r="AI299" s="1098">
        <v>45635</v>
      </c>
      <c r="AJ299" s="1098" t="s">
        <v>869</v>
      </c>
      <c r="AK299" s="1098">
        <v>45635</v>
      </c>
      <c r="AL299" s="944">
        <v>56</v>
      </c>
      <c r="AM299" s="944">
        <v>246400</v>
      </c>
      <c r="AN299" s="944">
        <v>246400</v>
      </c>
      <c r="AO299" s="938">
        <v>4400</v>
      </c>
      <c r="AP299" s="938" t="s">
        <v>52</v>
      </c>
      <c r="AQ299" s="953" t="s">
        <v>870</v>
      </c>
      <c r="AR299" s="1120">
        <v>45671</v>
      </c>
      <c r="AS299" s="1106" t="s">
        <v>871</v>
      </c>
      <c r="AT299" s="1120">
        <v>45687</v>
      </c>
      <c r="AU299" s="1106" t="s">
        <v>872</v>
      </c>
      <c r="AV299" s="1106" t="s">
        <v>59</v>
      </c>
      <c r="AW299" s="1106" t="s">
        <v>873</v>
      </c>
      <c r="AX299" s="1176">
        <v>16188</v>
      </c>
      <c r="AY299" s="802"/>
      <c r="AZ299" s="955">
        <v>1659050.3</v>
      </c>
    </row>
    <row r="300" ht="78.75" customHeight="1" spans="1:52">
      <c r="A300" s="804"/>
      <c r="B300" s="805"/>
      <c r="C300" s="805"/>
      <c r="D300" s="804"/>
      <c r="E300" s="804"/>
      <c r="F300" s="804"/>
      <c r="G300" s="806"/>
      <c r="H300" s="820"/>
      <c r="I300" s="808"/>
      <c r="J300" s="809"/>
      <c r="K300" s="810"/>
      <c r="L300" s="811"/>
      <c r="M300" s="810"/>
      <c r="N300" s="812"/>
      <c r="O300" s="810"/>
      <c r="P300" s="813"/>
      <c r="Q300" s="809">
        <v>246400</v>
      </c>
      <c r="R300" s="809">
        <v>246400</v>
      </c>
      <c r="T300" s="809">
        <v>10400</v>
      </c>
      <c r="V300" s="809">
        <v>10296</v>
      </c>
      <c r="W300" s="814"/>
      <c r="X300" s="810"/>
      <c r="Y300" s="809">
        <v>22</v>
      </c>
      <c r="Z300" s="810"/>
      <c r="AD300" s="816"/>
      <c r="AE300" s="809">
        <v>62.94</v>
      </c>
      <c r="AF300" s="810"/>
      <c r="AG300" s="810"/>
      <c r="AH300" s="811"/>
      <c r="AI300" s="812"/>
      <c r="AJ300" s="810"/>
      <c r="AK300" s="812"/>
      <c r="AL300" s="809"/>
      <c r="AM300" s="809">
        <v>246400</v>
      </c>
      <c r="AN300" s="809">
        <v>246400</v>
      </c>
      <c r="AO300" s="810"/>
      <c r="AP300" s="811"/>
      <c r="AQ300" s="1113"/>
      <c r="AR300" s="807"/>
      <c r="AS300" s="807"/>
      <c r="AT300" s="807"/>
      <c r="AU300" s="878"/>
      <c r="AV300" s="807"/>
      <c r="AW300" s="807"/>
      <c r="AX300" s="820"/>
      <c r="AY300" s="820"/>
      <c r="AZ300" s="821"/>
    </row>
    <row r="301" ht="78.75" customHeight="1" spans="1:52">
      <c r="A301" s="822"/>
      <c r="B301" s="822"/>
      <c r="C301" s="822"/>
      <c r="D301" s="822"/>
      <c r="E301" s="822"/>
      <c r="F301" s="823"/>
      <c r="G301" s="824"/>
      <c r="H301" s="820"/>
      <c r="I301" s="825"/>
      <c r="J301" s="826"/>
      <c r="K301" s="823"/>
      <c r="L301" s="823"/>
      <c r="M301" s="823"/>
      <c r="N301" s="827"/>
      <c r="O301" s="823"/>
      <c r="P301" s="826"/>
      <c r="Q301" s="826"/>
      <c r="R301" s="828"/>
      <c r="T301" s="826"/>
      <c r="V301" s="826"/>
      <c r="W301" s="829"/>
      <c r="X301" s="830"/>
      <c r="Y301" s="823"/>
      <c r="Z301" s="823"/>
      <c r="AD301" s="823"/>
      <c r="AE301" s="823"/>
      <c r="AF301" s="823"/>
      <c r="AG301" s="823"/>
      <c r="AH301" s="831"/>
      <c r="AI301" s="832"/>
      <c r="AJ301" s="831"/>
      <c r="AK301" s="832"/>
      <c r="AL301" s="826"/>
      <c r="AM301" s="826"/>
      <c r="AN301" s="833"/>
      <c r="AO301" s="823"/>
      <c r="AP301" s="823"/>
      <c r="AQ301" s="1113"/>
      <c r="AR301" s="807"/>
      <c r="AS301" s="807"/>
      <c r="AT301" s="807"/>
      <c r="AU301" s="878"/>
      <c r="AV301" s="807"/>
      <c r="AW301" s="807"/>
      <c r="AX301" s="820"/>
      <c r="AY301" s="820"/>
      <c r="AZ301" s="821"/>
    </row>
    <row r="302" ht="78.75" customHeight="1" spans="1:52">
      <c r="A302" s="834"/>
      <c r="B302" s="834"/>
      <c r="C302" s="805"/>
      <c r="D302" s="805"/>
      <c r="E302" s="805"/>
      <c r="F302" s="804"/>
      <c r="G302" s="806"/>
      <c r="H302" s="820"/>
      <c r="I302" s="835"/>
      <c r="J302" s="836"/>
      <c r="K302" s="804"/>
      <c r="L302" s="804"/>
      <c r="M302" s="804"/>
      <c r="N302" s="804"/>
      <c r="O302" s="804"/>
      <c r="P302" s="836"/>
      <c r="Q302" s="836"/>
      <c r="R302" s="804" t="s">
        <v>62</v>
      </c>
      <c r="T302" s="836">
        <v>10400</v>
      </c>
      <c r="V302" s="836">
        <v>10296</v>
      </c>
      <c r="W302" s="837"/>
      <c r="X302" s="838"/>
      <c r="Y302" s="836">
        <v>22</v>
      </c>
      <c r="Z302" s="805"/>
      <c r="AD302" s="839"/>
      <c r="AE302" s="836">
        <v>62.94</v>
      </c>
      <c r="AF302" s="804"/>
      <c r="AG302" s="804"/>
      <c r="AH302" s="840"/>
      <c r="AI302" s="841"/>
      <c r="AJ302" s="840"/>
      <c r="AK302" s="841"/>
      <c r="AL302" s="836"/>
      <c r="AM302" s="836">
        <v>246400</v>
      </c>
      <c r="AN302" s="836">
        <v>246400</v>
      </c>
      <c r="AO302" s="804"/>
      <c r="AP302" s="804"/>
      <c r="AQ302" s="1113"/>
      <c r="AR302" s="807"/>
      <c r="AS302" s="807"/>
      <c r="AT302" s="807"/>
      <c r="AU302" s="878"/>
      <c r="AV302" s="807"/>
      <c r="AW302" s="807"/>
      <c r="AX302" s="820"/>
      <c r="AY302" s="820"/>
      <c r="AZ302" s="821"/>
    </row>
    <row r="303" ht="78.75" spans="1:52">
      <c r="A303" s="937">
        <v>1</v>
      </c>
      <c r="B303" s="937">
        <v>4821100000</v>
      </c>
      <c r="C303" s="937">
        <v>482110</v>
      </c>
      <c r="D303" s="937" t="s">
        <v>874</v>
      </c>
      <c r="E303" s="937" t="s">
        <v>875</v>
      </c>
      <c r="F303" s="937" t="s">
        <v>876</v>
      </c>
      <c r="G303" s="937"/>
      <c r="H303" s="937"/>
      <c r="I303" s="938" t="s">
        <v>123</v>
      </c>
      <c r="J303" s="940">
        <v>0.94</v>
      </c>
      <c r="K303" s="941">
        <v>200</v>
      </c>
      <c r="L303" s="939" t="s">
        <v>326</v>
      </c>
      <c r="M303" s="937" t="s">
        <v>877</v>
      </c>
      <c r="N303" s="942"/>
      <c r="O303" s="941"/>
      <c r="P303" s="940">
        <v>532</v>
      </c>
      <c r="Q303" s="940">
        <v>500.08</v>
      </c>
      <c r="R303" s="1115">
        <v>650.1</v>
      </c>
      <c r="S303" s="936"/>
      <c r="T303" s="940">
        <v>1.2</v>
      </c>
      <c r="U303" s="936"/>
      <c r="V303" s="1115">
        <v>0.94</v>
      </c>
      <c r="W303" s="1138" t="s">
        <v>878</v>
      </c>
      <c r="X303" s="939">
        <v>132</v>
      </c>
      <c r="Y303" s="1143">
        <v>1</v>
      </c>
      <c r="Z303" s="1177">
        <v>200</v>
      </c>
      <c r="AA303" s="936"/>
      <c r="AB303" s="936"/>
      <c r="AC303" s="936"/>
      <c r="AD303" s="948">
        <v>0.00865737593473827</v>
      </c>
      <c r="AE303" s="1115">
        <v>0.01</v>
      </c>
      <c r="AF303" s="1178" t="str">
        <f>_xlfn.DISPIMG("ID_158CB3760A03488EAC0A190EEF8DED1D",1)</f>
        <v>=DISPIMG("ID_158CB3760A03488EAC0A190EEF8DED1D",1)</v>
      </c>
      <c r="AG303" s="1179"/>
      <c r="AH303" s="939" t="s">
        <v>879</v>
      </c>
      <c r="AI303" s="942">
        <v>45635</v>
      </c>
      <c r="AJ303" s="939" t="s">
        <v>880</v>
      </c>
      <c r="AK303" s="942">
        <v>45635</v>
      </c>
      <c r="AL303" s="1108">
        <v>558.5</v>
      </c>
      <c r="AM303" s="1108">
        <v>524.99</v>
      </c>
      <c r="AN303" s="1115">
        <v>62654.31</v>
      </c>
      <c r="AO303" s="936"/>
      <c r="AP303" s="936"/>
      <c r="AQ303" s="1148" t="s">
        <v>881</v>
      </c>
      <c r="AR303" s="1120">
        <v>45674</v>
      </c>
      <c r="AS303" s="1106" t="s">
        <v>882</v>
      </c>
      <c r="AT303" s="1120">
        <v>45687</v>
      </c>
      <c r="AU303" s="1106" t="s">
        <v>883</v>
      </c>
      <c r="AV303" s="1106" t="s">
        <v>59</v>
      </c>
      <c r="AW303" s="1106" t="s">
        <v>873</v>
      </c>
      <c r="AX303" s="894">
        <v>16188</v>
      </c>
      <c r="AY303" s="857"/>
      <c r="AZ303" s="894">
        <v>100053.18</v>
      </c>
    </row>
    <row r="304" ht="78.75" spans="1:52">
      <c r="A304" s="937">
        <v>2</v>
      </c>
      <c r="B304" s="937">
        <v>4821100000</v>
      </c>
      <c r="C304" s="937">
        <v>482110</v>
      </c>
      <c r="D304" s="937" t="s">
        <v>874</v>
      </c>
      <c r="E304" s="937" t="s">
        <v>875</v>
      </c>
      <c r="F304" s="937" t="s">
        <v>876</v>
      </c>
      <c r="G304" s="937"/>
      <c r="H304" s="937"/>
      <c r="I304" s="938" t="s">
        <v>123</v>
      </c>
      <c r="J304" s="940">
        <v>1.04</v>
      </c>
      <c r="K304" s="941">
        <v>200</v>
      </c>
      <c r="L304" s="939" t="s">
        <v>254</v>
      </c>
      <c r="M304" s="937"/>
      <c r="N304" s="942"/>
      <c r="O304" s="941"/>
      <c r="P304" s="940">
        <v>144.25</v>
      </c>
      <c r="Q304" s="940">
        <v>150.02</v>
      </c>
      <c r="R304" s="1115"/>
      <c r="S304" s="936"/>
      <c r="T304" s="940">
        <v>1.3</v>
      </c>
      <c r="U304" s="936"/>
      <c r="V304" s="1115">
        <v>1.04</v>
      </c>
      <c r="W304" s="1138"/>
      <c r="X304" s="939"/>
      <c r="Y304" s="1143"/>
      <c r="Z304" s="1177">
        <v>200</v>
      </c>
      <c r="AA304" s="936"/>
      <c r="AB304" s="936"/>
      <c r="AC304" s="936"/>
      <c r="AD304" s="948"/>
      <c r="AE304" s="1115"/>
      <c r="AF304" s="1178" t="str">
        <f>_xlfn.DISPIMG("ID_71CAEC40B8EA4FF88180E5BE08B2F53F",1)</f>
        <v>=DISPIMG("ID_71CAEC40B8EA4FF88180E5BE08B2F53F",1)</v>
      </c>
      <c r="AG304" s="1179"/>
      <c r="AH304" s="939"/>
      <c r="AI304" s="942"/>
      <c r="AJ304" s="939"/>
      <c r="AK304" s="942"/>
      <c r="AL304" s="1108">
        <v>151.5</v>
      </c>
      <c r="AM304" s="1108">
        <v>157.56</v>
      </c>
      <c r="AN304" s="1115"/>
      <c r="AO304" s="936"/>
      <c r="AP304" s="936"/>
      <c r="AQ304" s="1154" t="s">
        <v>881</v>
      </c>
      <c r="AR304" s="1120">
        <v>45674</v>
      </c>
      <c r="AS304" s="1106" t="s">
        <v>882</v>
      </c>
      <c r="AT304" s="1120">
        <v>45687</v>
      </c>
      <c r="AU304" s="1106" t="s">
        <v>883</v>
      </c>
      <c r="AV304" s="1106" t="s">
        <v>59</v>
      </c>
      <c r="AW304" s="1106" t="s">
        <v>873</v>
      </c>
      <c r="AX304" s="897"/>
      <c r="AY304" s="860"/>
      <c r="AZ304" s="897"/>
    </row>
    <row r="305" ht="110.25" spans="1:52">
      <c r="A305" s="937">
        <v>3</v>
      </c>
      <c r="B305" s="937">
        <v>4819200000</v>
      </c>
      <c r="C305" s="937">
        <v>481920</v>
      </c>
      <c r="D305" s="937" t="s">
        <v>874</v>
      </c>
      <c r="E305" s="937" t="s">
        <v>334</v>
      </c>
      <c r="F305" s="937" t="s">
        <v>884</v>
      </c>
      <c r="G305" s="937" t="s">
        <v>885</v>
      </c>
      <c r="H305" s="937"/>
      <c r="I305" s="938" t="s">
        <v>123</v>
      </c>
      <c r="J305" s="940">
        <v>91</v>
      </c>
      <c r="K305" s="941">
        <v>100</v>
      </c>
      <c r="L305" s="939" t="s">
        <v>52</v>
      </c>
      <c r="M305" s="1180" t="s">
        <v>886</v>
      </c>
      <c r="N305" s="942"/>
      <c r="O305" s="941"/>
      <c r="P305" s="940">
        <v>159.33</v>
      </c>
      <c r="Q305" s="940">
        <v>14499.03</v>
      </c>
      <c r="R305" s="1141">
        <v>52168.05</v>
      </c>
      <c r="S305" s="936"/>
      <c r="T305" s="940">
        <v>97.5</v>
      </c>
      <c r="U305" s="936"/>
      <c r="V305" s="1115">
        <v>91</v>
      </c>
      <c r="W305" s="1138" t="s">
        <v>887</v>
      </c>
      <c r="X305" s="939" t="s">
        <v>888</v>
      </c>
      <c r="Y305" s="1143">
        <v>6</v>
      </c>
      <c r="Z305" s="1177" t="s">
        <v>889</v>
      </c>
      <c r="AA305" s="936"/>
      <c r="AB305" s="936"/>
      <c r="AC305" s="936"/>
      <c r="AD305" s="948">
        <v>0.15543400284284</v>
      </c>
      <c r="AE305" s="1115">
        <v>0.93</v>
      </c>
      <c r="AF305" s="1178" t="str">
        <f>_xlfn.DISPIMG("ID_33118A77371446B3B439959B855417E3",1)</f>
        <v>=DISPIMG("ID_33118A77371446B3B439959B855417E3",1)</v>
      </c>
      <c r="AG305" s="1179"/>
      <c r="AH305" s="939"/>
      <c r="AI305" s="942"/>
      <c r="AJ305" s="939"/>
      <c r="AK305" s="942"/>
      <c r="AL305" s="1108">
        <v>167.3</v>
      </c>
      <c r="AM305" s="1108">
        <v>15224.3</v>
      </c>
      <c r="AN305" s="1115"/>
      <c r="AO305" s="936"/>
      <c r="AP305" s="936"/>
      <c r="AQ305" s="1154" t="s">
        <v>881</v>
      </c>
      <c r="AR305" s="1120">
        <v>45674</v>
      </c>
      <c r="AS305" s="1106" t="s">
        <v>882</v>
      </c>
      <c r="AT305" s="1120">
        <v>45687</v>
      </c>
      <c r="AU305" s="1106" t="s">
        <v>883</v>
      </c>
      <c r="AV305" s="1106" t="s">
        <v>59</v>
      </c>
      <c r="AW305" s="1106" t="s">
        <v>873</v>
      </c>
      <c r="AX305" s="897"/>
      <c r="AY305" s="860"/>
      <c r="AZ305" s="897"/>
    </row>
    <row r="306" ht="78.75" spans="1:52">
      <c r="A306" s="937">
        <v>4</v>
      </c>
      <c r="B306" s="938">
        <v>4821100000</v>
      </c>
      <c r="C306" s="938">
        <v>481920</v>
      </c>
      <c r="D306" s="937" t="s">
        <v>874</v>
      </c>
      <c r="E306" s="937" t="s">
        <v>890</v>
      </c>
      <c r="F306" s="937" t="s">
        <v>891</v>
      </c>
      <c r="G306" s="937" t="s">
        <v>892</v>
      </c>
      <c r="H306" s="937"/>
      <c r="I306" s="938" t="s">
        <v>123</v>
      </c>
      <c r="J306" s="940">
        <v>78.3</v>
      </c>
      <c r="K306" s="941">
        <v>100</v>
      </c>
      <c r="L306" s="939" t="s">
        <v>52</v>
      </c>
      <c r="M306" s="1180"/>
      <c r="N306" s="942"/>
      <c r="O306" s="941"/>
      <c r="P306" s="940">
        <v>79.2</v>
      </c>
      <c r="Q306" s="940">
        <v>6201.36</v>
      </c>
      <c r="R306" s="1141"/>
      <c r="S306" s="936"/>
      <c r="T306" s="940">
        <v>84.72</v>
      </c>
      <c r="U306" s="936"/>
      <c r="V306" s="1115">
        <v>78.3</v>
      </c>
      <c r="W306" s="1138" t="s">
        <v>893</v>
      </c>
      <c r="X306" s="939" t="s">
        <v>894</v>
      </c>
      <c r="Y306" s="1143">
        <v>13</v>
      </c>
      <c r="Z306" s="1177" t="s">
        <v>895</v>
      </c>
      <c r="AA306" s="936"/>
      <c r="AB306" s="936"/>
      <c r="AC306" s="936"/>
      <c r="AD306" s="948">
        <v>0.148232265355311</v>
      </c>
      <c r="AE306" s="1115">
        <v>1.93</v>
      </c>
      <c r="AF306" s="1178" t="str">
        <f>_xlfn.DISPIMG("ID_994BB321A98349039BB22068B1C6D11A",1)</f>
        <v>=DISPIMG("ID_994BB321A98349039BB22068B1C6D11A",1)</v>
      </c>
      <c r="AG306" s="1179"/>
      <c r="AH306" s="939"/>
      <c r="AI306" s="942"/>
      <c r="AJ306" s="939"/>
      <c r="AK306" s="942"/>
      <c r="AL306" s="1108">
        <v>83.2</v>
      </c>
      <c r="AM306" s="1108">
        <v>6514.56</v>
      </c>
      <c r="AN306" s="1115"/>
      <c r="AO306" s="936"/>
      <c r="AP306" s="936"/>
      <c r="AQ306" s="1154" t="s">
        <v>881</v>
      </c>
      <c r="AR306" s="1120">
        <v>45674</v>
      </c>
      <c r="AS306" s="1106" t="s">
        <v>882</v>
      </c>
      <c r="AT306" s="1120">
        <v>45687</v>
      </c>
      <c r="AU306" s="1106" t="s">
        <v>883</v>
      </c>
      <c r="AV306" s="1106" t="s">
        <v>59</v>
      </c>
      <c r="AW306" s="1106" t="s">
        <v>873</v>
      </c>
      <c r="AX306" s="897"/>
      <c r="AY306" s="860"/>
      <c r="AZ306" s="897"/>
    </row>
    <row r="307" ht="87.5" customHeight="1" spans="1:52">
      <c r="A307" s="937">
        <v>5</v>
      </c>
      <c r="B307" s="937">
        <v>4819200000</v>
      </c>
      <c r="C307" s="937">
        <v>481920</v>
      </c>
      <c r="D307" s="937" t="s">
        <v>896</v>
      </c>
      <c r="E307" s="937" t="s">
        <v>897</v>
      </c>
      <c r="F307" s="937" t="s">
        <v>898</v>
      </c>
      <c r="G307" s="937"/>
      <c r="H307" s="937"/>
      <c r="I307" s="938" t="s">
        <v>123</v>
      </c>
      <c r="J307" s="940">
        <v>4.12</v>
      </c>
      <c r="K307" s="941">
        <v>2</v>
      </c>
      <c r="L307" s="939" t="s">
        <v>326</v>
      </c>
      <c r="M307" s="1180"/>
      <c r="N307" s="942"/>
      <c r="O307" s="941"/>
      <c r="P307" s="940">
        <v>4</v>
      </c>
      <c r="Q307" s="940">
        <v>16.48</v>
      </c>
      <c r="R307" s="1141"/>
      <c r="S307" s="936"/>
      <c r="T307" s="940">
        <v>5.93</v>
      </c>
      <c r="U307" s="936"/>
      <c r="V307" s="1115">
        <v>4.12</v>
      </c>
      <c r="W307" s="1138" t="s">
        <v>899</v>
      </c>
      <c r="X307" s="939">
        <v>125</v>
      </c>
      <c r="Y307" s="1143">
        <v>1</v>
      </c>
      <c r="Z307" s="1177">
        <v>2</v>
      </c>
      <c r="AA307" s="936"/>
      <c r="AB307" s="936"/>
      <c r="AC307" s="936"/>
      <c r="AD307" s="948">
        <v>0.103547213221856</v>
      </c>
      <c r="AE307" s="1115">
        <v>0.1</v>
      </c>
      <c r="AF307" s="1178"/>
      <c r="AG307" s="1179"/>
      <c r="AH307" s="939"/>
      <c r="AI307" s="942"/>
      <c r="AJ307" s="939"/>
      <c r="AK307" s="942"/>
      <c r="AL307" s="1108">
        <v>4.5</v>
      </c>
      <c r="AM307" s="1108">
        <v>18.54</v>
      </c>
      <c r="AN307" s="1115"/>
      <c r="AO307" s="936"/>
      <c r="AP307" s="936"/>
      <c r="AQ307" s="1154" t="s">
        <v>881</v>
      </c>
      <c r="AR307" s="1120">
        <v>45674</v>
      </c>
      <c r="AS307" s="1106" t="s">
        <v>882</v>
      </c>
      <c r="AT307" s="1120">
        <v>45687</v>
      </c>
      <c r="AU307" s="1106" t="s">
        <v>883</v>
      </c>
      <c r="AV307" s="1106" t="s">
        <v>59</v>
      </c>
      <c r="AW307" s="1106" t="s">
        <v>873</v>
      </c>
      <c r="AX307" s="897"/>
      <c r="AY307" s="860"/>
      <c r="AZ307" s="897"/>
    </row>
    <row r="308" ht="94.5" spans="1:52">
      <c r="A308" s="937">
        <v>6</v>
      </c>
      <c r="B308" s="937">
        <v>4819200000</v>
      </c>
      <c r="C308" s="937">
        <v>481920</v>
      </c>
      <c r="D308" s="937" t="s">
        <v>900</v>
      </c>
      <c r="E308" s="937" t="s">
        <v>901</v>
      </c>
      <c r="F308" s="937" t="s">
        <v>902</v>
      </c>
      <c r="G308" s="937" t="s">
        <v>903</v>
      </c>
      <c r="H308" s="937"/>
      <c r="I308" s="938" t="s">
        <v>123</v>
      </c>
      <c r="J308" s="940">
        <v>1012</v>
      </c>
      <c r="K308" s="941">
        <v>12350</v>
      </c>
      <c r="L308" s="939" t="s">
        <v>52</v>
      </c>
      <c r="M308" s="1180"/>
      <c r="N308" s="942"/>
      <c r="O308" s="941"/>
      <c r="P308" s="940">
        <v>22.58</v>
      </c>
      <c r="Q308" s="940">
        <v>22850.96</v>
      </c>
      <c r="R308" s="1141"/>
      <c r="S308" s="936"/>
      <c r="T308" s="940">
        <v>1025.04</v>
      </c>
      <c r="U308" s="936"/>
      <c r="V308" s="1115">
        <v>1012</v>
      </c>
      <c r="W308" s="1138" t="s">
        <v>904</v>
      </c>
      <c r="X308" s="939" t="s">
        <v>905</v>
      </c>
      <c r="Y308" s="1143">
        <v>127</v>
      </c>
      <c r="Z308" s="1177" t="s">
        <v>906</v>
      </c>
      <c r="AA308" s="936"/>
      <c r="AB308" s="936"/>
      <c r="AC308" s="936"/>
      <c r="AD308" s="948">
        <v>0.0717775168407391</v>
      </c>
      <c r="AE308" s="1115">
        <v>9.12</v>
      </c>
      <c r="AF308" s="1131" t="str">
        <f>_xlfn.DISPIMG("ID_79A8A0633C5B458CA80711DA49FE46BB",1)</f>
        <v>=DISPIMG("ID_79A8A0633C5B458CA80711DA49FE46BB",1)</v>
      </c>
      <c r="AG308" s="1179"/>
      <c r="AH308" s="939"/>
      <c r="AI308" s="942"/>
      <c r="AJ308" s="939"/>
      <c r="AK308" s="942"/>
      <c r="AL308" s="1108">
        <v>23.71</v>
      </c>
      <c r="AM308" s="1108">
        <v>23994.52</v>
      </c>
      <c r="AN308" s="1115"/>
      <c r="AO308" s="936"/>
      <c r="AP308" s="936"/>
      <c r="AQ308" s="1154" t="s">
        <v>881</v>
      </c>
      <c r="AR308" s="1120">
        <v>45674</v>
      </c>
      <c r="AS308" s="1106" t="s">
        <v>882</v>
      </c>
      <c r="AT308" s="1120">
        <v>45687</v>
      </c>
      <c r="AU308" s="1106" t="s">
        <v>883</v>
      </c>
      <c r="AV308" s="1106" t="s">
        <v>59</v>
      </c>
      <c r="AW308" s="1106" t="s">
        <v>873</v>
      </c>
      <c r="AX308" s="897"/>
      <c r="AY308" s="860"/>
      <c r="AZ308" s="897"/>
    </row>
    <row r="309" ht="78" spans="1:52">
      <c r="A309" s="937">
        <v>7</v>
      </c>
      <c r="B309" s="937">
        <v>4819200000</v>
      </c>
      <c r="C309" s="937">
        <v>481920</v>
      </c>
      <c r="D309" s="937" t="s">
        <v>347</v>
      </c>
      <c r="E309" s="937" t="s">
        <v>901</v>
      </c>
      <c r="F309" s="937" t="s">
        <v>902</v>
      </c>
      <c r="G309" s="937" t="s">
        <v>907</v>
      </c>
      <c r="H309" s="937"/>
      <c r="I309" s="938" t="s">
        <v>123</v>
      </c>
      <c r="J309" s="940">
        <v>311.2</v>
      </c>
      <c r="K309" s="941">
        <v>5130</v>
      </c>
      <c r="L309" s="939" t="s">
        <v>52</v>
      </c>
      <c r="M309" s="1180"/>
      <c r="N309" s="942"/>
      <c r="O309" s="941"/>
      <c r="P309" s="940">
        <v>18.95</v>
      </c>
      <c r="Q309" s="940">
        <v>5897.24</v>
      </c>
      <c r="R309" s="1141"/>
      <c r="S309" s="936"/>
      <c r="T309" s="940">
        <v>331.7</v>
      </c>
      <c r="U309" s="936"/>
      <c r="V309" s="1115">
        <v>311.2</v>
      </c>
      <c r="W309" s="1138" t="s">
        <v>908</v>
      </c>
      <c r="X309" s="939" t="s">
        <v>909</v>
      </c>
      <c r="Y309" s="1143">
        <v>54</v>
      </c>
      <c r="Z309" s="1177" t="s">
        <v>910</v>
      </c>
      <c r="AA309" s="936"/>
      <c r="AB309" s="936"/>
      <c r="AC309" s="936"/>
      <c r="AD309" s="948">
        <v>0.0448134761227895</v>
      </c>
      <c r="AE309" s="1115">
        <v>2.42</v>
      </c>
      <c r="AF309" s="1131" t="str">
        <f>_xlfn.DISPIMG("ID_9B1BB30182E04977832F28C1A807CE61",1)</f>
        <v>=DISPIMG("ID_9B1BB30182E04977832F28C1A807CE61",1)</v>
      </c>
      <c r="AG309" s="1179"/>
      <c r="AH309" s="939"/>
      <c r="AI309" s="942"/>
      <c r="AJ309" s="939"/>
      <c r="AK309" s="942"/>
      <c r="AL309" s="1108">
        <v>19.9</v>
      </c>
      <c r="AM309" s="1108">
        <v>6192.88</v>
      </c>
      <c r="AN309" s="1115"/>
      <c r="AO309" s="936"/>
      <c r="AP309" s="936"/>
      <c r="AQ309" s="1154" t="s">
        <v>881</v>
      </c>
      <c r="AR309" s="1120">
        <v>45674</v>
      </c>
      <c r="AS309" s="1106" t="s">
        <v>882</v>
      </c>
      <c r="AT309" s="1120">
        <v>45687</v>
      </c>
      <c r="AU309" s="1106" t="s">
        <v>883</v>
      </c>
      <c r="AV309" s="1106" t="s">
        <v>59</v>
      </c>
      <c r="AW309" s="1106" t="s">
        <v>873</v>
      </c>
      <c r="AX309" s="897"/>
      <c r="AY309" s="860"/>
      <c r="AZ309" s="897"/>
    </row>
    <row r="310" ht="78" spans="1:52">
      <c r="A310" s="937">
        <v>8</v>
      </c>
      <c r="B310" s="937">
        <v>4819200000</v>
      </c>
      <c r="C310" s="937">
        <v>481920</v>
      </c>
      <c r="D310" s="937" t="s">
        <v>911</v>
      </c>
      <c r="E310" s="937" t="s">
        <v>901</v>
      </c>
      <c r="F310" s="937" t="s">
        <v>902</v>
      </c>
      <c r="G310" s="937" t="s">
        <v>907</v>
      </c>
      <c r="H310" s="937"/>
      <c r="I310" s="938" t="s">
        <v>123</v>
      </c>
      <c r="J310" s="940">
        <v>125.72</v>
      </c>
      <c r="K310" s="941">
        <v>2080</v>
      </c>
      <c r="L310" s="939" t="s">
        <v>254</v>
      </c>
      <c r="M310" s="1180"/>
      <c r="N310" s="942"/>
      <c r="O310" s="941"/>
      <c r="P310" s="940">
        <v>21.5</v>
      </c>
      <c r="Q310" s="940">
        <v>2702.98</v>
      </c>
      <c r="R310" s="1141"/>
      <c r="S310" s="936"/>
      <c r="T310" s="940">
        <v>140.74</v>
      </c>
      <c r="U310" s="936"/>
      <c r="V310" s="1115">
        <v>125.72</v>
      </c>
      <c r="W310" s="1138">
        <v>6</v>
      </c>
      <c r="X310" s="939" t="s">
        <v>912</v>
      </c>
      <c r="Y310" s="1143">
        <v>23</v>
      </c>
      <c r="Z310" s="1177" t="s">
        <v>913</v>
      </c>
      <c r="AA310" s="936"/>
      <c r="AB310" s="936"/>
      <c r="AC310" s="936"/>
      <c r="AD310" s="948">
        <v>0.0448134761227895</v>
      </c>
      <c r="AE310" s="1115">
        <v>1.03</v>
      </c>
      <c r="AF310" s="1131" t="str">
        <f>_xlfn.DISPIMG("ID_823BB29CC6B0425DB3140CAA34893947",1)</f>
        <v>=DISPIMG("ID_823BB29CC6B0425DB3140CAA34893947",1)</v>
      </c>
      <c r="AG310" s="1179"/>
      <c r="AH310" s="939"/>
      <c r="AI310" s="942"/>
      <c r="AJ310" s="939"/>
      <c r="AK310" s="942"/>
      <c r="AL310" s="1108">
        <v>22.5</v>
      </c>
      <c r="AM310" s="1108">
        <v>2828.7</v>
      </c>
      <c r="AN310" s="1115"/>
      <c r="AO310" s="936"/>
      <c r="AP310" s="936"/>
      <c r="AQ310" s="1154" t="s">
        <v>881</v>
      </c>
      <c r="AR310" s="1120">
        <v>45674</v>
      </c>
      <c r="AS310" s="1106" t="s">
        <v>882</v>
      </c>
      <c r="AT310" s="1120">
        <v>45687</v>
      </c>
      <c r="AU310" s="1106" t="s">
        <v>883</v>
      </c>
      <c r="AV310" s="1106" t="s">
        <v>59</v>
      </c>
      <c r="AW310" s="1106" t="s">
        <v>873</v>
      </c>
      <c r="AX310" s="897"/>
      <c r="AY310" s="860"/>
      <c r="AZ310" s="897"/>
    </row>
    <row r="311" ht="94.5" spans="1:52">
      <c r="A311" s="937">
        <v>9</v>
      </c>
      <c r="B311" s="937">
        <v>4819100000</v>
      </c>
      <c r="C311" s="937">
        <v>481910</v>
      </c>
      <c r="D311" s="937" t="s">
        <v>874</v>
      </c>
      <c r="E311" s="937" t="s">
        <v>914</v>
      </c>
      <c r="F311" s="937" t="s">
        <v>915</v>
      </c>
      <c r="G311" s="937" t="s">
        <v>916</v>
      </c>
      <c r="H311" s="937"/>
      <c r="I311" s="938" t="s">
        <v>123</v>
      </c>
      <c r="J311" s="940">
        <v>22</v>
      </c>
      <c r="K311" s="941">
        <v>20</v>
      </c>
      <c r="L311" s="939" t="s">
        <v>254</v>
      </c>
      <c r="M311" s="937" t="s">
        <v>344</v>
      </c>
      <c r="N311" s="942"/>
      <c r="O311" s="941"/>
      <c r="P311" s="940">
        <v>5.45</v>
      </c>
      <c r="Q311" s="940">
        <v>119.9</v>
      </c>
      <c r="R311" s="1114">
        <v>398.56</v>
      </c>
      <c r="S311" s="936"/>
      <c r="T311" s="940">
        <v>22</v>
      </c>
      <c r="U311" s="936"/>
      <c r="V311" s="1115">
        <v>22</v>
      </c>
      <c r="W311" s="1138" t="s">
        <v>887</v>
      </c>
      <c r="X311" s="939">
        <v>148</v>
      </c>
      <c r="Y311" s="1143">
        <v>1</v>
      </c>
      <c r="Z311" s="1177">
        <v>20</v>
      </c>
      <c r="AA311" s="936"/>
      <c r="AB311" s="936"/>
      <c r="AC311" s="936"/>
      <c r="AD311" s="948">
        <v>0.239396307839</v>
      </c>
      <c r="AE311" s="1115">
        <v>0.24</v>
      </c>
      <c r="AF311" s="1178" t="str">
        <f>_xlfn.DISPIMG("ID_4CA261B48C324779867CC430E681618A",1)</f>
        <v>=DISPIMG("ID_4CA261B48C324779867CC430E681618A",1)</v>
      </c>
      <c r="AG311" s="1179"/>
      <c r="AH311" s="939"/>
      <c r="AI311" s="942"/>
      <c r="AJ311" s="939"/>
      <c r="AK311" s="942"/>
      <c r="AL311" s="1108">
        <v>5.72</v>
      </c>
      <c r="AM311" s="1108">
        <v>125.84</v>
      </c>
      <c r="AN311" s="1115"/>
      <c r="AO311" s="936"/>
      <c r="AP311" s="936"/>
      <c r="AQ311" s="1154" t="s">
        <v>881</v>
      </c>
      <c r="AR311" s="1120">
        <v>45674</v>
      </c>
      <c r="AS311" s="1106" t="s">
        <v>882</v>
      </c>
      <c r="AT311" s="1120">
        <v>45687</v>
      </c>
      <c r="AU311" s="1106" t="s">
        <v>883</v>
      </c>
      <c r="AV311" s="1106" t="s">
        <v>59</v>
      </c>
      <c r="AW311" s="1106" t="s">
        <v>873</v>
      </c>
      <c r="AX311" s="897"/>
      <c r="AY311" s="860"/>
      <c r="AZ311" s="897"/>
    </row>
    <row r="312" ht="78.75" spans="1:52">
      <c r="A312" s="937">
        <v>10</v>
      </c>
      <c r="B312" s="937">
        <v>482110000</v>
      </c>
      <c r="C312" s="937">
        <v>481920</v>
      </c>
      <c r="D312" s="937" t="s">
        <v>874</v>
      </c>
      <c r="E312" s="937" t="s">
        <v>917</v>
      </c>
      <c r="F312" s="937" t="s">
        <v>918</v>
      </c>
      <c r="G312" s="937" t="s">
        <v>919</v>
      </c>
      <c r="H312" s="937"/>
      <c r="I312" s="938" t="s">
        <v>123</v>
      </c>
      <c r="J312" s="940">
        <v>9.7</v>
      </c>
      <c r="K312" s="941">
        <v>100</v>
      </c>
      <c r="L312" s="939" t="s">
        <v>254</v>
      </c>
      <c r="M312" s="937"/>
      <c r="N312" s="942"/>
      <c r="O312" s="941"/>
      <c r="P312" s="940">
        <v>6.9</v>
      </c>
      <c r="Q312" s="940">
        <v>66.93</v>
      </c>
      <c r="R312" s="1114"/>
      <c r="S312" s="936"/>
      <c r="T312" s="940">
        <v>10.7</v>
      </c>
      <c r="U312" s="936"/>
      <c r="V312" s="1115">
        <v>9.7</v>
      </c>
      <c r="W312" s="1138" t="s">
        <v>887</v>
      </c>
      <c r="X312" s="939">
        <v>149</v>
      </c>
      <c r="Y312" s="1143">
        <v>1</v>
      </c>
      <c r="Z312" s="1177">
        <v>100</v>
      </c>
      <c r="AA312" s="936"/>
      <c r="AB312" s="936"/>
      <c r="AC312" s="936"/>
      <c r="AD312" s="948">
        <v>0.0103943478683112</v>
      </c>
      <c r="AE312" s="1115">
        <v>0.01</v>
      </c>
      <c r="AF312" s="1178" t="str">
        <f>_xlfn.DISPIMG("ID_816CD0F058104716A84B4E84C93628E4",1)</f>
        <v>=DISPIMG("ID_816CD0F058104716A84B4E84C93628E4",1)</v>
      </c>
      <c r="AG312" s="1179"/>
      <c r="AH312" s="939"/>
      <c r="AI312" s="942"/>
      <c r="AJ312" s="939"/>
      <c r="AK312" s="942"/>
      <c r="AL312" s="1108">
        <v>7.3</v>
      </c>
      <c r="AM312" s="1108">
        <v>70.81</v>
      </c>
      <c r="AN312" s="1115"/>
      <c r="AO312" s="936"/>
      <c r="AP312" s="936"/>
      <c r="AQ312" s="1154" t="s">
        <v>881</v>
      </c>
      <c r="AR312" s="1120">
        <v>45674</v>
      </c>
      <c r="AS312" s="1106" t="s">
        <v>882</v>
      </c>
      <c r="AT312" s="1120">
        <v>45687</v>
      </c>
      <c r="AU312" s="1106" t="s">
        <v>883</v>
      </c>
      <c r="AV312" s="1106" t="s">
        <v>59</v>
      </c>
      <c r="AW312" s="1106" t="s">
        <v>873</v>
      </c>
      <c r="AX312" s="897"/>
      <c r="AY312" s="860"/>
      <c r="AZ312" s="897"/>
    </row>
    <row r="313" ht="78.75" spans="1:52">
      <c r="A313" s="937">
        <v>11</v>
      </c>
      <c r="B313" s="937">
        <v>482110000</v>
      </c>
      <c r="C313" s="937">
        <v>481920</v>
      </c>
      <c r="D313" s="937" t="s">
        <v>874</v>
      </c>
      <c r="E313" s="937" t="s">
        <v>920</v>
      </c>
      <c r="F313" s="937" t="s">
        <v>921</v>
      </c>
      <c r="G313" s="937" t="s">
        <v>922</v>
      </c>
      <c r="H313" s="937"/>
      <c r="I313" s="938" t="s">
        <v>123</v>
      </c>
      <c r="J313" s="940">
        <v>5.95</v>
      </c>
      <c r="K313" s="941">
        <v>100</v>
      </c>
      <c r="L313" s="939" t="s">
        <v>52</v>
      </c>
      <c r="M313" s="937"/>
      <c r="N313" s="942"/>
      <c r="O313" s="941"/>
      <c r="P313" s="940">
        <v>8</v>
      </c>
      <c r="Q313" s="940">
        <v>47.6</v>
      </c>
      <c r="R313" s="1114"/>
      <c r="S313" s="936"/>
      <c r="T313" s="940">
        <v>6.55</v>
      </c>
      <c r="U313" s="936"/>
      <c r="V313" s="1115">
        <v>5.95</v>
      </c>
      <c r="W313" s="1138" t="s">
        <v>887</v>
      </c>
      <c r="X313" s="939">
        <v>150</v>
      </c>
      <c r="Y313" s="1143">
        <v>1</v>
      </c>
      <c r="Z313" s="1177">
        <v>100</v>
      </c>
      <c r="AA313" s="936"/>
      <c r="AB313" s="936"/>
      <c r="AC313" s="936"/>
      <c r="AD313" s="948">
        <v>0.0164885908517044</v>
      </c>
      <c r="AE313" s="1115">
        <v>0.01</v>
      </c>
      <c r="AF313" s="1178" t="str">
        <f>_xlfn.DISPIMG("ID_4DE15D1F6C1749DF8F2AC1F4390813BF",1)</f>
        <v>=DISPIMG("ID_4DE15D1F6C1749DF8F2AC1F4390813BF",1)</v>
      </c>
      <c r="AG313" s="1179"/>
      <c r="AH313" s="939"/>
      <c r="AI313" s="942"/>
      <c r="AJ313" s="939"/>
      <c r="AK313" s="942"/>
      <c r="AL313" s="1108">
        <v>8.4</v>
      </c>
      <c r="AM313" s="1108">
        <v>49.98</v>
      </c>
      <c r="AN313" s="1115"/>
      <c r="AO313" s="936"/>
      <c r="AP313" s="936"/>
      <c r="AQ313" s="1154" t="s">
        <v>881</v>
      </c>
      <c r="AR313" s="1120">
        <v>45674</v>
      </c>
      <c r="AS313" s="1106" t="s">
        <v>882</v>
      </c>
      <c r="AT313" s="1120">
        <v>45687</v>
      </c>
      <c r="AU313" s="1106" t="s">
        <v>883</v>
      </c>
      <c r="AV313" s="1106" t="s">
        <v>59</v>
      </c>
      <c r="AW313" s="1106" t="s">
        <v>873</v>
      </c>
      <c r="AX313" s="897"/>
      <c r="AY313" s="860"/>
      <c r="AZ313" s="897"/>
    </row>
    <row r="314" ht="78.75" spans="1:52">
      <c r="A314" s="937">
        <v>12</v>
      </c>
      <c r="B314" s="937">
        <v>482110000</v>
      </c>
      <c r="C314" s="937">
        <v>481920</v>
      </c>
      <c r="D314" s="937" t="s">
        <v>874</v>
      </c>
      <c r="E314" s="937" t="s">
        <v>923</v>
      </c>
      <c r="F314" s="937" t="s">
        <v>924</v>
      </c>
      <c r="G314" s="937" t="s">
        <v>925</v>
      </c>
      <c r="H314" s="937"/>
      <c r="I314" s="938" t="s">
        <v>123</v>
      </c>
      <c r="J314" s="940">
        <v>0.05</v>
      </c>
      <c r="K314" s="941">
        <v>27</v>
      </c>
      <c r="L314" s="939" t="s">
        <v>52</v>
      </c>
      <c r="M314" s="937"/>
      <c r="N314" s="942"/>
      <c r="O314" s="941"/>
      <c r="P314" s="940">
        <v>43.2</v>
      </c>
      <c r="Q314" s="940">
        <v>2.16</v>
      </c>
      <c r="R314" s="1114"/>
      <c r="S314" s="936"/>
      <c r="T314" s="940">
        <v>0.2</v>
      </c>
      <c r="U314" s="936"/>
      <c r="V314" s="1115">
        <v>0.05</v>
      </c>
      <c r="W314" s="1138" t="s">
        <v>878</v>
      </c>
      <c r="X314" s="939">
        <v>151</v>
      </c>
      <c r="Y314" s="1143">
        <v>1</v>
      </c>
      <c r="Z314" s="1177">
        <v>27</v>
      </c>
      <c r="AA314" s="936"/>
      <c r="AB314" s="936"/>
      <c r="AC314" s="936"/>
      <c r="AD314" s="948">
        <v>0.00865737593473827</v>
      </c>
      <c r="AE314" s="1115">
        <v>0.01</v>
      </c>
      <c r="AF314" s="1178" t="str">
        <f>_xlfn.DISPIMG("ID_040760192798401DA542319720E96BE5",1)</f>
        <v>=DISPIMG("ID_040760192798401DA542319720E96BE5",1)</v>
      </c>
      <c r="AG314" s="1179"/>
      <c r="AH314" s="939"/>
      <c r="AI314" s="942"/>
      <c r="AJ314" s="939"/>
      <c r="AK314" s="942"/>
      <c r="AL314" s="1108">
        <v>45.4</v>
      </c>
      <c r="AM314" s="1108">
        <v>2.27</v>
      </c>
      <c r="AN314" s="1115"/>
      <c r="AO314" s="936"/>
      <c r="AP314" s="936"/>
      <c r="AQ314" s="1154" t="s">
        <v>881</v>
      </c>
      <c r="AR314" s="1120">
        <v>45674</v>
      </c>
      <c r="AS314" s="1106" t="s">
        <v>882</v>
      </c>
      <c r="AT314" s="1120">
        <v>45687</v>
      </c>
      <c r="AU314" s="1106" t="s">
        <v>883</v>
      </c>
      <c r="AV314" s="1106" t="s">
        <v>59</v>
      </c>
      <c r="AW314" s="1106" t="s">
        <v>873</v>
      </c>
      <c r="AX314" s="897"/>
      <c r="AY314" s="860"/>
      <c r="AZ314" s="897"/>
    </row>
    <row r="315" ht="78.75" spans="1:52">
      <c r="A315" s="937">
        <v>13</v>
      </c>
      <c r="B315" s="937">
        <v>482110000</v>
      </c>
      <c r="C315" s="937">
        <v>481920</v>
      </c>
      <c r="D315" s="937" t="s">
        <v>874</v>
      </c>
      <c r="E315" s="937" t="s">
        <v>926</v>
      </c>
      <c r="F315" s="937" t="s">
        <v>927</v>
      </c>
      <c r="G315" s="937" t="s">
        <v>928</v>
      </c>
      <c r="H315" s="937"/>
      <c r="I315" s="938" t="s">
        <v>123</v>
      </c>
      <c r="J315" s="940">
        <v>0.2</v>
      </c>
      <c r="K315" s="941">
        <v>100</v>
      </c>
      <c r="L315" s="939" t="s">
        <v>52</v>
      </c>
      <c r="M315" s="937"/>
      <c r="N315" s="942"/>
      <c r="O315" s="941"/>
      <c r="P315" s="940">
        <v>115</v>
      </c>
      <c r="Q315" s="940">
        <v>23</v>
      </c>
      <c r="R315" s="1114"/>
      <c r="S315" s="936"/>
      <c r="T315" s="940">
        <v>0.49</v>
      </c>
      <c r="U315" s="936"/>
      <c r="V315" s="1115">
        <v>0.2</v>
      </c>
      <c r="W315" s="1138" t="s">
        <v>887</v>
      </c>
      <c r="X315" s="939">
        <v>152</v>
      </c>
      <c r="Y315" s="1143">
        <v>1</v>
      </c>
      <c r="Z315" s="1177">
        <v>100</v>
      </c>
      <c r="AA315" s="936"/>
      <c r="AB315" s="936"/>
      <c r="AC315" s="936"/>
      <c r="AD315" s="948">
        <v>0.0043767845003399</v>
      </c>
      <c r="AE315" s="1115">
        <v>0.01</v>
      </c>
      <c r="AF315" s="1178" t="str">
        <f>_xlfn.DISPIMG("ID_2BDE90E29738414C854540E1498BF1C1",1)</f>
        <v>=DISPIMG("ID_2BDE90E29738414C854540E1498BF1C1",1)</v>
      </c>
      <c r="AG315" s="1179"/>
      <c r="AH315" s="939"/>
      <c r="AI315" s="942"/>
      <c r="AJ315" s="939"/>
      <c r="AK315" s="942"/>
      <c r="AL315" s="1108">
        <v>120.75</v>
      </c>
      <c r="AM315" s="1108">
        <v>24.15</v>
      </c>
      <c r="AN315" s="1115"/>
      <c r="AO315" s="936"/>
      <c r="AP315" s="936"/>
      <c r="AQ315" s="1154" t="s">
        <v>881</v>
      </c>
      <c r="AR315" s="1120">
        <v>45674</v>
      </c>
      <c r="AS315" s="1106" t="s">
        <v>882</v>
      </c>
      <c r="AT315" s="1120">
        <v>45687</v>
      </c>
      <c r="AU315" s="1106" t="s">
        <v>883</v>
      </c>
      <c r="AV315" s="1106" t="s">
        <v>59</v>
      </c>
      <c r="AW315" s="1106" t="s">
        <v>873</v>
      </c>
      <c r="AX315" s="897"/>
      <c r="AY315" s="860"/>
      <c r="AZ315" s="897"/>
    </row>
    <row r="316" ht="94.5" spans="1:52">
      <c r="A316" s="937">
        <v>14</v>
      </c>
      <c r="B316" s="937">
        <v>4819100000</v>
      </c>
      <c r="C316" s="937">
        <v>481910</v>
      </c>
      <c r="D316" s="937" t="s">
        <v>929</v>
      </c>
      <c r="E316" s="937" t="s">
        <v>914</v>
      </c>
      <c r="F316" s="937" t="s">
        <v>930</v>
      </c>
      <c r="G316" s="937" t="s">
        <v>931</v>
      </c>
      <c r="H316" s="937"/>
      <c r="I316" s="938" t="s">
        <v>123</v>
      </c>
      <c r="J316" s="940">
        <v>23</v>
      </c>
      <c r="K316" s="941">
        <v>20</v>
      </c>
      <c r="L316" s="939" t="s">
        <v>52</v>
      </c>
      <c r="M316" s="937"/>
      <c r="N316" s="942"/>
      <c r="O316" s="941"/>
      <c r="P316" s="940">
        <v>5.39</v>
      </c>
      <c r="Q316" s="940">
        <v>123.97</v>
      </c>
      <c r="R316" s="1114"/>
      <c r="S316" s="936"/>
      <c r="T316" s="940">
        <v>30.98</v>
      </c>
      <c r="U316" s="936"/>
      <c r="V316" s="1115">
        <v>23</v>
      </c>
      <c r="W316" s="1138" t="s">
        <v>932</v>
      </c>
      <c r="X316" s="939">
        <v>148</v>
      </c>
      <c r="Y316" s="1143">
        <v>1</v>
      </c>
      <c r="Z316" s="1177">
        <v>20</v>
      </c>
      <c r="AA316" s="936"/>
      <c r="AB316" s="936"/>
      <c r="AC316" s="936"/>
      <c r="AD316" s="948">
        <v>0.251050410092966</v>
      </c>
      <c r="AE316" s="1115">
        <v>0.25</v>
      </c>
      <c r="AF316" s="1178" t="str">
        <f>_xlfn.DISPIMG("ID_4CB11F7B16664C33B9349BC90AE24564",1)</f>
        <v>=DISPIMG("ID_4CB11F7B16664C33B9349BC90AE24564",1)</v>
      </c>
      <c r="AG316" s="1179"/>
      <c r="AH316" s="939"/>
      <c r="AI316" s="942"/>
      <c r="AJ316" s="939"/>
      <c r="AK316" s="942"/>
      <c r="AL316" s="1108">
        <v>5.66</v>
      </c>
      <c r="AM316" s="1108">
        <v>130.18</v>
      </c>
      <c r="AN316" s="1115"/>
      <c r="AO316" s="936"/>
      <c r="AP316" s="936"/>
      <c r="AQ316" s="1154" t="s">
        <v>881</v>
      </c>
      <c r="AR316" s="1120">
        <v>45674</v>
      </c>
      <c r="AS316" s="1106" t="s">
        <v>882</v>
      </c>
      <c r="AT316" s="1120">
        <v>45687</v>
      </c>
      <c r="AU316" s="1106" t="s">
        <v>883</v>
      </c>
      <c r="AV316" s="1106" t="s">
        <v>59</v>
      </c>
      <c r="AW316" s="1106" t="s">
        <v>873</v>
      </c>
      <c r="AX316" s="897"/>
      <c r="AY316" s="860"/>
      <c r="AZ316" s="897"/>
    </row>
    <row r="317" ht="63" spans="1:52">
      <c r="A317" s="937">
        <v>15</v>
      </c>
      <c r="B317" s="937">
        <v>482110000</v>
      </c>
      <c r="C317" s="937">
        <v>481920</v>
      </c>
      <c r="D317" s="937" t="s">
        <v>929</v>
      </c>
      <c r="E317" s="937" t="s">
        <v>933</v>
      </c>
      <c r="F317" s="937" t="s">
        <v>934</v>
      </c>
      <c r="G317" s="937" t="s">
        <v>935</v>
      </c>
      <c r="H317" s="937"/>
      <c r="I317" s="938" t="s">
        <v>123</v>
      </c>
      <c r="J317" s="940">
        <v>1.4</v>
      </c>
      <c r="K317" s="941">
        <v>22</v>
      </c>
      <c r="L317" s="939" t="s">
        <v>52</v>
      </c>
      <c r="M317" s="937"/>
      <c r="N317" s="942"/>
      <c r="O317" s="941"/>
      <c r="P317" s="940">
        <v>9</v>
      </c>
      <c r="Q317" s="940">
        <v>12.6</v>
      </c>
      <c r="R317" s="1114"/>
      <c r="S317" s="936"/>
      <c r="T317" s="940">
        <v>1.42</v>
      </c>
      <c r="U317" s="936"/>
      <c r="V317" s="1115">
        <v>1.4</v>
      </c>
      <c r="W317" s="1138" t="s">
        <v>932</v>
      </c>
      <c r="X317" s="939">
        <v>149</v>
      </c>
      <c r="Y317" s="1143">
        <v>1</v>
      </c>
      <c r="Z317" s="1177">
        <v>22</v>
      </c>
      <c r="AA317" s="936"/>
      <c r="AB317" s="936"/>
      <c r="AC317" s="936"/>
      <c r="AD317" s="948">
        <v>0.0113392885836122</v>
      </c>
      <c r="AE317" s="1115">
        <v>0.01</v>
      </c>
      <c r="AF317" s="1178" t="str">
        <f>_xlfn.DISPIMG("ID_3F62787AD34448A0B374CF579919346A",1)</f>
        <v>=DISPIMG("ID_3F62787AD34448A0B374CF579919346A",1)</v>
      </c>
      <c r="AG317" s="1179"/>
      <c r="AH317" s="939"/>
      <c r="AI317" s="942"/>
      <c r="AJ317" s="939"/>
      <c r="AK317" s="942"/>
      <c r="AL317" s="1108">
        <v>9.45</v>
      </c>
      <c r="AM317" s="1108">
        <v>13.23</v>
      </c>
      <c r="AN317" s="1115"/>
      <c r="AO317" s="936"/>
      <c r="AP317" s="936"/>
      <c r="AQ317" s="1154" t="s">
        <v>881</v>
      </c>
      <c r="AR317" s="1120">
        <v>45674</v>
      </c>
      <c r="AS317" s="1106" t="s">
        <v>882</v>
      </c>
      <c r="AT317" s="1120">
        <v>45687</v>
      </c>
      <c r="AU317" s="1106" t="s">
        <v>883</v>
      </c>
      <c r="AV317" s="1106" t="s">
        <v>59</v>
      </c>
      <c r="AW317" s="1106" t="s">
        <v>873</v>
      </c>
      <c r="AX317" s="897"/>
      <c r="AY317" s="860"/>
      <c r="AZ317" s="897"/>
    </row>
    <row r="318" ht="63" spans="1:52">
      <c r="A318" s="937">
        <v>16</v>
      </c>
      <c r="B318" s="937">
        <v>482110000</v>
      </c>
      <c r="C318" s="937">
        <v>481920</v>
      </c>
      <c r="D318" s="937" t="s">
        <v>929</v>
      </c>
      <c r="E318" s="937" t="s">
        <v>936</v>
      </c>
      <c r="F318" s="937" t="s">
        <v>937</v>
      </c>
      <c r="G318" s="937" t="s">
        <v>938</v>
      </c>
      <c r="H318" s="937"/>
      <c r="I318" s="938" t="s">
        <v>123</v>
      </c>
      <c r="J318" s="940">
        <v>0.04</v>
      </c>
      <c r="K318" s="941" t="s">
        <v>939</v>
      </c>
      <c r="L318" s="939" t="s">
        <v>52</v>
      </c>
      <c r="M318" s="937"/>
      <c r="N318" s="942"/>
      <c r="O318" s="941"/>
      <c r="P318" s="940">
        <v>60</v>
      </c>
      <c r="Q318" s="940">
        <v>2.4</v>
      </c>
      <c r="R318" s="1114"/>
      <c r="S318" s="936"/>
      <c r="T318" s="940">
        <v>0.13</v>
      </c>
      <c r="U318" s="936"/>
      <c r="V318" s="1115">
        <v>0.04</v>
      </c>
      <c r="W318" s="1138" t="s">
        <v>932</v>
      </c>
      <c r="X318" s="939">
        <v>147</v>
      </c>
      <c r="Y318" s="1143">
        <v>1</v>
      </c>
      <c r="Z318" s="1177">
        <v>30</v>
      </c>
      <c r="AA318" s="936"/>
      <c r="AB318" s="936"/>
      <c r="AC318" s="936"/>
      <c r="AD318" s="948">
        <v>0.00834818393706905</v>
      </c>
      <c r="AE318" s="1115">
        <v>0.01</v>
      </c>
      <c r="AF318" s="1178" t="str">
        <f>_xlfn.DISPIMG("ID_B035712430494740A27F9B5614441448",1)</f>
        <v>=DISPIMG("ID_B035712430494740A27F9B5614441448",1)</v>
      </c>
      <c r="AG318" s="1179"/>
      <c r="AH318" s="939"/>
      <c r="AI318" s="942"/>
      <c r="AJ318" s="939"/>
      <c r="AK318" s="942"/>
      <c r="AL318" s="1108">
        <v>63</v>
      </c>
      <c r="AM318" s="1108">
        <v>2.52</v>
      </c>
      <c r="AN318" s="1115"/>
      <c r="AO318" s="936"/>
      <c r="AP318" s="936"/>
      <c r="AQ318" s="1154" t="s">
        <v>881</v>
      </c>
      <c r="AR318" s="1120">
        <v>45674</v>
      </c>
      <c r="AS318" s="1106" t="s">
        <v>882</v>
      </c>
      <c r="AT318" s="1120">
        <v>45687</v>
      </c>
      <c r="AU318" s="1106" t="s">
        <v>883</v>
      </c>
      <c r="AV318" s="1106" t="s">
        <v>59</v>
      </c>
      <c r="AW318" s="1106" t="s">
        <v>873</v>
      </c>
      <c r="AX318" s="897"/>
      <c r="AY318" s="860"/>
      <c r="AZ318" s="897"/>
    </row>
    <row r="319" ht="63" spans="1:52">
      <c r="A319" s="937">
        <v>17</v>
      </c>
      <c r="B319" s="937">
        <v>4007000000</v>
      </c>
      <c r="C319" s="937">
        <v>400700</v>
      </c>
      <c r="D319" s="937" t="s">
        <v>929</v>
      </c>
      <c r="E319" s="937" t="s">
        <v>940</v>
      </c>
      <c r="F319" s="937" t="s">
        <v>941</v>
      </c>
      <c r="G319" s="937" t="s">
        <v>942</v>
      </c>
      <c r="H319" s="937"/>
      <c r="I319" s="938" t="s">
        <v>123</v>
      </c>
      <c r="J319" s="940">
        <v>1</v>
      </c>
      <c r="K319" s="941">
        <v>10000</v>
      </c>
      <c r="L319" s="939" t="s">
        <v>254</v>
      </c>
      <c r="M319" s="937" t="s">
        <v>341</v>
      </c>
      <c r="N319" s="942"/>
      <c r="O319" s="941"/>
      <c r="P319" s="940">
        <v>350</v>
      </c>
      <c r="Q319" s="940">
        <v>350</v>
      </c>
      <c r="R319" s="1115">
        <v>365.5</v>
      </c>
      <c r="S319" s="936"/>
      <c r="T319" s="940">
        <v>1.1</v>
      </c>
      <c r="U319" s="936"/>
      <c r="V319" s="1115">
        <v>1</v>
      </c>
      <c r="W319" s="1138"/>
      <c r="X319" s="939"/>
      <c r="Y319" s="1143"/>
      <c r="Z319" s="1177">
        <v>10000</v>
      </c>
      <c r="AA319" s="936"/>
      <c r="AB319" s="936"/>
      <c r="AC319" s="936"/>
      <c r="AD319" s="948"/>
      <c r="AE319" s="1115"/>
      <c r="AF319" s="1178" t="str">
        <f>_xlfn.DISPIMG("ID_74E5A1365C8A490E8FA5738C7509F9E6",1)</f>
        <v>=DISPIMG("ID_74E5A1365C8A490E8FA5738C7509F9E6",1)</v>
      </c>
      <c r="AG319" s="1179"/>
      <c r="AH319" s="939"/>
      <c r="AI319" s="942"/>
      <c r="AJ319" s="939"/>
      <c r="AK319" s="942"/>
      <c r="AL319" s="1108">
        <v>1615.5</v>
      </c>
      <c r="AM319" s="1108">
        <v>1615.5</v>
      </c>
      <c r="AN319" s="1115"/>
      <c r="AO319" s="936"/>
      <c r="AP319" s="936"/>
      <c r="AQ319" s="1154" t="s">
        <v>881</v>
      </c>
      <c r="AR319" s="1120">
        <v>45674</v>
      </c>
      <c r="AS319" s="1106" t="s">
        <v>882</v>
      </c>
      <c r="AT319" s="1120">
        <v>45687</v>
      </c>
      <c r="AU319" s="1106" t="s">
        <v>883</v>
      </c>
      <c r="AV319" s="1106" t="s">
        <v>59</v>
      </c>
      <c r="AW319" s="1106" t="s">
        <v>873</v>
      </c>
      <c r="AX319" s="897"/>
      <c r="AY319" s="860"/>
      <c r="AZ319" s="897"/>
    </row>
    <row r="320" ht="78.75" spans="1:52">
      <c r="A320" s="937">
        <v>18</v>
      </c>
      <c r="B320" s="937">
        <v>3926909090</v>
      </c>
      <c r="C320" s="937">
        <v>392310</v>
      </c>
      <c r="D320" s="937" t="s">
        <v>874</v>
      </c>
      <c r="E320" s="937" t="s">
        <v>943</v>
      </c>
      <c r="F320" s="937" t="s">
        <v>944</v>
      </c>
      <c r="G320" s="937" t="s">
        <v>945</v>
      </c>
      <c r="H320" s="937"/>
      <c r="I320" s="938" t="s">
        <v>123</v>
      </c>
      <c r="J320" s="940">
        <v>0.05</v>
      </c>
      <c r="K320" s="941">
        <v>1000</v>
      </c>
      <c r="L320" s="939" t="s">
        <v>254</v>
      </c>
      <c r="M320" s="937"/>
      <c r="N320" s="942"/>
      <c r="O320" s="941"/>
      <c r="P320" s="940">
        <v>310</v>
      </c>
      <c r="Q320" s="940">
        <v>15.5</v>
      </c>
      <c r="R320" s="1115"/>
      <c r="S320" s="936"/>
      <c r="T320" s="940">
        <v>0.2</v>
      </c>
      <c r="U320" s="936"/>
      <c r="V320" s="1115">
        <v>0.05</v>
      </c>
      <c r="W320" s="1138" t="s">
        <v>878</v>
      </c>
      <c r="X320" s="939">
        <v>153</v>
      </c>
      <c r="Y320" s="1143">
        <v>1</v>
      </c>
      <c r="Z320" s="1177">
        <v>100</v>
      </c>
      <c r="AA320" s="936"/>
      <c r="AB320" s="936"/>
      <c r="AC320" s="936"/>
      <c r="AD320" s="948">
        <v>0.00865737593473827</v>
      </c>
      <c r="AE320" s="1115">
        <v>0.01</v>
      </c>
      <c r="AF320" s="1178" t="str">
        <f>_xlfn.DISPIMG("ID_ADEF198A686742FAA6AD7BAD4DA2B841",1)</f>
        <v>=DISPIMG("ID_ADEF198A686742FAA6AD7BAD4DA2B841",1)</v>
      </c>
      <c r="AG320" s="1179"/>
      <c r="AH320" s="939"/>
      <c r="AI320" s="942"/>
      <c r="AJ320" s="939"/>
      <c r="AK320" s="942"/>
      <c r="AL320" s="1108">
        <v>326</v>
      </c>
      <c r="AM320" s="1108">
        <v>16.3</v>
      </c>
      <c r="AN320" s="1115"/>
      <c r="AO320" s="936"/>
      <c r="AP320" s="936"/>
      <c r="AQ320" s="1154" t="s">
        <v>881</v>
      </c>
      <c r="AR320" s="1120">
        <v>45674</v>
      </c>
      <c r="AS320" s="1106" t="s">
        <v>882</v>
      </c>
      <c r="AT320" s="1120">
        <v>45687</v>
      </c>
      <c r="AU320" s="1106" t="s">
        <v>883</v>
      </c>
      <c r="AV320" s="1106" t="s">
        <v>59</v>
      </c>
      <c r="AW320" s="1106" t="s">
        <v>873</v>
      </c>
      <c r="AX320" s="897"/>
      <c r="AY320" s="860"/>
      <c r="AZ320" s="897"/>
    </row>
    <row r="321" ht="78" spans="1:52">
      <c r="A321" s="937">
        <v>19</v>
      </c>
      <c r="B321" s="937">
        <v>4823909000</v>
      </c>
      <c r="C321" s="937">
        <v>480640</v>
      </c>
      <c r="D321" s="937" t="s">
        <v>900</v>
      </c>
      <c r="E321" s="937" t="s">
        <v>946</v>
      </c>
      <c r="F321" s="937" t="s">
        <v>947</v>
      </c>
      <c r="G321" s="937" t="s">
        <v>948</v>
      </c>
      <c r="H321" s="937"/>
      <c r="I321" s="938" t="s">
        <v>123</v>
      </c>
      <c r="J321" s="940">
        <v>197.6</v>
      </c>
      <c r="K321" s="941">
        <v>10000</v>
      </c>
      <c r="L321" s="939" t="s">
        <v>52</v>
      </c>
      <c r="M321" s="937" t="s">
        <v>344</v>
      </c>
      <c r="N321" s="942"/>
      <c r="O321" s="941"/>
      <c r="P321" s="940">
        <v>24.8</v>
      </c>
      <c r="Q321" s="940">
        <v>4900.48</v>
      </c>
      <c r="R321" s="1115">
        <v>4900.48</v>
      </c>
      <c r="S321" s="936"/>
      <c r="T321" s="940">
        <v>204</v>
      </c>
      <c r="U321" s="936"/>
      <c r="V321" s="1115">
        <v>197.6</v>
      </c>
      <c r="W321" s="1138">
        <v>4</v>
      </c>
      <c r="X321" s="939">
        <v>240</v>
      </c>
      <c r="Y321" s="1143">
        <v>1</v>
      </c>
      <c r="Z321" s="1177">
        <v>10000</v>
      </c>
      <c r="AA321" s="936"/>
      <c r="AB321" s="936"/>
      <c r="AC321" s="936"/>
      <c r="AD321" s="948">
        <v>0.710717345740595</v>
      </c>
      <c r="AE321" s="1115">
        <v>0.71</v>
      </c>
      <c r="AF321" s="1178" t="str">
        <f>_xlfn.DISPIMG("ID_F6B577847EA448B99FEC8FA60C132EB0",1)</f>
        <v>=DISPIMG("ID_F6B577847EA448B99FEC8FA60C132EB0",1)</v>
      </c>
      <c r="AG321" s="1179"/>
      <c r="AH321" s="939"/>
      <c r="AI321" s="942"/>
      <c r="AJ321" s="939"/>
      <c r="AK321" s="942"/>
      <c r="AL321" s="1108">
        <v>26.05</v>
      </c>
      <c r="AM321" s="1108">
        <v>5147.48</v>
      </c>
      <c r="AN321" s="1115"/>
      <c r="AO321" s="936"/>
      <c r="AP321" s="936"/>
      <c r="AQ321" s="1154" t="s">
        <v>881</v>
      </c>
      <c r="AR321" s="1120">
        <v>45674</v>
      </c>
      <c r="AS321" s="1106" t="s">
        <v>882</v>
      </c>
      <c r="AT321" s="1120">
        <v>45687</v>
      </c>
      <c r="AU321" s="1106" t="s">
        <v>883</v>
      </c>
      <c r="AV321" s="1106" t="s">
        <v>59</v>
      </c>
      <c r="AW321" s="1106" t="s">
        <v>873</v>
      </c>
      <c r="AX321" s="897"/>
      <c r="AY321" s="860"/>
      <c r="AZ321" s="897"/>
    </row>
    <row r="322" ht="78" spans="1:52">
      <c r="A322" s="937">
        <v>20</v>
      </c>
      <c r="B322" s="937">
        <v>4823909000</v>
      </c>
      <c r="C322" s="937">
        <v>482390</v>
      </c>
      <c r="D322" s="937" t="s">
        <v>347</v>
      </c>
      <c r="E322" s="937" t="s">
        <v>949</v>
      </c>
      <c r="F322" s="937" t="s">
        <v>950</v>
      </c>
      <c r="G322" s="937" t="s">
        <v>951</v>
      </c>
      <c r="H322" s="937"/>
      <c r="I322" s="938" t="s">
        <v>952</v>
      </c>
      <c r="J322" s="1136">
        <v>0.1465</v>
      </c>
      <c r="K322" s="941" t="s">
        <v>953</v>
      </c>
      <c r="L322" s="939" t="s">
        <v>682</v>
      </c>
      <c r="M322" s="937" t="s">
        <v>350</v>
      </c>
      <c r="N322" s="942"/>
      <c r="O322" s="941"/>
      <c r="P322" s="940">
        <v>28.58</v>
      </c>
      <c r="Q322" s="940">
        <v>4.18697</v>
      </c>
      <c r="R322" s="1115">
        <v>4.18697</v>
      </c>
      <c r="S322" s="936"/>
      <c r="T322" s="940">
        <v>150.6</v>
      </c>
      <c r="U322" s="936"/>
      <c r="V322" s="1115">
        <v>0.1465</v>
      </c>
      <c r="W322" s="1138">
        <v>4</v>
      </c>
      <c r="X322" s="939">
        <v>252</v>
      </c>
      <c r="Y322" s="1143">
        <v>12</v>
      </c>
      <c r="Z322" s="1177" t="s">
        <v>954</v>
      </c>
      <c r="AA322" s="936"/>
      <c r="AB322" s="936"/>
      <c r="AC322" s="936"/>
      <c r="AD322" s="948">
        <v>0.0468442741486929</v>
      </c>
      <c r="AE322" s="1115">
        <v>0.56</v>
      </c>
      <c r="AF322" s="1181" t="str">
        <f>_xlfn.DISPIMG("ID_4BDAF232781749779936207C701675E7",1)</f>
        <v>=DISPIMG("ID_4BDAF232781749779936207C701675E7",1)</v>
      </c>
      <c r="AG322" s="1179"/>
      <c r="AH322" s="939" t="s">
        <v>955</v>
      </c>
      <c r="AI322" s="942">
        <v>45635</v>
      </c>
      <c r="AJ322" s="939" t="s">
        <v>956</v>
      </c>
      <c r="AK322" s="942">
        <v>45635</v>
      </c>
      <c r="AL322" s="1108">
        <v>30000</v>
      </c>
      <c r="AM322" s="1108">
        <v>4395</v>
      </c>
      <c r="AN322" s="1115">
        <v>9637.4</v>
      </c>
      <c r="AO322" s="936"/>
      <c r="AP322" s="936"/>
      <c r="AQ322" s="1154" t="s">
        <v>881</v>
      </c>
      <c r="AR322" s="1120">
        <v>45674</v>
      </c>
      <c r="AS322" s="1106" t="s">
        <v>882</v>
      </c>
      <c r="AT322" s="1120">
        <v>45687</v>
      </c>
      <c r="AU322" s="1106" t="s">
        <v>883</v>
      </c>
      <c r="AV322" s="1106" t="s">
        <v>59</v>
      </c>
      <c r="AW322" s="1106" t="s">
        <v>873</v>
      </c>
      <c r="AX322" s="897"/>
      <c r="AY322" s="860"/>
      <c r="AZ322" s="897"/>
    </row>
    <row r="323" ht="78" spans="1:52">
      <c r="A323" s="937">
        <v>21</v>
      </c>
      <c r="B323" s="937">
        <v>4911101000</v>
      </c>
      <c r="C323" s="937">
        <v>481910</v>
      </c>
      <c r="D323" s="937" t="s">
        <v>900</v>
      </c>
      <c r="E323" s="937" t="s">
        <v>957</v>
      </c>
      <c r="F323" s="937" t="s">
        <v>958</v>
      </c>
      <c r="G323" s="937" t="s">
        <v>959</v>
      </c>
      <c r="H323" s="937"/>
      <c r="I323" s="938" t="s">
        <v>123</v>
      </c>
      <c r="J323" s="940">
        <v>15.9</v>
      </c>
      <c r="K323" s="941">
        <v>37810</v>
      </c>
      <c r="L323" s="939" t="s">
        <v>52</v>
      </c>
      <c r="M323" s="937" t="s">
        <v>960</v>
      </c>
      <c r="N323" s="942"/>
      <c r="O323" s="941"/>
      <c r="P323" s="940">
        <v>137.9</v>
      </c>
      <c r="Q323" s="940">
        <v>2192.61</v>
      </c>
      <c r="R323" s="1115">
        <v>2192.61</v>
      </c>
      <c r="S323" s="936"/>
      <c r="T323" s="940">
        <v>16.48</v>
      </c>
      <c r="U323" s="936"/>
      <c r="V323" s="1115">
        <v>15.9</v>
      </c>
      <c r="W323" s="1138">
        <v>4</v>
      </c>
      <c r="X323" s="939" t="s">
        <v>436</v>
      </c>
      <c r="Y323" s="1143">
        <v>2</v>
      </c>
      <c r="Z323" s="1177" t="s">
        <v>961</v>
      </c>
      <c r="AA323" s="936"/>
      <c r="AB323" s="936"/>
      <c r="AC323" s="936"/>
      <c r="AD323" s="948">
        <v>0.013222174154873</v>
      </c>
      <c r="AE323" s="1115">
        <v>0.03</v>
      </c>
      <c r="AF323" s="1131" t="str">
        <f>_xlfn.DISPIMG("ID_1B7BD0D7220A4E6194F6A36A027FE360",1)</f>
        <v>=DISPIMG("ID_1B7BD0D7220A4E6194F6A36A027FE360",1)</v>
      </c>
      <c r="AG323" s="1179"/>
      <c r="AH323" s="939"/>
      <c r="AI323" s="942"/>
      <c r="AJ323" s="939"/>
      <c r="AK323" s="942"/>
      <c r="AL323" s="1108">
        <v>144.8</v>
      </c>
      <c r="AM323" s="1108">
        <v>2302.32</v>
      </c>
      <c r="AN323" s="1115"/>
      <c r="AO323" s="936"/>
      <c r="AP323" s="936"/>
      <c r="AQ323" s="1154" t="s">
        <v>881</v>
      </c>
      <c r="AR323" s="1120">
        <v>45674</v>
      </c>
      <c r="AS323" s="1106" t="s">
        <v>882</v>
      </c>
      <c r="AT323" s="1120">
        <v>45687</v>
      </c>
      <c r="AU323" s="1106" t="s">
        <v>883</v>
      </c>
      <c r="AV323" s="1106" t="s">
        <v>59</v>
      </c>
      <c r="AW323" s="1106" t="s">
        <v>873</v>
      </c>
      <c r="AX323" s="897"/>
      <c r="AY323" s="860"/>
      <c r="AZ323" s="897"/>
    </row>
    <row r="324" ht="78" spans="1:52">
      <c r="A324" s="937">
        <v>22</v>
      </c>
      <c r="B324" s="937">
        <v>5607500000</v>
      </c>
      <c r="C324" s="937">
        <v>560750</v>
      </c>
      <c r="D324" s="937" t="s">
        <v>900</v>
      </c>
      <c r="E324" s="937" t="s">
        <v>962</v>
      </c>
      <c r="F324" s="937" t="s">
        <v>963</v>
      </c>
      <c r="G324" s="937"/>
      <c r="H324" s="937"/>
      <c r="I324" s="938" t="s">
        <v>123</v>
      </c>
      <c r="J324" s="940">
        <v>52</v>
      </c>
      <c r="K324" s="941">
        <v>35</v>
      </c>
      <c r="L324" s="939" t="s">
        <v>52</v>
      </c>
      <c r="M324" s="937" t="s">
        <v>964</v>
      </c>
      <c r="N324" s="942"/>
      <c r="O324" s="941"/>
      <c r="P324" s="940">
        <v>53.85</v>
      </c>
      <c r="Q324" s="940">
        <v>2800.2</v>
      </c>
      <c r="R324" s="1114">
        <v>2800.2</v>
      </c>
      <c r="S324" s="936"/>
      <c r="T324" s="940">
        <v>62.37</v>
      </c>
      <c r="U324" s="936"/>
      <c r="V324" s="1115">
        <v>52</v>
      </c>
      <c r="W324" s="1138">
        <v>4</v>
      </c>
      <c r="X324" s="937" t="s">
        <v>965</v>
      </c>
      <c r="Y324" s="1116">
        <v>4</v>
      </c>
      <c r="Z324" s="1177" t="s">
        <v>966</v>
      </c>
      <c r="AA324" s="936"/>
      <c r="AB324" s="936"/>
      <c r="AC324" s="936"/>
      <c r="AD324" s="948">
        <v>0.0859491290490611</v>
      </c>
      <c r="AE324" s="1114">
        <v>0.34</v>
      </c>
      <c r="AF324" s="1131" t="str">
        <f>_xlfn.DISPIMG("ID_98EC6C33368541E69F5E84E8C35E252C",1)</f>
        <v>=DISPIMG("ID_98EC6C33368541E69F5E84E8C35E252C",1)</v>
      </c>
      <c r="AG324" s="1179"/>
      <c r="AH324" s="939"/>
      <c r="AI324" s="942"/>
      <c r="AJ324" s="939"/>
      <c r="AK324" s="942"/>
      <c r="AL324" s="1108">
        <v>56.54</v>
      </c>
      <c r="AM324" s="1108">
        <v>2940.08</v>
      </c>
      <c r="AN324" s="1115"/>
      <c r="AO324" s="936"/>
      <c r="AP324" s="936"/>
      <c r="AQ324" s="1154" t="s">
        <v>881</v>
      </c>
      <c r="AR324" s="1120">
        <v>45674</v>
      </c>
      <c r="AS324" s="1106" t="s">
        <v>882</v>
      </c>
      <c r="AT324" s="1120">
        <v>45687</v>
      </c>
      <c r="AU324" s="1106" t="s">
        <v>883</v>
      </c>
      <c r="AV324" s="1106" t="s">
        <v>59</v>
      </c>
      <c r="AW324" s="1106" t="s">
        <v>873</v>
      </c>
      <c r="AX324" s="901"/>
      <c r="AY324" s="867"/>
      <c r="AZ324" s="901"/>
    </row>
    <row r="325" ht="67.5" customHeight="1" spans="1:52">
      <c r="A325" s="804"/>
      <c r="B325" s="805"/>
      <c r="C325" s="805"/>
      <c r="D325" s="804"/>
      <c r="E325" s="804"/>
      <c r="F325" s="804"/>
      <c r="G325" s="804"/>
      <c r="H325" s="804"/>
      <c r="I325" s="805"/>
      <c r="J325" s="809"/>
      <c r="K325" s="810"/>
      <c r="L325" s="811"/>
      <c r="M325" s="810"/>
      <c r="N325" s="812"/>
      <c r="O325" s="810"/>
      <c r="P325" s="813"/>
      <c r="Q325" s="922">
        <v>63479.68697</v>
      </c>
      <c r="R325" s="922">
        <v>63479.68697</v>
      </c>
      <c r="T325" s="922">
        <v>2195.35</v>
      </c>
      <c r="V325" s="922">
        <v>1953.3565</v>
      </c>
      <c r="W325" s="923"/>
      <c r="X325" s="810"/>
      <c r="Y325" s="922">
        <v>253</v>
      </c>
      <c r="Z325" s="810"/>
      <c r="AD325" s="816"/>
      <c r="AE325" s="922">
        <v>17.74</v>
      </c>
      <c r="AF325" s="810"/>
      <c r="AG325" s="810"/>
      <c r="AH325" s="924"/>
      <c r="AI325" s="925"/>
      <c r="AJ325" s="926"/>
      <c r="AK325" s="925"/>
      <c r="AL325" s="809"/>
      <c r="AM325" s="922">
        <v>72291.71</v>
      </c>
      <c r="AN325" s="922">
        <v>72291.71</v>
      </c>
      <c r="AQ325" s="1168"/>
      <c r="AR325" s="869"/>
      <c r="AS325" s="869"/>
      <c r="AT325" s="869"/>
      <c r="AU325" s="878"/>
      <c r="AV325" s="869"/>
      <c r="AW325" s="869"/>
      <c r="AX325" s="820"/>
      <c r="AY325" s="820"/>
      <c r="AZ325" s="821"/>
    </row>
    <row r="326" ht="78.75" spans="1:52">
      <c r="A326" s="937">
        <v>23</v>
      </c>
      <c r="B326" s="937">
        <v>9503009000</v>
      </c>
      <c r="C326" s="937">
        <v>392690</v>
      </c>
      <c r="D326" s="937" t="s">
        <v>874</v>
      </c>
      <c r="E326" s="937" t="s">
        <v>967</v>
      </c>
      <c r="F326" s="937" t="s">
        <v>968</v>
      </c>
      <c r="G326" s="937"/>
      <c r="H326" s="937"/>
      <c r="I326" s="938" t="s">
        <v>123</v>
      </c>
      <c r="J326" s="940">
        <v>59.56</v>
      </c>
      <c r="K326" s="941">
        <v>200</v>
      </c>
      <c r="L326" s="937" t="s">
        <v>52</v>
      </c>
      <c r="M326" s="937" t="s">
        <v>255</v>
      </c>
      <c r="N326" s="942"/>
      <c r="O326" s="941"/>
      <c r="P326" s="940">
        <v>14.5</v>
      </c>
      <c r="Q326" s="940">
        <v>863.62</v>
      </c>
      <c r="R326" s="1130">
        <v>14958.83</v>
      </c>
      <c r="S326" s="936"/>
      <c r="T326" s="940">
        <v>75.5</v>
      </c>
      <c r="U326" s="936"/>
      <c r="V326" s="1115">
        <v>59.56</v>
      </c>
      <c r="W326" s="937" t="s">
        <v>969</v>
      </c>
      <c r="X326" s="946" t="s">
        <v>970</v>
      </c>
      <c r="Y326" s="937">
        <v>10</v>
      </c>
      <c r="Z326" s="937">
        <v>20</v>
      </c>
      <c r="AA326" s="936"/>
      <c r="AB326" s="936"/>
      <c r="AC326" s="936"/>
      <c r="AD326" s="948">
        <v>0.142762752611087</v>
      </c>
      <c r="AE326" s="1115">
        <v>1.43</v>
      </c>
      <c r="AF326" s="1178" t="str">
        <f>_xlfn.DISPIMG("ID_68657923ECD64434A682D9E3CEB3BBE0",1)</f>
        <v>=DISPIMG("ID_68657923ECD64434A682D9E3CEB3BBE0",1)</v>
      </c>
      <c r="AG326" s="939"/>
      <c r="AH326" s="937" t="s">
        <v>971</v>
      </c>
      <c r="AI326" s="950">
        <v>45635</v>
      </c>
      <c r="AJ326" s="937" t="s">
        <v>972</v>
      </c>
      <c r="AK326" s="950">
        <v>45635</v>
      </c>
      <c r="AL326" s="945">
        <v>14.5</v>
      </c>
      <c r="AM326" s="945">
        <v>863.62</v>
      </c>
      <c r="AN326" s="1114">
        <v>4644.92</v>
      </c>
      <c r="AO326" s="936"/>
      <c r="AP326" s="936"/>
      <c r="AQ326" s="1154" t="s">
        <v>881</v>
      </c>
      <c r="AR326" s="1120">
        <v>45674</v>
      </c>
      <c r="AS326" s="1106" t="s">
        <v>882</v>
      </c>
      <c r="AT326" s="1120">
        <v>45687</v>
      </c>
      <c r="AU326" s="1106" t="s">
        <v>883</v>
      </c>
      <c r="AV326" s="1106" t="s">
        <v>59</v>
      </c>
      <c r="AW326" s="1106" t="s">
        <v>873</v>
      </c>
      <c r="AX326" s="1182">
        <v>16188</v>
      </c>
      <c r="AY326" s="857"/>
      <c r="AZ326" s="894">
        <v>100053.18</v>
      </c>
    </row>
    <row r="327" ht="78.75" spans="1:52">
      <c r="A327" s="937">
        <v>24</v>
      </c>
      <c r="B327" s="937">
        <v>9503009000</v>
      </c>
      <c r="C327" s="937">
        <v>392690</v>
      </c>
      <c r="D327" s="937" t="s">
        <v>874</v>
      </c>
      <c r="E327" s="937" t="s">
        <v>973</v>
      </c>
      <c r="F327" s="937" t="s">
        <v>974</v>
      </c>
      <c r="G327" s="937"/>
      <c r="H327" s="937"/>
      <c r="I327" s="938" t="s">
        <v>123</v>
      </c>
      <c r="J327" s="940">
        <v>51.4</v>
      </c>
      <c r="K327" s="941">
        <v>200</v>
      </c>
      <c r="L327" s="937" t="s">
        <v>52</v>
      </c>
      <c r="M327" s="937"/>
      <c r="N327" s="942"/>
      <c r="O327" s="941"/>
      <c r="P327" s="940">
        <v>15.3</v>
      </c>
      <c r="Q327" s="940">
        <v>786.42</v>
      </c>
      <c r="R327" s="1130"/>
      <c r="S327" s="936"/>
      <c r="T327" s="940">
        <v>68.44</v>
      </c>
      <c r="U327" s="936"/>
      <c r="V327" s="1115">
        <v>51.4</v>
      </c>
      <c r="W327" s="937" t="s">
        <v>975</v>
      </c>
      <c r="X327" s="946" t="s">
        <v>976</v>
      </c>
      <c r="Y327" s="937">
        <v>10</v>
      </c>
      <c r="Z327" s="937">
        <v>20</v>
      </c>
      <c r="AA327" s="936"/>
      <c r="AB327" s="936"/>
      <c r="AC327" s="936"/>
      <c r="AD327" s="948">
        <v>0.142762752611087</v>
      </c>
      <c r="AE327" s="1115">
        <v>1.43</v>
      </c>
      <c r="AF327" s="1178" t="str">
        <f>_xlfn.DISPIMG("ID_26858ACF0E484E55AAB55E7EC73EAB69",1)</f>
        <v>=DISPIMG("ID_26858ACF0E484E55AAB55E7EC73EAB69",1)</v>
      </c>
      <c r="AG327" s="939"/>
      <c r="AH327" s="937"/>
      <c r="AI327" s="950"/>
      <c r="AJ327" s="937"/>
      <c r="AK327" s="950"/>
      <c r="AL327" s="945">
        <v>15.3</v>
      </c>
      <c r="AM327" s="945">
        <v>786.42</v>
      </c>
      <c r="AN327" s="1114"/>
      <c r="AO327" s="936"/>
      <c r="AP327" s="936"/>
      <c r="AQ327" s="1154" t="s">
        <v>881</v>
      </c>
      <c r="AR327" s="1120">
        <v>45674</v>
      </c>
      <c r="AS327" s="1106" t="s">
        <v>882</v>
      </c>
      <c r="AT327" s="1120">
        <v>45687</v>
      </c>
      <c r="AU327" s="1106" t="s">
        <v>883</v>
      </c>
      <c r="AV327" s="1106" t="s">
        <v>59</v>
      </c>
      <c r="AW327" s="1106" t="s">
        <v>873</v>
      </c>
      <c r="AX327" s="1183"/>
      <c r="AY327" s="860"/>
      <c r="AZ327" s="897"/>
    </row>
    <row r="328" ht="78.75" spans="1:52">
      <c r="A328" s="937">
        <v>25</v>
      </c>
      <c r="B328" s="937">
        <v>9503009000</v>
      </c>
      <c r="C328" s="937">
        <v>392690</v>
      </c>
      <c r="D328" s="937" t="s">
        <v>874</v>
      </c>
      <c r="E328" s="937" t="s">
        <v>977</v>
      </c>
      <c r="F328" s="937" t="s">
        <v>978</v>
      </c>
      <c r="G328" s="937"/>
      <c r="H328" s="937"/>
      <c r="I328" s="938" t="s">
        <v>123</v>
      </c>
      <c r="J328" s="940">
        <v>27.2</v>
      </c>
      <c r="K328" s="941">
        <v>200</v>
      </c>
      <c r="L328" s="937" t="s">
        <v>52</v>
      </c>
      <c r="M328" s="937"/>
      <c r="N328" s="942"/>
      <c r="O328" s="941"/>
      <c r="P328" s="940">
        <v>16.1</v>
      </c>
      <c r="Q328" s="940">
        <v>437.92</v>
      </c>
      <c r="R328" s="1130"/>
      <c r="S328" s="936"/>
      <c r="T328" s="940">
        <v>40.84</v>
      </c>
      <c r="U328" s="936"/>
      <c r="V328" s="1115">
        <v>27.2</v>
      </c>
      <c r="W328" s="937" t="s">
        <v>979</v>
      </c>
      <c r="X328" s="937" t="s">
        <v>980</v>
      </c>
      <c r="Y328" s="937">
        <v>3</v>
      </c>
      <c r="Z328" s="937" t="s">
        <v>981</v>
      </c>
      <c r="AA328" s="936"/>
      <c r="AB328" s="936"/>
      <c r="AC328" s="936"/>
      <c r="AD328" s="948">
        <v>0.119074023325417</v>
      </c>
      <c r="AE328" s="1115">
        <v>0.36</v>
      </c>
      <c r="AF328" s="1178" t="str">
        <f>_xlfn.DISPIMG("ID_6F6A21BB7C3244B9B4AB483FED3D706D",1)</f>
        <v>=DISPIMG("ID_6F6A21BB7C3244B9B4AB483FED3D706D",1)</v>
      </c>
      <c r="AG328" s="939"/>
      <c r="AH328" s="937"/>
      <c r="AI328" s="950"/>
      <c r="AJ328" s="937"/>
      <c r="AK328" s="950"/>
      <c r="AL328" s="945">
        <v>16.1</v>
      </c>
      <c r="AM328" s="945">
        <v>437.92</v>
      </c>
      <c r="AN328" s="1114"/>
      <c r="AO328" s="936"/>
      <c r="AP328" s="936"/>
      <c r="AQ328" s="1154" t="s">
        <v>881</v>
      </c>
      <c r="AR328" s="1120">
        <v>45674</v>
      </c>
      <c r="AS328" s="1106" t="s">
        <v>882</v>
      </c>
      <c r="AT328" s="1120">
        <v>45687</v>
      </c>
      <c r="AU328" s="1106" t="s">
        <v>883</v>
      </c>
      <c r="AV328" s="1106" t="s">
        <v>59</v>
      </c>
      <c r="AW328" s="1106" t="s">
        <v>873</v>
      </c>
      <c r="AX328" s="1183"/>
      <c r="AY328" s="860"/>
      <c r="AZ328" s="897"/>
    </row>
    <row r="329" ht="78.75" spans="1:52">
      <c r="A329" s="937">
        <v>26</v>
      </c>
      <c r="B329" s="937">
        <v>9503009000</v>
      </c>
      <c r="C329" s="937">
        <v>392690</v>
      </c>
      <c r="D329" s="937" t="s">
        <v>874</v>
      </c>
      <c r="E329" s="937" t="s">
        <v>982</v>
      </c>
      <c r="F329" s="937" t="s">
        <v>983</v>
      </c>
      <c r="G329" s="937"/>
      <c r="H329" s="937"/>
      <c r="I329" s="938" t="s">
        <v>123</v>
      </c>
      <c r="J329" s="940">
        <v>54.2</v>
      </c>
      <c r="K329" s="941">
        <v>200</v>
      </c>
      <c r="L329" s="937" t="s">
        <v>52</v>
      </c>
      <c r="M329" s="937"/>
      <c r="N329" s="942"/>
      <c r="O329" s="941"/>
      <c r="P329" s="940">
        <v>22.3</v>
      </c>
      <c r="Q329" s="940">
        <v>1208.66</v>
      </c>
      <c r="R329" s="1130"/>
      <c r="S329" s="936"/>
      <c r="T329" s="940">
        <v>100</v>
      </c>
      <c r="U329" s="936"/>
      <c r="V329" s="1115">
        <v>54.2</v>
      </c>
      <c r="W329" s="937" t="s">
        <v>979</v>
      </c>
      <c r="X329" s="937" t="s">
        <v>984</v>
      </c>
      <c r="Y329" s="937">
        <v>12</v>
      </c>
      <c r="Z329" s="937" t="s">
        <v>985</v>
      </c>
      <c r="AA329" s="936"/>
      <c r="AB329" s="936"/>
      <c r="AC329" s="936"/>
      <c r="AD329" s="948">
        <v>0.119269407682732</v>
      </c>
      <c r="AE329" s="1115">
        <v>1.43</v>
      </c>
      <c r="AF329" s="1178" t="str">
        <f>_xlfn.DISPIMG("ID_50BCD7604D79401DA75EDE926A4857FA",1)</f>
        <v>=DISPIMG("ID_50BCD7604D79401DA75EDE926A4857FA",1)</v>
      </c>
      <c r="AG329" s="939"/>
      <c r="AH329" s="937"/>
      <c r="AI329" s="950"/>
      <c r="AJ329" s="937"/>
      <c r="AK329" s="950"/>
      <c r="AL329" s="945">
        <v>22.3</v>
      </c>
      <c r="AM329" s="945">
        <v>1208.66</v>
      </c>
      <c r="AN329" s="1114"/>
      <c r="AO329" s="936"/>
      <c r="AP329" s="936"/>
      <c r="AQ329" s="1154" t="s">
        <v>881</v>
      </c>
      <c r="AR329" s="1120">
        <v>45674</v>
      </c>
      <c r="AS329" s="1106" t="s">
        <v>882</v>
      </c>
      <c r="AT329" s="1120">
        <v>45687</v>
      </c>
      <c r="AU329" s="1106" t="s">
        <v>883</v>
      </c>
      <c r="AV329" s="1106" t="s">
        <v>59</v>
      </c>
      <c r="AW329" s="1106" t="s">
        <v>873</v>
      </c>
      <c r="AX329" s="1183"/>
      <c r="AY329" s="860"/>
      <c r="AZ329" s="897"/>
    </row>
    <row r="330" ht="78.75" spans="1:52">
      <c r="A330" s="937">
        <v>27</v>
      </c>
      <c r="B330" s="937">
        <v>9503009000</v>
      </c>
      <c r="C330" s="937">
        <v>392690</v>
      </c>
      <c r="D330" s="937" t="s">
        <v>874</v>
      </c>
      <c r="E330" s="937" t="s">
        <v>986</v>
      </c>
      <c r="F330" s="937" t="s">
        <v>987</v>
      </c>
      <c r="G330" s="937"/>
      <c r="H330" s="937"/>
      <c r="I330" s="938" t="s">
        <v>123</v>
      </c>
      <c r="J330" s="940">
        <v>7.1</v>
      </c>
      <c r="K330" s="941">
        <v>200</v>
      </c>
      <c r="L330" s="937" t="s">
        <v>52</v>
      </c>
      <c r="M330" s="937"/>
      <c r="N330" s="942"/>
      <c r="O330" s="941"/>
      <c r="P330" s="940">
        <v>17.7</v>
      </c>
      <c r="Q330" s="940">
        <v>125.67</v>
      </c>
      <c r="R330" s="1130"/>
      <c r="S330" s="936"/>
      <c r="T330" s="940">
        <v>8</v>
      </c>
      <c r="U330" s="936"/>
      <c r="V330" s="1115">
        <v>7.1</v>
      </c>
      <c r="W330" s="938" t="s">
        <v>979</v>
      </c>
      <c r="X330" s="937">
        <v>40</v>
      </c>
      <c r="Y330" s="1129">
        <v>1</v>
      </c>
      <c r="Z330" s="1129">
        <v>200</v>
      </c>
      <c r="AA330" s="936"/>
      <c r="AB330" s="936"/>
      <c r="AC330" s="936"/>
      <c r="AD330" s="948">
        <v>0.0731626969902972</v>
      </c>
      <c r="AE330" s="1115">
        <v>0.07</v>
      </c>
      <c r="AF330" s="1178" t="str">
        <f>_xlfn.DISPIMG("ID_37A9E90F27704CB397DE704F355F36A8",1)</f>
        <v>=DISPIMG("ID_37A9E90F27704CB397DE704F355F36A8",1)</v>
      </c>
      <c r="AG330" s="939"/>
      <c r="AH330" s="937"/>
      <c r="AI330" s="950"/>
      <c r="AJ330" s="937"/>
      <c r="AK330" s="950"/>
      <c r="AL330" s="945">
        <v>17.7</v>
      </c>
      <c r="AM330" s="945">
        <v>125.67</v>
      </c>
      <c r="AN330" s="1114"/>
      <c r="AO330" s="936"/>
      <c r="AP330" s="936"/>
      <c r="AQ330" s="1154" t="s">
        <v>881</v>
      </c>
      <c r="AR330" s="1120">
        <v>45674</v>
      </c>
      <c r="AS330" s="1106" t="s">
        <v>882</v>
      </c>
      <c r="AT330" s="1120">
        <v>45687</v>
      </c>
      <c r="AU330" s="1106" t="s">
        <v>883</v>
      </c>
      <c r="AV330" s="1106" t="s">
        <v>59</v>
      </c>
      <c r="AW330" s="1106" t="s">
        <v>873</v>
      </c>
      <c r="AX330" s="1183"/>
      <c r="AY330" s="860"/>
      <c r="AZ330" s="897"/>
    </row>
    <row r="331" ht="78.75" spans="1:52">
      <c r="A331" s="937">
        <v>28</v>
      </c>
      <c r="B331" s="937">
        <v>9503009000</v>
      </c>
      <c r="C331" s="937">
        <v>392690</v>
      </c>
      <c r="D331" s="937" t="s">
        <v>874</v>
      </c>
      <c r="E331" s="937" t="s">
        <v>988</v>
      </c>
      <c r="F331" s="937" t="s">
        <v>989</v>
      </c>
      <c r="G331" s="937"/>
      <c r="H331" s="937"/>
      <c r="I331" s="938" t="s">
        <v>123</v>
      </c>
      <c r="J331" s="940">
        <v>0.38</v>
      </c>
      <c r="K331" s="941">
        <v>200</v>
      </c>
      <c r="L331" s="937" t="s">
        <v>52</v>
      </c>
      <c r="M331" s="937"/>
      <c r="N331" s="942"/>
      <c r="O331" s="941"/>
      <c r="P331" s="940">
        <v>38</v>
      </c>
      <c r="Q331" s="940">
        <v>14.44</v>
      </c>
      <c r="R331" s="1130"/>
      <c r="S331" s="936"/>
      <c r="T331" s="940">
        <v>0.47</v>
      </c>
      <c r="U331" s="936"/>
      <c r="V331" s="1115">
        <v>0.38</v>
      </c>
      <c r="W331" s="938" t="s">
        <v>975</v>
      </c>
      <c r="X331" s="937">
        <v>41</v>
      </c>
      <c r="Y331" s="1091">
        <v>1</v>
      </c>
      <c r="Z331" s="938">
        <v>200</v>
      </c>
      <c r="AA331" s="936"/>
      <c r="AB331" s="936"/>
      <c r="AC331" s="936"/>
      <c r="AD331" s="948">
        <v>0.00868885730177369</v>
      </c>
      <c r="AE331" s="1115">
        <v>0.01</v>
      </c>
      <c r="AF331" s="1178" t="str">
        <f>_xlfn.DISPIMG("ID_69E5198F36EA459E95D837091573ED5E",1)</f>
        <v>=DISPIMG("ID_69E5198F36EA459E95D837091573ED5E",1)</v>
      </c>
      <c r="AG331" s="939"/>
      <c r="AH331" s="937"/>
      <c r="AI331" s="950"/>
      <c r="AJ331" s="937"/>
      <c r="AK331" s="950"/>
      <c r="AL331" s="945">
        <v>38</v>
      </c>
      <c r="AM331" s="945">
        <v>14.44</v>
      </c>
      <c r="AN331" s="1114"/>
      <c r="AO331" s="936"/>
      <c r="AP331" s="936"/>
      <c r="AQ331" s="1154" t="s">
        <v>881</v>
      </c>
      <c r="AR331" s="1120">
        <v>45674</v>
      </c>
      <c r="AS331" s="1106" t="s">
        <v>882</v>
      </c>
      <c r="AT331" s="1120">
        <v>45687</v>
      </c>
      <c r="AU331" s="1106" t="s">
        <v>883</v>
      </c>
      <c r="AV331" s="1106" t="s">
        <v>59</v>
      </c>
      <c r="AW331" s="1106" t="s">
        <v>873</v>
      </c>
      <c r="AX331" s="1183"/>
      <c r="AY331" s="860"/>
      <c r="AZ331" s="897"/>
    </row>
    <row r="332" ht="78.75" spans="1:52">
      <c r="A332" s="937">
        <v>29</v>
      </c>
      <c r="B332" s="937">
        <v>9503009000</v>
      </c>
      <c r="C332" s="937">
        <v>392690</v>
      </c>
      <c r="D332" s="937" t="s">
        <v>874</v>
      </c>
      <c r="E332" s="937" t="s">
        <v>990</v>
      </c>
      <c r="F332" s="937" t="s">
        <v>991</v>
      </c>
      <c r="G332" s="937"/>
      <c r="H332" s="937"/>
      <c r="I332" s="938" t="s">
        <v>123</v>
      </c>
      <c r="J332" s="940">
        <v>0.46</v>
      </c>
      <c r="K332" s="941">
        <v>200</v>
      </c>
      <c r="L332" s="939" t="s">
        <v>52</v>
      </c>
      <c r="M332" s="937"/>
      <c r="N332" s="942"/>
      <c r="O332" s="941"/>
      <c r="P332" s="940">
        <v>31.5</v>
      </c>
      <c r="Q332" s="940">
        <v>14.49</v>
      </c>
      <c r="R332" s="1130"/>
      <c r="S332" s="936"/>
      <c r="T332" s="940">
        <v>0.55</v>
      </c>
      <c r="U332" s="936"/>
      <c r="V332" s="1115">
        <v>0.46</v>
      </c>
      <c r="W332" s="938"/>
      <c r="X332" s="937"/>
      <c r="Y332" s="1091"/>
      <c r="Z332" s="938">
        <v>200</v>
      </c>
      <c r="AA332" s="936"/>
      <c r="AB332" s="936"/>
      <c r="AC332" s="936"/>
      <c r="AD332" s="948"/>
      <c r="AE332" s="1115"/>
      <c r="AF332" s="1178" t="str">
        <f>_xlfn.DISPIMG("ID_DFF6ADBAD2DD47D287F09088C9A9A732",1)</f>
        <v>=DISPIMG("ID_DFF6ADBAD2DD47D287F09088C9A9A732",1)</v>
      </c>
      <c r="AG332" s="939"/>
      <c r="AH332" s="937"/>
      <c r="AI332" s="950"/>
      <c r="AJ332" s="937"/>
      <c r="AK332" s="950"/>
      <c r="AL332" s="945">
        <v>31.5</v>
      </c>
      <c r="AM332" s="945">
        <v>14.49</v>
      </c>
      <c r="AN332" s="1114"/>
      <c r="AO332" s="936"/>
      <c r="AP332" s="936"/>
      <c r="AQ332" s="1154" t="s">
        <v>881</v>
      </c>
      <c r="AR332" s="1120">
        <v>45674</v>
      </c>
      <c r="AS332" s="1106" t="s">
        <v>882</v>
      </c>
      <c r="AT332" s="1120">
        <v>45687</v>
      </c>
      <c r="AU332" s="1106" t="s">
        <v>883</v>
      </c>
      <c r="AV332" s="1106" t="s">
        <v>59</v>
      </c>
      <c r="AW332" s="1106" t="s">
        <v>873</v>
      </c>
      <c r="AX332" s="1183"/>
      <c r="AY332" s="860"/>
      <c r="AZ332" s="897"/>
    </row>
    <row r="333" ht="78.75" spans="1:52">
      <c r="A333" s="937">
        <v>30</v>
      </c>
      <c r="B333" s="937">
        <v>9503009000</v>
      </c>
      <c r="C333" s="937">
        <v>392690</v>
      </c>
      <c r="D333" s="937" t="s">
        <v>874</v>
      </c>
      <c r="E333" s="937" t="s">
        <v>992</v>
      </c>
      <c r="F333" s="937" t="s">
        <v>993</v>
      </c>
      <c r="G333" s="937"/>
      <c r="H333" s="937"/>
      <c r="I333" s="938" t="s">
        <v>123</v>
      </c>
      <c r="J333" s="940">
        <v>17</v>
      </c>
      <c r="K333" s="941">
        <v>200</v>
      </c>
      <c r="L333" s="939" t="s">
        <v>52</v>
      </c>
      <c r="M333" s="937"/>
      <c r="N333" s="942"/>
      <c r="O333" s="941"/>
      <c r="P333" s="940">
        <v>18.53</v>
      </c>
      <c r="Q333" s="940">
        <v>315.01</v>
      </c>
      <c r="R333" s="1130"/>
      <c r="S333" s="936"/>
      <c r="T333" s="940">
        <v>31.01</v>
      </c>
      <c r="U333" s="936"/>
      <c r="V333" s="1115">
        <v>17</v>
      </c>
      <c r="W333" s="937" t="s">
        <v>994</v>
      </c>
      <c r="X333" s="937" t="s">
        <v>995</v>
      </c>
      <c r="Y333" s="1091">
        <v>4</v>
      </c>
      <c r="Z333" s="938" t="s">
        <v>996</v>
      </c>
      <c r="AA333" s="936"/>
      <c r="AB333" s="936"/>
      <c r="AC333" s="936"/>
      <c r="AD333" s="948">
        <v>0.0758910821333663</v>
      </c>
      <c r="AE333" s="1115">
        <v>0.3</v>
      </c>
      <c r="AF333" s="1178" t="str">
        <f>_xlfn.DISPIMG("ID_58F9C3488DDC4147B489FDB80AF9A91B",1)</f>
        <v>=DISPIMG("ID_58F9C3488DDC4147B489FDB80AF9A91B",1)</v>
      </c>
      <c r="AG333" s="939"/>
      <c r="AH333" s="937"/>
      <c r="AI333" s="950"/>
      <c r="AJ333" s="937"/>
      <c r="AK333" s="950"/>
      <c r="AL333" s="945">
        <v>18.53</v>
      </c>
      <c r="AM333" s="945">
        <v>315.01</v>
      </c>
      <c r="AN333" s="1114"/>
      <c r="AO333" s="936"/>
      <c r="AP333" s="936"/>
      <c r="AQ333" s="1154" t="s">
        <v>881</v>
      </c>
      <c r="AR333" s="1120">
        <v>45674</v>
      </c>
      <c r="AS333" s="1106" t="s">
        <v>882</v>
      </c>
      <c r="AT333" s="1120">
        <v>45687</v>
      </c>
      <c r="AU333" s="1106" t="s">
        <v>883</v>
      </c>
      <c r="AV333" s="1106" t="s">
        <v>59</v>
      </c>
      <c r="AW333" s="1106" t="s">
        <v>873</v>
      </c>
      <c r="AX333" s="1183"/>
      <c r="AY333" s="860"/>
      <c r="AZ333" s="897"/>
    </row>
    <row r="334" ht="78.75" spans="1:52">
      <c r="A334" s="937">
        <v>31</v>
      </c>
      <c r="B334" s="937">
        <v>9503009000</v>
      </c>
      <c r="C334" s="937">
        <v>392690</v>
      </c>
      <c r="D334" s="937" t="s">
        <v>874</v>
      </c>
      <c r="E334" s="937" t="s">
        <v>997</v>
      </c>
      <c r="F334" s="937" t="s">
        <v>998</v>
      </c>
      <c r="G334" s="937"/>
      <c r="H334" s="937"/>
      <c r="I334" s="938" t="s">
        <v>123</v>
      </c>
      <c r="J334" s="940">
        <v>14.72</v>
      </c>
      <c r="K334" s="941">
        <v>200</v>
      </c>
      <c r="L334" s="939" t="s">
        <v>52</v>
      </c>
      <c r="M334" s="937"/>
      <c r="N334" s="942"/>
      <c r="O334" s="941"/>
      <c r="P334" s="940">
        <v>20.5</v>
      </c>
      <c r="Q334" s="940">
        <v>301.76</v>
      </c>
      <c r="R334" s="1130"/>
      <c r="S334" s="936"/>
      <c r="T334" s="940">
        <v>19.37</v>
      </c>
      <c r="U334" s="936"/>
      <c r="V334" s="1115">
        <v>14.72</v>
      </c>
      <c r="W334" s="937" t="s">
        <v>878</v>
      </c>
      <c r="X334" s="937" t="s">
        <v>654</v>
      </c>
      <c r="Y334" s="1091">
        <v>3</v>
      </c>
      <c r="Z334" s="938" t="s">
        <v>981</v>
      </c>
      <c r="AA334" s="936"/>
      <c r="AB334" s="936"/>
      <c r="AC334" s="936"/>
      <c r="AD334" s="948">
        <v>0.0758910821333663</v>
      </c>
      <c r="AE334" s="1115">
        <v>0.23</v>
      </c>
      <c r="AF334" s="1178" t="str">
        <f>_xlfn.DISPIMG("ID_4E7C4535430F4D3FBC39DC4FFF0EB89A",1)</f>
        <v>=DISPIMG("ID_4E7C4535430F4D3FBC39DC4FFF0EB89A",1)</v>
      </c>
      <c r="AG334" s="939"/>
      <c r="AH334" s="937"/>
      <c r="AI334" s="950"/>
      <c r="AJ334" s="937"/>
      <c r="AK334" s="950"/>
      <c r="AL334" s="945">
        <v>20.5</v>
      </c>
      <c r="AM334" s="945">
        <v>301.76</v>
      </c>
      <c r="AN334" s="1114"/>
      <c r="AO334" s="936"/>
      <c r="AP334" s="936"/>
      <c r="AQ334" s="1154" t="s">
        <v>881</v>
      </c>
      <c r="AR334" s="1120">
        <v>45674</v>
      </c>
      <c r="AS334" s="1106" t="s">
        <v>882</v>
      </c>
      <c r="AT334" s="1120">
        <v>45687</v>
      </c>
      <c r="AU334" s="1106" t="s">
        <v>883</v>
      </c>
      <c r="AV334" s="1106" t="s">
        <v>59</v>
      </c>
      <c r="AW334" s="1106" t="s">
        <v>873</v>
      </c>
      <c r="AX334" s="1183"/>
      <c r="AY334" s="860"/>
      <c r="AZ334" s="897"/>
    </row>
    <row r="335" ht="78.75" spans="1:52">
      <c r="A335" s="937">
        <v>32</v>
      </c>
      <c r="B335" s="937">
        <v>9503009000</v>
      </c>
      <c r="C335" s="937">
        <v>392690</v>
      </c>
      <c r="D335" s="937" t="s">
        <v>874</v>
      </c>
      <c r="E335" s="937" t="s">
        <v>999</v>
      </c>
      <c r="F335" s="937" t="s">
        <v>1000</v>
      </c>
      <c r="G335" s="937"/>
      <c r="H335" s="937"/>
      <c r="I335" s="938" t="s">
        <v>123</v>
      </c>
      <c r="J335" s="940">
        <v>0.02</v>
      </c>
      <c r="K335" s="941">
        <v>400</v>
      </c>
      <c r="L335" s="939" t="s">
        <v>52</v>
      </c>
      <c r="M335" s="937"/>
      <c r="N335" s="942"/>
      <c r="O335" s="941"/>
      <c r="P335" s="940">
        <v>1008</v>
      </c>
      <c r="Q335" s="940">
        <v>20.16</v>
      </c>
      <c r="R335" s="1130"/>
      <c r="S335" s="936"/>
      <c r="T335" s="940">
        <v>0.11</v>
      </c>
      <c r="U335" s="936"/>
      <c r="V335" s="1115">
        <v>0.02</v>
      </c>
      <c r="W335" s="938" t="s">
        <v>975</v>
      </c>
      <c r="X335" s="937">
        <v>49</v>
      </c>
      <c r="Y335" s="1091">
        <v>1</v>
      </c>
      <c r="Z335" s="938">
        <v>400</v>
      </c>
      <c r="AA335" s="936"/>
      <c r="AB335" s="936"/>
      <c r="AC335" s="936"/>
      <c r="AD335" s="948">
        <v>0.00861889870836166</v>
      </c>
      <c r="AE335" s="1115">
        <v>0.01</v>
      </c>
      <c r="AF335" s="1178" t="str">
        <f>_xlfn.DISPIMG("ID_9BB4334FFBD94CC8A0BBE47632EE2AE9",1)</f>
        <v>=DISPIMG("ID_9BB4334FFBD94CC8A0BBE47632EE2AE9",1)</v>
      </c>
      <c r="AG335" s="939"/>
      <c r="AH335" s="937"/>
      <c r="AI335" s="950"/>
      <c r="AJ335" s="937"/>
      <c r="AK335" s="950"/>
      <c r="AL335" s="945">
        <v>1008</v>
      </c>
      <c r="AM335" s="945">
        <v>20.16</v>
      </c>
      <c r="AN335" s="1114"/>
      <c r="AO335" s="936"/>
      <c r="AP335" s="936"/>
      <c r="AQ335" s="1154" t="s">
        <v>881</v>
      </c>
      <c r="AR335" s="1120">
        <v>45674</v>
      </c>
      <c r="AS335" s="1106" t="s">
        <v>882</v>
      </c>
      <c r="AT335" s="1120">
        <v>45687</v>
      </c>
      <c r="AU335" s="1106" t="s">
        <v>883</v>
      </c>
      <c r="AV335" s="1106" t="s">
        <v>59</v>
      </c>
      <c r="AW335" s="1106" t="s">
        <v>873</v>
      </c>
      <c r="AX335" s="1183"/>
      <c r="AY335" s="860"/>
      <c r="AZ335" s="897"/>
    </row>
    <row r="336" ht="78.75" spans="1:52">
      <c r="A336" s="937">
        <v>33</v>
      </c>
      <c r="B336" s="937">
        <v>9503009000</v>
      </c>
      <c r="C336" s="937">
        <v>392690</v>
      </c>
      <c r="D336" s="937" t="s">
        <v>874</v>
      </c>
      <c r="E336" s="937" t="s">
        <v>1001</v>
      </c>
      <c r="F336" s="937" t="s">
        <v>1002</v>
      </c>
      <c r="G336" s="937"/>
      <c r="H336" s="937"/>
      <c r="I336" s="938" t="s">
        <v>123</v>
      </c>
      <c r="J336" s="1108">
        <v>0.08</v>
      </c>
      <c r="K336" s="939">
        <v>800</v>
      </c>
      <c r="L336" s="1106" t="s">
        <v>52</v>
      </c>
      <c r="M336" s="937"/>
      <c r="N336" s="942"/>
      <c r="O336" s="939"/>
      <c r="P336" s="940">
        <v>621</v>
      </c>
      <c r="Q336" s="940">
        <v>49.68</v>
      </c>
      <c r="R336" s="1130"/>
      <c r="S336" s="936"/>
      <c r="T336" s="940">
        <v>0.17</v>
      </c>
      <c r="U336" s="936"/>
      <c r="V336" s="1115">
        <v>0.08</v>
      </c>
      <c r="W336" s="938"/>
      <c r="X336" s="937"/>
      <c r="Y336" s="1091"/>
      <c r="Z336" s="938">
        <v>800</v>
      </c>
      <c r="AA336" s="936"/>
      <c r="AB336" s="936"/>
      <c r="AC336" s="936"/>
      <c r="AD336" s="948"/>
      <c r="AE336" s="1115"/>
      <c r="AF336" s="1178" t="str">
        <f>_xlfn.DISPIMG("ID_A9CE86D5BF5A4D04948E070C89303407",1)</f>
        <v>=DISPIMG("ID_A9CE86D5BF5A4D04948E070C89303407",1)</v>
      </c>
      <c r="AG336" s="939"/>
      <c r="AH336" s="937"/>
      <c r="AI336" s="950"/>
      <c r="AJ336" s="937"/>
      <c r="AK336" s="950"/>
      <c r="AL336" s="1108">
        <v>621</v>
      </c>
      <c r="AM336" s="1108">
        <v>49.68</v>
      </c>
      <c r="AN336" s="1114"/>
      <c r="AO336" s="936"/>
      <c r="AP336" s="936"/>
      <c r="AQ336" s="1184" t="s">
        <v>881</v>
      </c>
      <c r="AR336" s="1120">
        <v>45674</v>
      </c>
      <c r="AS336" s="1106" t="s">
        <v>882</v>
      </c>
      <c r="AT336" s="1120">
        <v>45687</v>
      </c>
      <c r="AU336" s="1106" t="s">
        <v>883</v>
      </c>
      <c r="AV336" s="1106" t="s">
        <v>59</v>
      </c>
      <c r="AW336" s="1106" t="s">
        <v>873</v>
      </c>
      <c r="AX336" s="1183"/>
      <c r="AY336" s="860"/>
      <c r="AZ336" s="897"/>
    </row>
    <row r="337" ht="78.75" spans="1:52">
      <c r="A337" s="937">
        <v>34</v>
      </c>
      <c r="B337" s="937">
        <v>9503009000</v>
      </c>
      <c r="C337" s="937">
        <v>392690</v>
      </c>
      <c r="D337" s="937" t="s">
        <v>874</v>
      </c>
      <c r="E337" s="937" t="s">
        <v>1003</v>
      </c>
      <c r="F337" s="937" t="s">
        <v>1004</v>
      </c>
      <c r="G337" s="937"/>
      <c r="H337" s="937"/>
      <c r="I337" s="938" t="s">
        <v>123</v>
      </c>
      <c r="J337" s="940">
        <v>0.42</v>
      </c>
      <c r="K337" s="941">
        <v>200</v>
      </c>
      <c r="L337" s="939" t="s">
        <v>52</v>
      </c>
      <c r="M337" s="937"/>
      <c r="N337" s="942"/>
      <c r="O337" s="941"/>
      <c r="P337" s="940">
        <v>651.5</v>
      </c>
      <c r="Q337" s="940">
        <v>273.63</v>
      </c>
      <c r="R337" s="1130"/>
      <c r="S337" s="936"/>
      <c r="T337" s="940">
        <v>0.58</v>
      </c>
      <c r="U337" s="936"/>
      <c r="V337" s="1115">
        <v>0.42</v>
      </c>
      <c r="W337" s="938" t="s">
        <v>1005</v>
      </c>
      <c r="X337" s="937">
        <v>50</v>
      </c>
      <c r="Y337" s="1105">
        <v>1</v>
      </c>
      <c r="Z337" s="938">
        <v>200</v>
      </c>
      <c r="AA337" s="936"/>
      <c r="AB337" s="936"/>
      <c r="AC337" s="936"/>
      <c r="AD337" s="948">
        <v>0.00955774303195105</v>
      </c>
      <c r="AE337" s="1115">
        <v>0.01</v>
      </c>
      <c r="AF337" s="1178" t="str">
        <f>_xlfn.DISPIMG("ID_F9A9801FEDDE4EA185F701ED756480BD",1)</f>
        <v>=DISPIMG("ID_F9A9801FEDDE4EA185F701ED756480BD",1)</v>
      </c>
      <c r="AG337" s="939"/>
      <c r="AH337" s="937"/>
      <c r="AI337" s="950"/>
      <c r="AJ337" s="937"/>
      <c r="AK337" s="950"/>
      <c r="AL337" s="945">
        <v>651.5</v>
      </c>
      <c r="AM337" s="945">
        <v>273.63</v>
      </c>
      <c r="AN337" s="1114"/>
      <c r="AO337" s="936"/>
      <c r="AP337" s="936"/>
      <c r="AQ337" s="1154" t="s">
        <v>881</v>
      </c>
      <c r="AR337" s="1120">
        <v>45674</v>
      </c>
      <c r="AS337" s="1106" t="s">
        <v>882</v>
      </c>
      <c r="AT337" s="1120">
        <v>45687</v>
      </c>
      <c r="AU337" s="1106" t="s">
        <v>883</v>
      </c>
      <c r="AV337" s="1106" t="s">
        <v>59</v>
      </c>
      <c r="AW337" s="1106" t="s">
        <v>873</v>
      </c>
      <c r="AX337" s="1183"/>
      <c r="AY337" s="860"/>
      <c r="AZ337" s="897"/>
    </row>
    <row r="338" ht="78.75" spans="1:52">
      <c r="A338" s="937">
        <v>35</v>
      </c>
      <c r="B338" s="937">
        <v>9503009000</v>
      </c>
      <c r="C338" s="937">
        <v>392690</v>
      </c>
      <c r="D338" s="937" t="s">
        <v>874</v>
      </c>
      <c r="E338" s="937" t="s">
        <v>1006</v>
      </c>
      <c r="F338" s="937" t="s">
        <v>1007</v>
      </c>
      <c r="G338" s="937"/>
      <c r="H338" s="937"/>
      <c r="I338" s="938" t="s">
        <v>123</v>
      </c>
      <c r="J338" s="1108">
        <v>0.42</v>
      </c>
      <c r="K338" s="939">
        <v>200</v>
      </c>
      <c r="L338" s="1106" t="s">
        <v>52</v>
      </c>
      <c r="M338" s="937"/>
      <c r="N338" s="942"/>
      <c r="O338" s="939"/>
      <c r="P338" s="940">
        <v>180</v>
      </c>
      <c r="Q338" s="940">
        <v>75.6</v>
      </c>
      <c r="R338" s="1130"/>
      <c r="S338" s="936"/>
      <c r="T338" s="940">
        <v>0.58</v>
      </c>
      <c r="U338" s="936"/>
      <c r="V338" s="1115">
        <v>0.42</v>
      </c>
      <c r="W338" s="938"/>
      <c r="X338" s="937"/>
      <c r="Y338" s="1105"/>
      <c r="Z338" s="938">
        <v>200</v>
      </c>
      <c r="AA338" s="936"/>
      <c r="AB338" s="936"/>
      <c r="AC338" s="936"/>
      <c r="AD338" s="948"/>
      <c r="AE338" s="1115"/>
      <c r="AF338" s="1178" t="str">
        <f>_xlfn.DISPIMG("ID_F002A7010E7F469CAA7A109B43E1F105",1)</f>
        <v>=DISPIMG("ID_F002A7010E7F469CAA7A109B43E1F105",1)</v>
      </c>
      <c r="AG338" s="939"/>
      <c r="AH338" s="937"/>
      <c r="AI338" s="950"/>
      <c r="AJ338" s="937"/>
      <c r="AK338" s="950"/>
      <c r="AL338" s="945">
        <v>180</v>
      </c>
      <c r="AM338" s="945">
        <v>75.6</v>
      </c>
      <c r="AN338" s="1114"/>
      <c r="AO338" s="936"/>
      <c r="AP338" s="936"/>
      <c r="AQ338" s="1184" t="s">
        <v>881</v>
      </c>
      <c r="AR338" s="1120">
        <v>45674</v>
      </c>
      <c r="AS338" s="1106" t="s">
        <v>882</v>
      </c>
      <c r="AT338" s="1120">
        <v>45687</v>
      </c>
      <c r="AU338" s="1106" t="s">
        <v>883</v>
      </c>
      <c r="AV338" s="1106" t="s">
        <v>59</v>
      </c>
      <c r="AW338" s="1106" t="s">
        <v>873</v>
      </c>
      <c r="AX338" s="1183"/>
      <c r="AY338" s="860"/>
      <c r="AZ338" s="897"/>
    </row>
    <row r="339" ht="78.75" spans="1:52">
      <c r="A339" s="937">
        <v>36</v>
      </c>
      <c r="B339" s="937">
        <v>9503009000</v>
      </c>
      <c r="C339" s="937">
        <v>392690</v>
      </c>
      <c r="D339" s="937" t="s">
        <v>874</v>
      </c>
      <c r="E339" s="937" t="s">
        <v>1008</v>
      </c>
      <c r="F339" s="937" t="s">
        <v>1009</v>
      </c>
      <c r="G339" s="937"/>
      <c r="H339" s="937"/>
      <c r="I339" s="938" t="s">
        <v>123</v>
      </c>
      <c r="J339" s="1108">
        <v>1.29</v>
      </c>
      <c r="K339" s="939">
        <v>200</v>
      </c>
      <c r="L339" s="1106" t="s">
        <v>52</v>
      </c>
      <c r="M339" s="937"/>
      <c r="N339" s="942"/>
      <c r="O339" s="939"/>
      <c r="P339" s="940">
        <v>16</v>
      </c>
      <c r="Q339" s="940">
        <v>20.64</v>
      </c>
      <c r="R339" s="1130"/>
      <c r="S339" s="936"/>
      <c r="T339" s="940">
        <v>1.49</v>
      </c>
      <c r="U339" s="936"/>
      <c r="V339" s="1115">
        <v>1.29</v>
      </c>
      <c r="W339" s="938" t="s">
        <v>979</v>
      </c>
      <c r="X339" s="937">
        <v>51</v>
      </c>
      <c r="Y339" s="939">
        <v>1</v>
      </c>
      <c r="Z339" s="1106">
        <v>200</v>
      </c>
      <c r="AA339" s="936"/>
      <c r="AB339" s="936"/>
      <c r="AC339" s="936"/>
      <c r="AD339" s="948">
        <v>0.0382248257656687</v>
      </c>
      <c r="AE339" s="1115">
        <v>0.04</v>
      </c>
      <c r="AF339" s="1178" t="str">
        <f>_xlfn.DISPIMG("ID_6E52D42620CB4F70B07D0DBA0EAB287F",1)</f>
        <v>=DISPIMG("ID_6E52D42620CB4F70B07D0DBA0EAB287F",1)</v>
      </c>
      <c r="AG339" s="939"/>
      <c r="AH339" s="937"/>
      <c r="AI339" s="950"/>
      <c r="AJ339" s="937"/>
      <c r="AK339" s="950"/>
      <c r="AL339" s="1108">
        <v>16</v>
      </c>
      <c r="AM339" s="1108">
        <v>20.64</v>
      </c>
      <c r="AN339" s="1114"/>
      <c r="AO339" s="936"/>
      <c r="AP339" s="936"/>
      <c r="AQ339" s="1154" t="s">
        <v>881</v>
      </c>
      <c r="AR339" s="1120">
        <v>45674</v>
      </c>
      <c r="AS339" s="1106" t="s">
        <v>882</v>
      </c>
      <c r="AT339" s="1120">
        <v>45687</v>
      </c>
      <c r="AU339" s="1106" t="s">
        <v>883</v>
      </c>
      <c r="AV339" s="1106" t="s">
        <v>59</v>
      </c>
      <c r="AW339" s="1106" t="s">
        <v>873</v>
      </c>
      <c r="AX339" s="1183"/>
      <c r="AY339" s="860"/>
      <c r="AZ339" s="897"/>
    </row>
    <row r="340" ht="78.75" spans="1:52">
      <c r="A340" s="937">
        <v>37</v>
      </c>
      <c r="B340" s="937">
        <v>9503009000</v>
      </c>
      <c r="C340" s="937">
        <v>392690</v>
      </c>
      <c r="D340" s="937" t="s">
        <v>874</v>
      </c>
      <c r="E340" s="937" t="s">
        <v>1010</v>
      </c>
      <c r="F340" s="937" t="s">
        <v>1011</v>
      </c>
      <c r="G340" s="937"/>
      <c r="H340" s="937"/>
      <c r="I340" s="938" t="s">
        <v>123</v>
      </c>
      <c r="J340" s="1108">
        <v>0.06</v>
      </c>
      <c r="K340" s="939">
        <v>200</v>
      </c>
      <c r="L340" s="1106" t="s">
        <v>52</v>
      </c>
      <c r="M340" s="937"/>
      <c r="N340" s="942"/>
      <c r="O340" s="939"/>
      <c r="P340" s="940">
        <v>132</v>
      </c>
      <c r="Q340" s="940">
        <v>7.92</v>
      </c>
      <c r="R340" s="1130"/>
      <c r="S340" s="936"/>
      <c r="T340" s="940">
        <v>0.15</v>
      </c>
      <c r="U340" s="936"/>
      <c r="V340" s="1115">
        <v>0.06</v>
      </c>
      <c r="W340" s="938"/>
      <c r="X340" s="937"/>
      <c r="Y340" s="939"/>
      <c r="Z340" s="1106">
        <v>200</v>
      </c>
      <c r="AA340" s="936"/>
      <c r="AB340" s="936"/>
      <c r="AC340" s="936"/>
      <c r="AD340" s="948"/>
      <c r="AE340" s="1115"/>
      <c r="AF340" s="1178" t="str">
        <f>_xlfn.DISPIMG("ID_09E7E1F14E8D433CAC5B725FD91B829A",1)</f>
        <v>=DISPIMG("ID_09E7E1F14E8D433CAC5B725FD91B829A",1)</v>
      </c>
      <c r="AG340" s="939"/>
      <c r="AH340" s="937"/>
      <c r="AI340" s="950"/>
      <c r="AJ340" s="937"/>
      <c r="AK340" s="950"/>
      <c r="AL340" s="1108">
        <v>132</v>
      </c>
      <c r="AM340" s="1108">
        <v>7.92</v>
      </c>
      <c r="AN340" s="1114"/>
      <c r="AO340" s="936"/>
      <c r="AP340" s="936"/>
      <c r="AQ340" s="1184" t="s">
        <v>881</v>
      </c>
      <c r="AR340" s="1120">
        <v>45674</v>
      </c>
      <c r="AS340" s="1106" t="s">
        <v>882</v>
      </c>
      <c r="AT340" s="1120">
        <v>45687</v>
      </c>
      <c r="AU340" s="1106" t="s">
        <v>883</v>
      </c>
      <c r="AV340" s="1106" t="s">
        <v>59</v>
      </c>
      <c r="AW340" s="1106" t="s">
        <v>873</v>
      </c>
      <c r="AX340" s="1183"/>
      <c r="AY340" s="860"/>
      <c r="AZ340" s="897"/>
    </row>
    <row r="341" ht="78.75" spans="1:52">
      <c r="A341" s="937">
        <v>38</v>
      </c>
      <c r="B341" s="937">
        <v>9503009000</v>
      </c>
      <c r="C341" s="937">
        <v>392690</v>
      </c>
      <c r="D341" s="937" t="s">
        <v>874</v>
      </c>
      <c r="E341" s="937" t="s">
        <v>1012</v>
      </c>
      <c r="F341" s="937" t="s">
        <v>1013</v>
      </c>
      <c r="G341" s="937"/>
      <c r="H341" s="937"/>
      <c r="I341" s="938" t="s">
        <v>123</v>
      </c>
      <c r="J341" s="1108">
        <v>0.38</v>
      </c>
      <c r="K341" s="939">
        <v>200</v>
      </c>
      <c r="L341" s="1106" t="s">
        <v>52</v>
      </c>
      <c r="M341" s="937"/>
      <c r="N341" s="942"/>
      <c r="O341" s="939"/>
      <c r="P341" s="940">
        <v>31</v>
      </c>
      <c r="Q341" s="940">
        <v>11.78</v>
      </c>
      <c r="R341" s="1130"/>
      <c r="S341" s="936"/>
      <c r="T341" s="940">
        <v>0.99</v>
      </c>
      <c r="U341" s="936"/>
      <c r="V341" s="1115">
        <v>0.38</v>
      </c>
      <c r="W341" s="938" t="s">
        <v>969</v>
      </c>
      <c r="X341" s="937">
        <v>52</v>
      </c>
      <c r="Y341" s="939">
        <v>1</v>
      </c>
      <c r="Z341" s="1106">
        <v>200</v>
      </c>
      <c r="AA341" s="936"/>
      <c r="AB341" s="936"/>
      <c r="AC341" s="936"/>
      <c r="AD341" s="948">
        <v>0.0104675545392745</v>
      </c>
      <c r="AE341" s="1115">
        <v>0.01</v>
      </c>
      <c r="AF341" s="1178" t="str">
        <f>_xlfn.DISPIMG("ID_DDD8C47570204663BD444A5D08F4D830",1)</f>
        <v>=DISPIMG("ID_DDD8C47570204663BD444A5D08F4D830",1)</v>
      </c>
      <c r="AG341" s="939"/>
      <c r="AH341" s="937"/>
      <c r="AI341" s="950"/>
      <c r="AJ341" s="937"/>
      <c r="AK341" s="950"/>
      <c r="AL341" s="1108">
        <v>31</v>
      </c>
      <c r="AM341" s="1108">
        <v>11.78</v>
      </c>
      <c r="AN341" s="1114"/>
      <c r="AO341" s="936"/>
      <c r="AP341" s="936"/>
      <c r="AQ341" s="1154" t="s">
        <v>881</v>
      </c>
      <c r="AR341" s="1120">
        <v>45674</v>
      </c>
      <c r="AS341" s="1106" t="s">
        <v>882</v>
      </c>
      <c r="AT341" s="1120">
        <v>45687</v>
      </c>
      <c r="AU341" s="1106" t="s">
        <v>883</v>
      </c>
      <c r="AV341" s="1106" t="s">
        <v>59</v>
      </c>
      <c r="AW341" s="1106" t="s">
        <v>873</v>
      </c>
      <c r="AX341" s="1183"/>
      <c r="AY341" s="860"/>
      <c r="AZ341" s="897"/>
    </row>
    <row r="342" ht="78.75" spans="1:52">
      <c r="A342" s="937">
        <v>39</v>
      </c>
      <c r="B342" s="937">
        <v>9503009000</v>
      </c>
      <c r="C342" s="937">
        <v>392690</v>
      </c>
      <c r="D342" s="937" t="s">
        <v>874</v>
      </c>
      <c r="E342" s="937" t="s">
        <v>1014</v>
      </c>
      <c r="F342" s="937" t="s">
        <v>1015</v>
      </c>
      <c r="G342" s="937"/>
      <c r="H342" s="937"/>
      <c r="I342" s="938" t="s">
        <v>123</v>
      </c>
      <c r="J342" s="1108">
        <v>0.16</v>
      </c>
      <c r="K342" s="939">
        <v>200</v>
      </c>
      <c r="L342" s="1106" t="s">
        <v>52</v>
      </c>
      <c r="M342" s="937"/>
      <c r="N342" s="942"/>
      <c r="O342" s="939"/>
      <c r="P342" s="940">
        <v>56.25</v>
      </c>
      <c r="Q342" s="940">
        <v>9</v>
      </c>
      <c r="R342" s="1130"/>
      <c r="S342" s="936"/>
      <c r="T342" s="940">
        <v>0.23</v>
      </c>
      <c r="U342" s="936"/>
      <c r="V342" s="1115">
        <v>0.16</v>
      </c>
      <c r="W342" s="938" t="s">
        <v>969</v>
      </c>
      <c r="X342" s="937">
        <v>53</v>
      </c>
      <c r="Y342" s="939">
        <v>1</v>
      </c>
      <c r="Z342" s="1106">
        <v>200</v>
      </c>
      <c r="AA342" s="936"/>
      <c r="AB342" s="936"/>
      <c r="AC342" s="936"/>
      <c r="AD342" s="948">
        <v>0.00868885730177369</v>
      </c>
      <c r="AE342" s="1115">
        <v>0.01</v>
      </c>
      <c r="AF342" s="1178" t="str">
        <f>_xlfn.DISPIMG("ID_60EE38B533434B7BB7678037272B1F48",1)</f>
        <v>=DISPIMG("ID_60EE38B533434B7BB7678037272B1F48",1)</v>
      </c>
      <c r="AG342" s="939"/>
      <c r="AH342" s="937"/>
      <c r="AI342" s="950"/>
      <c r="AJ342" s="937"/>
      <c r="AK342" s="950"/>
      <c r="AL342" s="1108">
        <v>56.25</v>
      </c>
      <c r="AM342" s="1108">
        <v>9</v>
      </c>
      <c r="AN342" s="1114"/>
      <c r="AO342" s="936"/>
      <c r="AP342" s="936"/>
      <c r="AQ342" s="1184" t="s">
        <v>881</v>
      </c>
      <c r="AR342" s="1120">
        <v>45674</v>
      </c>
      <c r="AS342" s="1106" t="s">
        <v>882</v>
      </c>
      <c r="AT342" s="1120">
        <v>45687</v>
      </c>
      <c r="AU342" s="1106" t="s">
        <v>883</v>
      </c>
      <c r="AV342" s="1106" t="s">
        <v>59</v>
      </c>
      <c r="AW342" s="1106" t="s">
        <v>873</v>
      </c>
      <c r="AX342" s="1183"/>
      <c r="AY342" s="860"/>
      <c r="AZ342" s="897"/>
    </row>
    <row r="343" ht="78.75" spans="1:52">
      <c r="A343" s="937">
        <v>40</v>
      </c>
      <c r="B343" s="937">
        <v>9503009000</v>
      </c>
      <c r="C343" s="937">
        <v>392690</v>
      </c>
      <c r="D343" s="937" t="s">
        <v>874</v>
      </c>
      <c r="E343" s="937" t="s">
        <v>1016</v>
      </c>
      <c r="F343" s="937" t="s">
        <v>1017</v>
      </c>
      <c r="G343" s="937"/>
      <c r="H343" s="937"/>
      <c r="I343" s="938" t="s">
        <v>123</v>
      </c>
      <c r="J343" s="1108">
        <v>0.2</v>
      </c>
      <c r="K343" s="939">
        <v>200</v>
      </c>
      <c r="L343" s="1106" t="s">
        <v>52</v>
      </c>
      <c r="M343" s="937"/>
      <c r="N343" s="942"/>
      <c r="O343" s="939"/>
      <c r="P343" s="940">
        <v>48.6</v>
      </c>
      <c r="Q343" s="940">
        <v>9.72</v>
      </c>
      <c r="R343" s="1130"/>
      <c r="S343" s="936"/>
      <c r="T343" s="940">
        <v>0.3</v>
      </c>
      <c r="U343" s="936"/>
      <c r="V343" s="1115">
        <v>0.2</v>
      </c>
      <c r="W343" s="938"/>
      <c r="X343" s="937"/>
      <c r="Y343" s="939"/>
      <c r="Z343" s="1106">
        <v>200</v>
      </c>
      <c r="AA343" s="936"/>
      <c r="AB343" s="936"/>
      <c r="AC343" s="936"/>
      <c r="AD343" s="948"/>
      <c r="AE343" s="1115"/>
      <c r="AF343" s="1178" t="str">
        <f>_xlfn.DISPIMG("ID_945534B9676A41588AB3544785E7C45A",1)</f>
        <v>=DISPIMG("ID_945534B9676A41588AB3544785E7C45A",1)</v>
      </c>
      <c r="AG343" s="939"/>
      <c r="AH343" s="937"/>
      <c r="AI343" s="950"/>
      <c r="AJ343" s="937"/>
      <c r="AK343" s="950"/>
      <c r="AL343" s="1108">
        <v>48.6</v>
      </c>
      <c r="AM343" s="1108">
        <v>9.72</v>
      </c>
      <c r="AN343" s="1114"/>
      <c r="AO343" s="936"/>
      <c r="AP343" s="936"/>
      <c r="AQ343" s="1154" t="s">
        <v>881</v>
      </c>
      <c r="AR343" s="1120">
        <v>45674</v>
      </c>
      <c r="AS343" s="1106" t="s">
        <v>882</v>
      </c>
      <c r="AT343" s="1120">
        <v>45687</v>
      </c>
      <c r="AU343" s="1106" t="s">
        <v>883</v>
      </c>
      <c r="AV343" s="1106" t="s">
        <v>59</v>
      </c>
      <c r="AW343" s="1106" t="s">
        <v>873</v>
      </c>
      <c r="AX343" s="1183"/>
      <c r="AY343" s="860"/>
      <c r="AZ343" s="897"/>
    </row>
    <row r="344" ht="78.75" spans="1:52">
      <c r="A344" s="937">
        <v>41</v>
      </c>
      <c r="B344" s="937">
        <v>9503009000</v>
      </c>
      <c r="C344" s="937">
        <v>392690</v>
      </c>
      <c r="D344" s="937" t="s">
        <v>874</v>
      </c>
      <c r="E344" s="937" t="s">
        <v>1018</v>
      </c>
      <c r="F344" s="937" t="s">
        <v>1019</v>
      </c>
      <c r="G344" s="937"/>
      <c r="H344" s="937"/>
      <c r="I344" s="938" t="s">
        <v>123</v>
      </c>
      <c r="J344" s="940">
        <v>1.04</v>
      </c>
      <c r="K344" s="941">
        <v>200</v>
      </c>
      <c r="L344" s="937" t="s">
        <v>52</v>
      </c>
      <c r="M344" s="937"/>
      <c r="N344" s="942"/>
      <c r="O344" s="941"/>
      <c r="P344" s="940">
        <v>95</v>
      </c>
      <c r="Q344" s="940">
        <v>98.8</v>
      </c>
      <c r="R344" s="1130"/>
      <c r="S344" s="936"/>
      <c r="T344" s="940">
        <v>1.21</v>
      </c>
      <c r="U344" s="936"/>
      <c r="V344" s="1115">
        <v>1.04</v>
      </c>
      <c r="W344" s="938" t="s">
        <v>1020</v>
      </c>
      <c r="X344" s="937" t="s">
        <v>1021</v>
      </c>
      <c r="Y344" s="938">
        <v>1</v>
      </c>
      <c r="Z344" s="938" t="s">
        <v>52</v>
      </c>
      <c r="AA344" s="936"/>
      <c r="AB344" s="936"/>
      <c r="AC344" s="936"/>
      <c r="AD344" s="948">
        <v>0.0944441011062357</v>
      </c>
      <c r="AE344" s="1115">
        <v>0.09</v>
      </c>
      <c r="AF344" s="1178" t="str">
        <f>_xlfn.DISPIMG("ID_82DFE8EA08B0407B8BFEF3FB554A86FA",1)</f>
        <v>=DISPIMG("ID_82DFE8EA08B0407B8BFEF3FB554A86FA",1)</v>
      </c>
      <c r="AG344" s="939"/>
      <c r="AH344" s="937"/>
      <c r="AI344" s="950"/>
      <c r="AJ344" s="937"/>
      <c r="AK344" s="950"/>
      <c r="AL344" s="945">
        <v>95</v>
      </c>
      <c r="AM344" s="945">
        <v>98.8</v>
      </c>
      <c r="AN344" s="1114"/>
      <c r="AO344" s="936"/>
      <c r="AP344" s="936"/>
      <c r="AQ344" s="1184" t="s">
        <v>881</v>
      </c>
      <c r="AR344" s="1120">
        <v>45674</v>
      </c>
      <c r="AS344" s="1106" t="s">
        <v>882</v>
      </c>
      <c r="AT344" s="1120">
        <v>45687</v>
      </c>
      <c r="AU344" s="1106" t="s">
        <v>883</v>
      </c>
      <c r="AV344" s="1106" t="s">
        <v>59</v>
      </c>
      <c r="AW344" s="1106" t="s">
        <v>873</v>
      </c>
      <c r="AX344" s="1183"/>
      <c r="AY344" s="860"/>
      <c r="AZ344" s="897"/>
    </row>
    <row r="345" ht="78.75" spans="1:52">
      <c r="A345" s="937">
        <v>42</v>
      </c>
      <c r="B345" s="937">
        <v>9503009000</v>
      </c>
      <c r="C345" s="937">
        <v>392690</v>
      </c>
      <c r="D345" s="937" t="s">
        <v>874</v>
      </c>
      <c r="E345" s="937" t="s">
        <v>1022</v>
      </c>
      <c r="F345" s="937" t="s">
        <v>1023</v>
      </c>
      <c r="G345" s="937"/>
      <c r="H345" s="937"/>
      <c r="I345" s="938" t="s">
        <v>123</v>
      </c>
      <c r="J345" s="940">
        <v>2.52</v>
      </c>
      <c r="K345" s="941">
        <v>200</v>
      </c>
      <c r="L345" s="939" t="s">
        <v>52</v>
      </c>
      <c r="M345" s="937"/>
      <c r="N345" s="942"/>
      <c r="O345" s="941"/>
      <c r="P345" s="940">
        <v>14.5</v>
      </c>
      <c r="Q345" s="940">
        <v>36.54</v>
      </c>
      <c r="R345" s="1130"/>
      <c r="S345" s="936"/>
      <c r="T345" s="940">
        <v>2.66</v>
      </c>
      <c r="U345" s="936"/>
      <c r="V345" s="1115">
        <v>2.52</v>
      </c>
      <c r="W345" s="938"/>
      <c r="X345" s="937"/>
      <c r="Y345" s="938"/>
      <c r="Z345" s="938" t="s">
        <v>52</v>
      </c>
      <c r="AA345" s="936"/>
      <c r="AB345" s="936"/>
      <c r="AC345" s="936"/>
      <c r="AD345" s="948"/>
      <c r="AE345" s="1115"/>
      <c r="AF345" s="1178" t="str">
        <f>_xlfn.DISPIMG("ID_C52D304FAF52440AB11C895BF734901D",1)</f>
        <v>=DISPIMG("ID_C52D304FAF52440AB11C895BF734901D",1)</v>
      </c>
      <c r="AG345" s="939"/>
      <c r="AH345" s="937" t="s">
        <v>1024</v>
      </c>
      <c r="AI345" s="950">
        <v>45635</v>
      </c>
      <c r="AJ345" s="937" t="s">
        <v>1025</v>
      </c>
      <c r="AK345" s="950">
        <v>45635</v>
      </c>
      <c r="AL345" s="945">
        <v>14.5</v>
      </c>
      <c r="AM345" s="945">
        <v>36.54</v>
      </c>
      <c r="AN345" s="1114">
        <v>3670.23</v>
      </c>
      <c r="AO345" s="936"/>
      <c r="AP345" s="936"/>
      <c r="AQ345" s="1154" t="s">
        <v>881</v>
      </c>
      <c r="AR345" s="1120">
        <v>45674</v>
      </c>
      <c r="AS345" s="1106" t="s">
        <v>882</v>
      </c>
      <c r="AT345" s="1120">
        <v>45687</v>
      </c>
      <c r="AU345" s="1106" t="s">
        <v>883</v>
      </c>
      <c r="AV345" s="1106" t="s">
        <v>59</v>
      </c>
      <c r="AW345" s="1106" t="s">
        <v>873</v>
      </c>
      <c r="AX345" s="1183"/>
      <c r="AY345" s="860"/>
      <c r="AZ345" s="897"/>
    </row>
    <row r="346" ht="78.75" spans="1:52">
      <c r="A346" s="937">
        <v>43</v>
      </c>
      <c r="B346" s="937">
        <v>9503009000</v>
      </c>
      <c r="C346" s="937">
        <v>392690</v>
      </c>
      <c r="D346" s="937" t="s">
        <v>874</v>
      </c>
      <c r="E346" s="937" t="s">
        <v>1026</v>
      </c>
      <c r="F346" s="937" t="s">
        <v>1027</v>
      </c>
      <c r="G346" s="937"/>
      <c r="H346" s="937"/>
      <c r="I346" s="938" t="s">
        <v>123</v>
      </c>
      <c r="J346" s="1108">
        <v>0.26</v>
      </c>
      <c r="K346" s="939">
        <v>200</v>
      </c>
      <c r="L346" s="1106" t="s">
        <v>52</v>
      </c>
      <c r="M346" s="937"/>
      <c r="N346" s="942"/>
      <c r="O346" s="939"/>
      <c r="P346" s="940">
        <v>50</v>
      </c>
      <c r="Q346" s="940">
        <v>13</v>
      </c>
      <c r="R346" s="1130"/>
      <c r="S346" s="936"/>
      <c r="T346" s="940">
        <v>0.4</v>
      </c>
      <c r="U346" s="936"/>
      <c r="V346" s="1115">
        <v>0.26</v>
      </c>
      <c r="W346" s="938"/>
      <c r="X346" s="937"/>
      <c r="Y346" s="938"/>
      <c r="Z346" s="938" t="s">
        <v>52</v>
      </c>
      <c r="AA346" s="936"/>
      <c r="AB346" s="936"/>
      <c r="AC346" s="936"/>
      <c r="AD346" s="948"/>
      <c r="AE346" s="1115"/>
      <c r="AF346" s="1178" t="str">
        <f>_xlfn.DISPIMG("ID_4FBF4AD5F05D4CAA8B77ED629922AC21",1)</f>
        <v>=DISPIMG("ID_4FBF4AD5F05D4CAA8B77ED629922AC21",1)</v>
      </c>
      <c r="AG346" s="939"/>
      <c r="AH346" s="937"/>
      <c r="AI346" s="950"/>
      <c r="AJ346" s="937"/>
      <c r="AK346" s="950"/>
      <c r="AL346" s="1108">
        <v>50</v>
      </c>
      <c r="AM346" s="1108">
        <v>13</v>
      </c>
      <c r="AN346" s="1114"/>
      <c r="AO346" s="936"/>
      <c r="AP346" s="936"/>
      <c r="AQ346" s="1184" t="s">
        <v>881</v>
      </c>
      <c r="AR346" s="1120">
        <v>45674</v>
      </c>
      <c r="AS346" s="1106" t="s">
        <v>882</v>
      </c>
      <c r="AT346" s="1120">
        <v>45687</v>
      </c>
      <c r="AU346" s="1106" t="s">
        <v>883</v>
      </c>
      <c r="AV346" s="1106" t="s">
        <v>59</v>
      </c>
      <c r="AW346" s="1106" t="s">
        <v>873</v>
      </c>
      <c r="AX346" s="1183"/>
      <c r="AY346" s="860"/>
      <c r="AZ346" s="897"/>
    </row>
    <row r="347" ht="78.75" spans="1:52">
      <c r="A347" s="937">
        <v>44</v>
      </c>
      <c r="B347" s="937">
        <v>9503009000</v>
      </c>
      <c r="C347" s="937">
        <v>392690</v>
      </c>
      <c r="D347" s="937" t="s">
        <v>874</v>
      </c>
      <c r="E347" s="937" t="s">
        <v>1028</v>
      </c>
      <c r="F347" s="937" t="s">
        <v>1029</v>
      </c>
      <c r="G347" s="937"/>
      <c r="H347" s="937"/>
      <c r="I347" s="938" t="s">
        <v>123</v>
      </c>
      <c r="J347" s="1108">
        <v>0.34</v>
      </c>
      <c r="K347" s="939">
        <v>200</v>
      </c>
      <c r="L347" s="1106" t="s">
        <v>52</v>
      </c>
      <c r="M347" s="937"/>
      <c r="N347" s="942"/>
      <c r="O347" s="939"/>
      <c r="P347" s="940">
        <v>38</v>
      </c>
      <c r="Q347" s="940">
        <v>12.92</v>
      </c>
      <c r="R347" s="1130"/>
      <c r="S347" s="936"/>
      <c r="T347" s="940">
        <v>0.48</v>
      </c>
      <c r="U347" s="936"/>
      <c r="V347" s="1115">
        <v>0.34</v>
      </c>
      <c r="W347" s="938"/>
      <c r="X347" s="937"/>
      <c r="Y347" s="938"/>
      <c r="Z347" s="938" t="s">
        <v>52</v>
      </c>
      <c r="AA347" s="936"/>
      <c r="AB347" s="936"/>
      <c r="AC347" s="936"/>
      <c r="AD347" s="948"/>
      <c r="AE347" s="1115"/>
      <c r="AF347" s="1178" t="str">
        <f>_xlfn.DISPIMG("ID_5544246F567E43338EEF20A1E05B2FB1",1)</f>
        <v>=DISPIMG("ID_5544246F567E43338EEF20A1E05B2FB1",1)</v>
      </c>
      <c r="AG347" s="939"/>
      <c r="AH347" s="937"/>
      <c r="AI347" s="950"/>
      <c r="AJ347" s="937"/>
      <c r="AK347" s="950"/>
      <c r="AL347" s="1108">
        <v>38</v>
      </c>
      <c r="AM347" s="1108">
        <v>12.92</v>
      </c>
      <c r="AN347" s="1114"/>
      <c r="AO347" s="936"/>
      <c r="AP347" s="936"/>
      <c r="AQ347" s="1154" t="s">
        <v>881</v>
      </c>
      <c r="AR347" s="1120">
        <v>45674</v>
      </c>
      <c r="AS347" s="1106" t="s">
        <v>882</v>
      </c>
      <c r="AT347" s="1120">
        <v>45687</v>
      </c>
      <c r="AU347" s="1106" t="s">
        <v>883</v>
      </c>
      <c r="AV347" s="1106" t="s">
        <v>59</v>
      </c>
      <c r="AW347" s="1106" t="s">
        <v>873</v>
      </c>
      <c r="AX347" s="1183"/>
      <c r="AY347" s="860"/>
      <c r="AZ347" s="897"/>
    </row>
    <row r="348" ht="78.75" spans="1:52">
      <c r="A348" s="937">
        <v>45</v>
      </c>
      <c r="B348" s="937">
        <v>9503009000</v>
      </c>
      <c r="C348" s="937">
        <v>392690</v>
      </c>
      <c r="D348" s="937" t="s">
        <v>874</v>
      </c>
      <c r="E348" s="937" t="s">
        <v>1030</v>
      </c>
      <c r="F348" s="937" t="s">
        <v>1031</v>
      </c>
      <c r="G348" s="937"/>
      <c r="H348" s="937"/>
      <c r="I348" s="938" t="s">
        <v>123</v>
      </c>
      <c r="J348" s="1108">
        <v>0.28</v>
      </c>
      <c r="K348" s="939">
        <v>200</v>
      </c>
      <c r="L348" s="1106" t="s">
        <v>52</v>
      </c>
      <c r="M348" s="937"/>
      <c r="N348" s="942"/>
      <c r="O348" s="939"/>
      <c r="P348" s="940">
        <v>47</v>
      </c>
      <c r="Q348" s="940">
        <v>13.16</v>
      </c>
      <c r="R348" s="1130"/>
      <c r="S348" s="936"/>
      <c r="T348" s="940">
        <v>0.42</v>
      </c>
      <c r="U348" s="936"/>
      <c r="V348" s="1115">
        <v>0.28</v>
      </c>
      <c r="W348" s="938"/>
      <c r="X348" s="937"/>
      <c r="Y348" s="938"/>
      <c r="Z348" s="938" t="s">
        <v>52</v>
      </c>
      <c r="AA348" s="936"/>
      <c r="AB348" s="936"/>
      <c r="AC348" s="936"/>
      <c r="AD348" s="948"/>
      <c r="AE348" s="1115"/>
      <c r="AF348" s="1178" t="str">
        <f>_xlfn.DISPIMG("ID_908CFFC1196B46A297F4E7B9AD3F0FA4",1)</f>
        <v>=DISPIMG("ID_908CFFC1196B46A297F4E7B9AD3F0FA4",1)</v>
      </c>
      <c r="AG348" s="939"/>
      <c r="AH348" s="937"/>
      <c r="AI348" s="950"/>
      <c r="AJ348" s="937"/>
      <c r="AK348" s="950"/>
      <c r="AL348" s="1108">
        <v>47</v>
      </c>
      <c r="AM348" s="1108">
        <v>13.16</v>
      </c>
      <c r="AN348" s="1114"/>
      <c r="AO348" s="936"/>
      <c r="AP348" s="936"/>
      <c r="AQ348" s="1184" t="s">
        <v>881</v>
      </c>
      <c r="AR348" s="1120">
        <v>45674</v>
      </c>
      <c r="AS348" s="1106" t="s">
        <v>882</v>
      </c>
      <c r="AT348" s="1120">
        <v>45687</v>
      </c>
      <c r="AU348" s="1106" t="s">
        <v>883</v>
      </c>
      <c r="AV348" s="1106" t="s">
        <v>59</v>
      </c>
      <c r="AW348" s="1106" t="s">
        <v>873</v>
      </c>
      <c r="AX348" s="1183"/>
      <c r="AY348" s="860"/>
      <c r="AZ348" s="897"/>
    </row>
    <row r="349" ht="78.75" spans="1:52">
      <c r="A349" s="937">
        <v>46</v>
      </c>
      <c r="B349" s="937">
        <v>9503009000</v>
      </c>
      <c r="C349" s="937">
        <v>392690</v>
      </c>
      <c r="D349" s="937" t="s">
        <v>874</v>
      </c>
      <c r="E349" s="937" t="s">
        <v>1032</v>
      </c>
      <c r="F349" s="937" t="s">
        <v>1033</v>
      </c>
      <c r="G349" s="937"/>
      <c r="H349" s="937"/>
      <c r="I349" s="938" t="s">
        <v>123</v>
      </c>
      <c r="J349" s="1108">
        <v>0.32</v>
      </c>
      <c r="K349" s="939">
        <v>200</v>
      </c>
      <c r="L349" s="1106" t="s">
        <v>52</v>
      </c>
      <c r="M349" s="937"/>
      <c r="N349" s="942"/>
      <c r="O349" s="939"/>
      <c r="P349" s="940">
        <v>42.75</v>
      </c>
      <c r="Q349" s="940">
        <v>13.68</v>
      </c>
      <c r="R349" s="1130"/>
      <c r="S349" s="936"/>
      <c r="T349" s="940">
        <v>0.46</v>
      </c>
      <c r="U349" s="936"/>
      <c r="V349" s="1115">
        <v>0.32</v>
      </c>
      <c r="W349" s="938"/>
      <c r="X349" s="937"/>
      <c r="Y349" s="938"/>
      <c r="Z349" s="938" t="s">
        <v>52</v>
      </c>
      <c r="AA349" s="936"/>
      <c r="AB349" s="936"/>
      <c r="AC349" s="936"/>
      <c r="AD349" s="948"/>
      <c r="AE349" s="1115"/>
      <c r="AF349" s="1178" t="str">
        <f>_xlfn.DISPIMG("ID_5918C4BCE1994731A04FCEF9888A7B53",1)</f>
        <v>=DISPIMG("ID_5918C4BCE1994731A04FCEF9888A7B53",1)</v>
      </c>
      <c r="AG349" s="939"/>
      <c r="AH349" s="937"/>
      <c r="AI349" s="950"/>
      <c r="AJ349" s="937"/>
      <c r="AK349" s="950"/>
      <c r="AL349" s="1108">
        <v>42.75</v>
      </c>
      <c r="AM349" s="1108">
        <v>13.68</v>
      </c>
      <c r="AN349" s="1114"/>
      <c r="AO349" s="936"/>
      <c r="AP349" s="936"/>
      <c r="AQ349" s="1154" t="s">
        <v>881</v>
      </c>
      <c r="AR349" s="1120">
        <v>45674</v>
      </c>
      <c r="AS349" s="1106" t="s">
        <v>882</v>
      </c>
      <c r="AT349" s="1120">
        <v>45687</v>
      </c>
      <c r="AU349" s="1106" t="s">
        <v>883</v>
      </c>
      <c r="AV349" s="1106" t="s">
        <v>59</v>
      </c>
      <c r="AW349" s="1106" t="s">
        <v>873</v>
      </c>
      <c r="AX349" s="1183"/>
      <c r="AY349" s="860"/>
      <c r="AZ349" s="897"/>
    </row>
    <row r="350" ht="78.75" spans="1:52">
      <c r="A350" s="937">
        <v>47</v>
      </c>
      <c r="B350" s="937">
        <v>9503009000</v>
      </c>
      <c r="C350" s="937">
        <v>392690</v>
      </c>
      <c r="D350" s="937" t="s">
        <v>874</v>
      </c>
      <c r="E350" s="937" t="s">
        <v>1034</v>
      </c>
      <c r="F350" s="937" t="s">
        <v>1035</v>
      </c>
      <c r="G350" s="937"/>
      <c r="H350" s="937"/>
      <c r="I350" s="938" t="s">
        <v>123</v>
      </c>
      <c r="J350" s="1108">
        <v>0.22</v>
      </c>
      <c r="K350" s="939">
        <v>200</v>
      </c>
      <c r="L350" s="1106" t="s">
        <v>52</v>
      </c>
      <c r="M350" s="937"/>
      <c r="N350" s="942"/>
      <c r="O350" s="939"/>
      <c r="P350" s="940">
        <v>56.5</v>
      </c>
      <c r="Q350" s="940">
        <v>12.43</v>
      </c>
      <c r="R350" s="1130"/>
      <c r="S350" s="936"/>
      <c r="T350" s="940">
        <v>0.32</v>
      </c>
      <c r="U350" s="936"/>
      <c r="V350" s="1115">
        <v>0.22</v>
      </c>
      <c r="W350" s="938" t="s">
        <v>975</v>
      </c>
      <c r="X350" s="937">
        <v>56</v>
      </c>
      <c r="Y350" s="939">
        <v>1</v>
      </c>
      <c r="Z350" s="1106">
        <v>200</v>
      </c>
      <c r="AA350" s="936"/>
      <c r="AB350" s="936"/>
      <c r="AC350" s="936"/>
      <c r="AD350" s="948">
        <v>0.00972841701466446</v>
      </c>
      <c r="AE350" s="1115">
        <v>0.01</v>
      </c>
      <c r="AF350" s="1178" t="str">
        <f>_xlfn.DISPIMG("ID_64EE0858E5B34FB4994B96B2BF58EB05",1)</f>
        <v>=DISPIMG("ID_64EE0858E5B34FB4994B96B2BF58EB05",1)</v>
      </c>
      <c r="AG350" s="939"/>
      <c r="AH350" s="937"/>
      <c r="AI350" s="950"/>
      <c r="AJ350" s="937"/>
      <c r="AK350" s="950"/>
      <c r="AL350" s="1108">
        <v>56.5</v>
      </c>
      <c r="AM350" s="1108">
        <v>12.43</v>
      </c>
      <c r="AN350" s="1114"/>
      <c r="AO350" s="936"/>
      <c r="AP350" s="936"/>
      <c r="AQ350" s="1184" t="s">
        <v>881</v>
      </c>
      <c r="AR350" s="1120">
        <v>45674</v>
      </c>
      <c r="AS350" s="1106" t="s">
        <v>882</v>
      </c>
      <c r="AT350" s="1120">
        <v>45687</v>
      </c>
      <c r="AU350" s="1106" t="s">
        <v>883</v>
      </c>
      <c r="AV350" s="1106" t="s">
        <v>59</v>
      </c>
      <c r="AW350" s="1106" t="s">
        <v>873</v>
      </c>
      <c r="AX350" s="1183"/>
      <c r="AY350" s="860"/>
      <c r="AZ350" s="897"/>
    </row>
    <row r="351" ht="78.75" spans="1:52">
      <c r="A351" s="937">
        <v>48</v>
      </c>
      <c r="B351" s="937">
        <v>9503009000</v>
      </c>
      <c r="C351" s="937">
        <v>392690</v>
      </c>
      <c r="D351" s="937" t="s">
        <v>874</v>
      </c>
      <c r="E351" s="937" t="s">
        <v>1036</v>
      </c>
      <c r="F351" s="937" t="s">
        <v>1037</v>
      </c>
      <c r="G351" s="937"/>
      <c r="H351" s="937"/>
      <c r="I351" s="938" t="s">
        <v>123</v>
      </c>
      <c r="J351" s="1108">
        <v>0.32</v>
      </c>
      <c r="K351" s="939">
        <v>200</v>
      </c>
      <c r="L351" s="1106" t="s">
        <v>52</v>
      </c>
      <c r="M351" s="937"/>
      <c r="N351" s="942"/>
      <c r="O351" s="939"/>
      <c r="P351" s="940">
        <v>42.75</v>
      </c>
      <c r="Q351" s="940">
        <v>13.68</v>
      </c>
      <c r="R351" s="1130"/>
      <c r="S351" s="936"/>
      <c r="T351" s="940">
        <v>0.43</v>
      </c>
      <c r="U351" s="936"/>
      <c r="V351" s="1115">
        <v>0.32</v>
      </c>
      <c r="W351" s="938"/>
      <c r="X351" s="937"/>
      <c r="Y351" s="939"/>
      <c r="Z351" s="1106">
        <v>200</v>
      </c>
      <c r="AA351" s="936"/>
      <c r="AB351" s="936"/>
      <c r="AC351" s="936"/>
      <c r="AD351" s="948"/>
      <c r="AE351" s="1115"/>
      <c r="AF351" s="1178" t="str">
        <f>_xlfn.DISPIMG("ID_9A93E6FCC95C4ECF9CB0E0089F580E4E",1)</f>
        <v>=DISPIMG("ID_9A93E6FCC95C4ECF9CB0E0089F580E4E",1)</v>
      </c>
      <c r="AG351" s="939"/>
      <c r="AH351" s="937"/>
      <c r="AI351" s="950"/>
      <c r="AJ351" s="937"/>
      <c r="AK351" s="950"/>
      <c r="AL351" s="1108">
        <v>42.75</v>
      </c>
      <c r="AM351" s="1108">
        <v>13.68</v>
      </c>
      <c r="AN351" s="1114"/>
      <c r="AO351" s="936"/>
      <c r="AP351" s="936"/>
      <c r="AQ351" s="1154" t="s">
        <v>881</v>
      </c>
      <c r="AR351" s="1120">
        <v>45674</v>
      </c>
      <c r="AS351" s="1106" t="s">
        <v>882</v>
      </c>
      <c r="AT351" s="1120">
        <v>45687</v>
      </c>
      <c r="AU351" s="1106" t="s">
        <v>883</v>
      </c>
      <c r="AV351" s="1106" t="s">
        <v>59</v>
      </c>
      <c r="AW351" s="1106" t="s">
        <v>873</v>
      </c>
      <c r="AX351" s="1183"/>
      <c r="AY351" s="860"/>
      <c r="AZ351" s="897"/>
    </row>
    <row r="352" ht="78.75" spans="1:52">
      <c r="A352" s="937">
        <v>49</v>
      </c>
      <c r="B352" s="937">
        <v>9503009000</v>
      </c>
      <c r="C352" s="937">
        <v>392690</v>
      </c>
      <c r="D352" s="937" t="s">
        <v>874</v>
      </c>
      <c r="E352" s="937" t="s">
        <v>1038</v>
      </c>
      <c r="F352" s="937" t="s">
        <v>1039</v>
      </c>
      <c r="G352" s="937"/>
      <c r="H352" s="937"/>
      <c r="I352" s="938" t="s">
        <v>123</v>
      </c>
      <c r="J352" s="1108">
        <v>0.18</v>
      </c>
      <c r="K352" s="939">
        <v>200</v>
      </c>
      <c r="L352" s="1106" t="s">
        <v>52</v>
      </c>
      <c r="M352" s="937"/>
      <c r="N352" s="942"/>
      <c r="O352" s="939"/>
      <c r="P352" s="940">
        <v>940</v>
      </c>
      <c r="Q352" s="940">
        <v>169.2</v>
      </c>
      <c r="R352" s="1130"/>
      <c r="S352" s="936"/>
      <c r="T352" s="940">
        <v>0.27</v>
      </c>
      <c r="U352" s="936"/>
      <c r="V352" s="1115">
        <v>0.18</v>
      </c>
      <c r="W352" s="938" t="s">
        <v>1040</v>
      </c>
      <c r="X352" s="937">
        <v>57</v>
      </c>
      <c r="Y352" s="939">
        <v>1</v>
      </c>
      <c r="Z352" s="1106">
        <v>200</v>
      </c>
      <c r="AA352" s="936"/>
      <c r="AB352" s="936"/>
      <c r="AC352" s="936"/>
      <c r="AD352" s="948">
        <v>0.0164490142760027</v>
      </c>
      <c r="AE352" s="1115">
        <v>0.02</v>
      </c>
      <c r="AF352" s="1178" t="str">
        <f>_xlfn.DISPIMG("ID_97AD8966C4524BE48E7B396AD5FBA4EC",1)</f>
        <v>=DISPIMG("ID_97AD8966C4524BE48E7B396AD5FBA4EC",1)</v>
      </c>
      <c r="AG352" s="939"/>
      <c r="AH352" s="937"/>
      <c r="AI352" s="950"/>
      <c r="AJ352" s="937"/>
      <c r="AK352" s="950"/>
      <c r="AL352" s="1108">
        <v>940</v>
      </c>
      <c r="AM352" s="1108">
        <v>169.2</v>
      </c>
      <c r="AN352" s="1114"/>
      <c r="AO352" s="936"/>
      <c r="AP352" s="936"/>
      <c r="AQ352" s="1184" t="s">
        <v>881</v>
      </c>
      <c r="AR352" s="1120">
        <v>45674</v>
      </c>
      <c r="AS352" s="1106" t="s">
        <v>882</v>
      </c>
      <c r="AT352" s="1120">
        <v>45687</v>
      </c>
      <c r="AU352" s="1106" t="s">
        <v>883</v>
      </c>
      <c r="AV352" s="1106" t="s">
        <v>59</v>
      </c>
      <c r="AW352" s="1106" t="s">
        <v>873</v>
      </c>
      <c r="AX352" s="1183"/>
      <c r="AY352" s="860"/>
      <c r="AZ352" s="897"/>
    </row>
    <row r="353" ht="78.75" spans="1:52">
      <c r="A353" s="937">
        <v>50</v>
      </c>
      <c r="B353" s="937">
        <v>9503009000</v>
      </c>
      <c r="C353" s="937">
        <v>392690</v>
      </c>
      <c r="D353" s="937" t="s">
        <v>874</v>
      </c>
      <c r="E353" s="937" t="s">
        <v>1041</v>
      </c>
      <c r="F353" s="937" t="s">
        <v>1042</v>
      </c>
      <c r="G353" s="937"/>
      <c r="H353" s="937"/>
      <c r="I353" s="938" t="s">
        <v>123</v>
      </c>
      <c r="J353" s="1108">
        <v>0.18</v>
      </c>
      <c r="K353" s="939">
        <v>200</v>
      </c>
      <c r="L353" s="1106" t="s">
        <v>52</v>
      </c>
      <c r="M353" s="937"/>
      <c r="N353" s="942"/>
      <c r="O353" s="939"/>
      <c r="P353" s="940">
        <v>940</v>
      </c>
      <c r="Q353" s="940">
        <v>169.2</v>
      </c>
      <c r="R353" s="1130"/>
      <c r="S353" s="936"/>
      <c r="T353" s="940">
        <v>0.26</v>
      </c>
      <c r="U353" s="936"/>
      <c r="V353" s="1115">
        <v>0.18</v>
      </c>
      <c r="W353" s="938"/>
      <c r="X353" s="937"/>
      <c r="Y353" s="939"/>
      <c r="Z353" s="1106">
        <v>200</v>
      </c>
      <c r="AA353" s="936"/>
      <c r="AB353" s="936"/>
      <c r="AC353" s="936"/>
      <c r="AD353" s="948"/>
      <c r="AE353" s="1115"/>
      <c r="AF353" s="1178" t="str">
        <f>_xlfn.DISPIMG("ID_D19D94BAF6F8491FA836ADBA47AC3351",1)</f>
        <v>=DISPIMG("ID_D19D94BAF6F8491FA836ADBA47AC3351",1)</v>
      </c>
      <c r="AG353" s="939"/>
      <c r="AH353" s="937"/>
      <c r="AI353" s="950"/>
      <c r="AJ353" s="937"/>
      <c r="AK353" s="950"/>
      <c r="AL353" s="1108">
        <v>940</v>
      </c>
      <c r="AM353" s="1108">
        <v>169.2</v>
      </c>
      <c r="AN353" s="1114"/>
      <c r="AO353" s="936"/>
      <c r="AP353" s="936"/>
      <c r="AQ353" s="1154" t="s">
        <v>881</v>
      </c>
      <c r="AR353" s="1120">
        <v>45674</v>
      </c>
      <c r="AS353" s="1106" t="s">
        <v>882</v>
      </c>
      <c r="AT353" s="1120">
        <v>45687</v>
      </c>
      <c r="AU353" s="1106" t="s">
        <v>883</v>
      </c>
      <c r="AV353" s="1106" t="s">
        <v>59</v>
      </c>
      <c r="AW353" s="1106" t="s">
        <v>873</v>
      </c>
      <c r="AX353" s="1183"/>
      <c r="AY353" s="860"/>
      <c r="AZ353" s="897"/>
    </row>
    <row r="354" ht="78.75" spans="1:52">
      <c r="A354" s="937">
        <v>51</v>
      </c>
      <c r="B354" s="937">
        <v>9503009000</v>
      </c>
      <c r="C354" s="937">
        <v>392690</v>
      </c>
      <c r="D354" s="937" t="s">
        <v>874</v>
      </c>
      <c r="E354" s="937" t="s">
        <v>1043</v>
      </c>
      <c r="F354" s="937" t="s">
        <v>1044</v>
      </c>
      <c r="G354" s="937"/>
      <c r="H354" s="937"/>
      <c r="I354" s="938" t="s">
        <v>123</v>
      </c>
      <c r="J354" s="1108">
        <v>0.2</v>
      </c>
      <c r="K354" s="939">
        <v>200</v>
      </c>
      <c r="L354" s="1106" t="s">
        <v>52</v>
      </c>
      <c r="M354" s="937"/>
      <c r="N354" s="942"/>
      <c r="O354" s="939"/>
      <c r="P354" s="940">
        <v>450</v>
      </c>
      <c r="Q354" s="940">
        <v>90</v>
      </c>
      <c r="R354" s="1130"/>
      <c r="S354" s="936"/>
      <c r="T354" s="940">
        <v>0.28</v>
      </c>
      <c r="U354" s="936"/>
      <c r="V354" s="1115">
        <v>0.2</v>
      </c>
      <c r="W354" s="938"/>
      <c r="X354" s="937"/>
      <c r="Y354" s="939"/>
      <c r="Z354" s="1106">
        <v>200</v>
      </c>
      <c r="AA354" s="936"/>
      <c r="AB354" s="936"/>
      <c r="AC354" s="936"/>
      <c r="AD354" s="948"/>
      <c r="AE354" s="1115"/>
      <c r="AF354" s="1178" t="str">
        <f>_xlfn.DISPIMG("ID_5D49C5AFFF4B43C19DCD14C6851E047B",1)</f>
        <v>=DISPIMG("ID_5D49C5AFFF4B43C19DCD14C6851E047B",1)</v>
      </c>
      <c r="AG354" s="939"/>
      <c r="AH354" s="937"/>
      <c r="AI354" s="950"/>
      <c r="AJ354" s="937"/>
      <c r="AK354" s="950"/>
      <c r="AL354" s="1108">
        <v>450</v>
      </c>
      <c r="AM354" s="1108">
        <v>90</v>
      </c>
      <c r="AN354" s="1114"/>
      <c r="AO354" s="936"/>
      <c r="AP354" s="936"/>
      <c r="AQ354" s="1184" t="s">
        <v>881</v>
      </c>
      <c r="AR354" s="1120">
        <v>45674</v>
      </c>
      <c r="AS354" s="1106" t="s">
        <v>882</v>
      </c>
      <c r="AT354" s="1120">
        <v>45687</v>
      </c>
      <c r="AU354" s="1106" t="s">
        <v>883</v>
      </c>
      <c r="AV354" s="1106" t="s">
        <v>59</v>
      </c>
      <c r="AW354" s="1106" t="s">
        <v>873</v>
      </c>
      <c r="AX354" s="1183"/>
      <c r="AY354" s="860"/>
      <c r="AZ354" s="897"/>
    </row>
    <row r="355" ht="78.75" spans="1:52">
      <c r="A355" s="937">
        <v>52</v>
      </c>
      <c r="B355" s="937">
        <v>9503009000</v>
      </c>
      <c r="C355" s="937">
        <v>392690</v>
      </c>
      <c r="D355" s="937" t="s">
        <v>874</v>
      </c>
      <c r="E355" s="937" t="s">
        <v>1045</v>
      </c>
      <c r="F355" s="937" t="s">
        <v>1046</v>
      </c>
      <c r="G355" s="937"/>
      <c r="H355" s="937"/>
      <c r="I355" s="938" t="s">
        <v>123</v>
      </c>
      <c r="J355" s="1108">
        <v>1.7</v>
      </c>
      <c r="K355" s="939">
        <v>200</v>
      </c>
      <c r="L355" s="1106" t="s">
        <v>52</v>
      </c>
      <c r="M355" s="937"/>
      <c r="N355" s="942"/>
      <c r="O355" s="939"/>
      <c r="P355" s="940">
        <v>15.9</v>
      </c>
      <c r="Q355" s="940">
        <v>27.03</v>
      </c>
      <c r="R355" s="1130"/>
      <c r="S355" s="936"/>
      <c r="T355" s="940">
        <v>2.11</v>
      </c>
      <c r="U355" s="936"/>
      <c r="V355" s="1115">
        <v>1.7</v>
      </c>
      <c r="W355" s="938" t="s">
        <v>1040</v>
      </c>
      <c r="X355" s="937">
        <v>58</v>
      </c>
      <c r="Y355" s="939">
        <v>1</v>
      </c>
      <c r="Z355" s="1106">
        <v>200</v>
      </c>
      <c r="AA355" s="936"/>
      <c r="AB355" s="936"/>
      <c r="AC355" s="936"/>
      <c r="AD355" s="948">
        <v>0.0299763827946357</v>
      </c>
      <c r="AE355" s="1115">
        <v>0.03</v>
      </c>
      <c r="AF355" s="1178" t="str">
        <f>_xlfn.DISPIMG("ID_8AA46021CABC476B93D01F12CF857DA7",1)</f>
        <v>=DISPIMG("ID_8AA46021CABC476B93D01F12CF857DA7",1)</v>
      </c>
      <c r="AG355" s="939"/>
      <c r="AH355" s="937"/>
      <c r="AI355" s="950"/>
      <c r="AJ355" s="937"/>
      <c r="AK355" s="950"/>
      <c r="AL355" s="1108">
        <v>15.9</v>
      </c>
      <c r="AM355" s="1108">
        <v>27.03</v>
      </c>
      <c r="AN355" s="1114"/>
      <c r="AO355" s="936"/>
      <c r="AP355" s="936"/>
      <c r="AQ355" s="1154" t="s">
        <v>881</v>
      </c>
      <c r="AR355" s="1120">
        <v>45674</v>
      </c>
      <c r="AS355" s="1106" t="s">
        <v>882</v>
      </c>
      <c r="AT355" s="1120">
        <v>45687</v>
      </c>
      <c r="AU355" s="1106" t="s">
        <v>883</v>
      </c>
      <c r="AV355" s="1106" t="s">
        <v>59</v>
      </c>
      <c r="AW355" s="1106" t="s">
        <v>873</v>
      </c>
      <c r="AX355" s="1183"/>
      <c r="AY355" s="860"/>
      <c r="AZ355" s="897"/>
    </row>
    <row r="356" ht="78.75" spans="1:52">
      <c r="A356" s="937">
        <v>53</v>
      </c>
      <c r="B356" s="937">
        <v>9503009000</v>
      </c>
      <c r="C356" s="937">
        <v>392690</v>
      </c>
      <c r="D356" s="937" t="s">
        <v>874</v>
      </c>
      <c r="E356" s="937" t="s">
        <v>1047</v>
      </c>
      <c r="F356" s="937" t="s">
        <v>1048</v>
      </c>
      <c r="G356" s="937"/>
      <c r="H356" s="937"/>
      <c r="I356" s="938" t="s">
        <v>123</v>
      </c>
      <c r="J356" s="1108">
        <v>19.64</v>
      </c>
      <c r="K356" s="939">
        <v>200</v>
      </c>
      <c r="L356" s="1106" t="s">
        <v>52</v>
      </c>
      <c r="M356" s="937"/>
      <c r="N356" s="942"/>
      <c r="O356" s="939"/>
      <c r="P356" s="940">
        <v>17</v>
      </c>
      <c r="Q356" s="940">
        <v>333.88</v>
      </c>
      <c r="R356" s="1130"/>
      <c r="S356" s="936"/>
      <c r="T356" s="940">
        <v>49.94</v>
      </c>
      <c r="U356" s="936"/>
      <c r="V356" s="1115">
        <v>19.64</v>
      </c>
      <c r="W356" s="937" t="s">
        <v>1049</v>
      </c>
      <c r="X356" s="937" t="s">
        <v>1050</v>
      </c>
      <c r="Y356" s="939">
        <v>10</v>
      </c>
      <c r="Z356" s="1106">
        <v>20</v>
      </c>
      <c r="AA356" s="936"/>
      <c r="AB356" s="936"/>
      <c r="AC356" s="936"/>
      <c r="AD356" s="948">
        <v>0.0963749582844076</v>
      </c>
      <c r="AE356" s="1115">
        <v>0.96</v>
      </c>
      <c r="AF356" s="1178" t="str">
        <f>_xlfn.DISPIMG("ID_6F245DCB07294BC3AF9E0055906B70AE",1)</f>
        <v>=DISPIMG("ID_6F245DCB07294BC3AF9E0055906B70AE",1)</v>
      </c>
      <c r="AG356" s="939"/>
      <c r="AH356" s="937"/>
      <c r="AI356" s="950"/>
      <c r="AJ356" s="937"/>
      <c r="AK356" s="950"/>
      <c r="AL356" s="1108">
        <v>17</v>
      </c>
      <c r="AM356" s="1108">
        <v>333.88</v>
      </c>
      <c r="AN356" s="1114"/>
      <c r="AO356" s="936"/>
      <c r="AP356" s="936"/>
      <c r="AQ356" s="1184" t="s">
        <v>881</v>
      </c>
      <c r="AR356" s="1120">
        <v>45674</v>
      </c>
      <c r="AS356" s="1106" t="s">
        <v>882</v>
      </c>
      <c r="AT356" s="1120">
        <v>45687</v>
      </c>
      <c r="AU356" s="1106" t="s">
        <v>883</v>
      </c>
      <c r="AV356" s="1106" t="s">
        <v>59</v>
      </c>
      <c r="AW356" s="1106" t="s">
        <v>873</v>
      </c>
      <c r="AX356" s="1183"/>
      <c r="AY356" s="860"/>
      <c r="AZ356" s="897"/>
    </row>
    <row r="357" ht="78.75" spans="1:52">
      <c r="A357" s="937">
        <v>54</v>
      </c>
      <c r="B357" s="937">
        <v>9503009000</v>
      </c>
      <c r="C357" s="937">
        <v>392690</v>
      </c>
      <c r="D357" s="937" t="s">
        <v>874</v>
      </c>
      <c r="E357" s="937" t="s">
        <v>1051</v>
      </c>
      <c r="F357" s="937" t="s">
        <v>1052</v>
      </c>
      <c r="G357" s="937"/>
      <c r="H357" s="937"/>
      <c r="I357" s="938" t="s">
        <v>123</v>
      </c>
      <c r="J357" s="1108">
        <v>53.85</v>
      </c>
      <c r="K357" s="939">
        <v>200</v>
      </c>
      <c r="L357" s="1106" t="s">
        <v>52</v>
      </c>
      <c r="M357" s="937"/>
      <c r="N357" s="942"/>
      <c r="O357" s="939"/>
      <c r="P357" s="940">
        <v>34.2</v>
      </c>
      <c r="Q357" s="940">
        <v>1841.67</v>
      </c>
      <c r="R357" s="1130"/>
      <c r="S357" s="936"/>
      <c r="T357" s="940">
        <v>75.1</v>
      </c>
      <c r="U357" s="936"/>
      <c r="V357" s="1115">
        <v>53.85</v>
      </c>
      <c r="W357" s="937" t="s">
        <v>1053</v>
      </c>
      <c r="X357" s="937" t="s">
        <v>1054</v>
      </c>
      <c r="Y357" s="939">
        <v>6</v>
      </c>
      <c r="Z357" s="1106" t="s">
        <v>1055</v>
      </c>
      <c r="AA357" s="936"/>
      <c r="AB357" s="936"/>
      <c r="AC357" s="936"/>
      <c r="AD357" s="948">
        <v>0.00422150140817714</v>
      </c>
      <c r="AE357" s="1115">
        <v>0.03</v>
      </c>
      <c r="AF357" s="1178" t="str">
        <f>_xlfn.DISPIMG("ID_0C7D669E43D44824B3A060DBC38B36B5",1)</f>
        <v>=DISPIMG("ID_0C7D669E43D44824B3A060DBC38B36B5",1)</v>
      </c>
      <c r="AG357" s="939"/>
      <c r="AH357" s="937"/>
      <c r="AI357" s="950"/>
      <c r="AJ357" s="937"/>
      <c r="AK357" s="950"/>
      <c r="AL357" s="1108">
        <v>34.2</v>
      </c>
      <c r="AM357" s="1108">
        <v>1841.67</v>
      </c>
      <c r="AN357" s="1114"/>
      <c r="AO357" s="936"/>
      <c r="AP357" s="936"/>
      <c r="AQ357" s="1154" t="s">
        <v>881</v>
      </c>
      <c r="AR357" s="1120">
        <v>45674</v>
      </c>
      <c r="AS357" s="1106" t="s">
        <v>882</v>
      </c>
      <c r="AT357" s="1120">
        <v>45687</v>
      </c>
      <c r="AU357" s="1106" t="s">
        <v>883</v>
      </c>
      <c r="AV357" s="1106" t="s">
        <v>59</v>
      </c>
      <c r="AW357" s="1106" t="s">
        <v>873</v>
      </c>
      <c r="AX357" s="1183"/>
      <c r="AY357" s="860"/>
      <c r="AZ357" s="897"/>
    </row>
    <row r="358" ht="78.75" spans="1:52">
      <c r="A358" s="937">
        <v>55</v>
      </c>
      <c r="B358" s="937">
        <v>9503009000</v>
      </c>
      <c r="C358" s="937">
        <v>392690</v>
      </c>
      <c r="D358" s="937" t="s">
        <v>874</v>
      </c>
      <c r="E358" s="937" t="s">
        <v>1056</v>
      </c>
      <c r="F358" s="937" t="s">
        <v>1057</v>
      </c>
      <c r="G358" s="937"/>
      <c r="H358" s="937"/>
      <c r="I358" s="938" t="s">
        <v>123</v>
      </c>
      <c r="J358" s="1108">
        <v>8.69</v>
      </c>
      <c r="K358" s="939">
        <v>200</v>
      </c>
      <c r="L358" s="1106" t="s">
        <v>52</v>
      </c>
      <c r="M358" s="937"/>
      <c r="N358" s="942"/>
      <c r="O358" s="939"/>
      <c r="P358" s="940">
        <v>32</v>
      </c>
      <c r="Q358" s="940">
        <v>278.08</v>
      </c>
      <c r="R358" s="1130"/>
      <c r="S358" s="936"/>
      <c r="T358" s="940">
        <v>9.26</v>
      </c>
      <c r="U358" s="936"/>
      <c r="V358" s="1115">
        <v>8.69</v>
      </c>
      <c r="W358" s="937" t="s">
        <v>1058</v>
      </c>
      <c r="X358" s="937" t="s">
        <v>1059</v>
      </c>
      <c r="Y358" s="939">
        <v>2</v>
      </c>
      <c r="Z358" s="1106">
        <v>100</v>
      </c>
      <c r="AA358" s="936"/>
      <c r="AB358" s="936"/>
      <c r="AC358" s="936"/>
      <c r="AD358" s="948">
        <v>0.0728101056795006</v>
      </c>
      <c r="AE358" s="1115">
        <v>0.15</v>
      </c>
      <c r="AF358" s="1178" t="str">
        <f>_xlfn.DISPIMG("ID_65CA3D2EC98541D5A0F5A6C6589A3747",1)</f>
        <v>=DISPIMG("ID_65CA3D2EC98541D5A0F5A6C6589A3747",1)</v>
      </c>
      <c r="AG358" s="939"/>
      <c r="AH358" s="937"/>
      <c r="AI358" s="950"/>
      <c r="AJ358" s="937"/>
      <c r="AK358" s="950"/>
      <c r="AL358" s="1108">
        <v>32</v>
      </c>
      <c r="AM358" s="1108">
        <v>278.08</v>
      </c>
      <c r="AN358" s="1114"/>
      <c r="AO358" s="936"/>
      <c r="AP358" s="936"/>
      <c r="AQ358" s="1184" t="s">
        <v>881</v>
      </c>
      <c r="AR358" s="1120">
        <v>45674</v>
      </c>
      <c r="AS358" s="1106" t="s">
        <v>882</v>
      </c>
      <c r="AT358" s="1120">
        <v>45687</v>
      </c>
      <c r="AU358" s="1106" t="s">
        <v>883</v>
      </c>
      <c r="AV358" s="1106" t="s">
        <v>59</v>
      </c>
      <c r="AW358" s="1106" t="s">
        <v>873</v>
      </c>
      <c r="AX358" s="1183"/>
      <c r="AY358" s="860"/>
      <c r="AZ358" s="897"/>
    </row>
    <row r="359" ht="78.75" spans="1:52">
      <c r="A359" s="937">
        <v>56</v>
      </c>
      <c r="B359" s="937">
        <v>9503009000</v>
      </c>
      <c r="C359" s="937">
        <v>392690</v>
      </c>
      <c r="D359" s="937" t="s">
        <v>874</v>
      </c>
      <c r="E359" s="937" t="s">
        <v>1060</v>
      </c>
      <c r="F359" s="937" t="s">
        <v>1061</v>
      </c>
      <c r="G359" s="937"/>
      <c r="H359" s="937"/>
      <c r="I359" s="938" t="s">
        <v>123</v>
      </c>
      <c r="J359" s="1108">
        <v>19.86</v>
      </c>
      <c r="K359" s="939">
        <v>200</v>
      </c>
      <c r="L359" s="1106" t="s">
        <v>52</v>
      </c>
      <c r="M359" s="937"/>
      <c r="N359" s="942"/>
      <c r="O359" s="939"/>
      <c r="P359" s="940">
        <v>20</v>
      </c>
      <c r="Q359" s="940">
        <v>397.2</v>
      </c>
      <c r="R359" s="1130"/>
      <c r="S359" s="936"/>
      <c r="T359" s="940">
        <v>22.22</v>
      </c>
      <c r="U359" s="936"/>
      <c r="V359" s="1115">
        <v>19.86</v>
      </c>
      <c r="W359" s="937" t="s">
        <v>878</v>
      </c>
      <c r="X359" s="937" t="s">
        <v>1062</v>
      </c>
      <c r="Y359" s="939">
        <v>3</v>
      </c>
      <c r="Z359" s="1106" t="s">
        <v>1063</v>
      </c>
      <c r="AA359" s="936"/>
      <c r="AB359" s="936"/>
      <c r="AC359" s="936"/>
      <c r="AD359" s="948">
        <v>0.0728688708979667</v>
      </c>
      <c r="AE359" s="1115">
        <v>0.22</v>
      </c>
      <c r="AF359" s="1178" t="str">
        <f>_xlfn.DISPIMG("ID_E5A7E3764FE840B39FDBDC47E559869F",1)</f>
        <v>=DISPIMG("ID_E5A7E3764FE840B39FDBDC47E559869F",1)</v>
      </c>
      <c r="AG359" s="939"/>
      <c r="AH359" s="937"/>
      <c r="AI359" s="950"/>
      <c r="AJ359" s="937"/>
      <c r="AK359" s="950"/>
      <c r="AL359" s="1108">
        <v>20</v>
      </c>
      <c r="AM359" s="1108">
        <v>397.2</v>
      </c>
      <c r="AN359" s="1114"/>
      <c r="AO359" s="936"/>
      <c r="AP359" s="936"/>
      <c r="AQ359" s="1154" t="s">
        <v>881</v>
      </c>
      <c r="AR359" s="1120">
        <v>45674</v>
      </c>
      <c r="AS359" s="1106" t="s">
        <v>882</v>
      </c>
      <c r="AT359" s="1120">
        <v>45687</v>
      </c>
      <c r="AU359" s="1106" t="s">
        <v>883</v>
      </c>
      <c r="AV359" s="1106" t="s">
        <v>59</v>
      </c>
      <c r="AW359" s="1106" t="s">
        <v>873</v>
      </c>
      <c r="AX359" s="1183"/>
      <c r="AY359" s="860"/>
      <c r="AZ359" s="897"/>
    </row>
    <row r="360" ht="78.75" spans="1:52">
      <c r="A360" s="937">
        <v>57</v>
      </c>
      <c r="B360" s="937">
        <v>9503009000</v>
      </c>
      <c r="C360" s="937">
        <v>392690</v>
      </c>
      <c r="D360" s="937" t="s">
        <v>874</v>
      </c>
      <c r="E360" s="937" t="s">
        <v>1064</v>
      </c>
      <c r="F360" s="937" t="s">
        <v>1065</v>
      </c>
      <c r="G360" s="937"/>
      <c r="H360" s="937"/>
      <c r="I360" s="938" t="s">
        <v>123</v>
      </c>
      <c r="J360" s="1108">
        <v>7</v>
      </c>
      <c r="K360" s="939">
        <v>200</v>
      </c>
      <c r="L360" s="1106" t="s">
        <v>52</v>
      </c>
      <c r="M360" s="937"/>
      <c r="N360" s="942"/>
      <c r="O360" s="939"/>
      <c r="P360" s="940">
        <v>13.5</v>
      </c>
      <c r="Q360" s="940">
        <v>94.5</v>
      </c>
      <c r="R360" s="1130"/>
      <c r="S360" s="936"/>
      <c r="T360" s="940">
        <v>7.49</v>
      </c>
      <c r="U360" s="936"/>
      <c r="V360" s="1115">
        <v>7</v>
      </c>
      <c r="W360" s="937" t="s">
        <v>1066</v>
      </c>
      <c r="X360" s="937" t="s">
        <v>1067</v>
      </c>
      <c r="Y360" s="939">
        <v>1</v>
      </c>
      <c r="Z360" s="1106">
        <v>200</v>
      </c>
      <c r="AA360" s="936"/>
      <c r="AB360" s="936"/>
      <c r="AC360" s="936"/>
      <c r="AD360" s="948">
        <v>0.0833881448259422</v>
      </c>
      <c r="AE360" s="1115">
        <v>0.08</v>
      </c>
      <c r="AF360" s="1178" t="str">
        <f>_xlfn.DISPIMG("ID_15FA8BA42C774125985AC2469865AEC9",1)</f>
        <v>=DISPIMG("ID_15FA8BA42C774125985AC2469865AEC9",1)</v>
      </c>
      <c r="AG360" s="939"/>
      <c r="AH360" s="937"/>
      <c r="AI360" s="950"/>
      <c r="AJ360" s="937"/>
      <c r="AK360" s="950"/>
      <c r="AL360" s="1108">
        <v>13.5</v>
      </c>
      <c r="AM360" s="1108">
        <v>94.5</v>
      </c>
      <c r="AN360" s="1114"/>
      <c r="AO360" s="936"/>
      <c r="AP360" s="936"/>
      <c r="AQ360" s="1184" t="s">
        <v>881</v>
      </c>
      <c r="AR360" s="1120">
        <v>45674</v>
      </c>
      <c r="AS360" s="1106" t="s">
        <v>882</v>
      </c>
      <c r="AT360" s="1120">
        <v>45687</v>
      </c>
      <c r="AU360" s="1106" t="s">
        <v>883</v>
      </c>
      <c r="AV360" s="1106" t="s">
        <v>59</v>
      </c>
      <c r="AW360" s="1106" t="s">
        <v>873</v>
      </c>
      <c r="AX360" s="1183"/>
      <c r="AY360" s="860"/>
      <c r="AZ360" s="897"/>
    </row>
    <row r="361" ht="78.75" spans="1:52">
      <c r="A361" s="937">
        <v>58</v>
      </c>
      <c r="B361" s="937">
        <v>9503009000</v>
      </c>
      <c r="C361" s="937">
        <v>392690</v>
      </c>
      <c r="D361" s="937" t="s">
        <v>874</v>
      </c>
      <c r="E361" s="937" t="s">
        <v>1068</v>
      </c>
      <c r="F361" s="937" t="s">
        <v>1069</v>
      </c>
      <c r="G361" s="937"/>
      <c r="H361" s="937"/>
      <c r="I361" s="938" t="s">
        <v>123</v>
      </c>
      <c r="J361" s="1108">
        <v>6.4</v>
      </c>
      <c r="K361" s="939">
        <v>200</v>
      </c>
      <c r="L361" s="1106" t="s">
        <v>52</v>
      </c>
      <c r="M361" s="937"/>
      <c r="N361" s="942"/>
      <c r="O361" s="939"/>
      <c r="P361" s="940">
        <v>13.5</v>
      </c>
      <c r="Q361" s="940">
        <v>86.4</v>
      </c>
      <c r="R361" s="1130"/>
      <c r="S361" s="936"/>
      <c r="T361" s="940">
        <v>6.89</v>
      </c>
      <c r="U361" s="936"/>
      <c r="V361" s="1115">
        <v>6.4</v>
      </c>
      <c r="W361" s="937"/>
      <c r="X361" s="937"/>
      <c r="Y361" s="939"/>
      <c r="Z361" s="1106">
        <v>200</v>
      </c>
      <c r="AA361" s="936"/>
      <c r="AB361" s="936"/>
      <c r="AC361" s="936"/>
      <c r="AD361" s="948"/>
      <c r="AE361" s="1115"/>
      <c r="AF361" s="1178" t="str">
        <f>_xlfn.DISPIMG("ID_6D3D21D5392943F981AC0562CFDF0F85",1)</f>
        <v>=DISPIMG("ID_6D3D21D5392943F981AC0562CFDF0F85",1)</v>
      </c>
      <c r="AG361" s="939"/>
      <c r="AH361" s="937"/>
      <c r="AI361" s="950"/>
      <c r="AJ361" s="937"/>
      <c r="AK361" s="950"/>
      <c r="AL361" s="1108">
        <v>13.5</v>
      </c>
      <c r="AM361" s="1108">
        <v>86.4</v>
      </c>
      <c r="AN361" s="1114"/>
      <c r="AO361" s="936"/>
      <c r="AP361" s="936"/>
      <c r="AQ361" s="1154" t="s">
        <v>881</v>
      </c>
      <c r="AR361" s="1120">
        <v>45674</v>
      </c>
      <c r="AS361" s="1106" t="s">
        <v>882</v>
      </c>
      <c r="AT361" s="1120">
        <v>45687</v>
      </c>
      <c r="AU361" s="1106" t="s">
        <v>883</v>
      </c>
      <c r="AV361" s="1106" t="s">
        <v>59</v>
      </c>
      <c r="AW361" s="1106" t="s">
        <v>873</v>
      </c>
      <c r="AX361" s="1183"/>
      <c r="AY361" s="860"/>
      <c r="AZ361" s="897"/>
    </row>
    <row r="362" ht="78.75" spans="1:52">
      <c r="A362" s="937">
        <v>59</v>
      </c>
      <c r="B362" s="937">
        <v>9503009000</v>
      </c>
      <c r="C362" s="937">
        <v>392690</v>
      </c>
      <c r="D362" s="937" t="s">
        <v>874</v>
      </c>
      <c r="E362" s="937" t="s">
        <v>1070</v>
      </c>
      <c r="F362" s="937" t="s">
        <v>1071</v>
      </c>
      <c r="G362" s="937"/>
      <c r="H362" s="937"/>
      <c r="I362" s="938" t="s">
        <v>123</v>
      </c>
      <c r="J362" s="1108">
        <v>1.99</v>
      </c>
      <c r="K362" s="939">
        <v>200</v>
      </c>
      <c r="L362" s="1106" t="s">
        <v>52</v>
      </c>
      <c r="M362" s="937"/>
      <c r="N362" s="942"/>
      <c r="O362" s="939"/>
      <c r="P362" s="940">
        <v>17</v>
      </c>
      <c r="Q362" s="940">
        <v>33.83</v>
      </c>
      <c r="R362" s="1130"/>
      <c r="S362" s="936"/>
      <c r="T362" s="940">
        <v>3</v>
      </c>
      <c r="U362" s="936"/>
      <c r="V362" s="1115">
        <v>1.99</v>
      </c>
      <c r="W362" s="938" t="s">
        <v>975</v>
      </c>
      <c r="X362" s="938">
        <v>82</v>
      </c>
      <c r="Y362" s="939">
        <v>1</v>
      </c>
      <c r="Z362" s="1106">
        <v>200</v>
      </c>
      <c r="AA362" s="936"/>
      <c r="AB362" s="936"/>
      <c r="AC362" s="936"/>
      <c r="AD362" s="948">
        <v>0.0362035720907237</v>
      </c>
      <c r="AE362" s="1115">
        <v>0.04</v>
      </c>
      <c r="AF362" s="1178" t="str">
        <f>_xlfn.DISPIMG("ID_F34D4221BFC24F6F935038B806D634C4",1)</f>
        <v>=DISPIMG("ID_F34D4221BFC24F6F935038B806D634C4",1)</v>
      </c>
      <c r="AG362" s="939"/>
      <c r="AH362" s="937"/>
      <c r="AI362" s="950"/>
      <c r="AJ362" s="937"/>
      <c r="AK362" s="950"/>
      <c r="AL362" s="1108">
        <v>17</v>
      </c>
      <c r="AM362" s="1108">
        <v>33.83</v>
      </c>
      <c r="AN362" s="1114"/>
      <c r="AO362" s="936"/>
      <c r="AP362" s="936"/>
      <c r="AQ362" s="1184" t="s">
        <v>881</v>
      </c>
      <c r="AR362" s="1120">
        <v>45674</v>
      </c>
      <c r="AS362" s="1106" t="s">
        <v>882</v>
      </c>
      <c r="AT362" s="1120">
        <v>45687</v>
      </c>
      <c r="AU362" s="1106" t="s">
        <v>883</v>
      </c>
      <c r="AV362" s="1106" t="s">
        <v>59</v>
      </c>
      <c r="AW362" s="1106" t="s">
        <v>873</v>
      </c>
      <c r="AX362" s="1183"/>
      <c r="AY362" s="860"/>
      <c r="AZ362" s="897"/>
    </row>
    <row r="363" ht="78.75" spans="1:52">
      <c r="A363" s="937">
        <v>60</v>
      </c>
      <c r="B363" s="937">
        <v>9503009000</v>
      </c>
      <c r="C363" s="937">
        <v>392690</v>
      </c>
      <c r="D363" s="937" t="s">
        <v>874</v>
      </c>
      <c r="E363" s="937" t="s">
        <v>1072</v>
      </c>
      <c r="F363" s="937" t="s">
        <v>1073</v>
      </c>
      <c r="G363" s="937"/>
      <c r="H363" s="937"/>
      <c r="I363" s="938" t="s">
        <v>123</v>
      </c>
      <c r="J363" s="1108">
        <v>1.99</v>
      </c>
      <c r="K363" s="939">
        <v>200</v>
      </c>
      <c r="L363" s="1106" t="s">
        <v>52</v>
      </c>
      <c r="M363" s="937"/>
      <c r="N363" s="942"/>
      <c r="O363" s="939"/>
      <c r="P363" s="940">
        <v>17</v>
      </c>
      <c r="Q363" s="940">
        <v>33.83</v>
      </c>
      <c r="R363" s="1130"/>
      <c r="S363" s="936"/>
      <c r="T363" s="940">
        <v>3</v>
      </c>
      <c r="U363" s="936"/>
      <c r="V363" s="1115">
        <v>1.99</v>
      </c>
      <c r="W363" s="938" t="s">
        <v>969</v>
      </c>
      <c r="X363" s="938">
        <v>83</v>
      </c>
      <c r="Y363" s="939">
        <v>1</v>
      </c>
      <c r="Z363" s="1106">
        <v>200</v>
      </c>
      <c r="AA363" s="936"/>
      <c r="AB363" s="936"/>
      <c r="AC363" s="936"/>
      <c r="AD363" s="948">
        <v>0.0362035720907237</v>
      </c>
      <c r="AE363" s="1115">
        <v>0.04</v>
      </c>
      <c r="AF363" s="1178" t="str">
        <f>_xlfn.DISPIMG("ID_236143A9D927482185ADC8B8BAD709BC",1)</f>
        <v>=DISPIMG("ID_236143A9D927482185ADC8B8BAD709BC",1)</v>
      </c>
      <c r="AG363" s="939"/>
      <c r="AH363" s="937"/>
      <c r="AI363" s="950"/>
      <c r="AJ363" s="937"/>
      <c r="AK363" s="950"/>
      <c r="AL363" s="1108">
        <v>17</v>
      </c>
      <c r="AM363" s="1108">
        <v>33.83</v>
      </c>
      <c r="AN363" s="1114"/>
      <c r="AO363" s="936"/>
      <c r="AP363" s="936"/>
      <c r="AQ363" s="1154" t="s">
        <v>881</v>
      </c>
      <c r="AR363" s="1120">
        <v>45674</v>
      </c>
      <c r="AS363" s="1106" t="s">
        <v>882</v>
      </c>
      <c r="AT363" s="1120">
        <v>45687</v>
      </c>
      <c r="AU363" s="1106" t="s">
        <v>883</v>
      </c>
      <c r="AV363" s="1106" t="s">
        <v>59</v>
      </c>
      <c r="AW363" s="1106" t="s">
        <v>873</v>
      </c>
      <c r="AX363" s="1183"/>
      <c r="AY363" s="860"/>
      <c r="AZ363" s="897"/>
    </row>
    <row r="364" ht="78.75" spans="1:52">
      <c r="A364" s="937">
        <v>61</v>
      </c>
      <c r="B364" s="937">
        <v>9503009000</v>
      </c>
      <c r="C364" s="937">
        <v>392690</v>
      </c>
      <c r="D364" s="937" t="s">
        <v>874</v>
      </c>
      <c r="E364" s="937" t="s">
        <v>1074</v>
      </c>
      <c r="F364" s="937" t="s">
        <v>1075</v>
      </c>
      <c r="G364" s="937"/>
      <c r="H364" s="937"/>
      <c r="I364" s="938" t="s">
        <v>123</v>
      </c>
      <c r="J364" s="1108">
        <v>0.22</v>
      </c>
      <c r="K364" s="939">
        <v>200</v>
      </c>
      <c r="L364" s="1106" t="s">
        <v>52</v>
      </c>
      <c r="M364" s="937"/>
      <c r="N364" s="942"/>
      <c r="O364" s="939"/>
      <c r="P364" s="940">
        <v>69</v>
      </c>
      <c r="Q364" s="940">
        <v>15.18</v>
      </c>
      <c r="R364" s="1130"/>
      <c r="S364" s="936"/>
      <c r="T364" s="940">
        <v>0.3</v>
      </c>
      <c r="U364" s="936"/>
      <c r="V364" s="1115">
        <v>0.22</v>
      </c>
      <c r="W364" s="938" t="s">
        <v>975</v>
      </c>
      <c r="X364" s="938">
        <v>84</v>
      </c>
      <c r="Y364" s="939">
        <v>1</v>
      </c>
      <c r="Z364" s="1106">
        <v>200</v>
      </c>
      <c r="AA364" s="936"/>
      <c r="AB364" s="936"/>
      <c r="AC364" s="936"/>
      <c r="AD364" s="948">
        <v>0.00861889870836166</v>
      </c>
      <c r="AE364" s="1115">
        <v>0.01</v>
      </c>
      <c r="AF364" s="1178" t="str">
        <f>_xlfn.DISPIMG("ID_F7BBFAD0B5B64EDCA2C95F89E63B6EA4",1)</f>
        <v>=DISPIMG("ID_F7BBFAD0B5B64EDCA2C95F89E63B6EA4",1)</v>
      </c>
      <c r="AG364" s="939"/>
      <c r="AH364" s="939" t="s">
        <v>1076</v>
      </c>
      <c r="AI364" s="942">
        <v>45635</v>
      </c>
      <c r="AJ364" s="939" t="s">
        <v>1077</v>
      </c>
      <c r="AK364" s="942">
        <v>45635</v>
      </c>
      <c r="AL364" s="1108">
        <v>69</v>
      </c>
      <c r="AM364" s="1108">
        <v>15.18</v>
      </c>
      <c r="AN364" s="1115">
        <v>6195.92</v>
      </c>
      <c r="AO364" s="936"/>
      <c r="AP364" s="936"/>
      <c r="AQ364" s="1184" t="s">
        <v>881</v>
      </c>
      <c r="AR364" s="1120">
        <v>45674</v>
      </c>
      <c r="AS364" s="1106" t="s">
        <v>882</v>
      </c>
      <c r="AT364" s="1120">
        <v>45687</v>
      </c>
      <c r="AU364" s="1106" t="s">
        <v>883</v>
      </c>
      <c r="AV364" s="1106" t="s">
        <v>59</v>
      </c>
      <c r="AW364" s="1106" t="s">
        <v>873</v>
      </c>
      <c r="AX364" s="1183"/>
      <c r="AY364" s="860"/>
      <c r="AZ364" s="897"/>
    </row>
    <row r="365" ht="78.75" spans="1:52">
      <c r="A365" s="937">
        <v>62</v>
      </c>
      <c r="B365" s="937">
        <v>9503009000</v>
      </c>
      <c r="C365" s="937">
        <v>392690</v>
      </c>
      <c r="D365" s="937" t="s">
        <v>874</v>
      </c>
      <c r="E365" s="937" t="s">
        <v>1078</v>
      </c>
      <c r="F365" s="937" t="s">
        <v>1079</v>
      </c>
      <c r="G365" s="937"/>
      <c r="H365" s="937"/>
      <c r="I365" s="938" t="s">
        <v>123</v>
      </c>
      <c r="J365" s="1108">
        <v>0.22</v>
      </c>
      <c r="K365" s="939">
        <v>200</v>
      </c>
      <c r="L365" s="1106" t="s">
        <v>52</v>
      </c>
      <c r="M365" s="937"/>
      <c r="N365" s="942"/>
      <c r="O365" s="939"/>
      <c r="P365" s="940">
        <v>69</v>
      </c>
      <c r="Q365" s="940">
        <v>15.18</v>
      </c>
      <c r="R365" s="1130"/>
      <c r="S365" s="936"/>
      <c r="T365" s="940">
        <v>0.3</v>
      </c>
      <c r="U365" s="936"/>
      <c r="V365" s="1115">
        <v>0.22</v>
      </c>
      <c r="W365" s="938"/>
      <c r="X365" s="938"/>
      <c r="Y365" s="939"/>
      <c r="Z365" s="1106">
        <v>200</v>
      </c>
      <c r="AA365" s="936"/>
      <c r="AB365" s="936"/>
      <c r="AC365" s="936"/>
      <c r="AD365" s="948"/>
      <c r="AE365" s="1115"/>
      <c r="AF365" s="1178" t="str">
        <f>_xlfn.DISPIMG("ID_9310E1A180684FE6B9F13AC7C6BB88D7",1)</f>
        <v>=DISPIMG("ID_9310E1A180684FE6B9F13AC7C6BB88D7",1)</v>
      </c>
      <c r="AG365" s="939"/>
      <c r="AH365" s="939"/>
      <c r="AI365" s="942"/>
      <c r="AJ365" s="939"/>
      <c r="AK365" s="942"/>
      <c r="AL365" s="1108">
        <v>69</v>
      </c>
      <c r="AM365" s="1108">
        <v>15.18</v>
      </c>
      <c r="AN365" s="1115"/>
      <c r="AO365" s="936"/>
      <c r="AP365" s="936"/>
      <c r="AQ365" s="1154" t="s">
        <v>881</v>
      </c>
      <c r="AR365" s="1120">
        <v>45674</v>
      </c>
      <c r="AS365" s="1106" t="s">
        <v>882</v>
      </c>
      <c r="AT365" s="1120">
        <v>45687</v>
      </c>
      <c r="AU365" s="1106" t="s">
        <v>883</v>
      </c>
      <c r="AV365" s="1106" t="s">
        <v>59</v>
      </c>
      <c r="AW365" s="1106" t="s">
        <v>873</v>
      </c>
      <c r="AX365" s="1183"/>
      <c r="AY365" s="860"/>
      <c r="AZ365" s="897"/>
    </row>
    <row r="366" ht="78.75" spans="1:52">
      <c r="A366" s="937">
        <v>63</v>
      </c>
      <c r="B366" s="937">
        <v>9503009000</v>
      </c>
      <c r="C366" s="937">
        <v>392690</v>
      </c>
      <c r="D366" s="937" t="s">
        <v>874</v>
      </c>
      <c r="E366" s="937" t="s">
        <v>1080</v>
      </c>
      <c r="F366" s="937" t="s">
        <v>1081</v>
      </c>
      <c r="G366" s="937"/>
      <c r="H366" s="937"/>
      <c r="I366" s="938" t="s">
        <v>123</v>
      </c>
      <c r="J366" s="1108">
        <v>1.08</v>
      </c>
      <c r="K366" s="939">
        <v>200</v>
      </c>
      <c r="L366" s="1106" t="s">
        <v>52</v>
      </c>
      <c r="M366" s="937"/>
      <c r="N366" s="942"/>
      <c r="O366" s="939"/>
      <c r="P366" s="940">
        <v>23.5</v>
      </c>
      <c r="Q366" s="940">
        <v>25.38</v>
      </c>
      <c r="R366" s="1130"/>
      <c r="S366" s="936"/>
      <c r="T366" s="940">
        <v>1.35</v>
      </c>
      <c r="U366" s="936"/>
      <c r="V366" s="1115">
        <v>1.08</v>
      </c>
      <c r="W366" s="938" t="s">
        <v>969</v>
      </c>
      <c r="X366" s="953">
        <v>85</v>
      </c>
      <c r="Y366" s="939">
        <v>1</v>
      </c>
      <c r="Z366" s="1106">
        <v>200</v>
      </c>
      <c r="AA366" s="936"/>
      <c r="AB366" s="936"/>
      <c r="AC366" s="936"/>
      <c r="AD366" s="948">
        <v>0.00868885730177369</v>
      </c>
      <c r="AE366" s="1115">
        <v>0.01</v>
      </c>
      <c r="AF366" s="1178" t="str">
        <f>_xlfn.DISPIMG("ID_0CE80387404240A484E25DD6B18C880B",1)</f>
        <v>=DISPIMG("ID_0CE80387404240A484E25DD6B18C880B",1)</v>
      </c>
      <c r="AG366" s="939"/>
      <c r="AH366" s="939"/>
      <c r="AI366" s="942"/>
      <c r="AJ366" s="939"/>
      <c r="AK366" s="942"/>
      <c r="AL366" s="1108">
        <v>23.5</v>
      </c>
      <c r="AM366" s="1108">
        <v>25.38</v>
      </c>
      <c r="AN366" s="1115"/>
      <c r="AO366" s="936"/>
      <c r="AP366" s="936"/>
      <c r="AQ366" s="1184" t="s">
        <v>881</v>
      </c>
      <c r="AR366" s="1120">
        <v>45674</v>
      </c>
      <c r="AS366" s="1106" t="s">
        <v>882</v>
      </c>
      <c r="AT366" s="1120">
        <v>45687</v>
      </c>
      <c r="AU366" s="1106" t="s">
        <v>883</v>
      </c>
      <c r="AV366" s="1106" t="s">
        <v>59</v>
      </c>
      <c r="AW366" s="1106" t="s">
        <v>873</v>
      </c>
      <c r="AX366" s="1183"/>
      <c r="AY366" s="860"/>
      <c r="AZ366" s="897"/>
    </row>
    <row r="367" ht="78.75" spans="1:52">
      <c r="A367" s="937">
        <v>64</v>
      </c>
      <c r="B367" s="937">
        <v>9503009000</v>
      </c>
      <c r="C367" s="937">
        <v>392690</v>
      </c>
      <c r="D367" s="937" t="s">
        <v>874</v>
      </c>
      <c r="E367" s="937" t="s">
        <v>1082</v>
      </c>
      <c r="F367" s="937" t="s">
        <v>1083</v>
      </c>
      <c r="G367" s="937"/>
      <c r="H367" s="937"/>
      <c r="I367" s="938" t="s">
        <v>123</v>
      </c>
      <c r="J367" s="1108">
        <v>1.08</v>
      </c>
      <c r="K367" s="939">
        <v>200</v>
      </c>
      <c r="L367" s="1106" t="s">
        <v>52</v>
      </c>
      <c r="M367" s="937"/>
      <c r="N367" s="942"/>
      <c r="O367" s="939"/>
      <c r="P367" s="940">
        <v>23.5</v>
      </c>
      <c r="Q367" s="940">
        <v>25.38</v>
      </c>
      <c r="R367" s="1130"/>
      <c r="S367" s="936"/>
      <c r="T367" s="940">
        <v>1.38</v>
      </c>
      <c r="U367" s="936"/>
      <c r="V367" s="1115">
        <v>1.08</v>
      </c>
      <c r="W367" s="938" t="s">
        <v>975</v>
      </c>
      <c r="X367" s="953">
        <v>86</v>
      </c>
      <c r="Y367" s="939">
        <v>1</v>
      </c>
      <c r="Z367" s="1106">
        <v>200</v>
      </c>
      <c r="AA367" s="936"/>
      <c r="AB367" s="936"/>
      <c r="AC367" s="936"/>
      <c r="AD367" s="948">
        <v>0.00868885730177369</v>
      </c>
      <c r="AE367" s="1115">
        <v>0.01</v>
      </c>
      <c r="AF367" s="1178" t="str">
        <f>_xlfn.DISPIMG("ID_9DACABC6CC204928BE7B7389ACA106F5",1)</f>
        <v>=DISPIMG("ID_9DACABC6CC204928BE7B7389ACA106F5",1)</v>
      </c>
      <c r="AG367" s="939"/>
      <c r="AH367" s="939"/>
      <c r="AI367" s="942"/>
      <c r="AJ367" s="939"/>
      <c r="AK367" s="942"/>
      <c r="AL367" s="1108">
        <v>23.5</v>
      </c>
      <c r="AM367" s="1108">
        <v>25.38</v>
      </c>
      <c r="AN367" s="1115"/>
      <c r="AO367" s="936"/>
      <c r="AP367" s="936"/>
      <c r="AQ367" s="1154" t="s">
        <v>881</v>
      </c>
      <c r="AR367" s="1120">
        <v>45674</v>
      </c>
      <c r="AS367" s="1106" t="s">
        <v>882</v>
      </c>
      <c r="AT367" s="1120">
        <v>45687</v>
      </c>
      <c r="AU367" s="1106" t="s">
        <v>883</v>
      </c>
      <c r="AV367" s="1106" t="s">
        <v>59</v>
      </c>
      <c r="AW367" s="1106" t="s">
        <v>873</v>
      </c>
      <c r="AX367" s="1183"/>
      <c r="AY367" s="860"/>
      <c r="AZ367" s="897"/>
    </row>
    <row r="368" ht="78.75" spans="1:52">
      <c r="A368" s="937">
        <v>65</v>
      </c>
      <c r="B368" s="937">
        <v>9503009000</v>
      </c>
      <c r="C368" s="937">
        <v>392690</v>
      </c>
      <c r="D368" s="937" t="s">
        <v>874</v>
      </c>
      <c r="E368" s="937" t="s">
        <v>1084</v>
      </c>
      <c r="F368" s="937" t="s">
        <v>1085</v>
      </c>
      <c r="G368" s="937"/>
      <c r="H368" s="937"/>
      <c r="I368" s="938" t="s">
        <v>123</v>
      </c>
      <c r="J368" s="1108">
        <v>1.08</v>
      </c>
      <c r="K368" s="939">
        <v>200</v>
      </c>
      <c r="L368" s="1106" t="s">
        <v>52</v>
      </c>
      <c r="M368" s="937"/>
      <c r="N368" s="942"/>
      <c r="O368" s="939"/>
      <c r="P368" s="940">
        <v>16.5</v>
      </c>
      <c r="Q368" s="940">
        <v>17.82</v>
      </c>
      <c r="R368" s="1130"/>
      <c r="S368" s="936"/>
      <c r="T368" s="940">
        <v>1.28</v>
      </c>
      <c r="U368" s="936"/>
      <c r="V368" s="1115">
        <v>1.08</v>
      </c>
      <c r="W368" s="938" t="s">
        <v>975</v>
      </c>
      <c r="X368" s="937">
        <v>87</v>
      </c>
      <c r="Y368" s="939">
        <v>1</v>
      </c>
      <c r="Z368" s="1106">
        <v>200</v>
      </c>
      <c r="AA368" s="936"/>
      <c r="AB368" s="936"/>
      <c r="AC368" s="936"/>
      <c r="AD368" s="948">
        <v>0.0104675545392745</v>
      </c>
      <c r="AE368" s="1115">
        <v>0.01</v>
      </c>
      <c r="AF368" s="1178" t="str">
        <f>_xlfn.DISPIMG("ID_5C171A43E7CF43588911E7D81DB50CCF",1)</f>
        <v>=DISPIMG("ID_5C171A43E7CF43588911E7D81DB50CCF",1)</v>
      </c>
      <c r="AG368" s="939"/>
      <c r="AH368" s="939"/>
      <c r="AI368" s="942"/>
      <c r="AJ368" s="939"/>
      <c r="AK368" s="942"/>
      <c r="AL368" s="1108">
        <v>16.5</v>
      </c>
      <c r="AM368" s="1108">
        <v>17.82</v>
      </c>
      <c r="AN368" s="1115"/>
      <c r="AO368" s="936"/>
      <c r="AP368" s="936"/>
      <c r="AQ368" s="1184" t="s">
        <v>881</v>
      </c>
      <c r="AR368" s="1120">
        <v>45674</v>
      </c>
      <c r="AS368" s="1106" t="s">
        <v>882</v>
      </c>
      <c r="AT368" s="1120">
        <v>45687</v>
      </c>
      <c r="AU368" s="1106" t="s">
        <v>883</v>
      </c>
      <c r="AV368" s="1106" t="s">
        <v>59</v>
      </c>
      <c r="AW368" s="1106" t="s">
        <v>873</v>
      </c>
      <c r="AX368" s="1183"/>
      <c r="AY368" s="860"/>
      <c r="AZ368" s="897"/>
    </row>
    <row r="369" ht="78.75" spans="1:52">
      <c r="A369" s="937">
        <v>66</v>
      </c>
      <c r="B369" s="937">
        <v>9503009000</v>
      </c>
      <c r="C369" s="937">
        <v>392690</v>
      </c>
      <c r="D369" s="937" t="s">
        <v>874</v>
      </c>
      <c r="E369" s="937" t="s">
        <v>1086</v>
      </c>
      <c r="F369" s="937" t="s">
        <v>1087</v>
      </c>
      <c r="G369" s="937"/>
      <c r="H369" s="937"/>
      <c r="I369" s="938" t="s">
        <v>123</v>
      </c>
      <c r="J369" s="1108">
        <v>0.5</v>
      </c>
      <c r="K369" s="939">
        <v>200</v>
      </c>
      <c r="L369" s="1106" t="s">
        <v>52</v>
      </c>
      <c r="M369" s="937"/>
      <c r="N369" s="942"/>
      <c r="O369" s="939"/>
      <c r="P369" s="940">
        <v>36</v>
      </c>
      <c r="Q369" s="940">
        <v>18</v>
      </c>
      <c r="R369" s="1130"/>
      <c r="S369" s="936"/>
      <c r="T369" s="940">
        <v>0.57</v>
      </c>
      <c r="U369" s="936"/>
      <c r="V369" s="1115">
        <v>0.5</v>
      </c>
      <c r="W369" s="938"/>
      <c r="X369" s="937"/>
      <c r="Y369" s="939"/>
      <c r="Z369" s="1106">
        <v>200</v>
      </c>
      <c r="AA369" s="936"/>
      <c r="AB369" s="936"/>
      <c r="AC369" s="936"/>
      <c r="AD369" s="948"/>
      <c r="AE369" s="1115"/>
      <c r="AF369" s="1178" t="str">
        <f>_xlfn.DISPIMG("ID_A843354EBBE94E1F8806A6686A0A3E80",1)</f>
        <v>=DISPIMG("ID_A843354EBBE94E1F8806A6686A0A3E80",1)</v>
      </c>
      <c r="AG369" s="939"/>
      <c r="AH369" s="939"/>
      <c r="AI369" s="942"/>
      <c r="AJ369" s="939"/>
      <c r="AK369" s="942"/>
      <c r="AL369" s="1108">
        <v>36</v>
      </c>
      <c r="AM369" s="1108">
        <v>18</v>
      </c>
      <c r="AN369" s="1115"/>
      <c r="AO369" s="936"/>
      <c r="AP369" s="936"/>
      <c r="AQ369" s="1154" t="s">
        <v>881</v>
      </c>
      <c r="AR369" s="1120">
        <v>45674</v>
      </c>
      <c r="AS369" s="1106" t="s">
        <v>882</v>
      </c>
      <c r="AT369" s="1120">
        <v>45687</v>
      </c>
      <c r="AU369" s="1106" t="s">
        <v>883</v>
      </c>
      <c r="AV369" s="1106" t="s">
        <v>59</v>
      </c>
      <c r="AW369" s="1106" t="s">
        <v>873</v>
      </c>
      <c r="AX369" s="1183"/>
      <c r="AY369" s="860"/>
      <c r="AZ369" s="897"/>
    </row>
    <row r="370" ht="78.75" spans="1:52">
      <c r="A370" s="937">
        <v>67</v>
      </c>
      <c r="B370" s="937">
        <v>9503009000</v>
      </c>
      <c r="C370" s="937">
        <v>392690</v>
      </c>
      <c r="D370" s="937" t="s">
        <v>874</v>
      </c>
      <c r="E370" s="937" t="s">
        <v>1088</v>
      </c>
      <c r="F370" s="937" t="s">
        <v>1089</v>
      </c>
      <c r="G370" s="937"/>
      <c r="H370" s="937"/>
      <c r="I370" s="938" t="s">
        <v>123</v>
      </c>
      <c r="J370" s="1108">
        <v>0.8</v>
      </c>
      <c r="K370" s="939">
        <v>400</v>
      </c>
      <c r="L370" s="1106" t="s">
        <v>52</v>
      </c>
      <c r="M370" s="937"/>
      <c r="N370" s="942"/>
      <c r="O370" s="939"/>
      <c r="P370" s="940">
        <v>41.85</v>
      </c>
      <c r="Q370" s="940">
        <v>33.48</v>
      </c>
      <c r="R370" s="1130"/>
      <c r="S370" s="936"/>
      <c r="T370" s="940">
        <v>0.97</v>
      </c>
      <c r="U370" s="936"/>
      <c r="V370" s="1115">
        <v>0.8</v>
      </c>
      <c r="W370" s="938" t="s">
        <v>878</v>
      </c>
      <c r="X370" s="937">
        <v>88</v>
      </c>
      <c r="Y370" s="939">
        <v>1</v>
      </c>
      <c r="Z370" s="1106">
        <v>400</v>
      </c>
      <c r="AA370" s="936"/>
      <c r="AB370" s="936"/>
      <c r="AC370" s="936"/>
      <c r="AD370" s="948">
        <v>0.0104675545392745</v>
      </c>
      <c r="AE370" s="1115">
        <v>0.01</v>
      </c>
      <c r="AF370" s="1178" t="str">
        <f>_xlfn.DISPIMG("ID_6ED5DD6333634B6AA35FF014070A72E0",1)</f>
        <v>=DISPIMG("ID_6ED5DD6333634B6AA35FF014070A72E0",1)</v>
      </c>
      <c r="AG370" s="939"/>
      <c r="AH370" s="939"/>
      <c r="AI370" s="942"/>
      <c r="AJ370" s="939"/>
      <c r="AK370" s="942"/>
      <c r="AL370" s="1108">
        <v>41.85</v>
      </c>
      <c r="AM370" s="1108">
        <v>33.48</v>
      </c>
      <c r="AN370" s="1115"/>
      <c r="AO370" s="936"/>
      <c r="AP370" s="936"/>
      <c r="AQ370" s="1184" t="s">
        <v>881</v>
      </c>
      <c r="AR370" s="1120">
        <v>45674</v>
      </c>
      <c r="AS370" s="1106" t="s">
        <v>882</v>
      </c>
      <c r="AT370" s="1120">
        <v>45687</v>
      </c>
      <c r="AU370" s="1106" t="s">
        <v>883</v>
      </c>
      <c r="AV370" s="1106" t="s">
        <v>59</v>
      </c>
      <c r="AW370" s="1106" t="s">
        <v>873</v>
      </c>
      <c r="AX370" s="1183"/>
      <c r="AY370" s="860"/>
      <c r="AZ370" s="897"/>
    </row>
    <row r="371" ht="78.75" spans="1:52">
      <c r="A371" s="937">
        <v>68</v>
      </c>
      <c r="B371" s="937">
        <v>9503009000</v>
      </c>
      <c r="C371" s="937">
        <v>392690</v>
      </c>
      <c r="D371" s="937" t="s">
        <v>874</v>
      </c>
      <c r="E371" s="937" t="s">
        <v>1090</v>
      </c>
      <c r="F371" s="937" t="s">
        <v>1091</v>
      </c>
      <c r="G371" s="937"/>
      <c r="H371" s="937"/>
      <c r="I371" s="938" t="s">
        <v>123</v>
      </c>
      <c r="J371" s="1108">
        <v>14.1</v>
      </c>
      <c r="K371" s="939">
        <v>400</v>
      </c>
      <c r="L371" s="1106" t="s">
        <v>52</v>
      </c>
      <c r="M371" s="937"/>
      <c r="N371" s="942"/>
      <c r="O371" s="939"/>
      <c r="P371" s="940">
        <v>30.7</v>
      </c>
      <c r="Q371" s="940">
        <v>432.87</v>
      </c>
      <c r="R371" s="1130"/>
      <c r="S371" s="936"/>
      <c r="T371" s="940">
        <v>20.9</v>
      </c>
      <c r="U371" s="936"/>
      <c r="V371" s="1115">
        <v>14.1</v>
      </c>
      <c r="W371" s="937" t="s">
        <v>969</v>
      </c>
      <c r="X371" s="937" t="s">
        <v>1092</v>
      </c>
      <c r="Y371" s="939">
        <v>5</v>
      </c>
      <c r="Z371" s="1106">
        <v>80</v>
      </c>
      <c r="AA371" s="936"/>
      <c r="AB371" s="936"/>
      <c r="AC371" s="936"/>
      <c r="AD371" s="948">
        <v>0.00554859093999135</v>
      </c>
      <c r="AE371" s="1115">
        <v>0.03</v>
      </c>
      <c r="AF371" s="1178" t="str">
        <f>_xlfn.DISPIMG("ID_DC979AF53FEC4D26AB1FB30F1893C9E3",1)</f>
        <v>=DISPIMG("ID_DC979AF53FEC4D26AB1FB30F1893C9E3",1)</v>
      </c>
      <c r="AG371" s="939"/>
      <c r="AH371" s="939"/>
      <c r="AI371" s="942"/>
      <c r="AJ371" s="939"/>
      <c r="AK371" s="942"/>
      <c r="AL371" s="1108">
        <v>30.7</v>
      </c>
      <c r="AM371" s="1108">
        <v>432.87</v>
      </c>
      <c r="AN371" s="1115"/>
      <c r="AO371" s="936"/>
      <c r="AP371" s="936"/>
      <c r="AQ371" s="1154" t="s">
        <v>881</v>
      </c>
      <c r="AR371" s="1120">
        <v>45674</v>
      </c>
      <c r="AS371" s="1106" t="s">
        <v>882</v>
      </c>
      <c r="AT371" s="1120">
        <v>45687</v>
      </c>
      <c r="AU371" s="1106" t="s">
        <v>883</v>
      </c>
      <c r="AV371" s="1106" t="s">
        <v>59</v>
      </c>
      <c r="AW371" s="1106" t="s">
        <v>873</v>
      </c>
      <c r="AX371" s="1183"/>
      <c r="AY371" s="860"/>
      <c r="AZ371" s="897"/>
    </row>
    <row r="372" ht="78.75" spans="1:52">
      <c r="A372" s="937">
        <v>69</v>
      </c>
      <c r="B372" s="937">
        <v>9503009000</v>
      </c>
      <c r="C372" s="937">
        <v>392690</v>
      </c>
      <c r="D372" s="937" t="s">
        <v>874</v>
      </c>
      <c r="E372" s="937" t="s">
        <v>1093</v>
      </c>
      <c r="F372" s="937" t="s">
        <v>1094</v>
      </c>
      <c r="G372" s="937"/>
      <c r="H372" s="937"/>
      <c r="I372" s="938" t="s">
        <v>123</v>
      </c>
      <c r="J372" s="1108">
        <v>8.88</v>
      </c>
      <c r="K372" s="939">
        <v>400</v>
      </c>
      <c r="L372" s="1106" t="s">
        <v>52</v>
      </c>
      <c r="M372" s="937"/>
      <c r="N372" s="942"/>
      <c r="O372" s="939"/>
      <c r="P372" s="940">
        <v>40.5</v>
      </c>
      <c r="Q372" s="940">
        <v>359.64</v>
      </c>
      <c r="R372" s="1130"/>
      <c r="S372" s="936"/>
      <c r="T372" s="940">
        <v>11.38</v>
      </c>
      <c r="U372" s="936"/>
      <c r="V372" s="1115">
        <v>8.88</v>
      </c>
      <c r="W372" s="938" t="s">
        <v>878</v>
      </c>
      <c r="X372" s="937">
        <v>94</v>
      </c>
      <c r="Y372" s="939">
        <v>1</v>
      </c>
      <c r="Z372" s="1106">
        <v>400</v>
      </c>
      <c r="AA372" s="936"/>
      <c r="AB372" s="936"/>
      <c r="AC372" s="936"/>
      <c r="AD372" s="948">
        <v>0.092200179222545</v>
      </c>
      <c r="AE372" s="1115">
        <v>0.09</v>
      </c>
      <c r="AF372" s="1178" t="str">
        <f>_xlfn.DISPIMG("ID_CBDBA49DA94647938103C209E1651744",1)</f>
        <v>=DISPIMG("ID_CBDBA49DA94647938103C209E1651744",1)</v>
      </c>
      <c r="AG372" s="939"/>
      <c r="AH372" s="939"/>
      <c r="AI372" s="942"/>
      <c r="AJ372" s="939"/>
      <c r="AK372" s="942"/>
      <c r="AL372" s="1108">
        <v>40.5</v>
      </c>
      <c r="AM372" s="1108">
        <v>359.64</v>
      </c>
      <c r="AN372" s="1115"/>
      <c r="AO372" s="936"/>
      <c r="AP372" s="936"/>
      <c r="AQ372" s="1184" t="s">
        <v>881</v>
      </c>
      <c r="AR372" s="1120">
        <v>45674</v>
      </c>
      <c r="AS372" s="1106" t="s">
        <v>882</v>
      </c>
      <c r="AT372" s="1120">
        <v>45687</v>
      </c>
      <c r="AU372" s="1106" t="s">
        <v>883</v>
      </c>
      <c r="AV372" s="1106" t="s">
        <v>59</v>
      </c>
      <c r="AW372" s="1106" t="s">
        <v>873</v>
      </c>
      <c r="AX372" s="1183"/>
      <c r="AY372" s="860"/>
      <c r="AZ372" s="897"/>
    </row>
    <row r="373" ht="78.75" spans="1:52">
      <c r="A373" s="937">
        <v>70</v>
      </c>
      <c r="B373" s="937">
        <v>9503009000</v>
      </c>
      <c r="C373" s="937">
        <v>392690</v>
      </c>
      <c r="D373" s="937" t="s">
        <v>874</v>
      </c>
      <c r="E373" s="937" t="s">
        <v>1095</v>
      </c>
      <c r="F373" s="937" t="s">
        <v>1096</v>
      </c>
      <c r="G373" s="937"/>
      <c r="H373" s="937"/>
      <c r="I373" s="938" t="s">
        <v>123</v>
      </c>
      <c r="J373" s="1108">
        <v>1.8</v>
      </c>
      <c r="K373" s="939">
        <v>200</v>
      </c>
      <c r="L373" s="1106" t="s">
        <v>52</v>
      </c>
      <c r="M373" s="937"/>
      <c r="N373" s="942"/>
      <c r="O373" s="939"/>
      <c r="P373" s="940">
        <v>18</v>
      </c>
      <c r="Q373" s="940">
        <v>32.4</v>
      </c>
      <c r="R373" s="1130"/>
      <c r="S373" s="936"/>
      <c r="T373" s="940">
        <v>2.2</v>
      </c>
      <c r="U373" s="936"/>
      <c r="V373" s="1115">
        <v>1.8</v>
      </c>
      <c r="W373" s="938" t="s">
        <v>975</v>
      </c>
      <c r="X373" s="937">
        <v>95</v>
      </c>
      <c r="Y373" s="939">
        <v>1</v>
      </c>
      <c r="Z373" s="1106">
        <v>200</v>
      </c>
      <c r="AA373" s="936"/>
      <c r="AB373" s="936"/>
      <c r="AC373" s="936"/>
      <c r="AD373" s="948">
        <v>0.0299763827946357</v>
      </c>
      <c r="AE373" s="1115">
        <v>0.03</v>
      </c>
      <c r="AF373" s="1178" t="str">
        <f>_xlfn.DISPIMG("ID_ECEE6429ABFB43C0AFBA27FF82FF610D",1)</f>
        <v>=DISPIMG("ID_ECEE6429ABFB43C0AFBA27FF82FF610D",1)</v>
      </c>
      <c r="AG373" s="939"/>
      <c r="AH373" s="939"/>
      <c r="AI373" s="942"/>
      <c r="AJ373" s="939"/>
      <c r="AK373" s="942"/>
      <c r="AL373" s="1108">
        <v>18</v>
      </c>
      <c r="AM373" s="1108">
        <v>32.4</v>
      </c>
      <c r="AN373" s="1115"/>
      <c r="AO373" s="936"/>
      <c r="AP373" s="936"/>
      <c r="AQ373" s="1154" t="s">
        <v>881</v>
      </c>
      <c r="AR373" s="1120">
        <v>45674</v>
      </c>
      <c r="AS373" s="1106" t="s">
        <v>882</v>
      </c>
      <c r="AT373" s="1120">
        <v>45687</v>
      </c>
      <c r="AU373" s="1106" t="s">
        <v>883</v>
      </c>
      <c r="AV373" s="1106" t="s">
        <v>59</v>
      </c>
      <c r="AW373" s="1106" t="s">
        <v>873</v>
      </c>
      <c r="AX373" s="1183"/>
      <c r="AY373" s="860"/>
      <c r="AZ373" s="897"/>
    </row>
    <row r="374" ht="78.75" spans="1:52">
      <c r="A374" s="937">
        <v>71</v>
      </c>
      <c r="B374" s="937">
        <v>9503009000</v>
      </c>
      <c r="C374" s="937">
        <v>392690</v>
      </c>
      <c r="D374" s="937" t="s">
        <v>874</v>
      </c>
      <c r="E374" s="937" t="s">
        <v>1097</v>
      </c>
      <c r="F374" s="937" t="s">
        <v>1098</v>
      </c>
      <c r="G374" s="937"/>
      <c r="H374" s="937"/>
      <c r="I374" s="938" t="s">
        <v>123</v>
      </c>
      <c r="J374" s="1108">
        <v>0.7</v>
      </c>
      <c r="K374" s="939">
        <v>200</v>
      </c>
      <c r="L374" s="1106" t="s">
        <v>52</v>
      </c>
      <c r="M374" s="937"/>
      <c r="N374" s="942"/>
      <c r="O374" s="939"/>
      <c r="P374" s="940">
        <v>28.3</v>
      </c>
      <c r="Q374" s="940">
        <v>19.81</v>
      </c>
      <c r="R374" s="1130"/>
      <c r="S374" s="936"/>
      <c r="T374" s="940">
        <v>1.76</v>
      </c>
      <c r="U374" s="936"/>
      <c r="V374" s="1115">
        <v>0.7</v>
      </c>
      <c r="W374" s="938" t="s">
        <v>975</v>
      </c>
      <c r="X374" s="937">
        <v>96</v>
      </c>
      <c r="Y374" s="939">
        <v>1</v>
      </c>
      <c r="Z374" s="1106">
        <v>200</v>
      </c>
      <c r="AA374" s="936"/>
      <c r="AB374" s="936"/>
      <c r="AC374" s="936"/>
      <c r="AD374" s="948">
        <v>0.0104675545392745</v>
      </c>
      <c r="AE374" s="1115">
        <v>0.01</v>
      </c>
      <c r="AF374" s="1178" t="str">
        <f>_xlfn.DISPIMG("ID_C98F340BAEEC4A208558503F761D1D7B",1)</f>
        <v>=DISPIMG("ID_C98F340BAEEC4A208558503F761D1D7B",1)</v>
      </c>
      <c r="AG374" s="939"/>
      <c r="AH374" s="939"/>
      <c r="AI374" s="942"/>
      <c r="AJ374" s="939"/>
      <c r="AK374" s="942"/>
      <c r="AL374" s="1108">
        <v>28.3</v>
      </c>
      <c r="AM374" s="1108">
        <v>19.81</v>
      </c>
      <c r="AN374" s="1115"/>
      <c r="AO374" s="936"/>
      <c r="AP374" s="936"/>
      <c r="AQ374" s="1184" t="s">
        <v>881</v>
      </c>
      <c r="AR374" s="1120">
        <v>45674</v>
      </c>
      <c r="AS374" s="1106" t="s">
        <v>882</v>
      </c>
      <c r="AT374" s="1120">
        <v>45687</v>
      </c>
      <c r="AU374" s="1106" t="s">
        <v>883</v>
      </c>
      <c r="AV374" s="1106" t="s">
        <v>59</v>
      </c>
      <c r="AW374" s="1106" t="s">
        <v>873</v>
      </c>
      <c r="AX374" s="1183"/>
      <c r="AY374" s="860"/>
      <c r="AZ374" s="897"/>
    </row>
    <row r="375" ht="78.75" spans="1:52">
      <c r="A375" s="937">
        <v>72</v>
      </c>
      <c r="B375" s="937">
        <v>9503009000</v>
      </c>
      <c r="C375" s="937">
        <v>392690</v>
      </c>
      <c r="D375" s="937" t="s">
        <v>874</v>
      </c>
      <c r="E375" s="937" t="s">
        <v>1099</v>
      </c>
      <c r="F375" s="937" t="s">
        <v>1100</v>
      </c>
      <c r="G375" s="937"/>
      <c r="H375" s="937"/>
      <c r="I375" s="938" t="s">
        <v>123</v>
      </c>
      <c r="J375" s="1108">
        <v>2.5</v>
      </c>
      <c r="K375" s="939">
        <v>200</v>
      </c>
      <c r="L375" s="1106" t="s">
        <v>52</v>
      </c>
      <c r="M375" s="937"/>
      <c r="N375" s="942"/>
      <c r="O375" s="939"/>
      <c r="P375" s="940">
        <v>15.8</v>
      </c>
      <c r="Q375" s="940">
        <v>39.5</v>
      </c>
      <c r="R375" s="1130"/>
      <c r="S375" s="936"/>
      <c r="T375" s="940">
        <v>5</v>
      </c>
      <c r="U375" s="936"/>
      <c r="V375" s="1115">
        <v>2.5</v>
      </c>
      <c r="W375" s="938" t="s">
        <v>979</v>
      </c>
      <c r="X375" s="937">
        <v>97</v>
      </c>
      <c r="Y375" s="939">
        <v>1</v>
      </c>
      <c r="Z375" s="1106">
        <v>200</v>
      </c>
      <c r="AA375" s="936"/>
      <c r="AB375" s="936"/>
      <c r="AC375" s="936"/>
      <c r="AD375" s="948">
        <v>0.0720013843396576</v>
      </c>
      <c r="AE375" s="1115">
        <v>0.07</v>
      </c>
      <c r="AF375" s="1178" t="str">
        <f>_xlfn.DISPIMG("ID_11B55B9345384A4A8BA59B29B3A634BD",1)</f>
        <v>=DISPIMG("ID_11B55B9345384A4A8BA59B29B3A634BD",1)</v>
      </c>
      <c r="AG375" s="939"/>
      <c r="AH375" s="939"/>
      <c r="AI375" s="942"/>
      <c r="AJ375" s="939"/>
      <c r="AK375" s="942"/>
      <c r="AL375" s="1108">
        <v>15.8</v>
      </c>
      <c r="AM375" s="1108">
        <v>39.5</v>
      </c>
      <c r="AN375" s="1115"/>
      <c r="AO375" s="936"/>
      <c r="AP375" s="936"/>
      <c r="AQ375" s="1154" t="s">
        <v>881</v>
      </c>
      <c r="AR375" s="1120">
        <v>45674</v>
      </c>
      <c r="AS375" s="1106" t="s">
        <v>882</v>
      </c>
      <c r="AT375" s="1120">
        <v>45687</v>
      </c>
      <c r="AU375" s="1106" t="s">
        <v>883</v>
      </c>
      <c r="AV375" s="1106" t="s">
        <v>59</v>
      </c>
      <c r="AW375" s="1106" t="s">
        <v>873</v>
      </c>
      <c r="AX375" s="1183"/>
      <c r="AY375" s="860"/>
      <c r="AZ375" s="897"/>
    </row>
    <row r="376" ht="78.75" spans="1:52">
      <c r="A376" s="937">
        <v>73</v>
      </c>
      <c r="B376" s="937">
        <v>9503009000</v>
      </c>
      <c r="C376" s="937">
        <v>392690</v>
      </c>
      <c r="D376" s="937" t="s">
        <v>874</v>
      </c>
      <c r="E376" s="937" t="s">
        <v>1101</v>
      </c>
      <c r="F376" s="937" t="s">
        <v>1102</v>
      </c>
      <c r="G376" s="937"/>
      <c r="H376" s="937"/>
      <c r="I376" s="938" t="s">
        <v>123</v>
      </c>
      <c r="J376" s="1108">
        <v>0.6</v>
      </c>
      <c r="K376" s="939">
        <v>200</v>
      </c>
      <c r="L376" s="1106" t="s">
        <v>52</v>
      </c>
      <c r="M376" s="937"/>
      <c r="N376" s="942"/>
      <c r="O376" s="939"/>
      <c r="P376" s="940">
        <v>30</v>
      </c>
      <c r="Q376" s="940">
        <v>18</v>
      </c>
      <c r="R376" s="1130"/>
      <c r="S376" s="936"/>
      <c r="T376" s="940">
        <v>0.78</v>
      </c>
      <c r="U376" s="936"/>
      <c r="V376" s="1115">
        <v>0.6</v>
      </c>
      <c r="W376" s="938" t="s">
        <v>975</v>
      </c>
      <c r="X376" s="937">
        <v>98</v>
      </c>
      <c r="Y376" s="939">
        <v>1</v>
      </c>
      <c r="Z376" s="1106">
        <v>200</v>
      </c>
      <c r="AA376" s="936"/>
      <c r="AB376" s="936"/>
      <c r="AC376" s="936"/>
      <c r="AD376" s="948">
        <v>0.00816266873846752</v>
      </c>
      <c r="AE376" s="1115">
        <v>0.01</v>
      </c>
      <c r="AF376" s="1178" t="str">
        <f>_xlfn.DISPIMG("ID_BF15B82D08024355B373F7F18111571E",1)</f>
        <v>=DISPIMG("ID_BF15B82D08024355B373F7F18111571E",1)</v>
      </c>
      <c r="AG376" s="939"/>
      <c r="AH376" s="939"/>
      <c r="AI376" s="942"/>
      <c r="AJ376" s="939"/>
      <c r="AK376" s="942"/>
      <c r="AL376" s="1108">
        <v>30</v>
      </c>
      <c r="AM376" s="1108">
        <v>18</v>
      </c>
      <c r="AN376" s="1115"/>
      <c r="AO376" s="936"/>
      <c r="AP376" s="936"/>
      <c r="AQ376" s="1184" t="s">
        <v>881</v>
      </c>
      <c r="AR376" s="1120">
        <v>45674</v>
      </c>
      <c r="AS376" s="1106" t="s">
        <v>882</v>
      </c>
      <c r="AT376" s="1120">
        <v>45687</v>
      </c>
      <c r="AU376" s="1106" t="s">
        <v>883</v>
      </c>
      <c r="AV376" s="1106" t="s">
        <v>59</v>
      </c>
      <c r="AW376" s="1106" t="s">
        <v>873</v>
      </c>
      <c r="AX376" s="1183"/>
      <c r="AY376" s="860"/>
      <c r="AZ376" s="897"/>
    </row>
    <row r="377" ht="93.6" spans="1:52">
      <c r="A377" s="937">
        <v>74</v>
      </c>
      <c r="B377" s="937">
        <v>9503009000</v>
      </c>
      <c r="C377" s="937">
        <v>392690</v>
      </c>
      <c r="D377" s="937" t="s">
        <v>874</v>
      </c>
      <c r="E377" s="937" t="s">
        <v>1103</v>
      </c>
      <c r="F377" s="937" t="s">
        <v>1104</v>
      </c>
      <c r="G377" s="937"/>
      <c r="H377" s="937"/>
      <c r="I377" s="938" t="s">
        <v>123</v>
      </c>
      <c r="J377" s="1108">
        <v>0.18</v>
      </c>
      <c r="K377" s="939">
        <v>200</v>
      </c>
      <c r="L377" s="1106" t="s">
        <v>52</v>
      </c>
      <c r="M377" s="937"/>
      <c r="N377" s="942"/>
      <c r="O377" s="939"/>
      <c r="P377" s="940">
        <v>240</v>
      </c>
      <c r="Q377" s="940">
        <v>43.2</v>
      </c>
      <c r="R377" s="1130"/>
      <c r="S377" s="936"/>
      <c r="T377" s="940">
        <v>0.53</v>
      </c>
      <c r="U377" s="936"/>
      <c r="V377" s="1115">
        <v>0.18</v>
      </c>
      <c r="W377" s="938" t="s">
        <v>975</v>
      </c>
      <c r="X377" s="937">
        <v>99</v>
      </c>
      <c r="Y377" s="939">
        <v>1</v>
      </c>
      <c r="Z377" s="1106">
        <v>200</v>
      </c>
      <c r="AA377" s="936"/>
      <c r="AB377" s="936"/>
      <c r="AC377" s="936"/>
      <c r="AD377" s="948">
        <v>0.0104675545392745</v>
      </c>
      <c r="AE377" s="1115">
        <v>0.01</v>
      </c>
      <c r="AF377" s="1178" t="str">
        <f>_xlfn.DISPIMG("ID_BE035973A4584B6FA455A916008B41E5",1)</f>
        <v>=DISPIMG("ID_BE035973A4584B6FA455A916008B41E5",1)</v>
      </c>
      <c r="AG377" s="939"/>
      <c r="AH377" s="939"/>
      <c r="AI377" s="942"/>
      <c r="AJ377" s="939"/>
      <c r="AK377" s="942"/>
      <c r="AL377" s="1108">
        <v>240</v>
      </c>
      <c r="AM377" s="1108">
        <v>43.2</v>
      </c>
      <c r="AN377" s="1115"/>
      <c r="AO377" s="936"/>
      <c r="AP377" s="936"/>
      <c r="AQ377" s="1154" t="s">
        <v>881</v>
      </c>
      <c r="AR377" s="1120">
        <v>45674</v>
      </c>
      <c r="AS377" s="1106" t="s">
        <v>882</v>
      </c>
      <c r="AT377" s="1120">
        <v>45687</v>
      </c>
      <c r="AU377" s="1106" t="s">
        <v>883</v>
      </c>
      <c r="AV377" s="1106" t="s">
        <v>59</v>
      </c>
      <c r="AW377" s="1106" t="s">
        <v>873</v>
      </c>
      <c r="AX377" s="1183"/>
      <c r="AY377" s="860"/>
      <c r="AZ377" s="897"/>
    </row>
    <row r="378" ht="99.75" spans="1:52">
      <c r="A378" s="937">
        <v>75</v>
      </c>
      <c r="B378" s="937">
        <v>9503009000</v>
      </c>
      <c r="C378" s="937">
        <v>392690</v>
      </c>
      <c r="D378" s="937" t="s">
        <v>874</v>
      </c>
      <c r="E378" s="937" t="s">
        <v>1105</v>
      </c>
      <c r="F378" s="937" t="s">
        <v>1106</v>
      </c>
      <c r="G378" s="937"/>
      <c r="H378" s="937"/>
      <c r="I378" s="938" t="s">
        <v>123</v>
      </c>
      <c r="J378" s="1108">
        <v>0.18</v>
      </c>
      <c r="K378" s="939">
        <v>200</v>
      </c>
      <c r="L378" s="1106" t="s">
        <v>52</v>
      </c>
      <c r="M378" s="937"/>
      <c r="N378" s="942"/>
      <c r="O378" s="939"/>
      <c r="P378" s="940">
        <v>240</v>
      </c>
      <c r="Q378" s="940">
        <v>43.2</v>
      </c>
      <c r="R378" s="1130"/>
      <c r="S378" s="936"/>
      <c r="T378" s="940">
        <v>0.53</v>
      </c>
      <c r="U378" s="936"/>
      <c r="V378" s="1115">
        <v>0.18</v>
      </c>
      <c r="W378" s="938"/>
      <c r="X378" s="937"/>
      <c r="Y378" s="939"/>
      <c r="Z378" s="1106">
        <v>200</v>
      </c>
      <c r="AA378" s="936"/>
      <c r="AB378" s="936"/>
      <c r="AC378" s="936"/>
      <c r="AD378" s="948"/>
      <c r="AE378" s="1115"/>
      <c r="AF378" s="1178" t="str">
        <f>_xlfn.DISPIMG("ID_D1FCEEFC6216457B9B52AE94600C4749",1)</f>
        <v>=DISPIMG("ID_D1FCEEFC6216457B9B52AE94600C4749",1)</v>
      </c>
      <c r="AG378" s="939"/>
      <c r="AH378" s="939"/>
      <c r="AI378" s="942"/>
      <c r="AJ378" s="939"/>
      <c r="AK378" s="942"/>
      <c r="AL378" s="1108">
        <v>240</v>
      </c>
      <c r="AM378" s="1108">
        <v>43.2</v>
      </c>
      <c r="AN378" s="1115"/>
      <c r="AO378" s="936"/>
      <c r="AP378" s="936"/>
      <c r="AQ378" s="1184" t="s">
        <v>881</v>
      </c>
      <c r="AR378" s="1120">
        <v>45674</v>
      </c>
      <c r="AS378" s="1106" t="s">
        <v>882</v>
      </c>
      <c r="AT378" s="1120">
        <v>45687</v>
      </c>
      <c r="AU378" s="1106" t="s">
        <v>883</v>
      </c>
      <c r="AV378" s="1106" t="s">
        <v>59</v>
      </c>
      <c r="AW378" s="1106" t="s">
        <v>873</v>
      </c>
      <c r="AX378" s="1183"/>
      <c r="AY378" s="860"/>
      <c r="AZ378" s="897"/>
    </row>
    <row r="379" ht="78.75" spans="1:52">
      <c r="A379" s="937">
        <v>76</v>
      </c>
      <c r="B379" s="937">
        <v>9503009000</v>
      </c>
      <c r="C379" s="937">
        <v>392690</v>
      </c>
      <c r="D379" s="937" t="s">
        <v>874</v>
      </c>
      <c r="E379" s="937" t="s">
        <v>1107</v>
      </c>
      <c r="F379" s="937" t="s">
        <v>1108</v>
      </c>
      <c r="G379" s="937"/>
      <c r="H379" s="937"/>
      <c r="I379" s="938" t="s">
        <v>123</v>
      </c>
      <c r="J379" s="1108">
        <v>93</v>
      </c>
      <c r="K379" s="939">
        <v>192</v>
      </c>
      <c r="L379" s="1106" t="s">
        <v>52</v>
      </c>
      <c r="M379" s="937"/>
      <c r="N379" s="942"/>
      <c r="O379" s="939"/>
      <c r="P379" s="940">
        <v>16.2</v>
      </c>
      <c r="Q379" s="940">
        <v>1506.6</v>
      </c>
      <c r="R379" s="1130"/>
      <c r="S379" s="936"/>
      <c r="T379" s="940">
        <v>104</v>
      </c>
      <c r="U379" s="936"/>
      <c r="V379" s="1115">
        <v>93</v>
      </c>
      <c r="W379" s="937" t="s">
        <v>1049</v>
      </c>
      <c r="X379" s="937" t="s">
        <v>1109</v>
      </c>
      <c r="Y379" s="939">
        <v>8</v>
      </c>
      <c r="Z379" s="1106">
        <v>24</v>
      </c>
      <c r="AA379" s="936"/>
      <c r="AB379" s="936"/>
      <c r="AC379" s="936"/>
      <c r="AD379" s="948">
        <v>0.14882816265991</v>
      </c>
      <c r="AE379" s="1115">
        <v>1.19</v>
      </c>
      <c r="AF379" s="1178" t="str">
        <f>_xlfn.DISPIMG("ID_282C3A2FEFF944838CF1ADD2E61F468D",1)</f>
        <v>=DISPIMG("ID_282C3A2FEFF944838CF1ADD2E61F468D",1)</v>
      </c>
      <c r="AG379" s="939"/>
      <c r="AH379" s="939"/>
      <c r="AI379" s="942"/>
      <c r="AJ379" s="939"/>
      <c r="AK379" s="942"/>
      <c r="AL379" s="1108">
        <v>16.2</v>
      </c>
      <c r="AM379" s="1108">
        <v>1506.6</v>
      </c>
      <c r="AN379" s="1115"/>
      <c r="AO379" s="936"/>
      <c r="AP379" s="936"/>
      <c r="AQ379" s="1154" t="s">
        <v>881</v>
      </c>
      <c r="AR379" s="1120">
        <v>45674</v>
      </c>
      <c r="AS379" s="1106" t="s">
        <v>882</v>
      </c>
      <c r="AT379" s="1120">
        <v>45687</v>
      </c>
      <c r="AU379" s="1106" t="s">
        <v>883</v>
      </c>
      <c r="AV379" s="1106" t="s">
        <v>59</v>
      </c>
      <c r="AW379" s="1106" t="s">
        <v>873</v>
      </c>
      <c r="AX379" s="1183"/>
      <c r="AY379" s="860"/>
      <c r="AZ379" s="897"/>
    </row>
    <row r="380" ht="93.6" spans="1:52">
      <c r="A380" s="937">
        <v>77</v>
      </c>
      <c r="B380" s="937">
        <v>9503009000</v>
      </c>
      <c r="C380" s="937">
        <v>392690</v>
      </c>
      <c r="D380" s="937" t="s">
        <v>874</v>
      </c>
      <c r="E380" s="937" t="s">
        <v>1110</v>
      </c>
      <c r="F380" s="937" t="s">
        <v>1111</v>
      </c>
      <c r="G380" s="937"/>
      <c r="H380" s="937"/>
      <c r="I380" s="938" t="s">
        <v>123</v>
      </c>
      <c r="J380" s="1108">
        <v>45.75</v>
      </c>
      <c r="K380" s="939">
        <v>400</v>
      </c>
      <c r="L380" s="1106" t="s">
        <v>52</v>
      </c>
      <c r="M380" s="937"/>
      <c r="N380" s="942"/>
      <c r="O380" s="939"/>
      <c r="P380" s="940">
        <v>30.4</v>
      </c>
      <c r="Q380" s="940">
        <v>1390.8</v>
      </c>
      <c r="R380" s="1130"/>
      <c r="S380" s="936"/>
      <c r="T380" s="940">
        <v>51.77</v>
      </c>
      <c r="U380" s="936"/>
      <c r="V380" s="1115">
        <v>45.75</v>
      </c>
      <c r="W380" s="937" t="s">
        <v>878</v>
      </c>
      <c r="X380" s="937" t="s">
        <v>1112</v>
      </c>
      <c r="Y380" s="939">
        <v>6</v>
      </c>
      <c r="Z380" s="1106" t="s">
        <v>1113</v>
      </c>
      <c r="AA380" s="936"/>
      <c r="AB380" s="936"/>
      <c r="AC380" s="936"/>
      <c r="AD380" s="948">
        <v>0.0761592983834656</v>
      </c>
      <c r="AE380" s="1115">
        <v>0.46</v>
      </c>
      <c r="AF380" s="1178" t="str">
        <f>_xlfn.DISPIMG("ID_5CC607DD469D4C2F945968F3E4669160",1)</f>
        <v>=DISPIMG("ID_5CC607DD469D4C2F945968F3E4669160",1)</v>
      </c>
      <c r="AG380" s="939"/>
      <c r="AH380" s="939"/>
      <c r="AI380" s="942"/>
      <c r="AJ380" s="939"/>
      <c r="AK380" s="942"/>
      <c r="AL380" s="1108">
        <v>30.4</v>
      </c>
      <c r="AM380" s="1108">
        <v>1390.8</v>
      </c>
      <c r="AN380" s="1115"/>
      <c r="AO380" s="936"/>
      <c r="AP380" s="936"/>
      <c r="AQ380" s="1184" t="s">
        <v>881</v>
      </c>
      <c r="AR380" s="1120">
        <v>45674</v>
      </c>
      <c r="AS380" s="1106" t="s">
        <v>882</v>
      </c>
      <c r="AT380" s="1120">
        <v>45687</v>
      </c>
      <c r="AU380" s="1106" t="s">
        <v>883</v>
      </c>
      <c r="AV380" s="1106" t="s">
        <v>59</v>
      </c>
      <c r="AW380" s="1106" t="s">
        <v>873</v>
      </c>
      <c r="AX380" s="1183"/>
      <c r="AY380" s="860"/>
      <c r="AZ380" s="897"/>
    </row>
    <row r="381" ht="94.5" spans="1:52">
      <c r="A381" s="937">
        <v>78</v>
      </c>
      <c r="B381" s="937">
        <v>9503009000</v>
      </c>
      <c r="C381" s="937">
        <v>392690</v>
      </c>
      <c r="D381" s="937" t="s">
        <v>874</v>
      </c>
      <c r="E381" s="937" t="s">
        <v>1114</v>
      </c>
      <c r="F381" s="937" t="s">
        <v>1115</v>
      </c>
      <c r="G381" s="937"/>
      <c r="H381" s="937"/>
      <c r="I381" s="938" t="s">
        <v>123</v>
      </c>
      <c r="J381" s="1108">
        <v>45.75</v>
      </c>
      <c r="K381" s="939">
        <v>400</v>
      </c>
      <c r="L381" s="1106" t="s">
        <v>52</v>
      </c>
      <c r="M381" s="937"/>
      <c r="N381" s="942"/>
      <c r="O381" s="939"/>
      <c r="P381" s="940">
        <v>30.4</v>
      </c>
      <c r="Q381" s="940">
        <v>1390.8</v>
      </c>
      <c r="R381" s="1130"/>
      <c r="S381" s="936"/>
      <c r="T381" s="940">
        <v>52.77</v>
      </c>
      <c r="U381" s="936"/>
      <c r="V381" s="1115">
        <v>45.75</v>
      </c>
      <c r="W381" s="937" t="s">
        <v>878</v>
      </c>
      <c r="X381" s="937" t="s">
        <v>1116</v>
      </c>
      <c r="Y381" s="939">
        <v>6</v>
      </c>
      <c r="Z381" s="1106" t="s">
        <v>1113</v>
      </c>
      <c r="AA381" s="936"/>
      <c r="AB381" s="936"/>
      <c r="AC381" s="936"/>
      <c r="AD381" s="948">
        <v>0.0761592983834656</v>
      </c>
      <c r="AE381" s="1115">
        <v>0.46</v>
      </c>
      <c r="AF381" s="1178" t="str">
        <f>_xlfn.DISPIMG("ID_AFB6A950FE4B49C58354E35D74246FB8",1)</f>
        <v>=DISPIMG("ID_AFB6A950FE4B49C58354E35D74246FB8",1)</v>
      </c>
      <c r="AG381" s="939"/>
      <c r="AH381" s="939"/>
      <c r="AI381" s="942"/>
      <c r="AJ381" s="939"/>
      <c r="AK381" s="942"/>
      <c r="AL381" s="1108">
        <v>30.4</v>
      </c>
      <c r="AM381" s="1108">
        <v>1390.8</v>
      </c>
      <c r="AN381" s="1115"/>
      <c r="AO381" s="936"/>
      <c r="AP381" s="936"/>
      <c r="AQ381" s="1154" t="s">
        <v>881</v>
      </c>
      <c r="AR381" s="1120">
        <v>45674</v>
      </c>
      <c r="AS381" s="1106" t="s">
        <v>882</v>
      </c>
      <c r="AT381" s="1120">
        <v>45687</v>
      </c>
      <c r="AU381" s="1106" t="s">
        <v>883</v>
      </c>
      <c r="AV381" s="1106" t="s">
        <v>59</v>
      </c>
      <c r="AW381" s="1106" t="s">
        <v>873</v>
      </c>
      <c r="AX381" s="1183"/>
      <c r="AY381" s="860"/>
      <c r="AZ381" s="897"/>
    </row>
    <row r="382" ht="78.75" spans="1:52">
      <c r="A382" s="937">
        <v>79</v>
      </c>
      <c r="B382" s="937">
        <v>9503009000</v>
      </c>
      <c r="C382" s="937">
        <v>392690</v>
      </c>
      <c r="D382" s="937" t="s">
        <v>874</v>
      </c>
      <c r="E382" s="937" t="s">
        <v>1117</v>
      </c>
      <c r="F382" s="937" t="s">
        <v>1118</v>
      </c>
      <c r="G382" s="937"/>
      <c r="H382" s="937"/>
      <c r="I382" s="938" t="s">
        <v>123</v>
      </c>
      <c r="J382" s="1108">
        <v>44</v>
      </c>
      <c r="K382" s="939">
        <v>200</v>
      </c>
      <c r="L382" s="1106" t="s">
        <v>52</v>
      </c>
      <c r="M382" s="937"/>
      <c r="N382" s="942"/>
      <c r="O382" s="939"/>
      <c r="P382" s="940">
        <v>17.47</v>
      </c>
      <c r="Q382" s="940">
        <v>768.68</v>
      </c>
      <c r="R382" s="1130"/>
      <c r="S382" s="936"/>
      <c r="T382" s="940">
        <v>55.55</v>
      </c>
      <c r="U382" s="936"/>
      <c r="V382" s="1115">
        <v>44</v>
      </c>
      <c r="W382" s="937" t="s">
        <v>1119</v>
      </c>
      <c r="X382" s="938" t="s">
        <v>1120</v>
      </c>
      <c r="Y382" s="939">
        <v>8</v>
      </c>
      <c r="Z382" s="1106" t="s">
        <v>1121</v>
      </c>
      <c r="AA382" s="936"/>
      <c r="AB382" s="936"/>
      <c r="AC382" s="936"/>
      <c r="AD382" s="948">
        <v>0.0731626969902972</v>
      </c>
      <c r="AE382" s="1115">
        <v>0.59</v>
      </c>
      <c r="AF382" s="1178" t="str">
        <f>_xlfn.DISPIMG("ID_ABE761078B7046AEB755EBCDEF961C5A",1)</f>
        <v>=DISPIMG("ID_ABE761078B7046AEB755EBCDEF961C5A",1)</v>
      </c>
      <c r="AG382" s="939"/>
      <c r="AH382" s="939"/>
      <c r="AI382" s="942"/>
      <c r="AJ382" s="939"/>
      <c r="AK382" s="942"/>
      <c r="AL382" s="1108">
        <v>17.47</v>
      </c>
      <c r="AM382" s="1108">
        <v>768.68</v>
      </c>
      <c r="AN382" s="1115"/>
      <c r="AO382" s="936"/>
      <c r="AP382" s="936"/>
      <c r="AQ382" s="1184" t="s">
        <v>881</v>
      </c>
      <c r="AR382" s="1120">
        <v>45674</v>
      </c>
      <c r="AS382" s="1106" t="s">
        <v>882</v>
      </c>
      <c r="AT382" s="1120">
        <v>45687</v>
      </c>
      <c r="AU382" s="1106" t="s">
        <v>883</v>
      </c>
      <c r="AV382" s="1106" t="s">
        <v>59</v>
      </c>
      <c r="AW382" s="1106" t="s">
        <v>873</v>
      </c>
      <c r="AX382" s="1183"/>
      <c r="AY382" s="860"/>
      <c r="AZ382" s="897"/>
    </row>
    <row r="383" ht="78.75" spans="1:52">
      <c r="A383" s="937">
        <v>80</v>
      </c>
      <c r="B383" s="937">
        <v>9503009000</v>
      </c>
      <c r="C383" s="937">
        <v>392690</v>
      </c>
      <c r="D383" s="937" t="s">
        <v>874</v>
      </c>
      <c r="E383" s="937" t="s">
        <v>1122</v>
      </c>
      <c r="F383" s="937" t="s">
        <v>1123</v>
      </c>
      <c r="G383" s="937"/>
      <c r="H383" s="937"/>
      <c r="I383" s="938" t="s">
        <v>123</v>
      </c>
      <c r="J383" s="1108">
        <v>2.8</v>
      </c>
      <c r="K383" s="939">
        <v>200</v>
      </c>
      <c r="L383" s="1106" t="s">
        <v>52</v>
      </c>
      <c r="M383" s="937"/>
      <c r="N383" s="942"/>
      <c r="O383" s="939"/>
      <c r="P383" s="940">
        <v>12.85</v>
      </c>
      <c r="Q383" s="940">
        <v>35.98</v>
      </c>
      <c r="R383" s="1130"/>
      <c r="S383" s="936"/>
      <c r="T383" s="940">
        <v>3.5</v>
      </c>
      <c r="U383" s="936"/>
      <c r="V383" s="1115">
        <v>2.8</v>
      </c>
      <c r="W383" s="938" t="s">
        <v>979</v>
      </c>
      <c r="X383" s="937">
        <v>128</v>
      </c>
      <c r="Y383" s="939">
        <v>1</v>
      </c>
      <c r="Z383" s="1106">
        <v>200</v>
      </c>
      <c r="AA383" s="936"/>
      <c r="AB383" s="936"/>
      <c r="AC383" s="936"/>
      <c r="AD383" s="948">
        <v>0.0462168954770586</v>
      </c>
      <c r="AE383" s="1115">
        <v>0.05</v>
      </c>
      <c r="AF383" s="1178" t="str">
        <f>_xlfn.DISPIMG("ID_3D34A639EC004FAF961CE5A42E376ADD",1)</f>
        <v>=DISPIMG("ID_3D34A639EC004FAF961CE5A42E376ADD",1)</v>
      </c>
      <c r="AG383" s="939"/>
      <c r="AH383" s="939" t="s">
        <v>1124</v>
      </c>
      <c r="AI383" s="942">
        <v>45635</v>
      </c>
      <c r="AJ383" s="939" t="s">
        <v>1125</v>
      </c>
      <c r="AK383" s="942">
        <v>45635</v>
      </c>
      <c r="AL383" s="1108">
        <v>12.85</v>
      </c>
      <c r="AM383" s="1108">
        <v>35.98</v>
      </c>
      <c r="AN383" s="1115">
        <v>9927.28</v>
      </c>
      <c r="AO383" s="936"/>
      <c r="AP383" s="936"/>
      <c r="AQ383" s="1154" t="s">
        <v>881</v>
      </c>
      <c r="AR383" s="1120">
        <v>45674</v>
      </c>
      <c r="AS383" s="1106" t="s">
        <v>882</v>
      </c>
      <c r="AT383" s="1120">
        <v>45687</v>
      </c>
      <c r="AU383" s="1106" t="s">
        <v>883</v>
      </c>
      <c r="AV383" s="1106" t="s">
        <v>59</v>
      </c>
      <c r="AW383" s="1106" t="s">
        <v>873</v>
      </c>
      <c r="AX383" s="1183"/>
      <c r="AY383" s="860"/>
      <c r="AZ383" s="897"/>
    </row>
    <row r="384" ht="78.75" spans="1:52">
      <c r="A384" s="937">
        <v>81</v>
      </c>
      <c r="B384" s="937">
        <v>9503009000</v>
      </c>
      <c r="C384" s="937">
        <v>392690</v>
      </c>
      <c r="D384" s="937" t="s">
        <v>874</v>
      </c>
      <c r="E384" s="937" t="s">
        <v>1126</v>
      </c>
      <c r="F384" s="937" t="s">
        <v>1127</v>
      </c>
      <c r="G384" s="937"/>
      <c r="H384" s="937"/>
      <c r="I384" s="938" t="s">
        <v>123</v>
      </c>
      <c r="J384" s="1108">
        <v>2.8</v>
      </c>
      <c r="K384" s="939">
        <v>200</v>
      </c>
      <c r="L384" s="1106" t="s">
        <v>52</v>
      </c>
      <c r="M384" s="937"/>
      <c r="N384" s="942"/>
      <c r="O384" s="939"/>
      <c r="P384" s="940">
        <v>12.85</v>
      </c>
      <c r="Q384" s="940">
        <v>35.98</v>
      </c>
      <c r="R384" s="1130"/>
      <c r="S384" s="936"/>
      <c r="T384" s="940">
        <v>3.5</v>
      </c>
      <c r="U384" s="936"/>
      <c r="V384" s="1115">
        <v>2.8</v>
      </c>
      <c r="W384" s="938" t="s">
        <v>979</v>
      </c>
      <c r="X384" s="937">
        <v>129</v>
      </c>
      <c r="Y384" s="939">
        <v>1</v>
      </c>
      <c r="Z384" s="1106">
        <v>200</v>
      </c>
      <c r="AA384" s="936"/>
      <c r="AB384" s="936"/>
      <c r="AC384" s="936"/>
      <c r="AD384" s="948">
        <v>0.0462168954770586</v>
      </c>
      <c r="AE384" s="1115">
        <v>0.05</v>
      </c>
      <c r="AF384" s="1178" t="str">
        <f>_xlfn.DISPIMG("ID_19ED05E14342457F98DC087BBF568E79",1)</f>
        <v>=DISPIMG("ID_19ED05E14342457F98DC087BBF568E79",1)</v>
      </c>
      <c r="AG384" s="939"/>
      <c r="AH384" s="939"/>
      <c r="AI384" s="942"/>
      <c r="AJ384" s="939"/>
      <c r="AK384" s="942"/>
      <c r="AL384" s="1108">
        <v>12.85</v>
      </c>
      <c r="AM384" s="1108">
        <v>35.98</v>
      </c>
      <c r="AN384" s="1115"/>
      <c r="AO384" s="936"/>
      <c r="AP384" s="936"/>
      <c r="AQ384" s="1184" t="s">
        <v>881</v>
      </c>
      <c r="AR384" s="1120">
        <v>45674</v>
      </c>
      <c r="AS384" s="1106" t="s">
        <v>882</v>
      </c>
      <c r="AT384" s="1120">
        <v>45687</v>
      </c>
      <c r="AU384" s="1106" t="s">
        <v>883</v>
      </c>
      <c r="AV384" s="1106" t="s">
        <v>59</v>
      </c>
      <c r="AW384" s="1106" t="s">
        <v>873</v>
      </c>
      <c r="AX384" s="1183"/>
      <c r="AY384" s="860"/>
      <c r="AZ384" s="897"/>
    </row>
    <row r="385" ht="78.75" spans="1:52">
      <c r="A385" s="937">
        <v>82</v>
      </c>
      <c r="B385" s="937">
        <v>9503008900</v>
      </c>
      <c r="C385" s="937">
        <v>392690</v>
      </c>
      <c r="D385" s="937" t="s">
        <v>874</v>
      </c>
      <c r="E385" s="937" t="s">
        <v>1128</v>
      </c>
      <c r="F385" s="937" t="s">
        <v>1129</v>
      </c>
      <c r="G385" s="937"/>
      <c r="H385" s="937"/>
      <c r="I385" s="938" t="s">
        <v>51</v>
      </c>
      <c r="J385" s="1108">
        <v>3</v>
      </c>
      <c r="K385" s="939">
        <v>3</v>
      </c>
      <c r="L385" s="1106" t="s">
        <v>254</v>
      </c>
      <c r="M385" s="937"/>
      <c r="N385" s="942"/>
      <c r="O385" s="939"/>
      <c r="P385" s="940">
        <v>55</v>
      </c>
      <c r="Q385" s="940">
        <v>165</v>
      </c>
      <c r="R385" s="1130"/>
      <c r="S385" s="936"/>
      <c r="T385" s="940">
        <v>14.7</v>
      </c>
      <c r="U385" s="936"/>
      <c r="V385" s="1115">
        <v>9.48</v>
      </c>
      <c r="W385" s="1138" t="s">
        <v>899</v>
      </c>
      <c r="X385" s="1094" t="s">
        <v>1130</v>
      </c>
      <c r="Y385" s="939">
        <v>3</v>
      </c>
      <c r="Z385" s="1106">
        <v>1</v>
      </c>
      <c r="AA385" s="936"/>
      <c r="AB385" s="936"/>
      <c r="AC385" s="936"/>
      <c r="AD385" s="948">
        <v>0.118981937828317</v>
      </c>
      <c r="AE385" s="1115">
        <v>0.36</v>
      </c>
      <c r="AF385" s="1178" t="str">
        <f>_xlfn.DISPIMG("ID_748BAA7DBA824EC8845029D8313B056E",1)</f>
        <v>=DISPIMG("ID_748BAA7DBA824EC8845029D8313B056E",1)</v>
      </c>
      <c r="AG385" s="939"/>
      <c r="AH385" s="939"/>
      <c r="AI385" s="942"/>
      <c r="AJ385" s="939"/>
      <c r="AK385" s="942"/>
      <c r="AL385" s="1108">
        <v>55</v>
      </c>
      <c r="AM385" s="1108">
        <v>165</v>
      </c>
      <c r="AN385" s="1115"/>
      <c r="AO385" s="936"/>
      <c r="AP385" s="936"/>
      <c r="AQ385" s="1154" t="s">
        <v>881</v>
      </c>
      <c r="AR385" s="1120">
        <v>45674</v>
      </c>
      <c r="AS385" s="1106" t="s">
        <v>882</v>
      </c>
      <c r="AT385" s="1120">
        <v>45687</v>
      </c>
      <c r="AU385" s="1106" t="s">
        <v>883</v>
      </c>
      <c r="AV385" s="1106" t="s">
        <v>59</v>
      </c>
      <c r="AW385" s="1106" t="s">
        <v>873</v>
      </c>
      <c r="AX385" s="1183"/>
      <c r="AY385" s="860"/>
      <c r="AZ385" s="897"/>
    </row>
    <row r="386" ht="78.75" spans="1:52">
      <c r="A386" s="937">
        <v>83</v>
      </c>
      <c r="B386" s="937">
        <v>9503008900</v>
      </c>
      <c r="C386" s="937">
        <v>392690</v>
      </c>
      <c r="D386" s="937" t="s">
        <v>874</v>
      </c>
      <c r="E386" s="937" t="s">
        <v>1131</v>
      </c>
      <c r="F386" s="937" t="s">
        <v>1132</v>
      </c>
      <c r="G386" s="937"/>
      <c r="H386" s="937"/>
      <c r="I386" s="938" t="s">
        <v>51</v>
      </c>
      <c r="J386" s="1108">
        <v>3</v>
      </c>
      <c r="K386" s="939">
        <v>3</v>
      </c>
      <c r="L386" s="1106" t="s">
        <v>254</v>
      </c>
      <c r="M386" s="937"/>
      <c r="N386" s="942"/>
      <c r="O386" s="939"/>
      <c r="P386" s="940">
        <v>55</v>
      </c>
      <c r="Q386" s="940">
        <v>165</v>
      </c>
      <c r="R386" s="1130"/>
      <c r="S386" s="936"/>
      <c r="T386" s="940">
        <v>25.69</v>
      </c>
      <c r="U386" s="936"/>
      <c r="V386" s="1115">
        <v>16.47</v>
      </c>
      <c r="W386" s="1138" t="s">
        <v>899</v>
      </c>
      <c r="X386" s="1094" t="s">
        <v>1133</v>
      </c>
      <c r="Y386" s="939">
        <v>3</v>
      </c>
      <c r="Z386" s="1106">
        <v>1</v>
      </c>
      <c r="AA386" s="936"/>
      <c r="AB386" s="936"/>
      <c r="AC386" s="936"/>
      <c r="AD386" s="948">
        <v>0.118981937828317</v>
      </c>
      <c r="AE386" s="1115">
        <v>0.36</v>
      </c>
      <c r="AF386" s="1178" t="str">
        <f>_xlfn.DISPIMG("ID_5DF188C072C149FCB9DD131E8EB10EAC",1)</f>
        <v>=DISPIMG("ID_5DF188C072C149FCB9DD131E8EB10EAC",1)</v>
      </c>
      <c r="AG386" s="939"/>
      <c r="AH386" s="939"/>
      <c r="AI386" s="942"/>
      <c r="AJ386" s="939"/>
      <c r="AK386" s="942"/>
      <c r="AL386" s="1108">
        <v>55</v>
      </c>
      <c r="AM386" s="1108">
        <v>165</v>
      </c>
      <c r="AN386" s="1115"/>
      <c r="AO386" s="936"/>
      <c r="AP386" s="936"/>
      <c r="AQ386" s="1184" t="s">
        <v>881</v>
      </c>
      <c r="AR386" s="1120">
        <v>45674</v>
      </c>
      <c r="AS386" s="1106" t="s">
        <v>882</v>
      </c>
      <c r="AT386" s="1120">
        <v>45687</v>
      </c>
      <c r="AU386" s="1106" t="s">
        <v>883</v>
      </c>
      <c r="AV386" s="1106" t="s">
        <v>59</v>
      </c>
      <c r="AW386" s="1106" t="s">
        <v>873</v>
      </c>
      <c r="AX386" s="1183"/>
      <c r="AY386" s="860"/>
      <c r="AZ386" s="897"/>
    </row>
    <row r="387" ht="78.75" spans="1:52">
      <c r="A387" s="937">
        <v>84</v>
      </c>
      <c r="B387" s="937">
        <v>9503009000</v>
      </c>
      <c r="C387" s="937">
        <v>392690</v>
      </c>
      <c r="D387" s="937" t="s">
        <v>874</v>
      </c>
      <c r="E387" s="937" t="s">
        <v>1134</v>
      </c>
      <c r="F387" s="937" t="s">
        <v>1135</v>
      </c>
      <c r="G387" s="937"/>
      <c r="H387" s="937"/>
      <c r="I387" s="938" t="s">
        <v>123</v>
      </c>
      <c r="J387" s="1108">
        <v>2.29</v>
      </c>
      <c r="K387" s="939">
        <v>1</v>
      </c>
      <c r="L387" s="1106" t="s">
        <v>254</v>
      </c>
      <c r="M387" s="937"/>
      <c r="N387" s="942"/>
      <c r="O387" s="939"/>
      <c r="P387" s="940">
        <v>20</v>
      </c>
      <c r="Q387" s="940">
        <v>45.8</v>
      </c>
      <c r="R387" s="1130"/>
      <c r="S387" s="936"/>
      <c r="T387" s="940">
        <v>3.46</v>
      </c>
      <c r="U387" s="936"/>
      <c r="V387" s="1115">
        <v>2.29</v>
      </c>
      <c r="W387" s="1138" t="s">
        <v>899</v>
      </c>
      <c r="X387" s="1094">
        <v>160</v>
      </c>
      <c r="Y387" s="939">
        <v>1</v>
      </c>
      <c r="Z387" s="1106">
        <v>2</v>
      </c>
      <c r="AA387" s="936"/>
      <c r="AB387" s="936"/>
      <c r="AC387" s="936"/>
      <c r="AD387" s="948">
        <v>0.104662802934659</v>
      </c>
      <c r="AE387" s="1115">
        <v>0.1</v>
      </c>
      <c r="AF387" s="1178" t="str">
        <f>_xlfn.DISPIMG("ID_B54933663ED74018BB0CA0E68A10FD19",1)</f>
        <v>=DISPIMG("ID_B54933663ED74018BB0CA0E68A10FD19",1)</v>
      </c>
      <c r="AG387" s="939"/>
      <c r="AH387" s="939"/>
      <c r="AI387" s="942"/>
      <c r="AJ387" s="939"/>
      <c r="AK387" s="942"/>
      <c r="AL387" s="1108">
        <v>20</v>
      </c>
      <c r="AM387" s="1108">
        <v>45.8</v>
      </c>
      <c r="AN387" s="1115"/>
      <c r="AO387" s="936"/>
      <c r="AP387" s="936"/>
      <c r="AQ387" s="1154" t="s">
        <v>881</v>
      </c>
      <c r="AR387" s="1120">
        <v>45674</v>
      </c>
      <c r="AS387" s="1106" t="s">
        <v>882</v>
      </c>
      <c r="AT387" s="1120">
        <v>45687</v>
      </c>
      <c r="AU387" s="1106" t="s">
        <v>883</v>
      </c>
      <c r="AV387" s="1106" t="s">
        <v>59</v>
      </c>
      <c r="AW387" s="1106" t="s">
        <v>873</v>
      </c>
      <c r="AX387" s="1183"/>
      <c r="AY387" s="860"/>
      <c r="AZ387" s="897"/>
    </row>
    <row r="388" ht="63" spans="1:52">
      <c r="A388" s="937">
        <v>85</v>
      </c>
      <c r="B388" s="937">
        <v>9503009000</v>
      </c>
      <c r="C388" s="937">
        <v>392690</v>
      </c>
      <c r="D388" s="937" t="s">
        <v>929</v>
      </c>
      <c r="E388" s="937" t="s">
        <v>1090</v>
      </c>
      <c r="F388" s="937" t="s">
        <v>1091</v>
      </c>
      <c r="G388" s="937"/>
      <c r="H388" s="937"/>
      <c r="I388" s="938" t="s">
        <v>123</v>
      </c>
      <c r="J388" s="1108">
        <v>14.5</v>
      </c>
      <c r="K388" s="938">
        <v>400</v>
      </c>
      <c r="L388" s="938" t="s">
        <v>52</v>
      </c>
      <c r="M388" s="937"/>
      <c r="N388" s="942"/>
      <c r="O388" s="939"/>
      <c r="P388" s="940">
        <v>48.8</v>
      </c>
      <c r="Q388" s="940">
        <v>707.6</v>
      </c>
      <c r="R388" s="1141">
        <v>16673.06</v>
      </c>
      <c r="S388" s="936"/>
      <c r="T388" s="940">
        <v>38.05</v>
      </c>
      <c r="U388" s="936"/>
      <c r="V388" s="1115">
        <v>14.5</v>
      </c>
      <c r="W388" s="937" t="s">
        <v>397</v>
      </c>
      <c r="X388" s="946" t="s">
        <v>970</v>
      </c>
      <c r="Y388" s="1091">
        <v>10</v>
      </c>
      <c r="Z388" s="938">
        <v>40</v>
      </c>
      <c r="AA388" s="936"/>
      <c r="AB388" s="936"/>
      <c r="AC388" s="936"/>
      <c r="AD388" s="948">
        <v>0.0954934800074161</v>
      </c>
      <c r="AE388" s="1115">
        <v>0.95</v>
      </c>
      <c r="AF388" s="1178" t="str">
        <f>_xlfn.DISPIMG("ID_CFC0D5E412DA4678B1BD1383D696F22E",1)</f>
        <v>=DISPIMG("ID_CFC0D5E412DA4678B1BD1383D696F22E",1)</v>
      </c>
      <c r="AG388" s="939"/>
      <c r="AH388" s="939"/>
      <c r="AI388" s="942"/>
      <c r="AJ388" s="939"/>
      <c r="AK388" s="942"/>
      <c r="AL388" s="1108">
        <v>48.8</v>
      </c>
      <c r="AM388" s="1108">
        <v>707.6</v>
      </c>
      <c r="AN388" s="1115"/>
      <c r="AO388" s="936"/>
      <c r="AP388" s="936"/>
      <c r="AQ388" s="1184" t="s">
        <v>881</v>
      </c>
      <c r="AR388" s="1120">
        <v>45674</v>
      </c>
      <c r="AS388" s="1106" t="s">
        <v>882</v>
      </c>
      <c r="AT388" s="1120">
        <v>45687</v>
      </c>
      <c r="AU388" s="1106" t="s">
        <v>883</v>
      </c>
      <c r="AV388" s="1106" t="s">
        <v>59</v>
      </c>
      <c r="AW388" s="1106" t="s">
        <v>873</v>
      </c>
      <c r="AX388" s="1183"/>
      <c r="AY388" s="860"/>
      <c r="AZ388" s="897"/>
    </row>
    <row r="389" ht="63" spans="1:52">
      <c r="A389" s="937">
        <v>86</v>
      </c>
      <c r="B389" s="937">
        <v>9503009000</v>
      </c>
      <c r="C389" s="937">
        <v>392690</v>
      </c>
      <c r="D389" s="937" t="s">
        <v>929</v>
      </c>
      <c r="E389" s="937" t="s">
        <v>1093</v>
      </c>
      <c r="F389" s="937" t="s">
        <v>1094</v>
      </c>
      <c r="G389" s="937"/>
      <c r="H389" s="937"/>
      <c r="I389" s="938" t="s">
        <v>123</v>
      </c>
      <c r="J389" s="1108">
        <v>8.75</v>
      </c>
      <c r="K389" s="938">
        <v>400</v>
      </c>
      <c r="L389" s="938" t="s">
        <v>52</v>
      </c>
      <c r="M389" s="937"/>
      <c r="N389" s="942"/>
      <c r="O389" s="939"/>
      <c r="P389" s="940">
        <v>43.2</v>
      </c>
      <c r="Q389" s="940">
        <v>378</v>
      </c>
      <c r="R389" s="1141"/>
      <c r="S389" s="936"/>
      <c r="T389" s="940">
        <v>12.16</v>
      </c>
      <c r="U389" s="936"/>
      <c r="V389" s="1115">
        <v>8.75</v>
      </c>
      <c r="W389" s="937" t="s">
        <v>397</v>
      </c>
      <c r="X389" s="946" t="s">
        <v>1136</v>
      </c>
      <c r="Y389" s="1091">
        <v>2</v>
      </c>
      <c r="Z389" s="938">
        <v>200</v>
      </c>
      <c r="AA389" s="936"/>
      <c r="AB389" s="936"/>
      <c r="AC389" s="936"/>
      <c r="AD389" s="948">
        <v>0.0954934800074161</v>
      </c>
      <c r="AE389" s="1115">
        <v>0.19</v>
      </c>
      <c r="AF389" s="1178" t="str">
        <f>_xlfn.DISPIMG("ID_8AA2E95DF0CC4D49B08829E6336C4347",1)</f>
        <v>=DISPIMG("ID_8AA2E95DF0CC4D49B08829E6336C4347",1)</v>
      </c>
      <c r="AG389" s="939"/>
      <c r="AH389" s="939"/>
      <c r="AI389" s="942"/>
      <c r="AJ389" s="939"/>
      <c r="AK389" s="942"/>
      <c r="AL389" s="1108">
        <v>43.2</v>
      </c>
      <c r="AM389" s="1108">
        <v>378</v>
      </c>
      <c r="AN389" s="1115"/>
      <c r="AO389" s="936"/>
      <c r="AP389" s="936"/>
      <c r="AQ389" s="1154" t="s">
        <v>881</v>
      </c>
      <c r="AR389" s="1120">
        <v>45674</v>
      </c>
      <c r="AS389" s="1106" t="s">
        <v>882</v>
      </c>
      <c r="AT389" s="1120">
        <v>45687</v>
      </c>
      <c r="AU389" s="1106" t="s">
        <v>883</v>
      </c>
      <c r="AV389" s="1106" t="s">
        <v>59</v>
      </c>
      <c r="AW389" s="1106" t="s">
        <v>873</v>
      </c>
      <c r="AX389" s="1183"/>
      <c r="AY389" s="860"/>
      <c r="AZ389" s="897"/>
    </row>
    <row r="390" ht="63" spans="1:52">
      <c r="A390" s="937">
        <v>87</v>
      </c>
      <c r="B390" s="937">
        <v>9503009000</v>
      </c>
      <c r="C390" s="937">
        <v>392690</v>
      </c>
      <c r="D390" s="937" t="s">
        <v>929</v>
      </c>
      <c r="E390" s="937" t="s">
        <v>1095</v>
      </c>
      <c r="F390" s="937" t="s">
        <v>1137</v>
      </c>
      <c r="G390" s="937"/>
      <c r="H390" s="937"/>
      <c r="I390" s="938" t="s">
        <v>123</v>
      </c>
      <c r="J390" s="1108">
        <v>1.75</v>
      </c>
      <c r="K390" s="938">
        <v>200</v>
      </c>
      <c r="L390" s="938" t="s">
        <v>52</v>
      </c>
      <c r="M390" s="937"/>
      <c r="N390" s="942"/>
      <c r="O390" s="939"/>
      <c r="P390" s="940">
        <v>37.8</v>
      </c>
      <c r="Q390" s="940">
        <v>66.15</v>
      </c>
      <c r="R390" s="1141"/>
      <c r="S390" s="936"/>
      <c r="T390" s="940">
        <v>2.22</v>
      </c>
      <c r="U390" s="936"/>
      <c r="V390" s="1115">
        <v>1.75</v>
      </c>
      <c r="W390" s="937" t="s">
        <v>397</v>
      </c>
      <c r="X390" s="937">
        <v>13</v>
      </c>
      <c r="Y390" s="1133">
        <v>1</v>
      </c>
      <c r="Z390" s="938">
        <v>200</v>
      </c>
      <c r="AA390" s="936"/>
      <c r="AB390" s="936"/>
      <c r="AC390" s="936"/>
      <c r="AD390" s="948">
        <v>0.00868885730177369</v>
      </c>
      <c r="AE390" s="1115">
        <v>0.01</v>
      </c>
      <c r="AF390" s="1178" t="str">
        <f>_xlfn.DISPIMG("ID_3C2718BC6D8F4AB7BAE8D46CB09E5261",1)</f>
        <v>=DISPIMG("ID_3C2718BC6D8F4AB7BAE8D46CB09E5261",1)</v>
      </c>
      <c r="AG390" s="939"/>
      <c r="AH390" s="939"/>
      <c r="AI390" s="942"/>
      <c r="AJ390" s="939"/>
      <c r="AK390" s="942"/>
      <c r="AL390" s="1108">
        <v>37.8</v>
      </c>
      <c r="AM390" s="1108">
        <v>66.15</v>
      </c>
      <c r="AN390" s="1115"/>
      <c r="AO390" s="936"/>
      <c r="AP390" s="936"/>
      <c r="AQ390" s="1184" t="s">
        <v>881</v>
      </c>
      <c r="AR390" s="1120">
        <v>45674</v>
      </c>
      <c r="AS390" s="1106" t="s">
        <v>882</v>
      </c>
      <c r="AT390" s="1120">
        <v>45687</v>
      </c>
      <c r="AU390" s="1106" t="s">
        <v>883</v>
      </c>
      <c r="AV390" s="1106" t="s">
        <v>59</v>
      </c>
      <c r="AW390" s="1106" t="s">
        <v>873</v>
      </c>
      <c r="AX390" s="1183"/>
      <c r="AY390" s="860"/>
      <c r="AZ390" s="897"/>
    </row>
    <row r="391" ht="63" spans="1:52">
      <c r="A391" s="937">
        <v>88</v>
      </c>
      <c r="B391" s="937">
        <v>9503009000</v>
      </c>
      <c r="C391" s="937">
        <v>392690</v>
      </c>
      <c r="D391" s="937" t="s">
        <v>929</v>
      </c>
      <c r="E391" s="937" t="s">
        <v>1097</v>
      </c>
      <c r="F391" s="937" t="s">
        <v>1098</v>
      </c>
      <c r="G391" s="937"/>
      <c r="H391" s="937"/>
      <c r="I391" s="938" t="s">
        <v>123</v>
      </c>
      <c r="J391" s="1108">
        <v>0.75</v>
      </c>
      <c r="K391" s="938">
        <v>200</v>
      </c>
      <c r="L391" s="938" t="s">
        <v>52</v>
      </c>
      <c r="M391" s="937"/>
      <c r="N391" s="942"/>
      <c r="O391" s="939"/>
      <c r="P391" s="940">
        <v>73.2</v>
      </c>
      <c r="Q391" s="940">
        <v>54.9</v>
      </c>
      <c r="R391" s="1141"/>
      <c r="S391" s="936"/>
      <c r="T391" s="940">
        <v>0.92</v>
      </c>
      <c r="U391" s="936"/>
      <c r="V391" s="1115">
        <v>0.75</v>
      </c>
      <c r="W391" s="937" t="s">
        <v>1138</v>
      </c>
      <c r="X391" s="937">
        <v>14</v>
      </c>
      <c r="Y391" s="938">
        <v>1</v>
      </c>
      <c r="Z391" s="1106">
        <v>200</v>
      </c>
      <c r="AA391" s="936"/>
      <c r="AB391" s="936"/>
      <c r="AC391" s="936"/>
      <c r="AD391" s="948">
        <v>0.00868885730177369</v>
      </c>
      <c r="AE391" s="1115">
        <v>0.01</v>
      </c>
      <c r="AF391" s="1178" t="str">
        <f>_xlfn.DISPIMG("ID_2D0A9B242DAE43B99F85DD95A6A79364",1)</f>
        <v>=DISPIMG("ID_2D0A9B242DAE43B99F85DD95A6A79364",1)</v>
      </c>
      <c r="AG391" s="939"/>
      <c r="AH391" s="939"/>
      <c r="AI391" s="942"/>
      <c r="AJ391" s="939"/>
      <c r="AK391" s="942"/>
      <c r="AL391" s="1108">
        <v>73.2</v>
      </c>
      <c r="AM391" s="1108">
        <v>54.9</v>
      </c>
      <c r="AN391" s="1115"/>
      <c r="AO391" s="936"/>
      <c r="AP391" s="936"/>
      <c r="AQ391" s="1154" t="s">
        <v>881</v>
      </c>
      <c r="AR391" s="1120">
        <v>45674</v>
      </c>
      <c r="AS391" s="1106" t="s">
        <v>882</v>
      </c>
      <c r="AT391" s="1120">
        <v>45687</v>
      </c>
      <c r="AU391" s="1106" t="s">
        <v>883</v>
      </c>
      <c r="AV391" s="1106" t="s">
        <v>59</v>
      </c>
      <c r="AW391" s="1106" t="s">
        <v>873</v>
      </c>
      <c r="AX391" s="1183"/>
      <c r="AY391" s="860"/>
      <c r="AZ391" s="897"/>
    </row>
    <row r="392" ht="63" spans="1:52">
      <c r="A392" s="937">
        <v>89</v>
      </c>
      <c r="B392" s="937">
        <v>9503009000</v>
      </c>
      <c r="C392" s="937">
        <v>392690</v>
      </c>
      <c r="D392" s="937" t="s">
        <v>929</v>
      </c>
      <c r="E392" s="937" t="s">
        <v>1139</v>
      </c>
      <c r="F392" s="937" t="s">
        <v>1140</v>
      </c>
      <c r="G392" s="937"/>
      <c r="H392" s="937"/>
      <c r="I392" s="938" t="s">
        <v>123</v>
      </c>
      <c r="J392" s="1108">
        <v>19.5</v>
      </c>
      <c r="K392" s="938">
        <v>200</v>
      </c>
      <c r="L392" s="938" t="s">
        <v>52</v>
      </c>
      <c r="M392" s="937"/>
      <c r="N392" s="942"/>
      <c r="O392" s="939"/>
      <c r="P392" s="940">
        <v>21.9</v>
      </c>
      <c r="Q392" s="940">
        <v>427.05</v>
      </c>
      <c r="R392" s="1141"/>
      <c r="S392" s="936"/>
      <c r="T392" s="940">
        <v>23</v>
      </c>
      <c r="U392" s="936"/>
      <c r="V392" s="1115">
        <v>19.5</v>
      </c>
      <c r="W392" s="937" t="s">
        <v>1141</v>
      </c>
      <c r="X392" s="937" t="s">
        <v>1142</v>
      </c>
      <c r="Y392" s="938">
        <v>2</v>
      </c>
      <c r="Z392" s="938">
        <v>100</v>
      </c>
      <c r="AA392" s="936"/>
      <c r="AB392" s="936"/>
      <c r="AC392" s="936"/>
      <c r="AD392" s="948">
        <v>0.0846219145911872</v>
      </c>
      <c r="AE392" s="1115">
        <v>0.17</v>
      </c>
      <c r="AF392" s="1178" t="str">
        <f>_xlfn.DISPIMG("ID_FE14936291234FE5A071730C9B83BA47",1)</f>
        <v>=DISPIMG("ID_FE14936291234FE5A071730C9B83BA47",1)</v>
      </c>
      <c r="AG392" s="939"/>
      <c r="AH392" s="939"/>
      <c r="AI392" s="942"/>
      <c r="AJ392" s="939"/>
      <c r="AK392" s="942"/>
      <c r="AL392" s="1108">
        <v>21.9</v>
      </c>
      <c r="AM392" s="1108">
        <v>427.05</v>
      </c>
      <c r="AN392" s="1115"/>
      <c r="AO392" s="936"/>
      <c r="AP392" s="936"/>
      <c r="AQ392" s="1184" t="s">
        <v>881</v>
      </c>
      <c r="AR392" s="1120">
        <v>45674</v>
      </c>
      <c r="AS392" s="1106" t="s">
        <v>882</v>
      </c>
      <c r="AT392" s="1120">
        <v>45687</v>
      </c>
      <c r="AU392" s="1106" t="s">
        <v>883</v>
      </c>
      <c r="AV392" s="1106" t="s">
        <v>59</v>
      </c>
      <c r="AW392" s="1106" t="s">
        <v>873</v>
      </c>
      <c r="AX392" s="1183"/>
      <c r="AY392" s="860"/>
      <c r="AZ392" s="897"/>
    </row>
    <row r="393" ht="63" spans="1:52">
      <c r="A393" s="937">
        <v>90</v>
      </c>
      <c r="B393" s="937">
        <v>9503009000</v>
      </c>
      <c r="C393" s="937">
        <v>392690</v>
      </c>
      <c r="D393" s="937" t="s">
        <v>929</v>
      </c>
      <c r="E393" s="937" t="s">
        <v>1143</v>
      </c>
      <c r="F393" s="937" t="s">
        <v>1144</v>
      </c>
      <c r="G393" s="937"/>
      <c r="H393" s="937"/>
      <c r="I393" s="938" t="s">
        <v>123</v>
      </c>
      <c r="J393" s="1108">
        <v>20.3</v>
      </c>
      <c r="K393" s="938">
        <v>200</v>
      </c>
      <c r="L393" s="938" t="s">
        <v>52</v>
      </c>
      <c r="M393" s="937"/>
      <c r="N393" s="942"/>
      <c r="O393" s="939"/>
      <c r="P393" s="940">
        <v>21.1</v>
      </c>
      <c r="Q393" s="940">
        <v>428.33</v>
      </c>
      <c r="R393" s="1141"/>
      <c r="S393" s="936"/>
      <c r="T393" s="940">
        <v>23</v>
      </c>
      <c r="U393" s="936"/>
      <c r="V393" s="1115">
        <v>20.3</v>
      </c>
      <c r="W393" s="937" t="s">
        <v>1141</v>
      </c>
      <c r="X393" s="937" t="s">
        <v>1145</v>
      </c>
      <c r="Y393" s="938">
        <v>2</v>
      </c>
      <c r="Z393" s="938">
        <v>100</v>
      </c>
      <c r="AA393" s="936"/>
      <c r="AB393" s="936"/>
      <c r="AC393" s="936"/>
      <c r="AD393" s="948">
        <v>0.0720013843396576</v>
      </c>
      <c r="AE393" s="1115">
        <v>0.14</v>
      </c>
      <c r="AF393" s="1178" t="str">
        <f>_xlfn.DISPIMG("ID_73F2D60C7DAA461DB1DC5EC736E4EC50",1)</f>
        <v>=DISPIMG("ID_73F2D60C7DAA461DB1DC5EC736E4EC50",1)</v>
      </c>
      <c r="AG393" s="939"/>
      <c r="AH393" s="939"/>
      <c r="AI393" s="942"/>
      <c r="AJ393" s="939"/>
      <c r="AK393" s="942"/>
      <c r="AL393" s="1108">
        <v>21.1</v>
      </c>
      <c r="AM393" s="1108">
        <v>428.33</v>
      </c>
      <c r="AN393" s="1115"/>
      <c r="AO393" s="936"/>
      <c r="AP393" s="936"/>
      <c r="AQ393" s="1154" t="s">
        <v>881</v>
      </c>
      <c r="AR393" s="1120">
        <v>45674</v>
      </c>
      <c r="AS393" s="1106" t="s">
        <v>882</v>
      </c>
      <c r="AT393" s="1120">
        <v>45687</v>
      </c>
      <c r="AU393" s="1106" t="s">
        <v>883</v>
      </c>
      <c r="AV393" s="1106" t="s">
        <v>59</v>
      </c>
      <c r="AW393" s="1106" t="s">
        <v>873</v>
      </c>
      <c r="AX393" s="1183"/>
      <c r="AY393" s="860"/>
      <c r="AZ393" s="897"/>
    </row>
    <row r="394" ht="63" spans="1:52">
      <c r="A394" s="937">
        <v>91</v>
      </c>
      <c r="B394" s="937">
        <v>9503009000</v>
      </c>
      <c r="C394" s="937">
        <v>392690</v>
      </c>
      <c r="D394" s="937" t="s">
        <v>929</v>
      </c>
      <c r="E394" s="937" t="s">
        <v>1146</v>
      </c>
      <c r="F394" s="937" t="s">
        <v>1147</v>
      </c>
      <c r="G394" s="937"/>
      <c r="H394" s="937"/>
      <c r="I394" s="938" t="s">
        <v>123</v>
      </c>
      <c r="J394" s="1108">
        <v>54.8</v>
      </c>
      <c r="K394" s="938">
        <v>200</v>
      </c>
      <c r="L394" s="938" t="s">
        <v>52</v>
      </c>
      <c r="M394" s="937"/>
      <c r="N394" s="942"/>
      <c r="O394" s="939"/>
      <c r="P394" s="940">
        <v>15.75</v>
      </c>
      <c r="Q394" s="940">
        <v>863.1</v>
      </c>
      <c r="R394" s="1141"/>
      <c r="S394" s="936"/>
      <c r="T394" s="940">
        <v>78.83</v>
      </c>
      <c r="U394" s="936"/>
      <c r="V394" s="1115">
        <v>54.8</v>
      </c>
      <c r="W394" s="937" t="s">
        <v>1148</v>
      </c>
      <c r="X394" s="937" t="s">
        <v>1149</v>
      </c>
      <c r="Y394" s="938">
        <v>6</v>
      </c>
      <c r="Z394" s="937" t="s">
        <v>1055</v>
      </c>
      <c r="AA394" s="936"/>
      <c r="AB394" s="936"/>
      <c r="AC394" s="936"/>
      <c r="AD394" s="948">
        <v>0.317188264896219</v>
      </c>
      <c r="AE394" s="1115">
        <v>1.9</v>
      </c>
      <c r="AF394" s="1178" t="str">
        <f>_xlfn.DISPIMG("ID_483DB78F469244C1829A54BC2E3099A0",1)</f>
        <v>=DISPIMG("ID_483DB78F469244C1829A54BC2E3099A0",1)</v>
      </c>
      <c r="AG394" s="939"/>
      <c r="AH394" s="939"/>
      <c r="AI394" s="942"/>
      <c r="AJ394" s="939"/>
      <c r="AK394" s="942"/>
      <c r="AL394" s="1108">
        <v>15.75</v>
      </c>
      <c r="AM394" s="1108">
        <v>863.1</v>
      </c>
      <c r="AN394" s="1115"/>
      <c r="AO394" s="936"/>
      <c r="AP394" s="936"/>
      <c r="AQ394" s="1184" t="s">
        <v>881</v>
      </c>
      <c r="AR394" s="1120">
        <v>45674</v>
      </c>
      <c r="AS394" s="1106" t="s">
        <v>882</v>
      </c>
      <c r="AT394" s="1120">
        <v>45687</v>
      </c>
      <c r="AU394" s="1106" t="s">
        <v>883</v>
      </c>
      <c r="AV394" s="1106" t="s">
        <v>59</v>
      </c>
      <c r="AW394" s="1106" t="s">
        <v>873</v>
      </c>
      <c r="AX394" s="1183"/>
      <c r="AY394" s="860"/>
      <c r="AZ394" s="897"/>
    </row>
    <row r="395" ht="63" spans="1:52">
      <c r="A395" s="937">
        <v>92</v>
      </c>
      <c r="B395" s="937">
        <v>9503009000</v>
      </c>
      <c r="C395" s="937">
        <v>392690</v>
      </c>
      <c r="D395" s="937" t="s">
        <v>929</v>
      </c>
      <c r="E395" s="937" t="s">
        <v>1150</v>
      </c>
      <c r="F395" s="937" t="s">
        <v>1151</v>
      </c>
      <c r="G395" s="937"/>
      <c r="H395" s="937"/>
      <c r="I395" s="938" t="s">
        <v>123</v>
      </c>
      <c r="J395" s="1108">
        <v>51.95</v>
      </c>
      <c r="K395" s="938">
        <v>198</v>
      </c>
      <c r="L395" s="938" t="s">
        <v>52</v>
      </c>
      <c r="M395" s="937"/>
      <c r="N395" s="942"/>
      <c r="O395" s="939"/>
      <c r="P395" s="940">
        <v>16.6</v>
      </c>
      <c r="Q395" s="940">
        <v>862.37</v>
      </c>
      <c r="R395" s="1141"/>
      <c r="S395" s="936"/>
      <c r="T395" s="940">
        <v>61.05</v>
      </c>
      <c r="U395" s="936"/>
      <c r="V395" s="1115">
        <v>51.95</v>
      </c>
      <c r="W395" s="937" t="s">
        <v>1152</v>
      </c>
      <c r="X395" s="937" t="s">
        <v>1153</v>
      </c>
      <c r="Y395" s="938">
        <v>9</v>
      </c>
      <c r="Z395" s="937" t="s">
        <v>1154</v>
      </c>
      <c r="AA395" s="936"/>
      <c r="AB395" s="936"/>
      <c r="AC395" s="936"/>
      <c r="AD395" s="948">
        <v>0.137534597014135</v>
      </c>
      <c r="AE395" s="1115">
        <v>1.24</v>
      </c>
      <c r="AF395" s="1178" t="str">
        <f>_xlfn.DISPIMG("ID_310DCB8066E04AC6907C0F3B66BA9106",1)</f>
        <v>=DISPIMG("ID_310DCB8066E04AC6907C0F3B66BA9106",1)</v>
      </c>
      <c r="AG395" s="939"/>
      <c r="AH395" s="939"/>
      <c r="AI395" s="942"/>
      <c r="AJ395" s="939"/>
      <c r="AK395" s="942"/>
      <c r="AL395" s="1108">
        <v>16.6</v>
      </c>
      <c r="AM395" s="1108">
        <v>862.37</v>
      </c>
      <c r="AN395" s="1115"/>
      <c r="AO395" s="936"/>
      <c r="AP395" s="936"/>
      <c r="AQ395" s="1154" t="s">
        <v>881</v>
      </c>
      <c r="AR395" s="1120">
        <v>45674</v>
      </c>
      <c r="AS395" s="1106" t="s">
        <v>882</v>
      </c>
      <c r="AT395" s="1120">
        <v>45687</v>
      </c>
      <c r="AU395" s="1106" t="s">
        <v>883</v>
      </c>
      <c r="AV395" s="1106" t="s">
        <v>59</v>
      </c>
      <c r="AW395" s="1106" t="s">
        <v>873</v>
      </c>
      <c r="AX395" s="1183"/>
      <c r="AY395" s="860"/>
      <c r="AZ395" s="897"/>
    </row>
    <row r="396" ht="63" spans="1:52">
      <c r="A396" s="937">
        <v>93</v>
      </c>
      <c r="B396" s="937">
        <v>9503009000</v>
      </c>
      <c r="C396" s="937">
        <v>392690</v>
      </c>
      <c r="D396" s="937" t="s">
        <v>929</v>
      </c>
      <c r="E396" s="937" t="s">
        <v>1155</v>
      </c>
      <c r="F396" s="937" t="s">
        <v>1156</v>
      </c>
      <c r="G396" s="937"/>
      <c r="H396" s="937"/>
      <c r="I396" s="938" t="s">
        <v>123</v>
      </c>
      <c r="J396" s="1108">
        <v>54.7</v>
      </c>
      <c r="K396" s="938">
        <v>200</v>
      </c>
      <c r="L396" s="938" t="s">
        <v>52</v>
      </c>
      <c r="M396" s="937"/>
      <c r="N396" s="942"/>
      <c r="O396" s="939"/>
      <c r="P396" s="940">
        <v>18.1</v>
      </c>
      <c r="Q396" s="940">
        <v>990.07</v>
      </c>
      <c r="R396" s="1141"/>
      <c r="S396" s="936"/>
      <c r="T396" s="940">
        <v>71.95</v>
      </c>
      <c r="U396" s="936"/>
      <c r="V396" s="1115">
        <v>54.7</v>
      </c>
      <c r="W396" s="946" t="s">
        <v>1141</v>
      </c>
      <c r="X396" s="937" t="s">
        <v>1157</v>
      </c>
      <c r="Y396" s="938">
        <v>9</v>
      </c>
      <c r="Z396" s="937" t="s">
        <v>1158</v>
      </c>
      <c r="AA396" s="936"/>
      <c r="AB396" s="936"/>
      <c r="AC396" s="936"/>
      <c r="AD396" s="948">
        <v>0.09638895000309</v>
      </c>
      <c r="AE396" s="1115">
        <v>0.87</v>
      </c>
      <c r="AF396" s="1178" t="str">
        <f>_xlfn.DISPIMG("ID_9AD2B200FDF1445B979E91894BC369BA",1)</f>
        <v>=DISPIMG("ID_9AD2B200FDF1445B979E91894BC369BA",1)</v>
      </c>
      <c r="AG396" s="939"/>
      <c r="AH396" s="939"/>
      <c r="AI396" s="942"/>
      <c r="AJ396" s="939"/>
      <c r="AK396" s="942"/>
      <c r="AL396" s="1108">
        <v>18.1</v>
      </c>
      <c r="AM396" s="1108">
        <v>990.07</v>
      </c>
      <c r="AN396" s="1115"/>
      <c r="AO396" s="936"/>
      <c r="AP396" s="936"/>
      <c r="AQ396" s="1184" t="s">
        <v>881</v>
      </c>
      <c r="AR396" s="1120">
        <v>45674</v>
      </c>
      <c r="AS396" s="1106" t="s">
        <v>882</v>
      </c>
      <c r="AT396" s="1120">
        <v>45687</v>
      </c>
      <c r="AU396" s="1106" t="s">
        <v>883</v>
      </c>
      <c r="AV396" s="1106" t="s">
        <v>59</v>
      </c>
      <c r="AW396" s="1106" t="s">
        <v>873</v>
      </c>
      <c r="AX396" s="1183"/>
      <c r="AY396" s="860"/>
      <c r="AZ396" s="897"/>
    </row>
    <row r="397" ht="63" spans="1:52">
      <c r="A397" s="937">
        <v>94</v>
      </c>
      <c r="B397" s="937">
        <v>9503009000</v>
      </c>
      <c r="C397" s="937">
        <v>392690</v>
      </c>
      <c r="D397" s="937" t="s">
        <v>929</v>
      </c>
      <c r="E397" s="937" t="s">
        <v>977</v>
      </c>
      <c r="F397" s="937" t="s">
        <v>978</v>
      </c>
      <c r="G397" s="937"/>
      <c r="H397" s="937"/>
      <c r="I397" s="938" t="s">
        <v>123</v>
      </c>
      <c r="J397" s="1108">
        <v>82.6</v>
      </c>
      <c r="K397" s="938">
        <v>194</v>
      </c>
      <c r="L397" s="938" t="s">
        <v>52</v>
      </c>
      <c r="M397" s="937"/>
      <c r="N397" s="942"/>
      <c r="O397" s="939"/>
      <c r="P397" s="940">
        <v>15.5</v>
      </c>
      <c r="Q397" s="940">
        <v>1280.3</v>
      </c>
      <c r="R397" s="1141"/>
      <c r="S397" s="936"/>
      <c r="T397" s="940">
        <v>104.95</v>
      </c>
      <c r="U397" s="936"/>
      <c r="V397" s="1115">
        <v>82.6</v>
      </c>
      <c r="W397" s="937" t="s">
        <v>1159</v>
      </c>
      <c r="X397" s="937" t="s">
        <v>1160</v>
      </c>
      <c r="Y397" s="938">
        <v>10</v>
      </c>
      <c r="Z397" s="937" t="s">
        <v>1161</v>
      </c>
      <c r="AA397" s="936"/>
      <c r="AB397" s="936"/>
      <c r="AC397" s="936"/>
      <c r="AD397" s="948">
        <v>0.165142256791475</v>
      </c>
      <c r="AE397" s="1115">
        <v>1.65</v>
      </c>
      <c r="AF397" s="1178" t="str">
        <f>_xlfn.DISPIMG("ID_77FF014C1B024DBD99A7101682189101",1)</f>
        <v>=DISPIMG("ID_77FF014C1B024DBD99A7101682189101",1)</v>
      </c>
      <c r="AG397" s="939"/>
      <c r="AH397" s="939"/>
      <c r="AI397" s="942"/>
      <c r="AJ397" s="939"/>
      <c r="AK397" s="942"/>
      <c r="AL397" s="1108">
        <v>15.5</v>
      </c>
      <c r="AM397" s="1108">
        <v>1280.3</v>
      </c>
      <c r="AN397" s="1115"/>
      <c r="AO397" s="936"/>
      <c r="AP397" s="936"/>
      <c r="AQ397" s="1154" t="s">
        <v>881</v>
      </c>
      <c r="AR397" s="1120">
        <v>45674</v>
      </c>
      <c r="AS397" s="1106" t="s">
        <v>882</v>
      </c>
      <c r="AT397" s="1120">
        <v>45687</v>
      </c>
      <c r="AU397" s="1106" t="s">
        <v>883</v>
      </c>
      <c r="AV397" s="1106" t="s">
        <v>59</v>
      </c>
      <c r="AW397" s="1106" t="s">
        <v>873</v>
      </c>
      <c r="AX397" s="1183"/>
      <c r="AY397" s="860"/>
      <c r="AZ397" s="897"/>
    </row>
    <row r="398" ht="63" spans="1:52">
      <c r="A398" s="937">
        <v>95</v>
      </c>
      <c r="B398" s="937">
        <v>9503009000</v>
      </c>
      <c r="C398" s="937">
        <v>392690</v>
      </c>
      <c r="D398" s="937" t="s">
        <v>929</v>
      </c>
      <c r="E398" s="937" t="s">
        <v>1162</v>
      </c>
      <c r="F398" s="937" t="s">
        <v>1163</v>
      </c>
      <c r="G398" s="937"/>
      <c r="H398" s="937"/>
      <c r="I398" s="938" t="s">
        <v>123</v>
      </c>
      <c r="J398" s="1108">
        <v>52.8</v>
      </c>
      <c r="K398" s="938">
        <v>200</v>
      </c>
      <c r="L398" s="938" t="s">
        <v>52</v>
      </c>
      <c r="M398" s="937"/>
      <c r="N398" s="942"/>
      <c r="O398" s="939"/>
      <c r="P398" s="940">
        <v>14.45</v>
      </c>
      <c r="Q398" s="940">
        <v>762.96</v>
      </c>
      <c r="R398" s="1141"/>
      <c r="S398" s="936"/>
      <c r="T398" s="940">
        <v>91.95</v>
      </c>
      <c r="U398" s="936"/>
      <c r="V398" s="1115">
        <v>52.8</v>
      </c>
      <c r="W398" s="937" t="s">
        <v>1164</v>
      </c>
      <c r="X398" s="937" t="s">
        <v>1165</v>
      </c>
      <c r="Y398" s="938">
        <v>4</v>
      </c>
      <c r="Z398" s="938">
        <v>50</v>
      </c>
      <c r="AA398" s="936"/>
      <c r="AB398" s="936"/>
      <c r="AC398" s="936"/>
      <c r="AD398" s="948">
        <v>0.49437926536414</v>
      </c>
      <c r="AE398" s="1115">
        <v>1.98</v>
      </c>
      <c r="AF398" s="1178" t="str">
        <f>_xlfn.DISPIMG("ID_CE2AAB8CE7B248F0987093CB05DF9696",1)</f>
        <v>=DISPIMG("ID_CE2AAB8CE7B248F0987093CB05DF9696",1)</v>
      </c>
      <c r="AG398" s="939"/>
      <c r="AH398" s="939"/>
      <c r="AI398" s="942"/>
      <c r="AJ398" s="939"/>
      <c r="AK398" s="942"/>
      <c r="AL398" s="1108">
        <v>14.45</v>
      </c>
      <c r="AM398" s="1108">
        <v>762.96</v>
      </c>
      <c r="AN398" s="1115"/>
      <c r="AO398" s="936"/>
      <c r="AP398" s="936"/>
      <c r="AQ398" s="1184" t="s">
        <v>881</v>
      </c>
      <c r="AR398" s="1120">
        <v>45674</v>
      </c>
      <c r="AS398" s="1106" t="s">
        <v>882</v>
      </c>
      <c r="AT398" s="1120">
        <v>45687</v>
      </c>
      <c r="AU398" s="1106" t="s">
        <v>883</v>
      </c>
      <c r="AV398" s="1106" t="s">
        <v>59</v>
      </c>
      <c r="AW398" s="1106" t="s">
        <v>873</v>
      </c>
      <c r="AX398" s="1183"/>
      <c r="AY398" s="860"/>
      <c r="AZ398" s="897"/>
    </row>
    <row r="399" ht="78.75" spans="1:52">
      <c r="A399" s="937">
        <v>96</v>
      </c>
      <c r="B399" s="937">
        <v>9503009000</v>
      </c>
      <c r="C399" s="937">
        <v>392690</v>
      </c>
      <c r="D399" s="937" t="s">
        <v>929</v>
      </c>
      <c r="E399" s="937" t="s">
        <v>1060</v>
      </c>
      <c r="F399" s="937" t="s">
        <v>1061</v>
      </c>
      <c r="G399" s="937"/>
      <c r="H399" s="937"/>
      <c r="I399" s="938" t="s">
        <v>123</v>
      </c>
      <c r="J399" s="1108">
        <v>22.76</v>
      </c>
      <c r="K399" s="938">
        <v>200</v>
      </c>
      <c r="L399" s="938" t="s">
        <v>52</v>
      </c>
      <c r="M399" s="937"/>
      <c r="N399" s="942"/>
      <c r="O399" s="939"/>
      <c r="P399" s="940">
        <v>21</v>
      </c>
      <c r="Q399" s="940">
        <v>477.96</v>
      </c>
      <c r="R399" s="1141"/>
      <c r="S399" s="936"/>
      <c r="T399" s="940">
        <v>35.95</v>
      </c>
      <c r="U399" s="936"/>
      <c r="V399" s="1115">
        <v>22.76</v>
      </c>
      <c r="W399" s="937" t="s">
        <v>1166</v>
      </c>
      <c r="X399" s="937" t="s">
        <v>1167</v>
      </c>
      <c r="Y399" s="938">
        <v>5</v>
      </c>
      <c r="Z399" s="938">
        <v>40</v>
      </c>
      <c r="AA399" s="936"/>
      <c r="AB399" s="936"/>
      <c r="AC399" s="936"/>
      <c r="AD399" s="948">
        <v>0.0726442538426903</v>
      </c>
      <c r="AE399" s="1115">
        <v>0.36</v>
      </c>
      <c r="AF399" s="1178" t="str">
        <f>_xlfn.DISPIMG("ID_5CE36B05883845909ADC8D27F59F038E",1)</f>
        <v>=DISPIMG("ID_5CE36B05883845909ADC8D27F59F038E",1)</v>
      </c>
      <c r="AG399" s="939"/>
      <c r="AH399" s="939"/>
      <c r="AI399" s="942"/>
      <c r="AJ399" s="939"/>
      <c r="AK399" s="942"/>
      <c r="AL399" s="1108">
        <v>21</v>
      </c>
      <c r="AM399" s="1108">
        <v>477.96</v>
      </c>
      <c r="AN399" s="1115"/>
      <c r="AO399" s="936"/>
      <c r="AP399" s="936"/>
      <c r="AQ399" s="1154" t="s">
        <v>881</v>
      </c>
      <c r="AR399" s="1120">
        <v>45674</v>
      </c>
      <c r="AS399" s="1106" t="s">
        <v>882</v>
      </c>
      <c r="AT399" s="1120">
        <v>45687</v>
      </c>
      <c r="AU399" s="1106" t="s">
        <v>883</v>
      </c>
      <c r="AV399" s="1106" t="s">
        <v>59</v>
      </c>
      <c r="AW399" s="1106" t="s">
        <v>873</v>
      </c>
      <c r="AX399" s="1183"/>
      <c r="AY399" s="860"/>
      <c r="AZ399" s="897"/>
    </row>
    <row r="400" ht="63" spans="1:52">
      <c r="A400" s="937">
        <v>97</v>
      </c>
      <c r="B400" s="937">
        <v>9503009000</v>
      </c>
      <c r="C400" s="937">
        <v>392690</v>
      </c>
      <c r="D400" s="937" t="s">
        <v>929</v>
      </c>
      <c r="E400" s="937" t="s">
        <v>1168</v>
      </c>
      <c r="F400" s="937" t="s">
        <v>1169</v>
      </c>
      <c r="G400" s="937"/>
      <c r="H400" s="937"/>
      <c r="I400" s="938" t="s">
        <v>123</v>
      </c>
      <c r="J400" s="1108">
        <v>33</v>
      </c>
      <c r="K400" s="938">
        <v>200</v>
      </c>
      <c r="L400" s="938" t="s">
        <v>52</v>
      </c>
      <c r="M400" s="937"/>
      <c r="N400" s="942"/>
      <c r="O400" s="939"/>
      <c r="P400" s="940">
        <v>16.55</v>
      </c>
      <c r="Q400" s="940">
        <v>546.15</v>
      </c>
      <c r="R400" s="1141"/>
      <c r="S400" s="936"/>
      <c r="T400" s="940">
        <v>41.16</v>
      </c>
      <c r="U400" s="936"/>
      <c r="V400" s="1115">
        <v>33</v>
      </c>
      <c r="W400" s="937" t="s">
        <v>397</v>
      </c>
      <c r="X400" s="937" t="s">
        <v>1170</v>
      </c>
      <c r="Y400" s="938">
        <v>2</v>
      </c>
      <c r="Z400" s="1133">
        <v>100</v>
      </c>
      <c r="AA400" s="936"/>
      <c r="AB400" s="936"/>
      <c r="AC400" s="936"/>
      <c r="AD400" s="948">
        <v>0.17311603732773</v>
      </c>
      <c r="AE400" s="1115">
        <v>0.35</v>
      </c>
      <c r="AF400" s="1178" t="str">
        <f>_xlfn.DISPIMG("ID_FB5A19190F2E4AECB34C3C150F94E76C",1)</f>
        <v>=DISPIMG("ID_FB5A19190F2E4AECB34C3C150F94E76C",1)</v>
      </c>
      <c r="AG400" s="939"/>
      <c r="AH400" s="939"/>
      <c r="AI400" s="942"/>
      <c r="AJ400" s="939"/>
      <c r="AK400" s="942"/>
      <c r="AL400" s="1108">
        <v>16.55</v>
      </c>
      <c r="AM400" s="1108">
        <v>546.15</v>
      </c>
      <c r="AN400" s="1115"/>
      <c r="AO400" s="936"/>
      <c r="AP400" s="936"/>
      <c r="AQ400" s="1184" t="s">
        <v>881</v>
      </c>
      <c r="AR400" s="1120">
        <v>45674</v>
      </c>
      <c r="AS400" s="1106" t="s">
        <v>882</v>
      </c>
      <c r="AT400" s="1120">
        <v>45687</v>
      </c>
      <c r="AU400" s="1106" t="s">
        <v>883</v>
      </c>
      <c r="AV400" s="1106" t="s">
        <v>59</v>
      </c>
      <c r="AW400" s="1106" t="s">
        <v>873</v>
      </c>
      <c r="AX400" s="1183"/>
      <c r="AY400" s="860"/>
      <c r="AZ400" s="897"/>
    </row>
    <row r="401" ht="63" spans="1:52">
      <c r="A401" s="937">
        <v>98</v>
      </c>
      <c r="B401" s="937">
        <v>9503009000</v>
      </c>
      <c r="C401" s="937">
        <v>392690</v>
      </c>
      <c r="D401" s="937" t="s">
        <v>929</v>
      </c>
      <c r="E401" s="937" t="s">
        <v>1051</v>
      </c>
      <c r="F401" s="937" t="s">
        <v>1052</v>
      </c>
      <c r="G401" s="937"/>
      <c r="H401" s="937"/>
      <c r="I401" s="938" t="s">
        <v>123</v>
      </c>
      <c r="J401" s="1108">
        <v>54</v>
      </c>
      <c r="K401" s="938">
        <v>200</v>
      </c>
      <c r="L401" s="938" t="s">
        <v>52</v>
      </c>
      <c r="M401" s="937"/>
      <c r="N401" s="942"/>
      <c r="O401" s="939"/>
      <c r="P401" s="940">
        <v>30.27</v>
      </c>
      <c r="Q401" s="940">
        <v>1634.58</v>
      </c>
      <c r="R401" s="1141"/>
      <c r="S401" s="936"/>
      <c r="T401" s="940">
        <v>71.58</v>
      </c>
      <c r="U401" s="936"/>
      <c r="V401" s="1115">
        <v>54</v>
      </c>
      <c r="W401" s="939" t="s">
        <v>1171</v>
      </c>
      <c r="X401" s="937" t="s">
        <v>1172</v>
      </c>
      <c r="Y401" s="938">
        <v>7</v>
      </c>
      <c r="Z401" s="937" t="s">
        <v>1173</v>
      </c>
      <c r="AA401" s="936"/>
      <c r="AB401" s="936"/>
      <c r="AC401" s="936"/>
      <c r="AD401" s="948">
        <v>0.134110623570855</v>
      </c>
      <c r="AE401" s="1115">
        <v>0.94</v>
      </c>
      <c r="AF401" s="1178" t="str">
        <f>_xlfn.DISPIMG("ID_ABD3AD0411BC4BD9BC1795C3B570F909",1)</f>
        <v>=DISPIMG("ID_ABD3AD0411BC4BD9BC1795C3B570F909",1)</v>
      </c>
      <c r="AG401" s="939"/>
      <c r="AH401" s="939"/>
      <c r="AI401" s="942"/>
      <c r="AJ401" s="939"/>
      <c r="AK401" s="942"/>
      <c r="AL401" s="1108">
        <v>30.27</v>
      </c>
      <c r="AM401" s="1108">
        <v>1634.58</v>
      </c>
      <c r="AN401" s="1115"/>
      <c r="AO401" s="936"/>
      <c r="AP401" s="936"/>
      <c r="AQ401" s="1154" t="s">
        <v>881</v>
      </c>
      <c r="AR401" s="1120">
        <v>45674</v>
      </c>
      <c r="AS401" s="1106" t="s">
        <v>882</v>
      </c>
      <c r="AT401" s="1120">
        <v>45687</v>
      </c>
      <c r="AU401" s="1106" t="s">
        <v>883</v>
      </c>
      <c r="AV401" s="1106" t="s">
        <v>59</v>
      </c>
      <c r="AW401" s="1106" t="s">
        <v>873</v>
      </c>
      <c r="AX401" s="1183"/>
      <c r="AY401" s="860"/>
      <c r="AZ401" s="897"/>
    </row>
    <row r="402" ht="63" spans="1:52">
      <c r="A402" s="937">
        <v>99</v>
      </c>
      <c r="B402" s="937">
        <v>9503009000</v>
      </c>
      <c r="C402" s="937">
        <v>392690</v>
      </c>
      <c r="D402" s="937" t="s">
        <v>929</v>
      </c>
      <c r="E402" s="937" t="s">
        <v>1174</v>
      </c>
      <c r="F402" s="937" t="s">
        <v>1175</v>
      </c>
      <c r="G402" s="937"/>
      <c r="H402" s="937"/>
      <c r="I402" s="938" t="s">
        <v>123</v>
      </c>
      <c r="J402" s="1108">
        <v>4.1</v>
      </c>
      <c r="K402" s="938">
        <v>200</v>
      </c>
      <c r="L402" s="938" t="s">
        <v>52</v>
      </c>
      <c r="M402" s="937"/>
      <c r="N402" s="942"/>
      <c r="O402" s="939"/>
      <c r="P402" s="940">
        <v>17</v>
      </c>
      <c r="Q402" s="940">
        <v>69.7</v>
      </c>
      <c r="R402" s="1141"/>
      <c r="S402" s="936"/>
      <c r="T402" s="940">
        <v>6.28</v>
      </c>
      <c r="U402" s="936"/>
      <c r="V402" s="1115">
        <v>4.1</v>
      </c>
      <c r="W402" s="937" t="s">
        <v>1138</v>
      </c>
      <c r="X402" s="937">
        <v>71</v>
      </c>
      <c r="Y402" s="938">
        <v>1</v>
      </c>
      <c r="Z402" s="938">
        <v>200</v>
      </c>
      <c r="AA402" s="936"/>
      <c r="AB402" s="936"/>
      <c r="AC402" s="936"/>
      <c r="AD402" s="948">
        <v>0.071769021868682</v>
      </c>
      <c r="AE402" s="1115">
        <v>0.07</v>
      </c>
      <c r="AF402" s="1178" t="str">
        <f>_xlfn.DISPIMG("ID_31D8224544164DD4A72EB781D0874AB0",1)</f>
        <v>=DISPIMG("ID_31D8224544164DD4A72EB781D0874AB0",1)</v>
      </c>
      <c r="AG402" s="939"/>
      <c r="AH402" s="939" t="s">
        <v>1176</v>
      </c>
      <c r="AI402" s="942">
        <v>45635</v>
      </c>
      <c r="AJ402" s="939" t="s">
        <v>1177</v>
      </c>
      <c r="AK402" s="942">
        <v>45635</v>
      </c>
      <c r="AL402" s="1108">
        <v>17</v>
      </c>
      <c r="AM402" s="1108">
        <v>69.7</v>
      </c>
      <c r="AN402" s="1115">
        <v>842.65</v>
      </c>
      <c r="AO402" s="936"/>
      <c r="AP402" s="936"/>
      <c r="AQ402" s="1184" t="s">
        <v>881</v>
      </c>
      <c r="AR402" s="1120">
        <v>45674</v>
      </c>
      <c r="AS402" s="1106" t="s">
        <v>882</v>
      </c>
      <c r="AT402" s="1120">
        <v>45687</v>
      </c>
      <c r="AU402" s="1106" t="s">
        <v>883</v>
      </c>
      <c r="AV402" s="1106" t="s">
        <v>59</v>
      </c>
      <c r="AW402" s="1106" t="s">
        <v>873</v>
      </c>
      <c r="AX402" s="1183"/>
      <c r="AY402" s="860"/>
      <c r="AZ402" s="897"/>
    </row>
    <row r="403" ht="63" spans="1:52">
      <c r="A403" s="937">
        <v>100</v>
      </c>
      <c r="B403" s="937">
        <v>9503009000</v>
      </c>
      <c r="C403" s="937">
        <v>392690</v>
      </c>
      <c r="D403" s="937" t="s">
        <v>929</v>
      </c>
      <c r="E403" s="937" t="s">
        <v>1178</v>
      </c>
      <c r="F403" s="937" t="s">
        <v>1179</v>
      </c>
      <c r="G403" s="937"/>
      <c r="H403" s="937"/>
      <c r="I403" s="938" t="s">
        <v>123</v>
      </c>
      <c r="J403" s="1108">
        <v>4</v>
      </c>
      <c r="K403" s="938">
        <v>200</v>
      </c>
      <c r="L403" s="938" t="s">
        <v>52</v>
      </c>
      <c r="M403" s="937"/>
      <c r="N403" s="942"/>
      <c r="O403" s="939"/>
      <c r="P403" s="940">
        <v>17.05</v>
      </c>
      <c r="Q403" s="940">
        <v>68.2</v>
      </c>
      <c r="R403" s="1141"/>
      <c r="S403" s="936"/>
      <c r="T403" s="940">
        <v>5.59</v>
      </c>
      <c r="U403" s="936"/>
      <c r="V403" s="1115">
        <v>4</v>
      </c>
      <c r="W403" s="937" t="s">
        <v>1138</v>
      </c>
      <c r="X403" s="937">
        <v>72</v>
      </c>
      <c r="Y403" s="938">
        <v>1</v>
      </c>
      <c r="Z403" s="938">
        <v>200</v>
      </c>
      <c r="AA403" s="936"/>
      <c r="AB403" s="936"/>
      <c r="AC403" s="936"/>
      <c r="AD403" s="948">
        <v>0.071769021868682</v>
      </c>
      <c r="AE403" s="1115">
        <v>0.07</v>
      </c>
      <c r="AF403" s="1178" t="str">
        <f>_xlfn.DISPIMG("ID_8A8EDA126DF44CC384A4B4F3935E1105",1)</f>
        <v>=DISPIMG("ID_8A8EDA126DF44CC384A4B4F3935E1105",1)</v>
      </c>
      <c r="AG403" s="939"/>
      <c r="AH403" s="939"/>
      <c r="AI403" s="942"/>
      <c r="AJ403" s="939"/>
      <c r="AK403" s="942"/>
      <c r="AL403" s="1108">
        <v>17.05</v>
      </c>
      <c r="AM403" s="1108">
        <v>68.2</v>
      </c>
      <c r="AN403" s="1115"/>
      <c r="AO403" s="936"/>
      <c r="AP403" s="936"/>
      <c r="AQ403" s="1154" t="s">
        <v>881</v>
      </c>
      <c r="AR403" s="1120">
        <v>45674</v>
      </c>
      <c r="AS403" s="1106" t="s">
        <v>882</v>
      </c>
      <c r="AT403" s="1120">
        <v>45687</v>
      </c>
      <c r="AU403" s="1106" t="s">
        <v>883</v>
      </c>
      <c r="AV403" s="1106" t="s">
        <v>59</v>
      </c>
      <c r="AW403" s="1106" t="s">
        <v>873</v>
      </c>
      <c r="AX403" s="1183"/>
      <c r="AY403" s="860"/>
      <c r="AZ403" s="897"/>
    </row>
    <row r="404" ht="63" spans="1:52">
      <c r="A404" s="937">
        <v>101</v>
      </c>
      <c r="B404" s="937">
        <v>9503009000</v>
      </c>
      <c r="C404" s="937">
        <v>392690</v>
      </c>
      <c r="D404" s="937" t="s">
        <v>929</v>
      </c>
      <c r="E404" s="937" t="s">
        <v>1180</v>
      </c>
      <c r="F404" s="937" t="s">
        <v>1181</v>
      </c>
      <c r="G404" s="937"/>
      <c r="H404" s="937"/>
      <c r="I404" s="938" t="s">
        <v>123</v>
      </c>
      <c r="J404" s="1108">
        <v>0.75</v>
      </c>
      <c r="K404" s="938">
        <v>200</v>
      </c>
      <c r="L404" s="938" t="s">
        <v>52</v>
      </c>
      <c r="M404" s="937"/>
      <c r="N404" s="942"/>
      <c r="O404" s="939"/>
      <c r="P404" s="940">
        <v>38.2</v>
      </c>
      <c r="Q404" s="940">
        <v>28.65</v>
      </c>
      <c r="R404" s="1141"/>
      <c r="S404" s="936"/>
      <c r="T404" s="940">
        <v>0.75</v>
      </c>
      <c r="U404" s="936"/>
      <c r="V404" s="1115">
        <v>0.75</v>
      </c>
      <c r="W404" s="937" t="s">
        <v>1138</v>
      </c>
      <c r="X404" s="937">
        <v>73</v>
      </c>
      <c r="Y404" s="938">
        <v>1</v>
      </c>
      <c r="Z404" s="938">
        <v>200</v>
      </c>
      <c r="AA404" s="936"/>
      <c r="AB404" s="936"/>
      <c r="AC404" s="936"/>
      <c r="AD404" s="948">
        <v>0.00868885730177369</v>
      </c>
      <c r="AE404" s="1115">
        <v>0.01</v>
      </c>
      <c r="AF404" s="1178" t="str">
        <f>_xlfn.DISPIMG("ID_0C429F7BB78C43A0AEC84E56D0CF562D",1)</f>
        <v>=DISPIMG("ID_0C429F7BB78C43A0AEC84E56D0CF562D",1)</v>
      </c>
      <c r="AG404" s="939"/>
      <c r="AH404" s="939"/>
      <c r="AI404" s="942"/>
      <c r="AJ404" s="939"/>
      <c r="AK404" s="942"/>
      <c r="AL404" s="1108">
        <v>38.2</v>
      </c>
      <c r="AM404" s="1108">
        <v>28.65</v>
      </c>
      <c r="AN404" s="1115"/>
      <c r="AO404" s="936"/>
      <c r="AP404" s="936"/>
      <c r="AQ404" s="1184" t="s">
        <v>881</v>
      </c>
      <c r="AR404" s="1120">
        <v>45674</v>
      </c>
      <c r="AS404" s="1106" t="s">
        <v>882</v>
      </c>
      <c r="AT404" s="1120">
        <v>45687</v>
      </c>
      <c r="AU404" s="1106" t="s">
        <v>883</v>
      </c>
      <c r="AV404" s="1106" t="s">
        <v>59</v>
      </c>
      <c r="AW404" s="1106" t="s">
        <v>873</v>
      </c>
      <c r="AX404" s="1183"/>
      <c r="AY404" s="860"/>
      <c r="AZ404" s="897"/>
    </row>
    <row r="405" ht="63" spans="1:52">
      <c r="A405" s="937">
        <v>102</v>
      </c>
      <c r="B405" s="937">
        <v>9503009000</v>
      </c>
      <c r="C405" s="937">
        <v>392690</v>
      </c>
      <c r="D405" s="937" t="s">
        <v>929</v>
      </c>
      <c r="E405" s="937" t="s">
        <v>1182</v>
      </c>
      <c r="F405" s="937" t="s">
        <v>1183</v>
      </c>
      <c r="G405" s="937"/>
      <c r="H405" s="937"/>
      <c r="I405" s="938" t="s">
        <v>123</v>
      </c>
      <c r="J405" s="1108">
        <v>2.08</v>
      </c>
      <c r="K405" s="938">
        <v>200</v>
      </c>
      <c r="L405" s="938" t="s">
        <v>52</v>
      </c>
      <c r="M405" s="937"/>
      <c r="N405" s="942"/>
      <c r="O405" s="939"/>
      <c r="P405" s="940">
        <v>20.75</v>
      </c>
      <c r="Q405" s="940">
        <v>43.16</v>
      </c>
      <c r="R405" s="1141"/>
      <c r="S405" s="936"/>
      <c r="T405" s="940">
        <v>2.18</v>
      </c>
      <c r="U405" s="936"/>
      <c r="V405" s="1115">
        <v>2.08</v>
      </c>
      <c r="W405" s="937" t="s">
        <v>397</v>
      </c>
      <c r="X405" s="937">
        <v>74</v>
      </c>
      <c r="Y405" s="938">
        <v>1</v>
      </c>
      <c r="Z405" s="938">
        <v>200</v>
      </c>
      <c r="AA405" s="936"/>
      <c r="AB405" s="936"/>
      <c r="AC405" s="936"/>
      <c r="AD405" s="948">
        <v>0.0297184104814288</v>
      </c>
      <c r="AE405" s="1115">
        <v>0.03</v>
      </c>
      <c r="AF405" s="1178" t="str">
        <f>_xlfn.DISPIMG("ID_CBB8CE3AE0CC42928DF123DDE96A6DF8",1)</f>
        <v>=DISPIMG("ID_CBB8CE3AE0CC42928DF123DDE96A6DF8",1)</v>
      </c>
      <c r="AG405" s="939"/>
      <c r="AH405" s="939"/>
      <c r="AI405" s="942"/>
      <c r="AJ405" s="939"/>
      <c r="AK405" s="942"/>
      <c r="AL405" s="1108">
        <v>20.75</v>
      </c>
      <c r="AM405" s="1108">
        <v>43.16</v>
      </c>
      <c r="AN405" s="1115"/>
      <c r="AO405" s="936"/>
      <c r="AP405" s="936"/>
      <c r="AQ405" s="1154" t="s">
        <v>881</v>
      </c>
      <c r="AR405" s="1120">
        <v>45674</v>
      </c>
      <c r="AS405" s="1106" t="s">
        <v>882</v>
      </c>
      <c r="AT405" s="1120">
        <v>45687</v>
      </c>
      <c r="AU405" s="1106" t="s">
        <v>883</v>
      </c>
      <c r="AV405" s="1106" t="s">
        <v>59</v>
      </c>
      <c r="AW405" s="1106" t="s">
        <v>873</v>
      </c>
      <c r="AX405" s="1183"/>
      <c r="AY405" s="860"/>
      <c r="AZ405" s="897"/>
    </row>
    <row r="406" ht="63" spans="1:52">
      <c r="A406" s="937">
        <v>103</v>
      </c>
      <c r="B406" s="937">
        <v>9503009000</v>
      </c>
      <c r="C406" s="937">
        <v>392690</v>
      </c>
      <c r="D406" s="937" t="s">
        <v>929</v>
      </c>
      <c r="E406" s="937" t="s">
        <v>1184</v>
      </c>
      <c r="F406" s="937" t="s">
        <v>1185</v>
      </c>
      <c r="G406" s="937"/>
      <c r="H406" s="937"/>
      <c r="I406" s="938" t="s">
        <v>123</v>
      </c>
      <c r="J406" s="1108">
        <v>2.05</v>
      </c>
      <c r="K406" s="938">
        <v>200</v>
      </c>
      <c r="L406" s="938" t="s">
        <v>52</v>
      </c>
      <c r="M406" s="937"/>
      <c r="N406" s="942"/>
      <c r="O406" s="939"/>
      <c r="P406" s="940">
        <v>21</v>
      </c>
      <c r="Q406" s="940">
        <v>43.05</v>
      </c>
      <c r="R406" s="1141"/>
      <c r="S406" s="936"/>
      <c r="T406" s="940">
        <v>2.12</v>
      </c>
      <c r="U406" s="936"/>
      <c r="V406" s="1115">
        <v>2.05</v>
      </c>
      <c r="W406" s="937"/>
      <c r="X406" s="937"/>
      <c r="Y406" s="938"/>
      <c r="Z406" s="938">
        <v>200</v>
      </c>
      <c r="AA406" s="936"/>
      <c r="AB406" s="936"/>
      <c r="AC406" s="936"/>
      <c r="AD406" s="948"/>
      <c r="AE406" s="1115"/>
      <c r="AF406" s="1178" t="str">
        <f>_xlfn.DISPIMG("ID_40676E4A7AEA4F2DA1E2B833E9B867BB",1)</f>
        <v>=DISPIMG("ID_40676E4A7AEA4F2DA1E2B833E9B867BB",1)</v>
      </c>
      <c r="AG406" s="939"/>
      <c r="AH406" s="939"/>
      <c r="AI406" s="942"/>
      <c r="AJ406" s="939"/>
      <c r="AK406" s="942"/>
      <c r="AL406" s="1108">
        <v>21</v>
      </c>
      <c r="AM406" s="1108">
        <v>43.05</v>
      </c>
      <c r="AN406" s="1115"/>
      <c r="AO406" s="936"/>
      <c r="AP406" s="936"/>
      <c r="AQ406" s="1184" t="s">
        <v>881</v>
      </c>
      <c r="AR406" s="1120">
        <v>45674</v>
      </c>
      <c r="AS406" s="1106" t="s">
        <v>882</v>
      </c>
      <c r="AT406" s="1120">
        <v>45687</v>
      </c>
      <c r="AU406" s="1106" t="s">
        <v>883</v>
      </c>
      <c r="AV406" s="1106" t="s">
        <v>59</v>
      </c>
      <c r="AW406" s="1106" t="s">
        <v>873</v>
      </c>
      <c r="AX406" s="1183"/>
      <c r="AY406" s="860"/>
      <c r="AZ406" s="897"/>
    </row>
    <row r="407" ht="63" spans="1:52">
      <c r="A407" s="937">
        <v>104</v>
      </c>
      <c r="B407" s="937">
        <v>9503009000</v>
      </c>
      <c r="C407" s="937">
        <v>392690</v>
      </c>
      <c r="D407" s="937" t="s">
        <v>929</v>
      </c>
      <c r="E407" s="937" t="s">
        <v>1186</v>
      </c>
      <c r="F407" s="937" t="s">
        <v>1187</v>
      </c>
      <c r="G407" s="937"/>
      <c r="H407" s="937"/>
      <c r="I407" s="938" t="s">
        <v>123</v>
      </c>
      <c r="J407" s="1108">
        <v>0.4</v>
      </c>
      <c r="K407" s="938">
        <v>400</v>
      </c>
      <c r="L407" s="938" t="s">
        <v>52</v>
      </c>
      <c r="M407" s="937"/>
      <c r="N407" s="942"/>
      <c r="O407" s="939"/>
      <c r="P407" s="940">
        <v>117</v>
      </c>
      <c r="Q407" s="940">
        <v>46.8</v>
      </c>
      <c r="R407" s="1141"/>
      <c r="S407" s="936"/>
      <c r="T407" s="940">
        <v>0.43</v>
      </c>
      <c r="U407" s="936"/>
      <c r="V407" s="1115">
        <v>0.4</v>
      </c>
      <c r="W407" s="937" t="s">
        <v>1138</v>
      </c>
      <c r="X407" s="937">
        <v>75</v>
      </c>
      <c r="Y407" s="938">
        <v>1</v>
      </c>
      <c r="Z407" s="938">
        <v>400</v>
      </c>
      <c r="AA407" s="936"/>
      <c r="AB407" s="936"/>
      <c r="AC407" s="936"/>
      <c r="AD407" s="948">
        <v>0.00868885730177369</v>
      </c>
      <c r="AE407" s="1115">
        <v>0.01</v>
      </c>
      <c r="AF407" s="1178" t="str">
        <f>_xlfn.DISPIMG("ID_8CA3F0D14FAA4ED0AAF3BF2C379A5B2D",1)</f>
        <v>=DISPIMG("ID_8CA3F0D14FAA4ED0AAF3BF2C379A5B2D",1)</v>
      </c>
      <c r="AG407" s="939"/>
      <c r="AH407" s="939"/>
      <c r="AI407" s="942"/>
      <c r="AJ407" s="939"/>
      <c r="AK407" s="942"/>
      <c r="AL407" s="1108">
        <v>117</v>
      </c>
      <c r="AM407" s="1108">
        <v>46.8</v>
      </c>
      <c r="AN407" s="1115"/>
      <c r="AO407" s="936"/>
      <c r="AP407" s="936"/>
      <c r="AQ407" s="1154" t="s">
        <v>881</v>
      </c>
      <c r="AR407" s="1120">
        <v>45674</v>
      </c>
      <c r="AS407" s="1106" t="s">
        <v>882</v>
      </c>
      <c r="AT407" s="1120">
        <v>45687</v>
      </c>
      <c r="AU407" s="1106" t="s">
        <v>883</v>
      </c>
      <c r="AV407" s="1106" t="s">
        <v>59</v>
      </c>
      <c r="AW407" s="1106" t="s">
        <v>873</v>
      </c>
      <c r="AX407" s="1183"/>
      <c r="AY407" s="860"/>
      <c r="AZ407" s="897"/>
    </row>
    <row r="408" ht="63" spans="1:52">
      <c r="A408" s="937">
        <v>105</v>
      </c>
      <c r="B408" s="937">
        <v>9503009000</v>
      </c>
      <c r="C408" s="937">
        <v>392690</v>
      </c>
      <c r="D408" s="937" t="s">
        <v>929</v>
      </c>
      <c r="E408" s="937" t="s">
        <v>1188</v>
      </c>
      <c r="F408" s="937" t="s">
        <v>1189</v>
      </c>
      <c r="G408" s="937"/>
      <c r="H408" s="937"/>
      <c r="I408" s="938" t="s">
        <v>123</v>
      </c>
      <c r="J408" s="1108">
        <v>0.5</v>
      </c>
      <c r="K408" s="938">
        <v>200</v>
      </c>
      <c r="L408" s="938" t="s">
        <v>52</v>
      </c>
      <c r="M408" s="937"/>
      <c r="N408" s="942"/>
      <c r="O408" s="939"/>
      <c r="P408" s="940">
        <v>54</v>
      </c>
      <c r="Q408" s="940">
        <v>27</v>
      </c>
      <c r="R408" s="1141"/>
      <c r="S408" s="936"/>
      <c r="T408" s="940">
        <v>0.54</v>
      </c>
      <c r="U408" s="936"/>
      <c r="V408" s="1115">
        <v>0.5</v>
      </c>
      <c r="W408" s="937"/>
      <c r="X408" s="937"/>
      <c r="Y408" s="938"/>
      <c r="Z408" s="938">
        <v>200</v>
      </c>
      <c r="AA408" s="936"/>
      <c r="AB408" s="936"/>
      <c r="AC408" s="936"/>
      <c r="AD408" s="948"/>
      <c r="AE408" s="1115"/>
      <c r="AF408" s="1178" t="str">
        <f>_xlfn.DISPIMG("ID_AC83A2225E044E9BA2C06491D0767C0D",1)</f>
        <v>=DISPIMG("ID_AC83A2225E044E9BA2C06491D0767C0D",1)</v>
      </c>
      <c r="AG408" s="939"/>
      <c r="AH408" s="939"/>
      <c r="AI408" s="942"/>
      <c r="AJ408" s="939"/>
      <c r="AK408" s="942"/>
      <c r="AL408" s="1108">
        <v>54</v>
      </c>
      <c r="AM408" s="1108">
        <v>27</v>
      </c>
      <c r="AN408" s="1115"/>
      <c r="AO408" s="936"/>
      <c r="AP408" s="936"/>
      <c r="AQ408" s="1184" t="s">
        <v>881</v>
      </c>
      <c r="AR408" s="1120">
        <v>45674</v>
      </c>
      <c r="AS408" s="1106" t="s">
        <v>882</v>
      </c>
      <c r="AT408" s="1120">
        <v>45687</v>
      </c>
      <c r="AU408" s="1106" t="s">
        <v>883</v>
      </c>
      <c r="AV408" s="1106" t="s">
        <v>59</v>
      </c>
      <c r="AW408" s="1106" t="s">
        <v>873</v>
      </c>
      <c r="AX408" s="1183"/>
      <c r="AY408" s="860"/>
      <c r="AZ408" s="897"/>
    </row>
    <row r="409" ht="63" spans="1:52">
      <c r="A409" s="937">
        <v>106</v>
      </c>
      <c r="B409" s="937">
        <v>9503009000</v>
      </c>
      <c r="C409" s="937">
        <v>392690</v>
      </c>
      <c r="D409" s="937" t="s">
        <v>929</v>
      </c>
      <c r="E409" s="937" t="s">
        <v>1190</v>
      </c>
      <c r="F409" s="937" t="s">
        <v>1191</v>
      </c>
      <c r="G409" s="937"/>
      <c r="H409" s="937"/>
      <c r="I409" s="938" t="s">
        <v>123</v>
      </c>
      <c r="J409" s="1108">
        <v>0.5</v>
      </c>
      <c r="K409" s="938">
        <v>200</v>
      </c>
      <c r="L409" s="938" t="s">
        <v>52</v>
      </c>
      <c r="M409" s="937"/>
      <c r="N409" s="942"/>
      <c r="O409" s="939"/>
      <c r="P409" s="940">
        <v>43.2</v>
      </c>
      <c r="Q409" s="940">
        <v>21.6</v>
      </c>
      <c r="R409" s="1141"/>
      <c r="S409" s="936"/>
      <c r="T409" s="940">
        <v>0.53</v>
      </c>
      <c r="U409" s="936"/>
      <c r="V409" s="1115">
        <v>0.5</v>
      </c>
      <c r="W409" s="937"/>
      <c r="X409" s="937"/>
      <c r="Y409" s="938"/>
      <c r="Z409" s="938">
        <v>200</v>
      </c>
      <c r="AA409" s="936"/>
      <c r="AB409" s="936"/>
      <c r="AC409" s="936"/>
      <c r="AD409" s="948"/>
      <c r="AE409" s="1115"/>
      <c r="AF409" s="1178" t="str">
        <f>_xlfn.DISPIMG("ID_1EA1AA765C1344719E85258C465C6733",1)</f>
        <v>=DISPIMG("ID_1EA1AA765C1344719E85258C465C6733",1)</v>
      </c>
      <c r="AG409" s="939"/>
      <c r="AH409" s="939"/>
      <c r="AI409" s="942"/>
      <c r="AJ409" s="939"/>
      <c r="AK409" s="942"/>
      <c r="AL409" s="1108">
        <v>43.2</v>
      </c>
      <c r="AM409" s="1108">
        <v>21.6</v>
      </c>
      <c r="AN409" s="1115"/>
      <c r="AO409" s="936"/>
      <c r="AP409" s="936"/>
      <c r="AQ409" s="1154" t="s">
        <v>881</v>
      </c>
      <c r="AR409" s="1120">
        <v>45674</v>
      </c>
      <c r="AS409" s="1106" t="s">
        <v>882</v>
      </c>
      <c r="AT409" s="1120">
        <v>45687</v>
      </c>
      <c r="AU409" s="1106" t="s">
        <v>883</v>
      </c>
      <c r="AV409" s="1106" t="s">
        <v>59</v>
      </c>
      <c r="AW409" s="1106" t="s">
        <v>873</v>
      </c>
      <c r="AX409" s="1183"/>
      <c r="AY409" s="860"/>
      <c r="AZ409" s="897"/>
    </row>
    <row r="410" ht="63" spans="1:52">
      <c r="A410" s="937">
        <v>107</v>
      </c>
      <c r="B410" s="937">
        <v>9503009000</v>
      </c>
      <c r="C410" s="937">
        <v>392690</v>
      </c>
      <c r="D410" s="937" t="s">
        <v>929</v>
      </c>
      <c r="E410" s="937" t="s">
        <v>1101</v>
      </c>
      <c r="F410" s="937" t="s">
        <v>1102</v>
      </c>
      <c r="G410" s="937"/>
      <c r="H410" s="937"/>
      <c r="I410" s="938" t="s">
        <v>123</v>
      </c>
      <c r="J410" s="1108">
        <v>1.04</v>
      </c>
      <c r="K410" s="938">
        <v>200</v>
      </c>
      <c r="L410" s="938" t="s">
        <v>52</v>
      </c>
      <c r="M410" s="937"/>
      <c r="N410" s="942"/>
      <c r="O410" s="939"/>
      <c r="P410" s="940">
        <v>27.5</v>
      </c>
      <c r="Q410" s="940">
        <v>28.6</v>
      </c>
      <c r="R410" s="1141"/>
      <c r="S410" s="936"/>
      <c r="T410" s="940">
        <v>1.14</v>
      </c>
      <c r="U410" s="936"/>
      <c r="V410" s="1115">
        <v>1.04</v>
      </c>
      <c r="W410" s="937" t="s">
        <v>397</v>
      </c>
      <c r="X410" s="937">
        <v>76</v>
      </c>
      <c r="Y410" s="938">
        <v>1</v>
      </c>
      <c r="Z410" s="938">
        <v>200</v>
      </c>
      <c r="AA410" s="936"/>
      <c r="AB410" s="936"/>
      <c r="AC410" s="936"/>
      <c r="AD410" s="948">
        <v>0.00868885730177369</v>
      </c>
      <c r="AE410" s="1115">
        <v>0.01</v>
      </c>
      <c r="AF410" s="1178" t="str">
        <f>_xlfn.DISPIMG("ID_A74636410B9B445498D0AA9E65E56BA5",1)</f>
        <v>=DISPIMG("ID_A74636410B9B445498D0AA9E65E56BA5",1)</v>
      </c>
      <c r="AG410" s="939"/>
      <c r="AH410" s="939"/>
      <c r="AI410" s="942"/>
      <c r="AJ410" s="939"/>
      <c r="AK410" s="942"/>
      <c r="AL410" s="1108">
        <v>27.5</v>
      </c>
      <c r="AM410" s="1108">
        <v>28.6</v>
      </c>
      <c r="AN410" s="1115"/>
      <c r="AO410" s="936"/>
      <c r="AP410" s="936"/>
      <c r="AQ410" s="1184" t="s">
        <v>881</v>
      </c>
      <c r="AR410" s="1120">
        <v>45674</v>
      </c>
      <c r="AS410" s="1106" t="s">
        <v>882</v>
      </c>
      <c r="AT410" s="1120">
        <v>45687</v>
      </c>
      <c r="AU410" s="1106" t="s">
        <v>883</v>
      </c>
      <c r="AV410" s="1106" t="s">
        <v>59</v>
      </c>
      <c r="AW410" s="1106" t="s">
        <v>873</v>
      </c>
      <c r="AX410" s="1183"/>
      <c r="AY410" s="860"/>
      <c r="AZ410" s="897"/>
    </row>
    <row r="411" ht="78.75" spans="1:52">
      <c r="A411" s="937">
        <v>108</v>
      </c>
      <c r="B411" s="937">
        <v>9503009000</v>
      </c>
      <c r="C411" s="937">
        <v>392690</v>
      </c>
      <c r="D411" s="937" t="s">
        <v>929</v>
      </c>
      <c r="E411" s="937" t="s">
        <v>1192</v>
      </c>
      <c r="F411" s="937" t="s">
        <v>1193</v>
      </c>
      <c r="G411" s="937"/>
      <c r="H411" s="937"/>
      <c r="I411" s="938" t="s">
        <v>123</v>
      </c>
      <c r="J411" s="1108">
        <v>0.02</v>
      </c>
      <c r="K411" s="938">
        <v>200</v>
      </c>
      <c r="L411" s="938" t="s">
        <v>52</v>
      </c>
      <c r="M411" s="937"/>
      <c r="N411" s="942"/>
      <c r="O411" s="939"/>
      <c r="P411" s="940">
        <v>756</v>
      </c>
      <c r="Q411" s="940">
        <v>15.12</v>
      </c>
      <c r="R411" s="1141"/>
      <c r="S411" s="936"/>
      <c r="T411" s="940">
        <v>0.11</v>
      </c>
      <c r="U411" s="936"/>
      <c r="V411" s="1115">
        <v>0.02</v>
      </c>
      <c r="W411" s="937"/>
      <c r="X411" s="937"/>
      <c r="Y411" s="938"/>
      <c r="Z411" s="938">
        <v>200</v>
      </c>
      <c r="AA411" s="936"/>
      <c r="AB411" s="936"/>
      <c r="AC411" s="936"/>
      <c r="AD411" s="948"/>
      <c r="AE411" s="1115"/>
      <c r="AF411" s="1178" t="str">
        <f>_xlfn.DISPIMG("ID_BE408F2469DA419498D5348E61E103C4",1)</f>
        <v>=DISPIMG("ID_BE408F2469DA419498D5348E61E103C4",1)</v>
      </c>
      <c r="AG411" s="939"/>
      <c r="AH411" s="939"/>
      <c r="AI411" s="942"/>
      <c r="AJ411" s="939"/>
      <c r="AK411" s="942"/>
      <c r="AL411" s="1108">
        <v>756</v>
      </c>
      <c r="AM411" s="1108">
        <v>15.12</v>
      </c>
      <c r="AN411" s="1115"/>
      <c r="AO411" s="936"/>
      <c r="AP411" s="936"/>
      <c r="AQ411" s="1154" t="s">
        <v>881</v>
      </c>
      <c r="AR411" s="1120">
        <v>45674</v>
      </c>
      <c r="AS411" s="1106" t="s">
        <v>882</v>
      </c>
      <c r="AT411" s="1120">
        <v>45687</v>
      </c>
      <c r="AU411" s="1106" t="s">
        <v>883</v>
      </c>
      <c r="AV411" s="1106" t="s">
        <v>59</v>
      </c>
      <c r="AW411" s="1106" t="s">
        <v>873</v>
      </c>
      <c r="AX411" s="1183"/>
      <c r="AY411" s="860"/>
      <c r="AZ411" s="897"/>
    </row>
    <row r="412" ht="63" spans="1:52">
      <c r="A412" s="937">
        <v>109</v>
      </c>
      <c r="B412" s="937">
        <v>9503009000</v>
      </c>
      <c r="C412" s="937">
        <v>392690</v>
      </c>
      <c r="D412" s="937" t="s">
        <v>929</v>
      </c>
      <c r="E412" s="937" t="s">
        <v>1194</v>
      </c>
      <c r="F412" s="937" t="s">
        <v>1195</v>
      </c>
      <c r="G412" s="937"/>
      <c r="H412" s="937"/>
      <c r="I412" s="938" t="s">
        <v>123</v>
      </c>
      <c r="J412" s="1108">
        <v>0.8</v>
      </c>
      <c r="K412" s="938">
        <v>200</v>
      </c>
      <c r="L412" s="938" t="s">
        <v>52</v>
      </c>
      <c r="M412" s="937"/>
      <c r="N412" s="942"/>
      <c r="O412" s="939"/>
      <c r="P412" s="940">
        <v>23.65</v>
      </c>
      <c r="Q412" s="940">
        <v>18.92</v>
      </c>
      <c r="R412" s="1141"/>
      <c r="S412" s="936"/>
      <c r="T412" s="940">
        <v>1</v>
      </c>
      <c r="U412" s="936"/>
      <c r="V412" s="1115">
        <v>0.8</v>
      </c>
      <c r="W412" s="937" t="s">
        <v>397</v>
      </c>
      <c r="X412" s="937">
        <v>77</v>
      </c>
      <c r="Y412" s="938">
        <v>1</v>
      </c>
      <c r="Z412" s="938">
        <v>200</v>
      </c>
      <c r="AA412" s="936"/>
      <c r="AB412" s="936"/>
      <c r="AC412" s="936"/>
      <c r="AD412" s="948">
        <v>0.00868885730177369</v>
      </c>
      <c r="AE412" s="1115">
        <v>0.01</v>
      </c>
      <c r="AF412" s="1178" t="str">
        <f>_xlfn.DISPIMG("ID_03E42DC740F84C32924D38A0746A6064",1)</f>
        <v>=DISPIMG("ID_03E42DC740F84C32924D38A0746A6064",1)</v>
      </c>
      <c r="AG412" s="939"/>
      <c r="AH412" s="939"/>
      <c r="AI412" s="942"/>
      <c r="AJ412" s="939"/>
      <c r="AK412" s="942"/>
      <c r="AL412" s="1108">
        <v>23.65</v>
      </c>
      <c r="AM412" s="1108">
        <v>18.92</v>
      </c>
      <c r="AN412" s="1115"/>
      <c r="AO412" s="936"/>
      <c r="AP412" s="936"/>
      <c r="AQ412" s="1184" t="s">
        <v>881</v>
      </c>
      <c r="AR412" s="1120">
        <v>45674</v>
      </c>
      <c r="AS412" s="1106" t="s">
        <v>882</v>
      </c>
      <c r="AT412" s="1120">
        <v>45687</v>
      </c>
      <c r="AU412" s="1106" t="s">
        <v>883</v>
      </c>
      <c r="AV412" s="1106" t="s">
        <v>59</v>
      </c>
      <c r="AW412" s="1106" t="s">
        <v>873</v>
      </c>
      <c r="AX412" s="1183"/>
      <c r="AY412" s="860"/>
      <c r="AZ412" s="897"/>
    </row>
    <row r="413" ht="63" spans="1:52">
      <c r="A413" s="937">
        <v>110</v>
      </c>
      <c r="B413" s="937">
        <v>9503009000</v>
      </c>
      <c r="C413" s="937">
        <v>392690</v>
      </c>
      <c r="D413" s="937" t="s">
        <v>929</v>
      </c>
      <c r="E413" s="937" t="s">
        <v>1196</v>
      </c>
      <c r="F413" s="937" t="s">
        <v>1197</v>
      </c>
      <c r="G413" s="937"/>
      <c r="H413" s="937"/>
      <c r="I413" s="938" t="s">
        <v>123</v>
      </c>
      <c r="J413" s="1108">
        <v>0.78</v>
      </c>
      <c r="K413" s="938">
        <v>200</v>
      </c>
      <c r="L413" s="938" t="s">
        <v>52</v>
      </c>
      <c r="M413" s="937"/>
      <c r="N413" s="942"/>
      <c r="O413" s="939"/>
      <c r="P413" s="940">
        <v>24</v>
      </c>
      <c r="Q413" s="940">
        <v>18.72</v>
      </c>
      <c r="R413" s="1141"/>
      <c r="S413" s="936"/>
      <c r="T413" s="940">
        <v>0.88</v>
      </c>
      <c r="U413" s="936"/>
      <c r="V413" s="1115">
        <v>0.78</v>
      </c>
      <c r="W413" s="937"/>
      <c r="X413" s="937"/>
      <c r="Y413" s="938"/>
      <c r="Z413" s="938">
        <v>200</v>
      </c>
      <c r="AA413" s="936"/>
      <c r="AB413" s="936"/>
      <c r="AC413" s="936"/>
      <c r="AD413" s="948"/>
      <c r="AE413" s="1115"/>
      <c r="AF413" s="1178" t="str">
        <f>_xlfn.DISPIMG("ID_820E5DC4A4CB49D2AF6E6234C5014276",1)</f>
        <v>=DISPIMG("ID_820E5DC4A4CB49D2AF6E6234C5014276",1)</v>
      </c>
      <c r="AG413" s="939"/>
      <c r="AH413" s="939"/>
      <c r="AI413" s="942"/>
      <c r="AJ413" s="939"/>
      <c r="AK413" s="942"/>
      <c r="AL413" s="1108">
        <v>24</v>
      </c>
      <c r="AM413" s="1108">
        <v>18.72</v>
      </c>
      <c r="AN413" s="1115"/>
      <c r="AO413" s="936"/>
      <c r="AP413" s="936"/>
      <c r="AQ413" s="1154" t="s">
        <v>881</v>
      </c>
      <c r="AR413" s="1120">
        <v>45674</v>
      </c>
      <c r="AS413" s="1106" t="s">
        <v>882</v>
      </c>
      <c r="AT413" s="1120">
        <v>45687</v>
      </c>
      <c r="AU413" s="1106" t="s">
        <v>883</v>
      </c>
      <c r="AV413" s="1106" t="s">
        <v>59</v>
      </c>
      <c r="AW413" s="1106" t="s">
        <v>873</v>
      </c>
      <c r="AX413" s="1183"/>
      <c r="AY413" s="860"/>
      <c r="AZ413" s="897"/>
    </row>
    <row r="414" ht="63" spans="1:52">
      <c r="A414" s="937">
        <v>111</v>
      </c>
      <c r="B414" s="937">
        <v>9503009000</v>
      </c>
      <c r="C414" s="937">
        <v>392690</v>
      </c>
      <c r="D414" s="937" t="s">
        <v>929</v>
      </c>
      <c r="E414" s="937" t="s">
        <v>1198</v>
      </c>
      <c r="F414" s="937" t="s">
        <v>1199</v>
      </c>
      <c r="G414" s="937"/>
      <c r="H414" s="937"/>
      <c r="I414" s="938" t="s">
        <v>123</v>
      </c>
      <c r="J414" s="1108">
        <v>5.48</v>
      </c>
      <c r="K414" s="938">
        <v>200</v>
      </c>
      <c r="L414" s="938" t="s">
        <v>52</v>
      </c>
      <c r="M414" s="937"/>
      <c r="N414" s="942"/>
      <c r="O414" s="939"/>
      <c r="P414" s="940">
        <v>13</v>
      </c>
      <c r="Q414" s="940">
        <v>71.24</v>
      </c>
      <c r="R414" s="1141"/>
      <c r="S414" s="936"/>
      <c r="T414" s="940">
        <v>6.23</v>
      </c>
      <c r="U414" s="936"/>
      <c r="V414" s="1115">
        <v>5.48</v>
      </c>
      <c r="W414" s="937" t="s">
        <v>397</v>
      </c>
      <c r="X414" s="937">
        <v>78</v>
      </c>
      <c r="Y414" s="938">
        <v>1</v>
      </c>
      <c r="Z414" s="938">
        <v>200</v>
      </c>
      <c r="AA414" s="936"/>
      <c r="AB414" s="936"/>
      <c r="AC414" s="936"/>
      <c r="AD414" s="948">
        <v>0.0726442538426903</v>
      </c>
      <c r="AE414" s="1115">
        <v>0.07</v>
      </c>
      <c r="AF414" s="1178" t="str">
        <f>_xlfn.DISPIMG("ID_7AAEF80C00B846D1AED867479D8F71C2",1)</f>
        <v>=DISPIMG("ID_7AAEF80C00B846D1AED867479D8F71C2",1)</v>
      </c>
      <c r="AG414" s="939"/>
      <c r="AH414" s="939"/>
      <c r="AI414" s="942"/>
      <c r="AJ414" s="939"/>
      <c r="AK414" s="942"/>
      <c r="AL414" s="1108">
        <v>13</v>
      </c>
      <c r="AM414" s="1108">
        <v>71.24</v>
      </c>
      <c r="AN414" s="1115"/>
      <c r="AO414" s="936"/>
      <c r="AP414" s="936"/>
      <c r="AQ414" s="1184" t="s">
        <v>881</v>
      </c>
      <c r="AR414" s="1120">
        <v>45674</v>
      </c>
      <c r="AS414" s="1106" t="s">
        <v>882</v>
      </c>
      <c r="AT414" s="1120">
        <v>45687</v>
      </c>
      <c r="AU414" s="1106" t="s">
        <v>883</v>
      </c>
      <c r="AV414" s="1106" t="s">
        <v>59</v>
      </c>
      <c r="AW414" s="1106" t="s">
        <v>873</v>
      </c>
      <c r="AX414" s="1183"/>
      <c r="AY414" s="860"/>
      <c r="AZ414" s="897"/>
    </row>
    <row r="415" ht="63" spans="1:52">
      <c r="A415" s="937">
        <v>112</v>
      </c>
      <c r="B415" s="937">
        <v>9503009000</v>
      </c>
      <c r="C415" s="937">
        <v>392690</v>
      </c>
      <c r="D415" s="937" t="s">
        <v>929</v>
      </c>
      <c r="E415" s="937" t="s">
        <v>1200</v>
      </c>
      <c r="F415" s="937" t="s">
        <v>1201</v>
      </c>
      <c r="G415" s="937"/>
      <c r="H415" s="937"/>
      <c r="I415" s="938" t="s">
        <v>123</v>
      </c>
      <c r="J415" s="1108">
        <v>0.06</v>
      </c>
      <c r="K415" s="938">
        <v>200</v>
      </c>
      <c r="L415" s="938" t="s">
        <v>52</v>
      </c>
      <c r="M415" s="937"/>
      <c r="N415" s="942"/>
      <c r="O415" s="939"/>
      <c r="P415" s="940">
        <v>318</v>
      </c>
      <c r="Q415" s="940">
        <v>19.08</v>
      </c>
      <c r="R415" s="1141"/>
      <c r="S415" s="936"/>
      <c r="T415" s="940">
        <v>0.06</v>
      </c>
      <c r="U415" s="936"/>
      <c r="V415" s="1115">
        <v>0.06</v>
      </c>
      <c r="W415" s="937" t="s">
        <v>397</v>
      </c>
      <c r="X415" s="937">
        <v>79</v>
      </c>
      <c r="Y415" s="938">
        <v>1</v>
      </c>
      <c r="Z415" s="938">
        <v>200</v>
      </c>
      <c r="AA415" s="936"/>
      <c r="AB415" s="936"/>
      <c r="AC415" s="936"/>
      <c r="AD415" s="1140">
        <v>0.0291274702428774</v>
      </c>
      <c r="AE415" s="1115">
        <v>0.03</v>
      </c>
      <c r="AF415" s="1178" t="str">
        <f>_xlfn.DISPIMG("ID_03EAB70124D648C7AACECF571FAFD488",1)</f>
        <v>=DISPIMG("ID_03EAB70124D648C7AACECF571FAFD488",1)</v>
      </c>
      <c r="AG415" s="939"/>
      <c r="AH415" s="939"/>
      <c r="AI415" s="942"/>
      <c r="AJ415" s="939"/>
      <c r="AK415" s="942"/>
      <c r="AL415" s="1108">
        <v>318</v>
      </c>
      <c r="AM415" s="1108">
        <v>19.08</v>
      </c>
      <c r="AN415" s="1115"/>
      <c r="AO415" s="936"/>
      <c r="AP415" s="936"/>
      <c r="AQ415" s="1154" t="s">
        <v>881</v>
      </c>
      <c r="AR415" s="1120">
        <v>45674</v>
      </c>
      <c r="AS415" s="1106" t="s">
        <v>882</v>
      </c>
      <c r="AT415" s="1120">
        <v>45687</v>
      </c>
      <c r="AU415" s="1106" t="s">
        <v>883</v>
      </c>
      <c r="AV415" s="1106" t="s">
        <v>59</v>
      </c>
      <c r="AW415" s="1106" t="s">
        <v>873</v>
      </c>
      <c r="AX415" s="1183"/>
      <c r="AY415" s="860"/>
      <c r="AZ415" s="897"/>
    </row>
    <row r="416" ht="63" spans="1:52">
      <c r="A416" s="937">
        <v>113</v>
      </c>
      <c r="B416" s="937">
        <v>9503009000</v>
      </c>
      <c r="C416" s="937">
        <v>392690</v>
      </c>
      <c r="D416" s="937" t="s">
        <v>929</v>
      </c>
      <c r="E416" s="937" t="s">
        <v>1202</v>
      </c>
      <c r="F416" s="937" t="s">
        <v>1203</v>
      </c>
      <c r="G416" s="937"/>
      <c r="H416" s="937"/>
      <c r="I416" s="938" t="s">
        <v>123</v>
      </c>
      <c r="J416" s="1108">
        <v>1.3</v>
      </c>
      <c r="K416" s="938">
        <v>200</v>
      </c>
      <c r="L416" s="938" t="s">
        <v>52</v>
      </c>
      <c r="M416" s="937"/>
      <c r="N416" s="942"/>
      <c r="O416" s="939"/>
      <c r="P416" s="940">
        <v>16.1</v>
      </c>
      <c r="Q416" s="940">
        <v>20.93</v>
      </c>
      <c r="R416" s="1141"/>
      <c r="S416" s="936"/>
      <c r="T416" s="940">
        <v>1.8</v>
      </c>
      <c r="U416" s="936"/>
      <c r="V416" s="1115">
        <v>1.3</v>
      </c>
      <c r="W416" s="937"/>
      <c r="X416" s="937"/>
      <c r="Y416" s="938"/>
      <c r="Z416" s="938">
        <v>200</v>
      </c>
      <c r="AA416" s="936"/>
      <c r="AB416" s="936"/>
      <c r="AC416" s="936"/>
      <c r="AD416" s="1140"/>
      <c r="AE416" s="1115"/>
      <c r="AF416" s="1178" t="str">
        <f>_xlfn.DISPIMG("ID_F2BD4E281AA04DDEB93BDFACE206DDBB",1)</f>
        <v>=DISPIMG("ID_F2BD4E281AA04DDEB93BDFACE206DDBB",1)</v>
      </c>
      <c r="AG416" s="939"/>
      <c r="AH416" s="939"/>
      <c r="AI416" s="942"/>
      <c r="AJ416" s="939"/>
      <c r="AK416" s="942"/>
      <c r="AL416" s="1108">
        <v>16.1</v>
      </c>
      <c r="AM416" s="1108">
        <v>20.93</v>
      </c>
      <c r="AN416" s="1115"/>
      <c r="AO416" s="936"/>
      <c r="AP416" s="936"/>
      <c r="AQ416" s="1184" t="s">
        <v>881</v>
      </c>
      <c r="AR416" s="1120">
        <v>45674</v>
      </c>
      <c r="AS416" s="1106" t="s">
        <v>882</v>
      </c>
      <c r="AT416" s="1120">
        <v>45687</v>
      </c>
      <c r="AU416" s="1106" t="s">
        <v>883</v>
      </c>
      <c r="AV416" s="1106" t="s">
        <v>59</v>
      </c>
      <c r="AW416" s="1106" t="s">
        <v>873</v>
      </c>
      <c r="AX416" s="1183"/>
      <c r="AY416" s="860"/>
      <c r="AZ416" s="897"/>
    </row>
    <row r="417" ht="63" spans="1:52">
      <c r="A417" s="937">
        <v>114</v>
      </c>
      <c r="B417" s="937">
        <v>9503009000</v>
      </c>
      <c r="C417" s="937">
        <v>392690</v>
      </c>
      <c r="D417" s="937" t="s">
        <v>929</v>
      </c>
      <c r="E417" s="937" t="s">
        <v>1204</v>
      </c>
      <c r="F417" s="937" t="s">
        <v>1205</v>
      </c>
      <c r="G417" s="937"/>
      <c r="H417" s="937"/>
      <c r="I417" s="938" t="s">
        <v>123</v>
      </c>
      <c r="J417" s="1108">
        <v>0.2</v>
      </c>
      <c r="K417" s="938">
        <v>200</v>
      </c>
      <c r="L417" s="938" t="s">
        <v>52</v>
      </c>
      <c r="M417" s="937"/>
      <c r="N417" s="942"/>
      <c r="O417" s="939"/>
      <c r="P417" s="940">
        <v>786.6</v>
      </c>
      <c r="Q417" s="940">
        <v>157.32</v>
      </c>
      <c r="R417" s="1141"/>
      <c r="S417" s="936"/>
      <c r="T417" s="940">
        <v>0.39</v>
      </c>
      <c r="U417" s="936"/>
      <c r="V417" s="1115">
        <v>0.2</v>
      </c>
      <c r="W417" s="937" t="s">
        <v>1138</v>
      </c>
      <c r="X417" s="937">
        <v>80</v>
      </c>
      <c r="Y417" s="938">
        <v>1</v>
      </c>
      <c r="Z417" s="938">
        <v>200</v>
      </c>
      <c r="AA417" s="936"/>
      <c r="AB417" s="936"/>
      <c r="AC417" s="936"/>
      <c r="AD417" s="1140">
        <v>0.00868885730177369</v>
      </c>
      <c r="AE417" s="1115">
        <v>0.01</v>
      </c>
      <c r="AF417" s="1178" t="str">
        <f>_xlfn.DISPIMG("ID_6EEFBEDDF9AC49489A0DD0C46755A123",1)</f>
        <v>=DISPIMG("ID_6EEFBEDDF9AC49489A0DD0C46755A123",1)</v>
      </c>
      <c r="AG417" s="939"/>
      <c r="AH417" s="939"/>
      <c r="AI417" s="942"/>
      <c r="AJ417" s="939"/>
      <c r="AK417" s="942"/>
      <c r="AL417" s="1108">
        <v>786.6</v>
      </c>
      <c r="AM417" s="1108">
        <v>157.32</v>
      </c>
      <c r="AN417" s="1115"/>
      <c r="AO417" s="936"/>
      <c r="AP417" s="936"/>
      <c r="AQ417" s="1154" t="s">
        <v>881</v>
      </c>
      <c r="AR417" s="1120">
        <v>45674</v>
      </c>
      <c r="AS417" s="1106" t="s">
        <v>882</v>
      </c>
      <c r="AT417" s="1120">
        <v>45687</v>
      </c>
      <c r="AU417" s="1106" t="s">
        <v>883</v>
      </c>
      <c r="AV417" s="1106" t="s">
        <v>59</v>
      </c>
      <c r="AW417" s="1106" t="s">
        <v>873</v>
      </c>
      <c r="AX417" s="1183"/>
      <c r="AY417" s="860"/>
      <c r="AZ417" s="897"/>
    </row>
    <row r="418" ht="63" spans="1:52">
      <c r="A418" s="937">
        <v>115</v>
      </c>
      <c r="B418" s="937">
        <v>9503009000</v>
      </c>
      <c r="C418" s="937">
        <v>392690</v>
      </c>
      <c r="D418" s="937" t="s">
        <v>929</v>
      </c>
      <c r="E418" s="937" t="s">
        <v>1206</v>
      </c>
      <c r="F418" s="937" t="s">
        <v>1207</v>
      </c>
      <c r="G418" s="937"/>
      <c r="H418" s="937"/>
      <c r="I418" s="938" t="s">
        <v>123</v>
      </c>
      <c r="J418" s="1108">
        <v>1.9</v>
      </c>
      <c r="K418" s="938">
        <v>200</v>
      </c>
      <c r="L418" s="938" t="s">
        <v>52</v>
      </c>
      <c r="M418" s="937"/>
      <c r="N418" s="942"/>
      <c r="O418" s="939"/>
      <c r="P418" s="940">
        <v>14.2</v>
      </c>
      <c r="Q418" s="940">
        <v>26.98</v>
      </c>
      <c r="R418" s="1141"/>
      <c r="S418" s="936"/>
      <c r="T418" s="940">
        <v>2.34</v>
      </c>
      <c r="U418" s="936"/>
      <c r="V418" s="1115">
        <v>1.9</v>
      </c>
      <c r="W418" s="937" t="s">
        <v>397</v>
      </c>
      <c r="X418" s="937">
        <v>81</v>
      </c>
      <c r="Y418" s="938">
        <v>1</v>
      </c>
      <c r="Z418" s="938">
        <v>200</v>
      </c>
      <c r="AA418" s="936"/>
      <c r="AB418" s="936"/>
      <c r="AC418" s="936"/>
      <c r="AD418" s="948">
        <v>0.0291274702428774</v>
      </c>
      <c r="AE418" s="1115">
        <v>0.03</v>
      </c>
      <c r="AF418" s="1178" t="str">
        <f>_xlfn.DISPIMG("ID_B68003646EC44804A45A1D1D7472BB44",1)</f>
        <v>=DISPIMG("ID_B68003646EC44804A45A1D1D7472BB44",1)</v>
      </c>
      <c r="AG418" s="939"/>
      <c r="AH418" s="939"/>
      <c r="AI418" s="942"/>
      <c r="AJ418" s="939"/>
      <c r="AK418" s="942"/>
      <c r="AL418" s="1108">
        <v>14.2</v>
      </c>
      <c r="AM418" s="1108">
        <v>26.98</v>
      </c>
      <c r="AN418" s="1115"/>
      <c r="AO418" s="936"/>
      <c r="AP418" s="936"/>
      <c r="AQ418" s="1184" t="s">
        <v>881</v>
      </c>
      <c r="AR418" s="1120">
        <v>45674</v>
      </c>
      <c r="AS418" s="1106" t="s">
        <v>882</v>
      </c>
      <c r="AT418" s="1120">
        <v>45687</v>
      </c>
      <c r="AU418" s="1106" t="s">
        <v>883</v>
      </c>
      <c r="AV418" s="1106" t="s">
        <v>59</v>
      </c>
      <c r="AW418" s="1106" t="s">
        <v>873</v>
      </c>
      <c r="AX418" s="1183"/>
      <c r="AY418" s="860"/>
      <c r="AZ418" s="897"/>
    </row>
    <row r="419" ht="63" spans="1:52">
      <c r="A419" s="937">
        <v>116</v>
      </c>
      <c r="B419" s="937">
        <v>9503009000</v>
      </c>
      <c r="C419" s="937">
        <v>392690</v>
      </c>
      <c r="D419" s="937" t="s">
        <v>929</v>
      </c>
      <c r="E419" s="937" t="s">
        <v>1208</v>
      </c>
      <c r="F419" s="937" t="s">
        <v>1209</v>
      </c>
      <c r="G419" s="937"/>
      <c r="H419" s="937"/>
      <c r="I419" s="938" t="s">
        <v>123</v>
      </c>
      <c r="J419" s="1108">
        <v>0.36</v>
      </c>
      <c r="K419" s="938">
        <v>200</v>
      </c>
      <c r="L419" s="938" t="s">
        <v>52</v>
      </c>
      <c r="M419" s="937"/>
      <c r="N419" s="942"/>
      <c r="O419" s="939"/>
      <c r="P419" s="940">
        <v>163.5</v>
      </c>
      <c r="Q419" s="940">
        <v>58.86</v>
      </c>
      <c r="R419" s="1141"/>
      <c r="S419" s="936"/>
      <c r="T419" s="940">
        <v>0.44</v>
      </c>
      <c r="U419" s="936"/>
      <c r="V419" s="1115">
        <v>0.36</v>
      </c>
      <c r="W419" s="937" t="s">
        <v>1138</v>
      </c>
      <c r="X419" s="937">
        <v>82</v>
      </c>
      <c r="Y419" s="938">
        <v>1</v>
      </c>
      <c r="Z419" s="938">
        <v>200</v>
      </c>
      <c r="AA419" s="936"/>
      <c r="AB419" s="936"/>
      <c r="AC419" s="936"/>
      <c r="AD419" s="948">
        <v>0.00713727564074267</v>
      </c>
      <c r="AE419" s="1115">
        <v>0.01</v>
      </c>
      <c r="AF419" s="1178" t="str">
        <f>_xlfn.DISPIMG("ID_F8811BA26541439EAE91D3F703F644A8",1)</f>
        <v>=DISPIMG("ID_F8811BA26541439EAE91D3F703F644A8",1)</v>
      </c>
      <c r="AG419" s="939"/>
      <c r="AH419" s="939"/>
      <c r="AI419" s="942"/>
      <c r="AJ419" s="939"/>
      <c r="AK419" s="942"/>
      <c r="AL419" s="1108">
        <v>163.5</v>
      </c>
      <c r="AM419" s="1108">
        <v>58.86</v>
      </c>
      <c r="AN419" s="1115"/>
      <c r="AO419" s="936"/>
      <c r="AP419" s="936"/>
      <c r="AQ419" s="1154" t="s">
        <v>881</v>
      </c>
      <c r="AR419" s="1120">
        <v>45674</v>
      </c>
      <c r="AS419" s="1106" t="s">
        <v>882</v>
      </c>
      <c r="AT419" s="1120">
        <v>45687</v>
      </c>
      <c r="AU419" s="1106" t="s">
        <v>883</v>
      </c>
      <c r="AV419" s="1106" t="s">
        <v>59</v>
      </c>
      <c r="AW419" s="1106" t="s">
        <v>873</v>
      </c>
      <c r="AX419" s="1183"/>
      <c r="AY419" s="860"/>
      <c r="AZ419" s="897"/>
    </row>
    <row r="420" ht="63" spans="1:52">
      <c r="A420" s="937">
        <v>117</v>
      </c>
      <c r="B420" s="937">
        <v>9503009000</v>
      </c>
      <c r="C420" s="937">
        <v>392690</v>
      </c>
      <c r="D420" s="937" t="s">
        <v>929</v>
      </c>
      <c r="E420" s="937" t="s">
        <v>1210</v>
      </c>
      <c r="F420" s="937" t="s">
        <v>1211</v>
      </c>
      <c r="G420" s="937"/>
      <c r="H420" s="937"/>
      <c r="I420" s="938" t="s">
        <v>123</v>
      </c>
      <c r="J420" s="1108">
        <v>0.32</v>
      </c>
      <c r="K420" s="938">
        <v>200</v>
      </c>
      <c r="L420" s="938" t="s">
        <v>52</v>
      </c>
      <c r="M420" s="937"/>
      <c r="N420" s="942"/>
      <c r="O420" s="939"/>
      <c r="P420" s="940">
        <v>183.5</v>
      </c>
      <c r="Q420" s="940">
        <v>58.72</v>
      </c>
      <c r="R420" s="1141"/>
      <c r="S420" s="936"/>
      <c r="T420" s="940">
        <v>0.4</v>
      </c>
      <c r="U420" s="936"/>
      <c r="V420" s="1115">
        <v>0.32</v>
      </c>
      <c r="W420" s="937"/>
      <c r="X420" s="937"/>
      <c r="Y420" s="938"/>
      <c r="Z420" s="938">
        <v>200</v>
      </c>
      <c r="AA420" s="936"/>
      <c r="AB420" s="936"/>
      <c r="AC420" s="936"/>
      <c r="AD420" s="948"/>
      <c r="AE420" s="1115"/>
      <c r="AF420" s="1178" t="str">
        <f>_xlfn.DISPIMG("ID_C76149A26F214850BF4AED681CF5F240",1)</f>
        <v>=DISPIMG("ID_C76149A26F214850BF4AED681CF5F240",1)</v>
      </c>
      <c r="AG420" s="939"/>
      <c r="AH420" s="939"/>
      <c r="AI420" s="942"/>
      <c r="AJ420" s="939"/>
      <c r="AK420" s="942"/>
      <c r="AL420" s="1108">
        <v>183.5</v>
      </c>
      <c r="AM420" s="1108">
        <v>58.72</v>
      </c>
      <c r="AN420" s="1115"/>
      <c r="AO420" s="936"/>
      <c r="AP420" s="936"/>
      <c r="AQ420" s="1184" t="s">
        <v>881</v>
      </c>
      <c r="AR420" s="1120">
        <v>45674</v>
      </c>
      <c r="AS420" s="1106" t="s">
        <v>882</v>
      </c>
      <c r="AT420" s="1120">
        <v>45687</v>
      </c>
      <c r="AU420" s="1106" t="s">
        <v>883</v>
      </c>
      <c r="AV420" s="1106" t="s">
        <v>59</v>
      </c>
      <c r="AW420" s="1106" t="s">
        <v>873</v>
      </c>
      <c r="AX420" s="1183"/>
      <c r="AY420" s="860"/>
      <c r="AZ420" s="897"/>
    </row>
    <row r="421" ht="63" spans="1:52">
      <c r="A421" s="937">
        <v>118</v>
      </c>
      <c r="B421" s="937">
        <v>9503009000</v>
      </c>
      <c r="C421" s="937">
        <v>392690</v>
      </c>
      <c r="D421" s="937" t="s">
        <v>929</v>
      </c>
      <c r="E421" s="937" t="s">
        <v>1212</v>
      </c>
      <c r="F421" s="937" t="s">
        <v>1213</v>
      </c>
      <c r="G421" s="937"/>
      <c r="H421" s="937"/>
      <c r="I421" s="938" t="s">
        <v>123</v>
      </c>
      <c r="J421" s="1108">
        <v>0.18</v>
      </c>
      <c r="K421" s="938">
        <v>200</v>
      </c>
      <c r="L421" s="938" t="s">
        <v>52</v>
      </c>
      <c r="M421" s="937"/>
      <c r="N421" s="942"/>
      <c r="O421" s="939"/>
      <c r="P421" s="940">
        <v>55</v>
      </c>
      <c r="Q421" s="940">
        <v>9.9</v>
      </c>
      <c r="R421" s="1141"/>
      <c r="S421" s="936"/>
      <c r="T421" s="940">
        <v>0.28</v>
      </c>
      <c r="U421" s="936"/>
      <c r="V421" s="1115">
        <v>0.18</v>
      </c>
      <c r="W421" s="937" t="s">
        <v>1138</v>
      </c>
      <c r="X421" s="937">
        <v>83</v>
      </c>
      <c r="Y421" s="938">
        <v>1</v>
      </c>
      <c r="Z421" s="938">
        <v>200</v>
      </c>
      <c r="AA421" s="936"/>
      <c r="AB421" s="936"/>
      <c r="AC421" s="936"/>
      <c r="AD421" s="948">
        <v>0.00868885730177369</v>
      </c>
      <c r="AE421" s="1115">
        <v>0.01</v>
      </c>
      <c r="AF421" s="1178" t="str">
        <f>_xlfn.DISPIMG("ID_F770A836722C49ABA871F8EA40F54E15",1)</f>
        <v>=DISPIMG("ID_F770A836722C49ABA871F8EA40F54E15",1)</v>
      </c>
      <c r="AG421" s="939"/>
      <c r="AH421" s="939" t="s">
        <v>1214</v>
      </c>
      <c r="AI421" s="942">
        <v>45635</v>
      </c>
      <c r="AJ421" s="939" t="s">
        <v>1215</v>
      </c>
      <c r="AK421" s="942">
        <v>45635</v>
      </c>
      <c r="AL421" s="1108">
        <v>55</v>
      </c>
      <c r="AM421" s="1108">
        <v>9.9</v>
      </c>
      <c r="AN421" s="1115">
        <v>5137.18</v>
      </c>
      <c r="AO421" s="936"/>
      <c r="AP421" s="936"/>
      <c r="AQ421" s="1154" t="s">
        <v>881</v>
      </c>
      <c r="AR421" s="1120">
        <v>45674</v>
      </c>
      <c r="AS421" s="1106" t="s">
        <v>882</v>
      </c>
      <c r="AT421" s="1120">
        <v>45687</v>
      </c>
      <c r="AU421" s="1106" t="s">
        <v>883</v>
      </c>
      <c r="AV421" s="1106" t="s">
        <v>59</v>
      </c>
      <c r="AW421" s="1106" t="s">
        <v>873</v>
      </c>
      <c r="AX421" s="1183"/>
      <c r="AY421" s="860"/>
      <c r="AZ421" s="897"/>
    </row>
    <row r="422" ht="63" spans="1:52">
      <c r="A422" s="937">
        <v>119</v>
      </c>
      <c r="B422" s="937">
        <v>9503009000</v>
      </c>
      <c r="C422" s="937">
        <v>392690</v>
      </c>
      <c r="D422" s="937" t="s">
        <v>929</v>
      </c>
      <c r="E422" s="937" t="s">
        <v>1216</v>
      </c>
      <c r="F422" s="937" t="s">
        <v>1217</v>
      </c>
      <c r="G422" s="937"/>
      <c r="H422" s="937"/>
      <c r="I422" s="938" t="s">
        <v>123</v>
      </c>
      <c r="J422" s="1108">
        <v>0.18</v>
      </c>
      <c r="K422" s="938">
        <v>200</v>
      </c>
      <c r="L422" s="938" t="s">
        <v>52</v>
      </c>
      <c r="M422" s="937"/>
      <c r="N422" s="942"/>
      <c r="O422" s="939"/>
      <c r="P422" s="940">
        <v>55</v>
      </c>
      <c r="Q422" s="940">
        <v>9.9</v>
      </c>
      <c r="R422" s="1141"/>
      <c r="S422" s="936"/>
      <c r="T422" s="940">
        <v>0.27</v>
      </c>
      <c r="U422" s="936"/>
      <c r="V422" s="1115">
        <v>0.18</v>
      </c>
      <c r="W422" s="937"/>
      <c r="X422" s="937"/>
      <c r="Y422" s="938"/>
      <c r="Z422" s="938">
        <v>200</v>
      </c>
      <c r="AA422" s="936"/>
      <c r="AB422" s="936"/>
      <c r="AC422" s="936"/>
      <c r="AD422" s="948"/>
      <c r="AE422" s="1115"/>
      <c r="AF422" s="1178" t="str">
        <f>_xlfn.DISPIMG("ID_4481B6A540CF48D98EF3035151C2E050",1)</f>
        <v>=DISPIMG("ID_4481B6A540CF48D98EF3035151C2E050",1)</v>
      </c>
      <c r="AG422" s="939"/>
      <c r="AH422" s="939"/>
      <c r="AI422" s="942"/>
      <c r="AJ422" s="939"/>
      <c r="AK422" s="942"/>
      <c r="AL422" s="1108">
        <v>55</v>
      </c>
      <c r="AM422" s="1108">
        <v>9.9</v>
      </c>
      <c r="AN422" s="1115"/>
      <c r="AO422" s="936"/>
      <c r="AP422" s="936"/>
      <c r="AQ422" s="1184" t="s">
        <v>881</v>
      </c>
      <c r="AR422" s="1120">
        <v>45674</v>
      </c>
      <c r="AS422" s="1106" t="s">
        <v>882</v>
      </c>
      <c r="AT422" s="1120">
        <v>45687</v>
      </c>
      <c r="AU422" s="1106" t="s">
        <v>883</v>
      </c>
      <c r="AV422" s="1106" t="s">
        <v>59</v>
      </c>
      <c r="AW422" s="1106" t="s">
        <v>873</v>
      </c>
      <c r="AX422" s="1183"/>
      <c r="AY422" s="860"/>
      <c r="AZ422" s="897"/>
    </row>
    <row r="423" ht="63" spans="1:52">
      <c r="A423" s="937">
        <v>120</v>
      </c>
      <c r="B423" s="937">
        <v>9503009000</v>
      </c>
      <c r="C423" s="937">
        <v>392690</v>
      </c>
      <c r="D423" s="937" t="s">
        <v>929</v>
      </c>
      <c r="E423" s="937" t="s">
        <v>1218</v>
      </c>
      <c r="F423" s="937" t="s">
        <v>1219</v>
      </c>
      <c r="G423" s="937"/>
      <c r="H423" s="937"/>
      <c r="I423" s="938" t="s">
        <v>123</v>
      </c>
      <c r="J423" s="1108">
        <v>0.75</v>
      </c>
      <c r="K423" s="938">
        <v>200</v>
      </c>
      <c r="L423" s="938" t="s">
        <v>52</v>
      </c>
      <c r="M423" s="937"/>
      <c r="N423" s="942"/>
      <c r="O423" s="939"/>
      <c r="P423" s="940">
        <v>20.4</v>
      </c>
      <c r="Q423" s="940">
        <v>15.3</v>
      </c>
      <c r="R423" s="1141"/>
      <c r="S423" s="936"/>
      <c r="T423" s="940">
        <v>0.92</v>
      </c>
      <c r="U423" s="936"/>
      <c r="V423" s="1115">
        <v>0.75</v>
      </c>
      <c r="W423" s="937" t="s">
        <v>1138</v>
      </c>
      <c r="X423" s="937">
        <v>84</v>
      </c>
      <c r="Y423" s="938">
        <v>1</v>
      </c>
      <c r="Z423" s="938">
        <v>200</v>
      </c>
      <c r="AA423" s="936"/>
      <c r="AB423" s="936"/>
      <c r="AC423" s="936"/>
      <c r="AD423" s="948">
        <v>0.00868885730177369</v>
      </c>
      <c r="AE423" s="1115">
        <v>0.01</v>
      </c>
      <c r="AF423" s="1178" t="str">
        <f>_xlfn.DISPIMG("ID_9E8B62A77BBE408D85B25C7793FF343E",1)</f>
        <v>=DISPIMG("ID_9E8B62A77BBE408D85B25C7793FF343E",1)</v>
      </c>
      <c r="AG423" s="939"/>
      <c r="AH423" s="939"/>
      <c r="AI423" s="942"/>
      <c r="AJ423" s="939"/>
      <c r="AK423" s="942"/>
      <c r="AL423" s="1108">
        <v>20.4</v>
      </c>
      <c r="AM423" s="1108">
        <v>15.3</v>
      </c>
      <c r="AN423" s="1115"/>
      <c r="AO423" s="936"/>
      <c r="AP423" s="936"/>
      <c r="AQ423" s="1154" t="s">
        <v>881</v>
      </c>
      <c r="AR423" s="1120">
        <v>45674</v>
      </c>
      <c r="AS423" s="1106" t="s">
        <v>882</v>
      </c>
      <c r="AT423" s="1120">
        <v>45687</v>
      </c>
      <c r="AU423" s="1106" t="s">
        <v>883</v>
      </c>
      <c r="AV423" s="1106" t="s">
        <v>59</v>
      </c>
      <c r="AW423" s="1106" t="s">
        <v>873</v>
      </c>
      <c r="AX423" s="1183"/>
      <c r="AY423" s="860"/>
      <c r="AZ423" s="897"/>
    </row>
    <row r="424" ht="63" spans="1:52">
      <c r="A424" s="937">
        <v>121</v>
      </c>
      <c r="B424" s="937">
        <v>9503009000</v>
      </c>
      <c r="C424" s="937">
        <v>392690</v>
      </c>
      <c r="D424" s="937" t="s">
        <v>929</v>
      </c>
      <c r="E424" s="937" t="s">
        <v>1220</v>
      </c>
      <c r="F424" s="937" t="s">
        <v>1221</v>
      </c>
      <c r="G424" s="937"/>
      <c r="H424" s="937"/>
      <c r="I424" s="938" t="s">
        <v>123</v>
      </c>
      <c r="J424" s="1108">
        <v>0.66</v>
      </c>
      <c r="K424" s="938">
        <v>200</v>
      </c>
      <c r="L424" s="938" t="s">
        <v>52</v>
      </c>
      <c r="M424" s="937"/>
      <c r="N424" s="942"/>
      <c r="O424" s="939"/>
      <c r="P424" s="940">
        <v>36.5</v>
      </c>
      <c r="Q424" s="940">
        <v>24.09</v>
      </c>
      <c r="R424" s="1141"/>
      <c r="S424" s="936"/>
      <c r="T424" s="940">
        <v>0.81</v>
      </c>
      <c r="U424" s="936"/>
      <c r="V424" s="1115">
        <v>0.66</v>
      </c>
      <c r="W424" s="937" t="s">
        <v>1138</v>
      </c>
      <c r="X424" s="937">
        <v>85</v>
      </c>
      <c r="Y424" s="938">
        <v>1</v>
      </c>
      <c r="Z424" s="938">
        <v>200</v>
      </c>
      <c r="AA424" s="936"/>
      <c r="AB424" s="936"/>
      <c r="AC424" s="936"/>
      <c r="AD424" s="948">
        <v>0.0291274702428774</v>
      </c>
      <c r="AE424" s="1115">
        <v>0.03</v>
      </c>
      <c r="AF424" s="1178" t="str">
        <f>_xlfn.DISPIMG("ID_AE11B7FD35BB47C6959F2F078003648D",1)</f>
        <v>=DISPIMG("ID_AE11B7FD35BB47C6959F2F078003648D",1)</v>
      </c>
      <c r="AG424" s="939"/>
      <c r="AH424" s="939"/>
      <c r="AI424" s="942"/>
      <c r="AJ424" s="939"/>
      <c r="AK424" s="942"/>
      <c r="AL424" s="1108">
        <v>36.5</v>
      </c>
      <c r="AM424" s="1108">
        <v>24.09</v>
      </c>
      <c r="AN424" s="1115"/>
      <c r="AO424" s="936"/>
      <c r="AP424" s="936"/>
      <c r="AQ424" s="1184" t="s">
        <v>881</v>
      </c>
      <c r="AR424" s="1120">
        <v>45674</v>
      </c>
      <c r="AS424" s="1106" t="s">
        <v>882</v>
      </c>
      <c r="AT424" s="1120">
        <v>45687</v>
      </c>
      <c r="AU424" s="1106" t="s">
        <v>883</v>
      </c>
      <c r="AV424" s="1106" t="s">
        <v>59</v>
      </c>
      <c r="AW424" s="1106" t="s">
        <v>873</v>
      </c>
      <c r="AX424" s="1183"/>
      <c r="AY424" s="860"/>
      <c r="AZ424" s="897"/>
    </row>
    <row r="425" ht="63" spans="1:52">
      <c r="A425" s="937">
        <v>122</v>
      </c>
      <c r="B425" s="937">
        <v>9503009000</v>
      </c>
      <c r="C425" s="937">
        <v>392690</v>
      </c>
      <c r="D425" s="937" t="s">
        <v>929</v>
      </c>
      <c r="E425" s="937" t="s">
        <v>1222</v>
      </c>
      <c r="F425" s="937" t="s">
        <v>1223</v>
      </c>
      <c r="G425" s="937"/>
      <c r="H425" s="937"/>
      <c r="I425" s="938" t="s">
        <v>123</v>
      </c>
      <c r="J425" s="1108">
        <v>0.64</v>
      </c>
      <c r="K425" s="938">
        <v>200</v>
      </c>
      <c r="L425" s="938" t="s">
        <v>52</v>
      </c>
      <c r="M425" s="937"/>
      <c r="N425" s="942"/>
      <c r="O425" s="939"/>
      <c r="P425" s="940">
        <v>37.5</v>
      </c>
      <c r="Q425" s="940">
        <v>24</v>
      </c>
      <c r="R425" s="1141"/>
      <c r="S425" s="936"/>
      <c r="T425" s="940">
        <v>0.79</v>
      </c>
      <c r="U425" s="936"/>
      <c r="V425" s="1115">
        <v>0.64</v>
      </c>
      <c r="W425" s="937"/>
      <c r="X425" s="937"/>
      <c r="Y425" s="938"/>
      <c r="Z425" s="938">
        <v>200</v>
      </c>
      <c r="AA425" s="936"/>
      <c r="AB425" s="936"/>
      <c r="AC425" s="936"/>
      <c r="AD425" s="948"/>
      <c r="AE425" s="1115"/>
      <c r="AF425" s="1178" t="str">
        <f>_xlfn.DISPIMG("ID_9C7610446C8B4A42A2D672D483853884",1)</f>
        <v>=DISPIMG("ID_9C7610446C8B4A42A2D672D483853884",1)</v>
      </c>
      <c r="AG425" s="939"/>
      <c r="AH425" s="939"/>
      <c r="AI425" s="942"/>
      <c r="AJ425" s="939"/>
      <c r="AK425" s="942"/>
      <c r="AL425" s="1108">
        <v>37.5</v>
      </c>
      <c r="AM425" s="1108">
        <v>24</v>
      </c>
      <c r="AN425" s="1115"/>
      <c r="AO425" s="936"/>
      <c r="AP425" s="936"/>
      <c r="AQ425" s="1154" t="s">
        <v>881</v>
      </c>
      <c r="AR425" s="1120">
        <v>45674</v>
      </c>
      <c r="AS425" s="1106" t="s">
        <v>882</v>
      </c>
      <c r="AT425" s="1120">
        <v>45687</v>
      </c>
      <c r="AU425" s="1106" t="s">
        <v>883</v>
      </c>
      <c r="AV425" s="1106" t="s">
        <v>59</v>
      </c>
      <c r="AW425" s="1106" t="s">
        <v>873</v>
      </c>
      <c r="AX425" s="1183"/>
      <c r="AY425" s="860"/>
      <c r="AZ425" s="897"/>
    </row>
    <row r="426" ht="63" spans="1:52">
      <c r="A426" s="937">
        <v>123</v>
      </c>
      <c r="B426" s="937">
        <v>9503009000</v>
      </c>
      <c r="C426" s="937">
        <v>392690</v>
      </c>
      <c r="D426" s="937" t="s">
        <v>929</v>
      </c>
      <c r="E426" s="937" t="s">
        <v>1224</v>
      </c>
      <c r="F426" s="937" t="s">
        <v>1225</v>
      </c>
      <c r="G426" s="937"/>
      <c r="H426" s="937"/>
      <c r="I426" s="938" t="s">
        <v>123</v>
      </c>
      <c r="J426" s="1108">
        <v>0.7</v>
      </c>
      <c r="K426" s="938">
        <v>200</v>
      </c>
      <c r="L426" s="938" t="s">
        <v>52</v>
      </c>
      <c r="M426" s="937"/>
      <c r="N426" s="942"/>
      <c r="O426" s="939"/>
      <c r="P426" s="940">
        <v>37.6</v>
      </c>
      <c r="Q426" s="940">
        <v>26.32</v>
      </c>
      <c r="R426" s="1141"/>
      <c r="S426" s="936"/>
      <c r="T426" s="940">
        <v>0.84</v>
      </c>
      <c r="U426" s="936"/>
      <c r="V426" s="1115">
        <v>0.7</v>
      </c>
      <c r="W426" s="937"/>
      <c r="X426" s="937"/>
      <c r="Y426" s="938"/>
      <c r="Z426" s="938">
        <v>200</v>
      </c>
      <c r="AA426" s="936"/>
      <c r="AB426" s="936"/>
      <c r="AC426" s="936"/>
      <c r="AD426" s="948"/>
      <c r="AE426" s="1115"/>
      <c r="AF426" s="1178" t="str">
        <f>_xlfn.DISPIMG("ID_83BD7C9681BA4BA9B624FFE4703A1147",1)</f>
        <v>=DISPIMG("ID_83BD7C9681BA4BA9B624FFE4703A1147",1)</v>
      </c>
      <c r="AG426" s="939"/>
      <c r="AH426" s="939"/>
      <c r="AI426" s="942"/>
      <c r="AJ426" s="939"/>
      <c r="AK426" s="942"/>
      <c r="AL426" s="1108">
        <v>37.6</v>
      </c>
      <c r="AM426" s="1108">
        <v>26.32</v>
      </c>
      <c r="AN426" s="1115"/>
      <c r="AO426" s="936"/>
      <c r="AP426" s="936"/>
      <c r="AQ426" s="1184" t="s">
        <v>881</v>
      </c>
      <c r="AR426" s="1120">
        <v>45674</v>
      </c>
      <c r="AS426" s="1106" t="s">
        <v>882</v>
      </c>
      <c r="AT426" s="1120">
        <v>45687</v>
      </c>
      <c r="AU426" s="1106" t="s">
        <v>883</v>
      </c>
      <c r="AV426" s="1106" t="s">
        <v>59</v>
      </c>
      <c r="AW426" s="1106" t="s">
        <v>873</v>
      </c>
      <c r="AX426" s="1183"/>
      <c r="AY426" s="860"/>
      <c r="AZ426" s="897"/>
    </row>
    <row r="427" ht="71.25" spans="1:52">
      <c r="A427" s="937">
        <v>124</v>
      </c>
      <c r="B427" s="937">
        <v>9503009000</v>
      </c>
      <c r="C427" s="937">
        <v>392690</v>
      </c>
      <c r="D427" s="937" t="s">
        <v>929</v>
      </c>
      <c r="E427" s="937" t="s">
        <v>1226</v>
      </c>
      <c r="F427" s="937" t="s">
        <v>1227</v>
      </c>
      <c r="G427" s="937"/>
      <c r="H427" s="937"/>
      <c r="I427" s="938" t="s">
        <v>123</v>
      </c>
      <c r="J427" s="1108">
        <v>0.44</v>
      </c>
      <c r="K427" s="938">
        <v>200</v>
      </c>
      <c r="L427" s="938" t="s">
        <v>52</v>
      </c>
      <c r="M427" s="937"/>
      <c r="N427" s="942"/>
      <c r="O427" s="939"/>
      <c r="P427" s="940">
        <v>52.5</v>
      </c>
      <c r="Q427" s="940">
        <v>23.1</v>
      </c>
      <c r="R427" s="1141"/>
      <c r="S427" s="936"/>
      <c r="T427" s="940">
        <v>0.57</v>
      </c>
      <c r="U427" s="936"/>
      <c r="V427" s="1115">
        <v>0.44</v>
      </c>
      <c r="W427" s="937" t="s">
        <v>397</v>
      </c>
      <c r="X427" s="937">
        <v>86</v>
      </c>
      <c r="Y427" s="938">
        <v>1</v>
      </c>
      <c r="Z427" s="938">
        <v>200</v>
      </c>
      <c r="AA427" s="936"/>
      <c r="AB427" s="936"/>
      <c r="AC427" s="936"/>
      <c r="AD427" s="948">
        <v>0.0119345362727008</v>
      </c>
      <c r="AE427" s="1115">
        <v>0.01</v>
      </c>
      <c r="AF427" s="1178" t="str">
        <f>_xlfn.DISPIMG("ID_4FD9C8CC256C41F99DE63145C21939DF",1)</f>
        <v>=DISPIMG("ID_4FD9C8CC256C41F99DE63145C21939DF",1)</v>
      </c>
      <c r="AG427" s="939"/>
      <c r="AH427" s="939"/>
      <c r="AI427" s="942"/>
      <c r="AJ427" s="939"/>
      <c r="AK427" s="942"/>
      <c r="AL427" s="1108">
        <v>52.5</v>
      </c>
      <c r="AM427" s="1108">
        <v>23.1</v>
      </c>
      <c r="AN427" s="1115"/>
      <c r="AO427" s="936"/>
      <c r="AP427" s="936"/>
      <c r="AQ427" s="1154" t="s">
        <v>881</v>
      </c>
      <c r="AR427" s="1120">
        <v>45674</v>
      </c>
      <c r="AS427" s="1106" t="s">
        <v>882</v>
      </c>
      <c r="AT427" s="1120">
        <v>45687</v>
      </c>
      <c r="AU427" s="1106" t="s">
        <v>883</v>
      </c>
      <c r="AV427" s="1106" t="s">
        <v>59</v>
      </c>
      <c r="AW427" s="1106" t="s">
        <v>873</v>
      </c>
      <c r="AX427" s="1183"/>
      <c r="AY427" s="860"/>
      <c r="AZ427" s="897"/>
    </row>
    <row r="428" ht="71.25" spans="1:52">
      <c r="A428" s="937">
        <v>125</v>
      </c>
      <c r="B428" s="937">
        <v>9503009000</v>
      </c>
      <c r="C428" s="937">
        <v>392690</v>
      </c>
      <c r="D428" s="937" t="s">
        <v>929</v>
      </c>
      <c r="E428" s="937" t="s">
        <v>1228</v>
      </c>
      <c r="F428" s="937" t="s">
        <v>1229</v>
      </c>
      <c r="G428" s="937"/>
      <c r="H428" s="937"/>
      <c r="I428" s="938" t="s">
        <v>123</v>
      </c>
      <c r="J428" s="1108">
        <v>0.49</v>
      </c>
      <c r="K428" s="938">
        <v>200</v>
      </c>
      <c r="L428" s="938" t="s">
        <v>52</v>
      </c>
      <c r="M428" s="937"/>
      <c r="N428" s="942"/>
      <c r="O428" s="939"/>
      <c r="P428" s="940">
        <v>47</v>
      </c>
      <c r="Q428" s="940">
        <v>23.03</v>
      </c>
      <c r="R428" s="1141"/>
      <c r="S428" s="936"/>
      <c r="T428" s="940">
        <v>0.61</v>
      </c>
      <c r="U428" s="936"/>
      <c r="V428" s="1115">
        <v>0.49</v>
      </c>
      <c r="W428" s="937"/>
      <c r="X428" s="937"/>
      <c r="Y428" s="938"/>
      <c r="Z428" s="938">
        <v>200</v>
      </c>
      <c r="AA428" s="936"/>
      <c r="AB428" s="936"/>
      <c r="AC428" s="936"/>
      <c r="AD428" s="948"/>
      <c r="AE428" s="1115"/>
      <c r="AF428" s="1178" t="str">
        <f>_xlfn.DISPIMG("ID_90372B467B454A98B7808BB4A2395555",1)</f>
        <v>=DISPIMG("ID_90372B467B454A98B7808BB4A2395555",1)</v>
      </c>
      <c r="AG428" s="939"/>
      <c r="AH428" s="939"/>
      <c r="AI428" s="942"/>
      <c r="AJ428" s="939"/>
      <c r="AK428" s="942"/>
      <c r="AL428" s="1108">
        <v>47</v>
      </c>
      <c r="AM428" s="1108">
        <v>23.03</v>
      </c>
      <c r="AN428" s="1115"/>
      <c r="AO428" s="936"/>
      <c r="AP428" s="936"/>
      <c r="AQ428" s="1184" t="s">
        <v>881</v>
      </c>
      <c r="AR428" s="1120">
        <v>45674</v>
      </c>
      <c r="AS428" s="1106" t="s">
        <v>882</v>
      </c>
      <c r="AT428" s="1120">
        <v>45687</v>
      </c>
      <c r="AU428" s="1106" t="s">
        <v>883</v>
      </c>
      <c r="AV428" s="1106" t="s">
        <v>59</v>
      </c>
      <c r="AW428" s="1106" t="s">
        <v>873</v>
      </c>
      <c r="AX428" s="1183"/>
      <c r="AY428" s="860"/>
      <c r="AZ428" s="897"/>
    </row>
    <row r="429" ht="63" spans="1:52">
      <c r="A429" s="937">
        <v>126</v>
      </c>
      <c r="B429" s="937">
        <v>9503009000</v>
      </c>
      <c r="C429" s="937">
        <v>392690</v>
      </c>
      <c r="D429" s="937" t="s">
        <v>929</v>
      </c>
      <c r="E429" s="937" t="s">
        <v>1230</v>
      </c>
      <c r="F429" s="937" t="s">
        <v>1231</v>
      </c>
      <c r="G429" s="937"/>
      <c r="H429" s="937"/>
      <c r="I429" s="938" t="s">
        <v>123</v>
      </c>
      <c r="J429" s="1108">
        <v>0.76</v>
      </c>
      <c r="K429" s="938">
        <v>200</v>
      </c>
      <c r="L429" s="938" t="s">
        <v>52</v>
      </c>
      <c r="M429" s="937"/>
      <c r="N429" s="942"/>
      <c r="O429" s="939"/>
      <c r="P429" s="940">
        <v>34</v>
      </c>
      <c r="Q429" s="940">
        <v>25.84</v>
      </c>
      <c r="R429" s="1141"/>
      <c r="S429" s="936"/>
      <c r="T429" s="940">
        <v>0.88</v>
      </c>
      <c r="U429" s="936"/>
      <c r="V429" s="1115">
        <v>0.76</v>
      </c>
      <c r="W429" s="937" t="s">
        <v>397</v>
      </c>
      <c r="X429" s="937">
        <v>87</v>
      </c>
      <c r="Y429" s="938">
        <v>1</v>
      </c>
      <c r="Z429" s="938">
        <v>200</v>
      </c>
      <c r="AA429" s="936"/>
      <c r="AB429" s="936"/>
      <c r="AC429" s="936"/>
      <c r="AD429" s="948">
        <v>0.0102183270502441</v>
      </c>
      <c r="AE429" s="1115">
        <v>0.01</v>
      </c>
      <c r="AF429" s="1178" t="str">
        <f>_xlfn.DISPIMG("ID_B2D84D1DFD7E4679BC0192C28A24FCAB",1)</f>
        <v>=DISPIMG("ID_B2D84D1DFD7E4679BC0192C28A24FCAB",1)</v>
      </c>
      <c r="AG429" s="939"/>
      <c r="AH429" s="939"/>
      <c r="AI429" s="942"/>
      <c r="AJ429" s="939"/>
      <c r="AK429" s="942"/>
      <c r="AL429" s="1108">
        <v>34</v>
      </c>
      <c r="AM429" s="1108">
        <v>25.84</v>
      </c>
      <c r="AN429" s="1115"/>
      <c r="AO429" s="936"/>
      <c r="AP429" s="936"/>
      <c r="AQ429" s="1154" t="s">
        <v>881</v>
      </c>
      <c r="AR429" s="1120">
        <v>45674</v>
      </c>
      <c r="AS429" s="1106" t="s">
        <v>882</v>
      </c>
      <c r="AT429" s="1120">
        <v>45687</v>
      </c>
      <c r="AU429" s="1106" t="s">
        <v>883</v>
      </c>
      <c r="AV429" s="1106" t="s">
        <v>59</v>
      </c>
      <c r="AW429" s="1106" t="s">
        <v>873</v>
      </c>
      <c r="AX429" s="1183"/>
      <c r="AY429" s="860"/>
      <c r="AZ429" s="897"/>
    </row>
    <row r="430" ht="63" spans="1:52">
      <c r="A430" s="937">
        <v>127</v>
      </c>
      <c r="B430" s="937">
        <v>9503009000</v>
      </c>
      <c r="C430" s="937">
        <v>392690</v>
      </c>
      <c r="D430" s="937" t="s">
        <v>929</v>
      </c>
      <c r="E430" s="937" t="s">
        <v>1232</v>
      </c>
      <c r="F430" s="937" t="s">
        <v>1233</v>
      </c>
      <c r="G430" s="937"/>
      <c r="H430" s="937"/>
      <c r="I430" s="938" t="s">
        <v>123</v>
      </c>
      <c r="J430" s="1108">
        <v>0.74</v>
      </c>
      <c r="K430" s="938">
        <v>200</v>
      </c>
      <c r="L430" s="938" t="s">
        <v>52</v>
      </c>
      <c r="M430" s="937"/>
      <c r="N430" s="942"/>
      <c r="O430" s="939"/>
      <c r="P430" s="940">
        <v>35</v>
      </c>
      <c r="Q430" s="940">
        <v>25.9</v>
      </c>
      <c r="R430" s="1141"/>
      <c r="S430" s="936"/>
      <c r="T430" s="940">
        <v>0.86</v>
      </c>
      <c r="U430" s="936"/>
      <c r="V430" s="1115">
        <v>0.74</v>
      </c>
      <c r="W430" s="937"/>
      <c r="X430" s="937"/>
      <c r="Y430" s="938"/>
      <c r="Z430" s="938">
        <v>200</v>
      </c>
      <c r="AA430" s="936"/>
      <c r="AB430" s="936"/>
      <c r="AC430" s="936"/>
      <c r="AD430" s="948"/>
      <c r="AE430" s="1115"/>
      <c r="AF430" s="1178" t="str">
        <f>_xlfn.DISPIMG("ID_BD9863DE3D2D4C71BCD776C3E3D2E3C1",1)</f>
        <v>=DISPIMG("ID_BD9863DE3D2D4C71BCD776C3E3D2E3C1",1)</v>
      </c>
      <c r="AG430" s="939"/>
      <c r="AH430" s="939"/>
      <c r="AI430" s="942"/>
      <c r="AJ430" s="939"/>
      <c r="AK430" s="942"/>
      <c r="AL430" s="1108">
        <v>35</v>
      </c>
      <c r="AM430" s="1108">
        <v>25.9</v>
      </c>
      <c r="AN430" s="1115"/>
      <c r="AO430" s="936"/>
      <c r="AP430" s="936"/>
      <c r="AQ430" s="1184" t="s">
        <v>881</v>
      </c>
      <c r="AR430" s="1120">
        <v>45674</v>
      </c>
      <c r="AS430" s="1106" t="s">
        <v>882</v>
      </c>
      <c r="AT430" s="1120">
        <v>45687</v>
      </c>
      <c r="AU430" s="1106" t="s">
        <v>883</v>
      </c>
      <c r="AV430" s="1106" t="s">
        <v>59</v>
      </c>
      <c r="AW430" s="1106" t="s">
        <v>873</v>
      </c>
      <c r="AX430" s="1183"/>
      <c r="AY430" s="860"/>
      <c r="AZ430" s="897"/>
    </row>
    <row r="431" ht="63" spans="1:52">
      <c r="A431" s="937">
        <v>128</v>
      </c>
      <c r="B431" s="937">
        <v>9503009000</v>
      </c>
      <c r="C431" s="937">
        <v>392690</v>
      </c>
      <c r="D431" s="937" t="s">
        <v>929</v>
      </c>
      <c r="E431" s="937" t="s">
        <v>1234</v>
      </c>
      <c r="F431" s="937" t="s">
        <v>1235</v>
      </c>
      <c r="G431" s="937"/>
      <c r="H431" s="937"/>
      <c r="I431" s="938" t="s">
        <v>123</v>
      </c>
      <c r="J431" s="1108">
        <v>1.2</v>
      </c>
      <c r="K431" s="938">
        <v>200</v>
      </c>
      <c r="L431" s="938" t="s">
        <v>52</v>
      </c>
      <c r="M431" s="937"/>
      <c r="N431" s="942"/>
      <c r="O431" s="939"/>
      <c r="P431" s="940">
        <v>49.35</v>
      </c>
      <c r="Q431" s="940">
        <v>59.22</v>
      </c>
      <c r="R431" s="1141"/>
      <c r="S431" s="936"/>
      <c r="T431" s="940">
        <v>2.4</v>
      </c>
      <c r="U431" s="936"/>
      <c r="V431" s="1115">
        <v>1.2</v>
      </c>
      <c r="W431" s="937" t="s">
        <v>1138</v>
      </c>
      <c r="X431" s="937">
        <v>88</v>
      </c>
      <c r="Y431" s="938">
        <v>1</v>
      </c>
      <c r="Z431" s="938">
        <v>200</v>
      </c>
      <c r="AA431" s="936"/>
      <c r="AB431" s="936"/>
      <c r="AC431" s="936"/>
      <c r="AD431" s="948">
        <v>0.0731626969902972</v>
      </c>
      <c r="AE431" s="1115">
        <v>0.07</v>
      </c>
      <c r="AF431" s="1178" t="str">
        <f>_xlfn.DISPIMG("ID_BA3A483F9C4A46BDA18A9C0E2870273F",1)</f>
        <v>=DISPIMG("ID_BA3A483F9C4A46BDA18A9C0E2870273F",1)</v>
      </c>
      <c r="AG431" s="939"/>
      <c r="AH431" s="939"/>
      <c r="AI431" s="942"/>
      <c r="AJ431" s="939"/>
      <c r="AK431" s="942"/>
      <c r="AL431" s="1108">
        <v>49.35</v>
      </c>
      <c r="AM431" s="1108">
        <v>59.22</v>
      </c>
      <c r="AN431" s="1115"/>
      <c r="AO431" s="936"/>
      <c r="AP431" s="936"/>
      <c r="AQ431" s="1154" t="s">
        <v>881</v>
      </c>
      <c r="AR431" s="1120">
        <v>45674</v>
      </c>
      <c r="AS431" s="1106" t="s">
        <v>882</v>
      </c>
      <c r="AT431" s="1120">
        <v>45687</v>
      </c>
      <c r="AU431" s="1106" t="s">
        <v>883</v>
      </c>
      <c r="AV431" s="1106" t="s">
        <v>59</v>
      </c>
      <c r="AW431" s="1106" t="s">
        <v>873</v>
      </c>
      <c r="AX431" s="1183"/>
      <c r="AY431" s="860"/>
      <c r="AZ431" s="897"/>
    </row>
    <row r="432" ht="71.25" spans="1:52">
      <c r="A432" s="937">
        <v>129</v>
      </c>
      <c r="B432" s="937">
        <v>9503009000</v>
      </c>
      <c r="C432" s="937">
        <v>392690</v>
      </c>
      <c r="D432" s="937" t="s">
        <v>929</v>
      </c>
      <c r="E432" s="937" t="s">
        <v>1236</v>
      </c>
      <c r="F432" s="937" t="s">
        <v>1237</v>
      </c>
      <c r="G432" s="937"/>
      <c r="H432" s="937"/>
      <c r="I432" s="938" t="s">
        <v>123</v>
      </c>
      <c r="J432" s="1108">
        <v>2.2</v>
      </c>
      <c r="K432" s="938">
        <v>200</v>
      </c>
      <c r="L432" s="938" t="s">
        <v>52</v>
      </c>
      <c r="M432" s="937"/>
      <c r="N432" s="942"/>
      <c r="O432" s="939"/>
      <c r="P432" s="940">
        <v>44.85</v>
      </c>
      <c r="Q432" s="940">
        <v>98.67</v>
      </c>
      <c r="R432" s="1141"/>
      <c r="S432" s="936"/>
      <c r="T432" s="940">
        <v>3.24</v>
      </c>
      <c r="U432" s="936"/>
      <c r="V432" s="1115">
        <v>2.2</v>
      </c>
      <c r="W432" s="937" t="s">
        <v>397</v>
      </c>
      <c r="X432" s="937">
        <v>89</v>
      </c>
      <c r="Y432" s="938">
        <v>1</v>
      </c>
      <c r="Z432" s="938">
        <v>200</v>
      </c>
      <c r="AA432" s="936"/>
      <c r="AB432" s="936"/>
      <c r="AC432" s="936"/>
      <c r="AD432" s="948">
        <v>0.0731626969902972</v>
      </c>
      <c r="AE432" s="1115">
        <v>0.07</v>
      </c>
      <c r="AF432" s="1178" t="str">
        <f>_xlfn.DISPIMG("ID_09B262E7357A4DD582BA63B968179449",1)</f>
        <v>=DISPIMG("ID_09B262E7357A4DD582BA63B968179449",1)</v>
      </c>
      <c r="AG432" s="939"/>
      <c r="AH432" s="939"/>
      <c r="AI432" s="942"/>
      <c r="AJ432" s="939"/>
      <c r="AK432" s="942"/>
      <c r="AL432" s="1108">
        <v>44.85</v>
      </c>
      <c r="AM432" s="1108">
        <v>98.67</v>
      </c>
      <c r="AN432" s="1115"/>
      <c r="AO432" s="936"/>
      <c r="AP432" s="936"/>
      <c r="AQ432" s="1184" t="s">
        <v>881</v>
      </c>
      <c r="AR432" s="1120">
        <v>45674</v>
      </c>
      <c r="AS432" s="1106" t="s">
        <v>882</v>
      </c>
      <c r="AT432" s="1120">
        <v>45687</v>
      </c>
      <c r="AU432" s="1106" t="s">
        <v>883</v>
      </c>
      <c r="AV432" s="1106" t="s">
        <v>59</v>
      </c>
      <c r="AW432" s="1106" t="s">
        <v>873</v>
      </c>
      <c r="AX432" s="1183"/>
      <c r="AY432" s="860"/>
      <c r="AZ432" s="897"/>
    </row>
    <row r="433" ht="63" spans="1:52">
      <c r="A433" s="937">
        <v>130</v>
      </c>
      <c r="B433" s="937">
        <v>9503009000</v>
      </c>
      <c r="C433" s="937">
        <v>392690</v>
      </c>
      <c r="D433" s="937" t="s">
        <v>929</v>
      </c>
      <c r="E433" s="937" t="s">
        <v>1238</v>
      </c>
      <c r="F433" s="937" t="s">
        <v>1239</v>
      </c>
      <c r="G433" s="937"/>
      <c r="H433" s="937"/>
      <c r="I433" s="938" t="s">
        <v>123</v>
      </c>
      <c r="J433" s="1108">
        <v>2.8</v>
      </c>
      <c r="K433" s="938">
        <v>200</v>
      </c>
      <c r="L433" s="938" t="s">
        <v>52</v>
      </c>
      <c r="M433" s="937"/>
      <c r="N433" s="942"/>
      <c r="O433" s="939"/>
      <c r="P433" s="940">
        <v>21.3</v>
      </c>
      <c r="Q433" s="940">
        <v>59.64</v>
      </c>
      <c r="R433" s="1141"/>
      <c r="S433" s="936"/>
      <c r="T433" s="940">
        <v>3.22</v>
      </c>
      <c r="U433" s="936"/>
      <c r="V433" s="1115">
        <v>2.8</v>
      </c>
      <c r="W433" s="937" t="s">
        <v>1138</v>
      </c>
      <c r="X433" s="937">
        <v>90</v>
      </c>
      <c r="Y433" s="938">
        <v>1</v>
      </c>
      <c r="Z433" s="938">
        <v>200</v>
      </c>
      <c r="AA433" s="936"/>
      <c r="AB433" s="936"/>
      <c r="AC433" s="936"/>
      <c r="AD433" s="948">
        <v>0.0297184104814288</v>
      </c>
      <c r="AE433" s="1115">
        <v>0.03</v>
      </c>
      <c r="AF433" s="1178" t="str">
        <f>_xlfn.DISPIMG("ID_F670D4230CF14ECAAEDED74D9E08603D",1)</f>
        <v>=DISPIMG("ID_F670D4230CF14ECAAEDED74D9E08603D",1)</v>
      </c>
      <c r="AG433" s="939"/>
      <c r="AH433" s="939"/>
      <c r="AI433" s="942"/>
      <c r="AJ433" s="939"/>
      <c r="AK433" s="942"/>
      <c r="AL433" s="1108">
        <v>21.3</v>
      </c>
      <c r="AM433" s="1108">
        <v>59.64</v>
      </c>
      <c r="AN433" s="1115"/>
      <c r="AO433" s="936"/>
      <c r="AP433" s="936"/>
      <c r="AQ433" s="1154" t="s">
        <v>881</v>
      </c>
      <c r="AR433" s="1120">
        <v>45674</v>
      </c>
      <c r="AS433" s="1106" t="s">
        <v>882</v>
      </c>
      <c r="AT433" s="1120">
        <v>45687</v>
      </c>
      <c r="AU433" s="1106" t="s">
        <v>883</v>
      </c>
      <c r="AV433" s="1106" t="s">
        <v>59</v>
      </c>
      <c r="AW433" s="1106" t="s">
        <v>873</v>
      </c>
      <c r="AX433" s="1183"/>
      <c r="AY433" s="860"/>
      <c r="AZ433" s="897"/>
    </row>
    <row r="434" ht="63" spans="1:52">
      <c r="A434" s="937">
        <v>131</v>
      </c>
      <c r="B434" s="937">
        <v>9503009000</v>
      </c>
      <c r="C434" s="937">
        <v>392690</v>
      </c>
      <c r="D434" s="937" t="s">
        <v>929</v>
      </c>
      <c r="E434" s="937" t="s">
        <v>1240</v>
      </c>
      <c r="F434" s="937" t="s">
        <v>1241</v>
      </c>
      <c r="G434" s="937"/>
      <c r="H434" s="937"/>
      <c r="I434" s="938" t="s">
        <v>123</v>
      </c>
      <c r="J434" s="1108">
        <v>6.7</v>
      </c>
      <c r="K434" s="938">
        <v>200</v>
      </c>
      <c r="L434" s="938" t="s">
        <v>52</v>
      </c>
      <c r="M434" s="937"/>
      <c r="N434" s="942"/>
      <c r="O434" s="939"/>
      <c r="P434" s="940">
        <v>25.8</v>
      </c>
      <c r="Q434" s="940">
        <v>172.86</v>
      </c>
      <c r="R434" s="1141"/>
      <c r="S434" s="936"/>
      <c r="T434" s="940">
        <v>9.76</v>
      </c>
      <c r="U434" s="936"/>
      <c r="V434" s="1115">
        <v>6.7</v>
      </c>
      <c r="W434" s="937" t="s">
        <v>1242</v>
      </c>
      <c r="X434" s="937" t="s">
        <v>1243</v>
      </c>
      <c r="Y434" s="938">
        <v>2</v>
      </c>
      <c r="Z434" s="938">
        <v>100</v>
      </c>
      <c r="AA434" s="936"/>
      <c r="AB434" s="936"/>
      <c r="AC434" s="936"/>
      <c r="AD434" s="948">
        <v>0.0720013843396576</v>
      </c>
      <c r="AE434" s="1115">
        <v>0.14</v>
      </c>
      <c r="AF434" s="1178" t="str">
        <f>_xlfn.DISPIMG("ID_1F14E9EBD9B94BE794B2AA41EBE49EB7",1)</f>
        <v>=DISPIMG("ID_1F14E9EBD9B94BE794B2AA41EBE49EB7",1)</v>
      </c>
      <c r="AG434" s="939"/>
      <c r="AH434" s="939"/>
      <c r="AI434" s="942"/>
      <c r="AJ434" s="939"/>
      <c r="AK434" s="942"/>
      <c r="AL434" s="1108">
        <v>25.8</v>
      </c>
      <c r="AM434" s="1108">
        <v>172.86</v>
      </c>
      <c r="AN434" s="1115"/>
      <c r="AO434" s="936"/>
      <c r="AP434" s="936"/>
      <c r="AQ434" s="1184" t="s">
        <v>881</v>
      </c>
      <c r="AR434" s="1120">
        <v>45674</v>
      </c>
      <c r="AS434" s="1106" t="s">
        <v>882</v>
      </c>
      <c r="AT434" s="1120">
        <v>45687</v>
      </c>
      <c r="AU434" s="1106" t="s">
        <v>883</v>
      </c>
      <c r="AV434" s="1106" t="s">
        <v>59</v>
      </c>
      <c r="AW434" s="1106" t="s">
        <v>873</v>
      </c>
      <c r="AX434" s="1183"/>
      <c r="AY434" s="860"/>
      <c r="AZ434" s="897"/>
    </row>
    <row r="435" ht="93.6" spans="1:52">
      <c r="A435" s="937">
        <v>132</v>
      </c>
      <c r="B435" s="937">
        <v>9503009000</v>
      </c>
      <c r="C435" s="937">
        <v>392690</v>
      </c>
      <c r="D435" s="937" t="s">
        <v>929</v>
      </c>
      <c r="E435" s="937" t="s">
        <v>1110</v>
      </c>
      <c r="F435" s="937" t="s">
        <v>1111</v>
      </c>
      <c r="G435" s="937"/>
      <c r="H435" s="937"/>
      <c r="I435" s="938" t="s">
        <v>123</v>
      </c>
      <c r="J435" s="1108">
        <v>46</v>
      </c>
      <c r="K435" s="938">
        <v>400</v>
      </c>
      <c r="L435" s="938" t="s">
        <v>52</v>
      </c>
      <c r="M435" s="937"/>
      <c r="N435" s="942"/>
      <c r="O435" s="939"/>
      <c r="P435" s="940">
        <v>30.22</v>
      </c>
      <c r="Q435" s="940">
        <v>1390.12</v>
      </c>
      <c r="R435" s="1141"/>
      <c r="S435" s="936"/>
      <c r="T435" s="940">
        <v>50</v>
      </c>
      <c r="U435" s="936"/>
      <c r="V435" s="1115">
        <v>46</v>
      </c>
      <c r="W435" s="937" t="s">
        <v>1166</v>
      </c>
      <c r="X435" s="937" t="s">
        <v>1244</v>
      </c>
      <c r="Y435" s="938">
        <v>3</v>
      </c>
      <c r="Z435" s="937" t="s">
        <v>1245</v>
      </c>
      <c r="AA435" s="936"/>
      <c r="AB435" s="936"/>
      <c r="AC435" s="936"/>
      <c r="AD435" s="948">
        <v>0.117113683597164</v>
      </c>
      <c r="AE435" s="1115">
        <v>0.35</v>
      </c>
      <c r="AF435" s="1178" t="str">
        <f>_xlfn.DISPIMG("ID_7EDC39FE27AB48DEA3B6209B974DB096",1)</f>
        <v>=DISPIMG("ID_7EDC39FE27AB48DEA3B6209B974DB096",1)</v>
      </c>
      <c r="AG435" s="939"/>
      <c r="AH435" s="939"/>
      <c r="AI435" s="942"/>
      <c r="AJ435" s="939"/>
      <c r="AK435" s="942"/>
      <c r="AL435" s="1108">
        <v>30.22</v>
      </c>
      <c r="AM435" s="1108">
        <v>1390.12</v>
      </c>
      <c r="AN435" s="1115"/>
      <c r="AO435" s="936"/>
      <c r="AP435" s="936"/>
      <c r="AQ435" s="1154" t="s">
        <v>881</v>
      </c>
      <c r="AR435" s="1120">
        <v>45674</v>
      </c>
      <c r="AS435" s="1106" t="s">
        <v>882</v>
      </c>
      <c r="AT435" s="1120">
        <v>45687</v>
      </c>
      <c r="AU435" s="1106" t="s">
        <v>883</v>
      </c>
      <c r="AV435" s="1106" t="s">
        <v>59</v>
      </c>
      <c r="AW435" s="1106" t="s">
        <v>873</v>
      </c>
      <c r="AX435" s="1183"/>
      <c r="AY435" s="860"/>
      <c r="AZ435" s="897"/>
    </row>
    <row r="436" ht="63" spans="1:52">
      <c r="A436" s="937">
        <v>133</v>
      </c>
      <c r="B436" s="937">
        <v>9503009000</v>
      </c>
      <c r="C436" s="937">
        <v>392690</v>
      </c>
      <c r="D436" s="937" t="s">
        <v>929</v>
      </c>
      <c r="E436" s="937" t="s">
        <v>1122</v>
      </c>
      <c r="F436" s="937" t="s">
        <v>1246</v>
      </c>
      <c r="G436" s="937"/>
      <c r="H436" s="937"/>
      <c r="I436" s="938" t="s">
        <v>123</v>
      </c>
      <c r="J436" s="1108">
        <v>2.77</v>
      </c>
      <c r="K436" s="938">
        <v>200</v>
      </c>
      <c r="L436" s="938" t="s">
        <v>52</v>
      </c>
      <c r="M436" s="937"/>
      <c r="N436" s="942"/>
      <c r="O436" s="939"/>
      <c r="P436" s="940">
        <v>13</v>
      </c>
      <c r="Q436" s="940">
        <v>36.01</v>
      </c>
      <c r="R436" s="1141"/>
      <c r="S436" s="936"/>
      <c r="T436" s="940">
        <v>3.54</v>
      </c>
      <c r="U436" s="936"/>
      <c r="V436" s="1115">
        <v>2.77</v>
      </c>
      <c r="W436" s="937" t="s">
        <v>397</v>
      </c>
      <c r="X436" s="937">
        <v>96</v>
      </c>
      <c r="Y436" s="938">
        <v>1</v>
      </c>
      <c r="Z436" s="938">
        <v>200</v>
      </c>
      <c r="AA436" s="936"/>
      <c r="AB436" s="936"/>
      <c r="AC436" s="936"/>
      <c r="AD436" s="948">
        <v>0.0455063160496879</v>
      </c>
      <c r="AE436" s="1115">
        <v>0.05</v>
      </c>
      <c r="AF436" s="1178" t="str">
        <f>_xlfn.DISPIMG("ID_408B4C641FE748038F6FC99D05A568F9",1)</f>
        <v>=DISPIMG("ID_408B4C641FE748038F6FC99D05A568F9",1)</v>
      </c>
      <c r="AG436" s="939"/>
      <c r="AH436" s="939"/>
      <c r="AI436" s="942"/>
      <c r="AJ436" s="939"/>
      <c r="AK436" s="942"/>
      <c r="AL436" s="1108">
        <v>13</v>
      </c>
      <c r="AM436" s="1108">
        <v>36.01</v>
      </c>
      <c r="AN436" s="1115"/>
      <c r="AO436" s="936"/>
      <c r="AP436" s="936"/>
      <c r="AQ436" s="1184" t="s">
        <v>881</v>
      </c>
      <c r="AR436" s="1120">
        <v>45674</v>
      </c>
      <c r="AS436" s="1106" t="s">
        <v>882</v>
      </c>
      <c r="AT436" s="1120">
        <v>45687</v>
      </c>
      <c r="AU436" s="1106" t="s">
        <v>883</v>
      </c>
      <c r="AV436" s="1106" t="s">
        <v>59</v>
      </c>
      <c r="AW436" s="1106" t="s">
        <v>873</v>
      </c>
      <c r="AX436" s="1183"/>
      <c r="AY436" s="860"/>
      <c r="AZ436" s="897"/>
    </row>
    <row r="437" ht="63" spans="1:52">
      <c r="A437" s="937">
        <v>134</v>
      </c>
      <c r="B437" s="937">
        <v>9503009000</v>
      </c>
      <c r="C437" s="937">
        <v>392690</v>
      </c>
      <c r="D437" s="937" t="s">
        <v>929</v>
      </c>
      <c r="E437" s="937" t="s">
        <v>1126</v>
      </c>
      <c r="F437" s="937" t="s">
        <v>1247</v>
      </c>
      <c r="G437" s="937"/>
      <c r="H437" s="937"/>
      <c r="I437" s="938" t="s">
        <v>123</v>
      </c>
      <c r="J437" s="1108">
        <v>2.77</v>
      </c>
      <c r="K437" s="938">
        <v>200</v>
      </c>
      <c r="L437" s="938" t="s">
        <v>52</v>
      </c>
      <c r="M437" s="937"/>
      <c r="N437" s="942"/>
      <c r="O437" s="939"/>
      <c r="P437" s="940">
        <v>13</v>
      </c>
      <c r="Q437" s="940">
        <v>36.01</v>
      </c>
      <c r="R437" s="1141"/>
      <c r="S437" s="936"/>
      <c r="T437" s="940">
        <v>3.56</v>
      </c>
      <c r="U437" s="936"/>
      <c r="V437" s="1115">
        <v>2.77</v>
      </c>
      <c r="W437" s="937" t="s">
        <v>397</v>
      </c>
      <c r="X437" s="937">
        <v>97</v>
      </c>
      <c r="Y437" s="938">
        <v>1</v>
      </c>
      <c r="Z437" s="938">
        <v>200</v>
      </c>
      <c r="AA437" s="936"/>
      <c r="AB437" s="936"/>
      <c r="AC437" s="936"/>
      <c r="AD437" s="948">
        <v>0.0455063160496879</v>
      </c>
      <c r="AE437" s="1115">
        <v>0.05</v>
      </c>
      <c r="AF437" s="1178" t="str">
        <f>_xlfn.DISPIMG("ID_1B622667A4704AF6B166F23EFCD633DB",1)</f>
        <v>=DISPIMG("ID_1B622667A4704AF6B166F23EFCD633DB",1)</v>
      </c>
      <c r="AG437" s="939"/>
      <c r="AH437" s="939"/>
      <c r="AI437" s="942"/>
      <c r="AJ437" s="939"/>
      <c r="AK437" s="942"/>
      <c r="AL437" s="1108">
        <v>13</v>
      </c>
      <c r="AM437" s="1108">
        <v>36.01</v>
      </c>
      <c r="AN437" s="1115"/>
      <c r="AO437" s="936"/>
      <c r="AP437" s="936"/>
      <c r="AQ437" s="1154" t="s">
        <v>881</v>
      </c>
      <c r="AR437" s="1120">
        <v>45674</v>
      </c>
      <c r="AS437" s="1106" t="s">
        <v>882</v>
      </c>
      <c r="AT437" s="1120">
        <v>45687</v>
      </c>
      <c r="AU437" s="1106" t="s">
        <v>883</v>
      </c>
      <c r="AV437" s="1106" t="s">
        <v>59</v>
      </c>
      <c r="AW437" s="1106" t="s">
        <v>873</v>
      </c>
      <c r="AX437" s="1183"/>
      <c r="AY437" s="860"/>
      <c r="AZ437" s="897"/>
    </row>
    <row r="438" ht="94.5" spans="1:52">
      <c r="A438" s="937">
        <v>135</v>
      </c>
      <c r="B438" s="937">
        <v>9503009000</v>
      </c>
      <c r="C438" s="937">
        <v>392690</v>
      </c>
      <c r="D438" s="937" t="s">
        <v>929</v>
      </c>
      <c r="E438" s="937" t="s">
        <v>1114</v>
      </c>
      <c r="F438" s="937" t="s">
        <v>1115</v>
      </c>
      <c r="G438" s="937"/>
      <c r="H438" s="937"/>
      <c r="I438" s="938" t="s">
        <v>123</v>
      </c>
      <c r="J438" s="1108">
        <v>46</v>
      </c>
      <c r="K438" s="938">
        <v>400</v>
      </c>
      <c r="L438" s="938" t="s">
        <v>52</v>
      </c>
      <c r="M438" s="937"/>
      <c r="N438" s="942"/>
      <c r="O438" s="939"/>
      <c r="P438" s="940">
        <v>30.22</v>
      </c>
      <c r="Q438" s="940">
        <v>1390.12</v>
      </c>
      <c r="R438" s="1141"/>
      <c r="S438" s="936"/>
      <c r="T438" s="940">
        <v>49.71</v>
      </c>
      <c r="U438" s="936"/>
      <c r="V438" s="1115">
        <v>46</v>
      </c>
      <c r="W438" s="937" t="s">
        <v>1248</v>
      </c>
      <c r="X438" s="937" t="s">
        <v>1249</v>
      </c>
      <c r="Y438" s="938">
        <v>4</v>
      </c>
      <c r="Z438" s="937" t="s">
        <v>1250</v>
      </c>
      <c r="AA438" s="936"/>
      <c r="AB438" s="936"/>
      <c r="AC438" s="936"/>
      <c r="AD438" s="948">
        <v>0.0749876168698738</v>
      </c>
      <c r="AE438" s="1115">
        <v>0.22</v>
      </c>
      <c r="AF438" s="1178" t="str">
        <f>_xlfn.DISPIMG("ID_0897AFA82D9147D6BDBEBB8D39288EA0",1)</f>
        <v>=DISPIMG("ID_0897AFA82D9147D6BDBEBB8D39288EA0",1)</v>
      </c>
      <c r="AG438" s="939"/>
      <c r="AH438" s="939"/>
      <c r="AI438" s="942"/>
      <c r="AJ438" s="939"/>
      <c r="AK438" s="942"/>
      <c r="AL438" s="1108">
        <v>30.22</v>
      </c>
      <c r="AM438" s="1108">
        <v>1390.12</v>
      </c>
      <c r="AN438" s="1115"/>
      <c r="AO438" s="936"/>
      <c r="AP438" s="936"/>
      <c r="AQ438" s="1184" t="s">
        <v>881</v>
      </c>
      <c r="AR438" s="1120">
        <v>45674</v>
      </c>
      <c r="AS438" s="1106" t="s">
        <v>882</v>
      </c>
      <c r="AT438" s="1120">
        <v>45687</v>
      </c>
      <c r="AU438" s="1106" t="s">
        <v>883</v>
      </c>
      <c r="AV438" s="1106" t="s">
        <v>59</v>
      </c>
      <c r="AW438" s="1106" t="s">
        <v>873</v>
      </c>
      <c r="AX438" s="1183"/>
      <c r="AY438" s="860"/>
      <c r="AZ438" s="897"/>
    </row>
    <row r="439" ht="78.75" spans="1:52">
      <c r="A439" s="937">
        <v>136</v>
      </c>
      <c r="B439" s="937">
        <v>9503009000</v>
      </c>
      <c r="C439" s="937">
        <v>392690</v>
      </c>
      <c r="D439" s="937" t="s">
        <v>929</v>
      </c>
      <c r="E439" s="937" t="s">
        <v>1107</v>
      </c>
      <c r="F439" s="937" t="s">
        <v>1108</v>
      </c>
      <c r="G439" s="937"/>
      <c r="H439" s="937"/>
      <c r="I439" s="938" t="s">
        <v>123</v>
      </c>
      <c r="J439" s="1108">
        <v>102.5</v>
      </c>
      <c r="K439" s="938">
        <v>200</v>
      </c>
      <c r="L439" s="938" t="s">
        <v>52</v>
      </c>
      <c r="M439" s="937"/>
      <c r="N439" s="942"/>
      <c r="O439" s="939"/>
      <c r="P439" s="940">
        <v>16.46</v>
      </c>
      <c r="Q439" s="940">
        <v>1687.15</v>
      </c>
      <c r="R439" s="1141"/>
      <c r="S439" s="936"/>
      <c r="T439" s="940">
        <v>116.25</v>
      </c>
      <c r="U439" s="936"/>
      <c r="V439" s="1115">
        <v>102.5</v>
      </c>
      <c r="W439" s="937" t="s">
        <v>1251</v>
      </c>
      <c r="X439" s="937" t="s">
        <v>1252</v>
      </c>
      <c r="Y439" s="938">
        <v>9</v>
      </c>
      <c r="Z439" s="937" t="s">
        <v>1158</v>
      </c>
      <c r="AA439" s="936"/>
      <c r="AB439" s="936"/>
      <c r="AC439" s="936"/>
      <c r="AD439" s="948">
        <v>0.14882816265991</v>
      </c>
      <c r="AE439" s="1115">
        <v>1.34</v>
      </c>
      <c r="AF439" s="1178" t="str">
        <f>_xlfn.DISPIMG("ID_21FF13919BCD4DB39A00FDBD7D118DFB",1)</f>
        <v>=DISPIMG("ID_21FF13919BCD4DB39A00FDBD7D118DFB",1)</v>
      </c>
      <c r="AG439" s="939"/>
      <c r="AH439" s="939"/>
      <c r="AI439" s="942"/>
      <c r="AJ439" s="939"/>
      <c r="AK439" s="942"/>
      <c r="AL439" s="1108">
        <v>16.46</v>
      </c>
      <c r="AM439" s="1108">
        <v>1687.15</v>
      </c>
      <c r="AN439" s="1115"/>
      <c r="AO439" s="936"/>
      <c r="AP439" s="936"/>
      <c r="AQ439" s="1154" t="s">
        <v>881</v>
      </c>
      <c r="AR439" s="1120">
        <v>45674</v>
      </c>
      <c r="AS439" s="1106" t="s">
        <v>882</v>
      </c>
      <c r="AT439" s="1120">
        <v>45687</v>
      </c>
      <c r="AU439" s="1106" t="s">
        <v>883</v>
      </c>
      <c r="AV439" s="1106" t="s">
        <v>59</v>
      </c>
      <c r="AW439" s="1106" t="s">
        <v>873</v>
      </c>
      <c r="AX439" s="1183"/>
      <c r="AY439" s="860"/>
      <c r="AZ439" s="897"/>
    </row>
    <row r="440" ht="78" spans="1:52">
      <c r="A440" s="937">
        <v>137</v>
      </c>
      <c r="B440" s="937">
        <v>9503009000</v>
      </c>
      <c r="C440" s="937">
        <v>392690</v>
      </c>
      <c r="D440" s="937" t="s">
        <v>929</v>
      </c>
      <c r="E440" s="937" t="s">
        <v>1253</v>
      </c>
      <c r="F440" s="937" t="s">
        <v>1254</v>
      </c>
      <c r="G440" s="937"/>
      <c r="H440" s="937"/>
      <c r="I440" s="938" t="s">
        <v>123</v>
      </c>
      <c r="J440" s="1108">
        <v>1.3</v>
      </c>
      <c r="K440" s="938">
        <v>200</v>
      </c>
      <c r="L440" s="938" t="s">
        <v>52</v>
      </c>
      <c r="M440" s="937"/>
      <c r="N440" s="942"/>
      <c r="O440" s="939"/>
      <c r="P440" s="940">
        <v>44</v>
      </c>
      <c r="Q440" s="940">
        <v>57.2</v>
      </c>
      <c r="R440" s="1141"/>
      <c r="S440" s="936"/>
      <c r="T440" s="940">
        <v>5.5</v>
      </c>
      <c r="U440" s="936"/>
      <c r="V440" s="1115">
        <v>1.3</v>
      </c>
      <c r="W440" s="937" t="s">
        <v>1138</v>
      </c>
      <c r="X440" s="937">
        <v>111</v>
      </c>
      <c r="Y440" s="938">
        <v>1</v>
      </c>
      <c r="Z440" s="938">
        <v>200</v>
      </c>
      <c r="AA440" s="936"/>
      <c r="AB440" s="936"/>
      <c r="AC440" s="936"/>
      <c r="AD440" s="948">
        <v>0.0752194796366108</v>
      </c>
      <c r="AE440" s="1115">
        <v>0.08</v>
      </c>
      <c r="AF440" s="1178" t="str">
        <f>_xlfn.DISPIMG("ID_9374EAF93A514EB590DF458CB9244DCC",1)</f>
        <v>=DISPIMG("ID_9374EAF93A514EB590DF458CB9244DCC",1)</v>
      </c>
      <c r="AG440" s="939"/>
      <c r="AH440" s="939" t="s">
        <v>1255</v>
      </c>
      <c r="AI440" s="942">
        <v>45635</v>
      </c>
      <c r="AJ440" s="939" t="s">
        <v>1256</v>
      </c>
      <c r="AK440" s="942">
        <v>45635</v>
      </c>
      <c r="AL440" s="1108">
        <v>44</v>
      </c>
      <c r="AM440" s="1108">
        <v>57.2</v>
      </c>
      <c r="AN440" s="1115">
        <v>13382.74</v>
      </c>
      <c r="AO440" s="936"/>
      <c r="AP440" s="936"/>
      <c r="AQ440" s="1184" t="s">
        <v>881</v>
      </c>
      <c r="AR440" s="1120">
        <v>45674</v>
      </c>
      <c r="AS440" s="1106" t="s">
        <v>882</v>
      </c>
      <c r="AT440" s="1120">
        <v>45687</v>
      </c>
      <c r="AU440" s="1106" t="s">
        <v>883</v>
      </c>
      <c r="AV440" s="1106" t="s">
        <v>59</v>
      </c>
      <c r="AW440" s="1106" t="s">
        <v>873</v>
      </c>
      <c r="AX440" s="1183"/>
      <c r="AY440" s="860"/>
      <c r="AZ440" s="897"/>
    </row>
    <row r="441" ht="63" spans="1:52">
      <c r="A441" s="937">
        <v>138</v>
      </c>
      <c r="B441" s="937">
        <v>9503009000</v>
      </c>
      <c r="C441" s="937">
        <v>392690</v>
      </c>
      <c r="D441" s="937" t="s">
        <v>929</v>
      </c>
      <c r="E441" s="937" t="s">
        <v>1257</v>
      </c>
      <c r="F441" s="937" t="s">
        <v>1258</v>
      </c>
      <c r="G441" s="937"/>
      <c r="H441" s="937"/>
      <c r="I441" s="938" t="s">
        <v>123</v>
      </c>
      <c r="J441" s="1108">
        <v>3</v>
      </c>
      <c r="K441" s="938">
        <v>200</v>
      </c>
      <c r="L441" s="938" t="s">
        <v>52</v>
      </c>
      <c r="M441" s="937"/>
      <c r="N441" s="942"/>
      <c r="O441" s="939"/>
      <c r="P441" s="940">
        <v>48.6</v>
      </c>
      <c r="Q441" s="940">
        <v>145.8</v>
      </c>
      <c r="R441" s="1141"/>
      <c r="S441" s="936"/>
      <c r="T441" s="940">
        <v>3.96</v>
      </c>
      <c r="U441" s="936"/>
      <c r="V441" s="1115">
        <v>3</v>
      </c>
      <c r="W441" s="937" t="s">
        <v>1166</v>
      </c>
      <c r="X441" s="937">
        <v>112</v>
      </c>
      <c r="Y441" s="938">
        <v>1</v>
      </c>
      <c r="Z441" s="938">
        <v>200</v>
      </c>
      <c r="AA441" s="936"/>
      <c r="AB441" s="936"/>
      <c r="AC441" s="936"/>
      <c r="AD441" s="948">
        <v>0.0752194796366108</v>
      </c>
      <c r="AE441" s="1115">
        <v>0.08</v>
      </c>
      <c r="AF441" s="1178" t="str">
        <f>_xlfn.DISPIMG("ID_1D69D5DAECD247EE890A5BBC963D4D80",1)</f>
        <v>=DISPIMG("ID_1D69D5DAECD247EE890A5BBC963D4D80",1)</v>
      </c>
      <c r="AG441" s="939"/>
      <c r="AH441" s="939"/>
      <c r="AI441" s="942"/>
      <c r="AJ441" s="939"/>
      <c r="AK441" s="942"/>
      <c r="AL441" s="1108">
        <v>48.6</v>
      </c>
      <c r="AM441" s="1108">
        <v>145.8</v>
      </c>
      <c r="AN441" s="1115"/>
      <c r="AO441" s="936"/>
      <c r="AP441" s="936"/>
      <c r="AQ441" s="1154" t="s">
        <v>881</v>
      </c>
      <c r="AR441" s="1120">
        <v>45674</v>
      </c>
      <c r="AS441" s="1106" t="s">
        <v>882</v>
      </c>
      <c r="AT441" s="1120">
        <v>45687</v>
      </c>
      <c r="AU441" s="1106" t="s">
        <v>883</v>
      </c>
      <c r="AV441" s="1106" t="s">
        <v>59</v>
      </c>
      <c r="AW441" s="1106" t="s">
        <v>873</v>
      </c>
      <c r="AX441" s="1183"/>
      <c r="AY441" s="860"/>
      <c r="AZ441" s="897"/>
    </row>
    <row r="442" ht="63" spans="1:52">
      <c r="A442" s="937">
        <v>139</v>
      </c>
      <c r="B442" s="937">
        <v>9503009000</v>
      </c>
      <c r="C442" s="937">
        <v>392690</v>
      </c>
      <c r="D442" s="937" t="s">
        <v>929</v>
      </c>
      <c r="E442" s="937" t="s">
        <v>1259</v>
      </c>
      <c r="F442" s="937" t="s">
        <v>1260</v>
      </c>
      <c r="G442" s="937"/>
      <c r="H442" s="937"/>
      <c r="I442" s="938" t="s">
        <v>123</v>
      </c>
      <c r="J442" s="1108">
        <v>39.1</v>
      </c>
      <c r="K442" s="938">
        <v>200</v>
      </c>
      <c r="L442" s="938" t="s">
        <v>52</v>
      </c>
      <c r="M442" s="937"/>
      <c r="N442" s="942"/>
      <c r="O442" s="939"/>
      <c r="P442" s="940">
        <v>16.1</v>
      </c>
      <c r="Q442" s="940">
        <v>629.51</v>
      </c>
      <c r="R442" s="1141"/>
      <c r="S442" s="936"/>
      <c r="T442" s="940">
        <v>46.03</v>
      </c>
      <c r="U442" s="936"/>
      <c r="V442" s="1115">
        <v>39.1</v>
      </c>
      <c r="W442" s="937" t="s">
        <v>1261</v>
      </c>
      <c r="X442" s="937" t="s">
        <v>1262</v>
      </c>
      <c r="Y442" s="938">
        <v>4</v>
      </c>
      <c r="Z442" s="937" t="s">
        <v>1263</v>
      </c>
      <c r="AA442" s="936"/>
      <c r="AB442" s="936"/>
      <c r="AC442" s="936"/>
      <c r="AD442" s="948">
        <v>0.122231654409493</v>
      </c>
      <c r="AE442" s="1115">
        <v>0.49</v>
      </c>
      <c r="AF442" s="1178" t="str">
        <f>_xlfn.DISPIMG("ID_430F478C12B5433BB356255BED8454B7",1)</f>
        <v>=DISPIMG("ID_430F478C12B5433BB356255BED8454B7",1)</v>
      </c>
      <c r="AG442" s="939"/>
      <c r="AH442" s="939"/>
      <c r="AI442" s="942"/>
      <c r="AJ442" s="939"/>
      <c r="AK442" s="942"/>
      <c r="AL442" s="1108">
        <v>16.1</v>
      </c>
      <c r="AM442" s="1108">
        <v>629.51</v>
      </c>
      <c r="AN442" s="1115"/>
      <c r="AO442" s="936"/>
      <c r="AP442" s="936"/>
      <c r="AQ442" s="1184" t="s">
        <v>881</v>
      </c>
      <c r="AR442" s="1120">
        <v>45674</v>
      </c>
      <c r="AS442" s="1106" t="s">
        <v>882</v>
      </c>
      <c r="AT442" s="1120">
        <v>45687</v>
      </c>
      <c r="AU442" s="1106" t="s">
        <v>883</v>
      </c>
      <c r="AV442" s="1106" t="s">
        <v>59</v>
      </c>
      <c r="AW442" s="1106" t="s">
        <v>873</v>
      </c>
      <c r="AX442" s="1183"/>
      <c r="AY442" s="860"/>
      <c r="AZ442" s="897"/>
    </row>
    <row r="443" ht="63" spans="1:52">
      <c r="A443" s="937">
        <v>140</v>
      </c>
      <c r="B443" s="937">
        <v>9503008900</v>
      </c>
      <c r="C443" s="937">
        <v>392690</v>
      </c>
      <c r="D443" s="937" t="s">
        <v>929</v>
      </c>
      <c r="E443" s="937" t="s">
        <v>1264</v>
      </c>
      <c r="F443" s="937" t="s">
        <v>1265</v>
      </c>
      <c r="G443" s="937"/>
      <c r="H443" s="937"/>
      <c r="I443" s="938" t="s">
        <v>51</v>
      </c>
      <c r="J443" s="1108">
        <v>3</v>
      </c>
      <c r="K443" s="938">
        <v>3</v>
      </c>
      <c r="L443" s="938" t="s">
        <v>326</v>
      </c>
      <c r="M443" s="937"/>
      <c r="N443" s="942"/>
      <c r="O443" s="939"/>
      <c r="P443" s="940">
        <v>55</v>
      </c>
      <c r="Q443" s="940">
        <v>165</v>
      </c>
      <c r="R443" s="1141"/>
      <c r="S443" s="936"/>
      <c r="T443" s="940">
        <v>16.14</v>
      </c>
      <c r="U443" s="936"/>
      <c r="V443" s="1115">
        <v>11.4</v>
      </c>
      <c r="W443" s="1138" t="s">
        <v>899</v>
      </c>
      <c r="X443" s="1094" t="s">
        <v>1266</v>
      </c>
      <c r="Y443" s="939">
        <v>3</v>
      </c>
      <c r="Z443" s="1106">
        <v>1</v>
      </c>
      <c r="AA443" s="936"/>
      <c r="AB443" s="936"/>
      <c r="AC443" s="936"/>
      <c r="AD443" s="948">
        <v>0.131173761819418</v>
      </c>
      <c r="AE443" s="1115">
        <v>0.52</v>
      </c>
      <c r="AF443" s="1178" t="str">
        <f>_xlfn.DISPIMG("ID_0656A122917E4F67BC6264B55756F1C4",1)</f>
        <v>=DISPIMG("ID_0656A122917E4F67BC6264B55756F1C4",1)</v>
      </c>
      <c r="AG443" s="939"/>
      <c r="AH443" s="939"/>
      <c r="AI443" s="942"/>
      <c r="AJ443" s="939"/>
      <c r="AK443" s="942"/>
      <c r="AL443" s="1108">
        <v>55</v>
      </c>
      <c r="AM443" s="1108">
        <v>165</v>
      </c>
      <c r="AN443" s="1115"/>
      <c r="AO443" s="936"/>
      <c r="AP443" s="936"/>
      <c r="AQ443" s="1154" t="s">
        <v>881</v>
      </c>
      <c r="AR443" s="1120">
        <v>45674</v>
      </c>
      <c r="AS443" s="1106" t="s">
        <v>882</v>
      </c>
      <c r="AT443" s="1120">
        <v>45687</v>
      </c>
      <c r="AU443" s="1106" t="s">
        <v>883</v>
      </c>
      <c r="AV443" s="1106" t="s">
        <v>59</v>
      </c>
      <c r="AW443" s="1106" t="s">
        <v>873</v>
      </c>
      <c r="AX443" s="1183"/>
      <c r="AY443" s="860"/>
      <c r="AZ443" s="897"/>
    </row>
    <row r="444" ht="63" spans="1:52">
      <c r="A444" s="937">
        <v>141</v>
      </c>
      <c r="B444" s="937">
        <v>9503008900</v>
      </c>
      <c r="C444" s="937">
        <v>392690</v>
      </c>
      <c r="D444" s="937" t="s">
        <v>929</v>
      </c>
      <c r="E444" s="937" t="s">
        <v>1267</v>
      </c>
      <c r="F444" s="937" t="s">
        <v>1268</v>
      </c>
      <c r="G444" s="937"/>
      <c r="H444" s="937"/>
      <c r="I444" s="938" t="s">
        <v>51</v>
      </c>
      <c r="J444" s="1108">
        <v>3</v>
      </c>
      <c r="K444" s="938">
        <v>3</v>
      </c>
      <c r="L444" s="938" t="s">
        <v>326</v>
      </c>
      <c r="M444" s="937"/>
      <c r="N444" s="942"/>
      <c r="O444" s="939"/>
      <c r="P444" s="940">
        <v>55</v>
      </c>
      <c r="Q444" s="940">
        <v>165</v>
      </c>
      <c r="R444" s="1141"/>
      <c r="S444" s="936"/>
      <c r="T444" s="940">
        <v>20.25</v>
      </c>
      <c r="U444" s="936"/>
      <c r="V444" s="1115">
        <v>16.83</v>
      </c>
      <c r="W444" s="1138" t="s">
        <v>899</v>
      </c>
      <c r="X444" s="1094" t="s">
        <v>1269</v>
      </c>
      <c r="Y444" s="939">
        <v>3</v>
      </c>
      <c r="Z444" s="1106">
        <v>1</v>
      </c>
      <c r="AA444" s="936"/>
      <c r="AB444" s="936"/>
      <c r="AC444" s="936"/>
      <c r="AD444" s="948">
        <v>0.131173761819418</v>
      </c>
      <c r="AE444" s="1115">
        <v>0.39</v>
      </c>
      <c r="AF444" s="1178" t="str">
        <f>_xlfn.DISPIMG("ID_A96B1956582C457392F51EE7F21B7D75",1)</f>
        <v>=DISPIMG("ID_A96B1956582C457392F51EE7F21B7D75",1)</v>
      </c>
      <c r="AG444" s="939"/>
      <c r="AH444" s="939"/>
      <c r="AI444" s="942"/>
      <c r="AJ444" s="939"/>
      <c r="AK444" s="942"/>
      <c r="AL444" s="1108">
        <v>55</v>
      </c>
      <c r="AM444" s="1108">
        <v>165</v>
      </c>
      <c r="AN444" s="1115"/>
      <c r="AO444" s="936"/>
      <c r="AP444" s="936"/>
      <c r="AQ444" s="1184" t="s">
        <v>881</v>
      </c>
      <c r="AR444" s="1120">
        <v>45674</v>
      </c>
      <c r="AS444" s="1106" t="s">
        <v>882</v>
      </c>
      <c r="AT444" s="1120">
        <v>45687</v>
      </c>
      <c r="AU444" s="1106" t="s">
        <v>883</v>
      </c>
      <c r="AV444" s="1106" t="s">
        <v>59</v>
      </c>
      <c r="AW444" s="1106" t="s">
        <v>873</v>
      </c>
      <c r="AX444" s="1183"/>
      <c r="AY444" s="860"/>
      <c r="AZ444" s="897"/>
    </row>
    <row r="445" ht="63" spans="1:52">
      <c r="A445" s="937">
        <v>142</v>
      </c>
      <c r="B445" s="937">
        <v>9503009000</v>
      </c>
      <c r="C445" s="937">
        <v>392690</v>
      </c>
      <c r="D445" s="937" t="s">
        <v>929</v>
      </c>
      <c r="E445" s="937" t="s">
        <v>1270</v>
      </c>
      <c r="F445" s="937" t="s">
        <v>1271</v>
      </c>
      <c r="G445" s="937"/>
      <c r="H445" s="937"/>
      <c r="I445" s="938" t="s">
        <v>123</v>
      </c>
      <c r="J445" s="1108">
        <v>2.56</v>
      </c>
      <c r="K445" s="1106">
        <v>2</v>
      </c>
      <c r="L445" s="1106" t="s">
        <v>326</v>
      </c>
      <c r="M445" s="937"/>
      <c r="N445" s="942"/>
      <c r="O445" s="939"/>
      <c r="P445" s="940">
        <v>20</v>
      </c>
      <c r="Q445" s="940">
        <v>51.2</v>
      </c>
      <c r="R445" s="1141"/>
      <c r="S445" s="936"/>
      <c r="T445" s="940">
        <v>3.64</v>
      </c>
      <c r="U445" s="936"/>
      <c r="V445" s="1115">
        <v>2.56</v>
      </c>
      <c r="W445" s="1138" t="s">
        <v>899</v>
      </c>
      <c r="X445" s="1094">
        <v>124</v>
      </c>
      <c r="Y445" s="939">
        <v>1</v>
      </c>
      <c r="Z445" s="1106">
        <v>2</v>
      </c>
      <c r="AA445" s="936"/>
      <c r="AB445" s="936"/>
      <c r="AC445" s="936"/>
      <c r="AD445" s="948">
        <v>0.0378875753749989</v>
      </c>
      <c r="AE445" s="1115">
        <v>0.04</v>
      </c>
      <c r="AF445" s="1178" t="str">
        <f>_xlfn.DISPIMG("ID_7CDC445FBCD2420A9947E8B169BC8C90",1)</f>
        <v>=DISPIMG("ID_7CDC445FBCD2420A9947E8B169BC8C90",1)</v>
      </c>
      <c r="AG445" s="939"/>
      <c r="AH445" s="939"/>
      <c r="AI445" s="942"/>
      <c r="AJ445" s="939"/>
      <c r="AK445" s="942"/>
      <c r="AL445" s="1108">
        <v>20</v>
      </c>
      <c r="AM445" s="1108">
        <v>51.2</v>
      </c>
      <c r="AN445" s="1115"/>
      <c r="AO445" s="936"/>
      <c r="AP445" s="936"/>
      <c r="AQ445" s="1154" t="s">
        <v>881</v>
      </c>
      <c r="AR445" s="1120">
        <v>45674</v>
      </c>
      <c r="AS445" s="1106" t="s">
        <v>882</v>
      </c>
      <c r="AT445" s="1120">
        <v>45687</v>
      </c>
      <c r="AU445" s="1106" t="s">
        <v>883</v>
      </c>
      <c r="AV445" s="1106" t="s">
        <v>59</v>
      </c>
      <c r="AW445" s="1106" t="s">
        <v>873</v>
      </c>
      <c r="AX445" s="1183"/>
      <c r="AY445" s="860"/>
      <c r="AZ445" s="897"/>
    </row>
    <row r="446" ht="78" spans="1:52">
      <c r="A446" s="937">
        <v>143</v>
      </c>
      <c r="B446" s="937">
        <v>9503009000</v>
      </c>
      <c r="C446" s="937">
        <v>392690</v>
      </c>
      <c r="D446" s="937" t="s">
        <v>900</v>
      </c>
      <c r="E446" s="937" t="s">
        <v>252</v>
      </c>
      <c r="F446" s="937" t="s">
        <v>253</v>
      </c>
      <c r="G446" s="937"/>
      <c r="H446" s="937"/>
      <c r="I446" s="938" t="s">
        <v>123</v>
      </c>
      <c r="J446" s="1108">
        <v>14</v>
      </c>
      <c r="K446" s="1106">
        <v>240</v>
      </c>
      <c r="L446" s="1106" t="s">
        <v>254</v>
      </c>
      <c r="M446" s="937"/>
      <c r="N446" s="942"/>
      <c r="O446" s="939"/>
      <c r="P446" s="940">
        <v>54.79</v>
      </c>
      <c r="Q446" s="940">
        <v>767.06</v>
      </c>
      <c r="R446" s="1115">
        <v>11782.13</v>
      </c>
      <c r="S446" s="936"/>
      <c r="T446" s="940">
        <v>18.45</v>
      </c>
      <c r="U446" s="936"/>
      <c r="V446" s="1115">
        <v>14</v>
      </c>
      <c r="W446" s="1138" t="s">
        <v>256</v>
      </c>
      <c r="X446" s="1094" t="s">
        <v>1272</v>
      </c>
      <c r="Y446" s="939">
        <v>3</v>
      </c>
      <c r="Z446" s="1106">
        <v>80</v>
      </c>
      <c r="AA446" s="936"/>
      <c r="AB446" s="936"/>
      <c r="AC446" s="936"/>
      <c r="AD446" s="948">
        <v>0.0859491290490611</v>
      </c>
      <c r="AE446" s="1115">
        <v>0.26</v>
      </c>
      <c r="AF446" s="1131" t="str">
        <f>_xlfn.DISPIMG("ID_7F00DB73563B4A719E26BA6B4EC876BA",1)</f>
        <v>=DISPIMG("ID_7F00DB73563B4A719E26BA6B4EC876BA",1)</v>
      </c>
      <c r="AG446" s="939"/>
      <c r="AH446" s="939"/>
      <c r="AI446" s="942"/>
      <c r="AJ446" s="939"/>
      <c r="AK446" s="942"/>
      <c r="AL446" s="1108">
        <v>54.79</v>
      </c>
      <c r="AM446" s="1108">
        <v>767.06</v>
      </c>
      <c r="AN446" s="1115"/>
      <c r="AO446" s="936"/>
      <c r="AP446" s="936"/>
      <c r="AQ446" s="1184" t="s">
        <v>881</v>
      </c>
      <c r="AR446" s="1120">
        <v>45674</v>
      </c>
      <c r="AS446" s="1106" t="s">
        <v>882</v>
      </c>
      <c r="AT446" s="1120">
        <v>45687</v>
      </c>
      <c r="AU446" s="1106" t="s">
        <v>883</v>
      </c>
      <c r="AV446" s="1106" t="s">
        <v>59</v>
      </c>
      <c r="AW446" s="1106" t="s">
        <v>873</v>
      </c>
      <c r="AX446" s="1183"/>
      <c r="AY446" s="860"/>
      <c r="AZ446" s="897"/>
    </row>
    <row r="447" ht="78" spans="1:52">
      <c r="A447" s="937">
        <v>144</v>
      </c>
      <c r="B447" s="937">
        <v>9503009000</v>
      </c>
      <c r="C447" s="937">
        <v>392690</v>
      </c>
      <c r="D447" s="937" t="s">
        <v>900</v>
      </c>
      <c r="E447" s="937" t="s">
        <v>260</v>
      </c>
      <c r="F447" s="937" t="s">
        <v>261</v>
      </c>
      <c r="G447" s="937"/>
      <c r="H447" s="937"/>
      <c r="I447" s="938" t="s">
        <v>123</v>
      </c>
      <c r="J447" s="1108">
        <v>101.8</v>
      </c>
      <c r="K447" s="1106">
        <v>4062</v>
      </c>
      <c r="L447" s="1106" t="s">
        <v>254</v>
      </c>
      <c r="M447" s="937"/>
      <c r="N447" s="942"/>
      <c r="O447" s="939"/>
      <c r="P447" s="940">
        <v>86.15</v>
      </c>
      <c r="Q447" s="940">
        <v>8770.07</v>
      </c>
      <c r="R447" s="1115"/>
      <c r="S447" s="936"/>
      <c r="T447" s="940">
        <v>150.95</v>
      </c>
      <c r="U447" s="936"/>
      <c r="V447" s="1115">
        <v>101.8</v>
      </c>
      <c r="W447" s="1138" t="s">
        <v>256</v>
      </c>
      <c r="X447" s="1094" t="s">
        <v>1273</v>
      </c>
      <c r="Y447" s="939">
        <v>20</v>
      </c>
      <c r="Z447" s="1106" t="s">
        <v>1274</v>
      </c>
      <c r="AA447" s="936"/>
      <c r="AB447" s="936"/>
      <c r="AC447" s="936"/>
      <c r="AD447" s="948">
        <v>0.0859491290490611</v>
      </c>
      <c r="AE447" s="1115">
        <v>1.72</v>
      </c>
      <c r="AF447" s="1131" t="str">
        <f>_xlfn.DISPIMG("ID_112040F58AF146DE99E7B72D3D879720",1)</f>
        <v>=DISPIMG("ID_112040F58AF146DE99E7B72D3D879720",1)</v>
      </c>
      <c r="AG447" s="939"/>
      <c r="AH447" s="939"/>
      <c r="AI447" s="942"/>
      <c r="AJ447" s="939"/>
      <c r="AK447" s="942"/>
      <c r="AL447" s="1108">
        <v>86.15</v>
      </c>
      <c r="AM447" s="1108">
        <v>8770.07</v>
      </c>
      <c r="AN447" s="1115"/>
      <c r="AO447" s="936"/>
      <c r="AP447" s="936"/>
      <c r="AQ447" s="1154" t="s">
        <v>881</v>
      </c>
      <c r="AR447" s="1120">
        <v>45674</v>
      </c>
      <c r="AS447" s="1106" t="s">
        <v>882</v>
      </c>
      <c r="AT447" s="1120">
        <v>45687</v>
      </c>
      <c r="AU447" s="1106" t="s">
        <v>883</v>
      </c>
      <c r="AV447" s="1106" t="s">
        <v>59</v>
      </c>
      <c r="AW447" s="1106" t="s">
        <v>873</v>
      </c>
      <c r="AX447" s="1183"/>
      <c r="AY447" s="860"/>
      <c r="AZ447" s="897"/>
    </row>
    <row r="448" ht="78" spans="1:52">
      <c r="A448" s="937">
        <v>145</v>
      </c>
      <c r="B448" s="937">
        <v>9503009000</v>
      </c>
      <c r="C448" s="937">
        <v>392690</v>
      </c>
      <c r="D448" s="937" t="s">
        <v>900</v>
      </c>
      <c r="E448" s="937" t="s">
        <v>381</v>
      </c>
      <c r="F448" s="937" t="s">
        <v>573</v>
      </c>
      <c r="G448" s="937"/>
      <c r="H448" s="937"/>
      <c r="I448" s="938" t="s">
        <v>123</v>
      </c>
      <c r="J448" s="1108">
        <v>20</v>
      </c>
      <c r="K448" s="1106">
        <v>1195</v>
      </c>
      <c r="L448" s="1106" t="s">
        <v>254</v>
      </c>
      <c r="M448" s="937"/>
      <c r="N448" s="942"/>
      <c r="O448" s="939"/>
      <c r="P448" s="940">
        <v>108.77</v>
      </c>
      <c r="Q448" s="940">
        <v>2175.4</v>
      </c>
      <c r="R448" s="1115"/>
      <c r="S448" s="936"/>
      <c r="T448" s="940">
        <v>28.71</v>
      </c>
      <c r="U448" s="936"/>
      <c r="V448" s="1115">
        <v>20</v>
      </c>
      <c r="W448" s="1138" t="s">
        <v>256</v>
      </c>
      <c r="X448" s="1094" t="s">
        <v>1275</v>
      </c>
      <c r="Y448" s="939">
        <v>4</v>
      </c>
      <c r="Z448" s="1106" t="s">
        <v>1276</v>
      </c>
      <c r="AA448" s="936"/>
      <c r="AB448" s="936"/>
      <c r="AC448" s="936"/>
      <c r="AD448" s="948">
        <v>0.0859491290490611</v>
      </c>
      <c r="AE448" s="1115">
        <v>0.34</v>
      </c>
      <c r="AF448" s="1131" t="str">
        <f>_xlfn.DISPIMG("ID_AC080BD8BC0B4A60B5697C316CA1E9D5",1)</f>
        <v>=DISPIMG("ID_AC080BD8BC0B4A60B5697C316CA1E9D5",1)</v>
      </c>
      <c r="AG448" s="939"/>
      <c r="AH448" s="939"/>
      <c r="AI448" s="942"/>
      <c r="AJ448" s="939"/>
      <c r="AK448" s="942"/>
      <c r="AL448" s="1108">
        <v>108.77</v>
      </c>
      <c r="AM448" s="1108">
        <v>2175.4</v>
      </c>
      <c r="AN448" s="1115"/>
      <c r="AO448" s="936"/>
      <c r="AP448" s="936"/>
      <c r="AQ448" s="1184" t="s">
        <v>881</v>
      </c>
      <c r="AR448" s="1120">
        <v>45674</v>
      </c>
      <c r="AS448" s="1106" t="s">
        <v>882</v>
      </c>
      <c r="AT448" s="1120">
        <v>45687</v>
      </c>
      <c r="AU448" s="1106" t="s">
        <v>883</v>
      </c>
      <c r="AV448" s="1106" t="s">
        <v>59</v>
      </c>
      <c r="AW448" s="1106" t="s">
        <v>873</v>
      </c>
      <c r="AX448" s="1183"/>
      <c r="AY448" s="860"/>
      <c r="AZ448" s="897"/>
    </row>
    <row r="449" ht="78" spans="1:52">
      <c r="A449" s="937">
        <v>146</v>
      </c>
      <c r="B449" s="937">
        <v>9503009000</v>
      </c>
      <c r="C449" s="937">
        <v>392690</v>
      </c>
      <c r="D449" s="937" t="s">
        <v>347</v>
      </c>
      <c r="E449" s="937" t="s">
        <v>386</v>
      </c>
      <c r="F449" s="937" t="s">
        <v>575</v>
      </c>
      <c r="G449" s="937"/>
      <c r="H449" s="937"/>
      <c r="I449" s="938" t="s">
        <v>123</v>
      </c>
      <c r="J449" s="1108">
        <v>0.75</v>
      </c>
      <c r="K449" s="1106">
        <v>24</v>
      </c>
      <c r="L449" s="1106" t="s">
        <v>254</v>
      </c>
      <c r="M449" s="937"/>
      <c r="N449" s="942"/>
      <c r="O449" s="939"/>
      <c r="P449" s="940">
        <v>92.8</v>
      </c>
      <c r="Q449" s="940">
        <v>69.6</v>
      </c>
      <c r="R449" s="1115"/>
      <c r="S449" s="936"/>
      <c r="T449" s="940">
        <v>0.98</v>
      </c>
      <c r="U449" s="936"/>
      <c r="V449" s="1115">
        <v>0.75</v>
      </c>
      <c r="W449" s="1138" t="s">
        <v>256</v>
      </c>
      <c r="X449" s="1094">
        <v>28</v>
      </c>
      <c r="Y449" s="939">
        <v>1</v>
      </c>
      <c r="Z449" s="1106">
        <v>24</v>
      </c>
      <c r="AA449" s="936"/>
      <c r="AB449" s="936"/>
      <c r="AC449" s="936"/>
      <c r="AD449" s="948">
        <v>0.0859491290490611</v>
      </c>
      <c r="AE449" s="1115">
        <v>0.09</v>
      </c>
      <c r="AF449" s="1131" t="str">
        <f>_xlfn.DISPIMG("ID_3A8E85EEAA334F658A94D1E8288749E9",1)</f>
        <v>=DISPIMG("ID_3A8E85EEAA334F658A94D1E8288749E9",1)</v>
      </c>
      <c r="AG449" s="939"/>
      <c r="AH449" s="939"/>
      <c r="AI449" s="942"/>
      <c r="AJ449" s="939"/>
      <c r="AK449" s="942"/>
      <c r="AL449" s="1108">
        <v>92.8</v>
      </c>
      <c r="AM449" s="1108">
        <v>69.6</v>
      </c>
      <c r="AN449" s="1115"/>
      <c r="AO449" s="936"/>
      <c r="AP449" s="936"/>
      <c r="AQ449" s="1154" t="s">
        <v>881</v>
      </c>
      <c r="AR449" s="1120">
        <v>45674</v>
      </c>
      <c r="AS449" s="1106" t="s">
        <v>882</v>
      </c>
      <c r="AT449" s="1120">
        <v>45687</v>
      </c>
      <c r="AU449" s="1106" t="s">
        <v>883</v>
      </c>
      <c r="AV449" s="1106" t="s">
        <v>59</v>
      </c>
      <c r="AW449" s="1106" t="s">
        <v>873</v>
      </c>
      <c r="AX449" s="1183"/>
      <c r="AY449" s="860"/>
      <c r="AZ449" s="897"/>
    </row>
    <row r="450" ht="63" spans="1:52">
      <c r="A450" s="937">
        <v>147</v>
      </c>
      <c r="B450" s="937">
        <v>3923900000</v>
      </c>
      <c r="C450" s="937">
        <v>392390</v>
      </c>
      <c r="D450" s="937" t="s">
        <v>929</v>
      </c>
      <c r="E450" s="937" t="s">
        <v>1277</v>
      </c>
      <c r="F450" s="937" t="s">
        <v>1278</v>
      </c>
      <c r="G450" s="937" t="s">
        <v>1279</v>
      </c>
      <c r="H450" s="937"/>
      <c r="I450" s="938" t="s">
        <v>51</v>
      </c>
      <c r="J450" s="945">
        <v>830</v>
      </c>
      <c r="K450" s="1106">
        <v>830</v>
      </c>
      <c r="L450" s="1106" t="s">
        <v>52</v>
      </c>
      <c r="M450" s="937" t="s">
        <v>255</v>
      </c>
      <c r="N450" s="950"/>
      <c r="O450" s="937"/>
      <c r="P450" s="1135">
        <v>0.23</v>
      </c>
      <c r="Q450" s="1135">
        <v>190.9</v>
      </c>
      <c r="R450" s="1114">
        <v>206.9</v>
      </c>
      <c r="S450" s="936"/>
      <c r="T450" s="1135">
        <v>3.44</v>
      </c>
      <c r="U450" s="936"/>
      <c r="V450" s="1114">
        <v>3.4</v>
      </c>
      <c r="W450" s="1138" t="s">
        <v>878</v>
      </c>
      <c r="X450" s="941">
        <v>130</v>
      </c>
      <c r="Y450" s="939">
        <v>1</v>
      </c>
      <c r="Z450" s="1185">
        <v>830</v>
      </c>
      <c r="AA450" s="936"/>
      <c r="AB450" s="936"/>
      <c r="AC450" s="936"/>
      <c r="AD450" s="948">
        <v>0.00865737593473827</v>
      </c>
      <c r="AE450" s="1114">
        <v>0.01</v>
      </c>
      <c r="AF450" s="1178" t="str">
        <f>_xlfn.DISPIMG("ID_EB07BDEBE86644309EEA962DA1AEB593",1)</f>
        <v>=DISPIMG("ID_EB07BDEBE86644309EEA962DA1AEB593",1)</v>
      </c>
      <c r="AG450" s="939"/>
      <c r="AH450" s="939"/>
      <c r="AI450" s="942"/>
      <c r="AJ450" s="939"/>
      <c r="AK450" s="942"/>
      <c r="AL450" s="1108">
        <v>0.23</v>
      </c>
      <c r="AM450" s="1108">
        <v>190.9</v>
      </c>
      <c r="AN450" s="1115"/>
      <c r="AO450" s="936"/>
      <c r="AP450" s="936"/>
      <c r="AQ450" s="1184" t="s">
        <v>881</v>
      </c>
      <c r="AR450" s="1120">
        <v>45674</v>
      </c>
      <c r="AS450" s="1106" t="s">
        <v>882</v>
      </c>
      <c r="AT450" s="1120">
        <v>45687</v>
      </c>
      <c r="AU450" s="1106" t="s">
        <v>883</v>
      </c>
      <c r="AV450" s="1106" t="s">
        <v>59</v>
      </c>
      <c r="AW450" s="1106" t="s">
        <v>873</v>
      </c>
      <c r="AX450" s="1183"/>
      <c r="AY450" s="860"/>
      <c r="AZ450" s="897"/>
    </row>
    <row r="451" ht="63" spans="1:52">
      <c r="A451" s="937">
        <v>148</v>
      </c>
      <c r="B451" s="937">
        <v>3926909090</v>
      </c>
      <c r="C451" s="937">
        <v>391910</v>
      </c>
      <c r="D451" s="937" t="s">
        <v>929</v>
      </c>
      <c r="E451" s="937" t="s">
        <v>1280</v>
      </c>
      <c r="F451" s="937" t="s">
        <v>1281</v>
      </c>
      <c r="G451" s="937" t="s">
        <v>1282</v>
      </c>
      <c r="H451" s="937"/>
      <c r="I451" s="938" t="s">
        <v>51</v>
      </c>
      <c r="J451" s="945">
        <v>200</v>
      </c>
      <c r="K451" s="1106">
        <v>200</v>
      </c>
      <c r="L451" s="1106" t="s">
        <v>52</v>
      </c>
      <c r="M451" s="937"/>
      <c r="N451" s="950"/>
      <c r="O451" s="937"/>
      <c r="P451" s="1135">
        <v>0.04</v>
      </c>
      <c r="Q451" s="1135">
        <v>8</v>
      </c>
      <c r="R451" s="1114"/>
      <c r="S451" s="936"/>
      <c r="T451" s="1135">
        <v>0.22</v>
      </c>
      <c r="U451" s="936"/>
      <c r="V451" s="1114">
        <v>0.18</v>
      </c>
      <c r="W451" s="1138"/>
      <c r="X451" s="941"/>
      <c r="Y451" s="939"/>
      <c r="Z451" s="1186">
        <v>200</v>
      </c>
      <c r="AA451" s="936"/>
      <c r="AB451" s="936"/>
      <c r="AC451" s="936"/>
      <c r="AD451" s="948"/>
      <c r="AE451" s="1114"/>
      <c r="AF451" s="1178" t="str">
        <f>_xlfn.DISPIMG("ID_754D05F785B942619DB7BC2783F1FABD",1)</f>
        <v>=DISPIMG("ID_754D05F785B942619DB7BC2783F1FABD",1)</v>
      </c>
      <c r="AG451" s="939"/>
      <c r="AH451" s="939"/>
      <c r="AI451" s="942"/>
      <c r="AJ451" s="939"/>
      <c r="AK451" s="942"/>
      <c r="AL451" s="1108">
        <v>0.04</v>
      </c>
      <c r="AM451" s="1108">
        <v>8</v>
      </c>
      <c r="AN451" s="1115"/>
      <c r="AO451" s="936"/>
      <c r="AP451" s="936"/>
      <c r="AQ451" s="1154" t="s">
        <v>881</v>
      </c>
      <c r="AR451" s="1120">
        <v>45674</v>
      </c>
      <c r="AS451" s="1106" t="s">
        <v>882</v>
      </c>
      <c r="AT451" s="1120">
        <v>45687</v>
      </c>
      <c r="AU451" s="1106" t="s">
        <v>883</v>
      </c>
      <c r="AV451" s="1106" t="s">
        <v>59</v>
      </c>
      <c r="AW451" s="1106" t="s">
        <v>873</v>
      </c>
      <c r="AX451" s="1183"/>
      <c r="AY451" s="860"/>
      <c r="AZ451" s="897"/>
    </row>
    <row r="452" ht="63" spans="1:52">
      <c r="A452" s="937">
        <v>149</v>
      </c>
      <c r="B452" s="937">
        <v>3926909090</v>
      </c>
      <c r="C452" s="937">
        <v>391910</v>
      </c>
      <c r="D452" s="937" t="s">
        <v>929</v>
      </c>
      <c r="E452" s="937" t="s">
        <v>1280</v>
      </c>
      <c r="F452" s="937" t="s">
        <v>1281</v>
      </c>
      <c r="G452" s="937" t="s">
        <v>1283</v>
      </c>
      <c r="H452" s="937"/>
      <c r="I452" s="938" t="s">
        <v>51</v>
      </c>
      <c r="J452" s="945">
        <v>200</v>
      </c>
      <c r="K452" s="1106">
        <v>200</v>
      </c>
      <c r="L452" s="1106" t="s">
        <v>52</v>
      </c>
      <c r="M452" s="937"/>
      <c r="N452" s="950"/>
      <c r="O452" s="937"/>
      <c r="P452" s="1135">
        <v>0.04</v>
      </c>
      <c r="Q452" s="1135">
        <v>8</v>
      </c>
      <c r="R452" s="1114"/>
      <c r="S452" s="936"/>
      <c r="T452" s="1135">
        <v>0.09</v>
      </c>
      <c r="U452" s="936"/>
      <c r="V452" s="1114">
        <v>0.06</v>
      </c>
      <c r="W452" s="1138"/>
      <c r="X452" s="941"/>
      <c r="Y452" s="939"/>
      <c r="Z452" s="1186">
        <v>200</v>
      </c>
      <c r="AA452" s="936"/>
      <c r="AB452" s="936"/>
      <c r="AC452" s="936"/>
      <c r="AD452" s="948"/>
      <c r="AE452" s="1114"/>
      <c r="AF452" s="1178" t="str">
        <f>_xlfn.DISPIMG("ID_DEC34F6DC6994FAFB4EC9EFAD80B9020",1)</f>
        <v>=DISPIMG("ID_DEC34F6DC6994FAFB4EC9EFAD80B9020",1)</v>
      </c>
      <c r="AG452" s="939"/>
      <c r="AH452" s="939"/>
      <c r="AI452" s="942"/>
      <c r="AJ452" s="939"/>
      <c r="AK452" s="942"/>
      <c r="AL452" s="1108">
        <v>0.04</v>
      </c>
      <c r="AM452" s="1108">
        <v>8</v>
      </c>
      <c r="AN452" s="1115"/>
      <c r="AO452" s="936"/>
      <c r="AP452" s="936"/>
      <c r="AQ452" s="1184" t="s">
        <v>881</v>
      </c>
      <c r="AR452" s="1120">
        <v>45674</v>
      </c>
      <c r="AS452" s="1106" t="s">
        <v>882</v>
      </c>
      <c r="AT452" s="1120">
        <v>45687</v>
      </c>
      <c r="AU452" s="1106" t="s">
        <v>883</v>
      </c>
      <c r="AV452" s="1106" t="s">
        <v>59</v>
      </c>
      <c r="AW452" s="1106" t="s">
        <v>873</v>
      </c>
      <c r="AX452" s="1183"/>
      <c r="AY452" s="860"/>
      <c r="AZ452" s="897"/>
    </row>
    <row r="453" ht="78" spans="1:52">
      <c r="A453" s="937">
        <v>150</v>
      </c>
      <c r="B453" s="937">
        <v>7326909000</v>
      </c>
      <c r="C453" s="937">
        <v>732690</v>
      </c>
      <c r="D453" s="937" t="s">
        <v>347</v>
      </c>
      <c r="E453" s="937" t="s">
        <v>1284</v>
      </c>
      <c r="F453" s="937" t="s">
        <v>1285</v>
      </c>
      <c r="G453" s="937"/>
      <c r="H453" s="937"/>
      <c r="I453" s="938" t="s">
        <v>51</v>
      </c>
      <c r="J453" s="945">
        <v>18</v>
      </c>
      <c r="K453" s="1106">
        <v>18</v>
      </c>
      <c r="L453" s="1106" t="s">
        <v>52</v>
      </c>
      <c r="M453" s="937"/>
      <c r="N453" s="950"/>
      <c r="O453" s="937"/>
      <c r="P453" s="1135">
        <v>10</v>
      </c>
      <c r="Q453" s="1135">
        <v>180</v>
      </c>
      <c r="R453" s="1114">
        <v>180</v>
      </c>
      <c r="S453" s="936"/>
      <c r="T453" s="1135">
        <v>0.23</v>
      </c>
      <c r="U453" s="936"/>
      <c r="V453" s="1114">
        <v>0.08</v>
      </c>
      <c r="W453" s="1138"/>
      <c r="X453" s="941"/>
      <c r="Y453" s="939"/>
      <c r="Z453" s="1187">
        <v>18</v>
      </c>
      <c r="AA453" s="936"/>
      <c r="AB453" s="936"/>
      <c r="AC453" s="936"/>
      <c r="AD453" s="948"/>
      <c r="AE453" s="1114"/>
      <c r="AF453" s="1178" t="str">
        <f>_xlfn.DISPIMG("ID_B076B8E1EF9A41188AF728A31A13494C",1)</f>
        <v>=DISPIMG("ID_B076B8E1EF9A41188AF728A31A13494C",1)</v>
      </c>
      <c r="AG453" s="939" t="s">
        <v>1286</v>
      </c>
      <c r="AH453" s="939"/>
      <c r="AI453" s="942"/>
      <c r="AJ453" s="939"/>
      <c r="AK453" s="942"/>
      <c r="AL453" s="1108">
        <v>10</v>
      </c>
      <c r="AM453" s="1108">
        <v>180</v>
      </c>
      <c r="AN453" s="1115"/>
      <c r="AO453" s="936"/>
      <c r="AP453" s="936"/>
      <c r="AQ453" s="1154" t="s">
        <v>881</v>
      </c>
      <c r="AR453" s="1120">
        <v>45674</v>
      </c>
      <c r="AS453" s="1106" t="s">
        <v>882</v>
      </c>
      <c r="AT453" s="1120">
        <v>45687</v>
      </c>
      <c r="AU453" s="1106" t="s">
        <v>883</v>
      </c>
      <c r="AV453" s="1106" t="s">
        <v>59</v>
      </c>
      <c r="AW453" s="1106" t="s">
        <v>873</v>
      </c>
      <c r="AX453" s="1188"/>
      <c r="AY453" s="867"/>
      <c r="AZ453" s="901"/>
    </row>
    <row r="454" ht="80" customHeight="1" spans="1:52">
      <c r="A454" s="804"/>
      <c r="B454" s="805"/>
      <c r="C454" s="805"/>
      <c r="D454" s="804"/>
      <c r="E454" s="804"/>
      <c r="F454" s="804"/>
      <c r="G454" s="804"/>
      <c r="H454" s="804"/>
      <c r="I454" s="805"/>
      <c r="J454" s="809"/>
      <c r="K454" s="810"/>
      <c r="L454" s="811"/>
      <c r="M454" s="810"/>
      <c r="N454" s="812"/>
      <c r="O454" s="810"/>
      <c r="P454" s="813"/>
      <c r="Q454" s="922">
        <v>43800.92</v>
      </c>
      <c r="R454" s="922">
        <v>43800.92</v>
      </c>
      <c r="T454" s="922">
        <v>2136.23</v>
      </c>
      <c r="V454" s="922">
        <v>1590.03</v>
      </c>
      <c r="W454" s="923"/>
      <c r="X454" s="810"/>
      <c r="Y454" s="922">
        <v>282</v>
      </c>
      <c r="Z454" s="810"/>
      <c r="AD454" s="816"/>
      <c r="AE454" s="922">
        <v>28.46</v>
      </c>
      <c r="AF454" s="810"/>
      <c r="AG454" s="810"/>
      <c r="AH454" s="924"/>
      <c r="AI454" s="925"/>
      <c r="AJ454" s="926"/>
      <c r="AK454" s="925"/>
      <c r="AL454" s="809"/>
      <c r="AM454" s="922">
        <v>43800.92</v>
      </c>
      <c r="AN454" s="922">
        <v>43800.92</v>
      </c>
      <c r="AQ454" s="885"/>
      <c r="AR454" s="869"/>
      <c r="AS454" s="869"/>
      <c r="AT454" s="869"/>
      <c r="AU454" s="869"/>
      <c r="AV454" s="869"/>
      <c r="AW454" s="869"/>
      <c r="AX454" s="820"/>
      <c r="AY454" s="820"/>
      <c r="AZ454" s="821"/>
    </row>
    <row r="455" ht="78.75" spans="1:52">
      <c r="A455" s="937">
        <v>151</v>
      </c>
      <c r="B455" s="938">
        <v>7326909000</v>
      </c>
      <c r="C455" s="938">
        <v>741533</v>
      </c>
      <c r="D455" s="937" t="s">
        <v>874</v>
      </c>
      <c r="E455" s="937" t="s">
        <v>1287</v>
      </c>
      <c r="F455" s="937" t="s">
        <v>227</v>
      </c>
      <c r="G455" s="937" t="s">
        <v>1288</v>
      </c>
      <c r="H455" s="937"/>
      <c r="I455" s="938" t="s">
        <v>123</v>
      </c>
      <c r="J455" s="1108">
        <v>0.2</v>
      </c>
      <c r="K455" s="939">
        <v>800</v>
      </c>
      <c r="L455" s="1106" t="s">
        <v>52</v>
      </c>
      <c r="M455" s="939" t="s">
        <v>124</v>
      </c>
      <c r="N455" s="942"/>
      <c r="O455" s="939"/>
      <c r="P455" s="940">
        <v>18.4</v>
      </c>
      <c r="Q455" s="1108">
        <v>3.68</v>
      </c>
      <c r="R455" s="1141">
        <v>193.87</v>
      </c>
      <c r="S455" s="936"/>
      <c r="T455" s="1115">
        <v>0.21</v>
      </c>
      <c r="U455" s="936"/>
      <c r="V455" s="1115">
        <v>0.2</v>
      </c>
      <c r="W455" s="938" t="s">
        <v>878</v>
      </c>
      <c r="X455" s="937">
        <v>131</v>
      </c>
      <c r="Y455" s="938">
        <v>1</v>
      </c>
      <c r="Z455" s="938" t="s">
        <v>52</v>
      </c>
      <c r="AA455" s="936"/>
      <c r="AB455" s="936"/>
      <c r="AC455" s="936"/>
      <c r="AD455" s="948">
        <v>0.00865737593473827</v>
      </c>
      <c r="AE455" s="1115">
        <v>0.01</v>
      </c>
      <c r="AF455" s="1178" t="str">
        <f>_xlfn.DISPIMG("ID_691303BE269B47B4A512F25516DAD0BC",1)</f>
        <v>=DISPIMG("ID_691303BE269B47B4A512F25516DAD0BC",1)</v>
      </c>
      <c r="AG455" s="939"/>
      <c r="AH455" s="1106" t="s">
        <v>1289</v>
      </c>
      <c r="AI455" s="1189">
        <v>45635</v>
      </c>
      <c r="AJ455" s="1106" t="s">
        <v>1290</v>
      </c>
      <c r="AK455" s="1189">
        <v>45635</v>
      </c>
      <c r="AL455" s="945">
        <v>18.4</v>
      </c>
      <c r="AM455" s="945">
        <v>3.68</v>
      </c>
      <c r="AN455" s="1114">
        <v>338.73</v>
      </c>
      <c r="AO455" s="936"/>
      <c r="AP455" s="936"/>
      <c r="AQ455" s="1154" t="s">
        <v>881</v>
      </c>
      <c r="AR455" s="1120">
        <v>45674</v>
      </c>
      <c r="AS455" s="1106" t="s">
        <v>882</v>
      </c>
      <c r="AT455" s="1120">
        <v>45687</v>
      </c>
      <c r="AU455" s="1106" t="s">
        <v>883</v>
      </c>
      <c r="AV455" s="1106" t="s">
        <v>59</v>
      </c>
      <c r="AW455" s="1106" t="s">
        <v>873</v>
      </c>
      <c r="AX455" s="1190">
        <v>16188</v>
      </c>
      <c r="AY455" s="857"/>
      <c r="AZ455" s="894">
        <v>100053.18</v>
      </c>
    </row>
    <row r="456" ht="78.75" spans="1:52">
      <c r="A456" s="937">
        <v>152</v>
      </c>
      <c r="B456" s="938">
        <v>7326909000</v>
      </c>
      <c r="C456" s="938">
        <v>741533</v>
      </c>
      <c r="D456" s="937" t="s">
        <v>874</v>
      </c>
      <c r="E456" s="937" t="s">
        <v>1291</v>
      </c>
      <c r="F456" s="937" t="s">
        <v>1292</v>
      </c>
      <c r="G456" s="937" t="s">
        <v>1293</v>
      </c>
      <c r="H456" s="937"/>
      <c r="I456" s="938" t="s">
        <v>123</v>
      </c>
      <c r="J456" s="1108">
        <v>2.28</v>
      </c>
      <c r="K456" s="939">
        <v>7600</v>
      </c>
      <c r="L456" s="1106" t="s">
        <v>52</v>
      </c>
      <c r="M456" s="939"/>
      <c r="N456" s="942"/>
      <c r="O456" s="939"/>
      <c r="P456" s="940">
        <v>15.5</v>
      </c>
      <c r="Q456" s="1108">
        <v>35.34</v>
      </c>
      <c r="R456" s="1141"/>
      <c r="S456" s="936"/>
      <c r="T456" s="1115">
        <v>2.29</v>
      </c>
      <c r="U456" s="936"/>
      <c r="V456" s="1115">
        <v>2.28</v>
      </c>
      <c r="W456" s="938"/>
      <c r="X456" s="937"/>
      <c r="Y456" s="938"/>
      <c r="Z456" s="938" t="s">
        <v>52</v>
      </c>
      <c r="AA456" s="936"/>
      <c r="AB456" s="936"/>
      <c r="AC456" s="936"/>
      <c r="AD456" s="948"/>
      <c r="AE456" s="1115"/>
      <c r="AF456" s="1178" t="str">
        <f>_xlfn.DISPIMG("ID_49554AE84AB74EA484B7BF291FF0223C",1)</f>
        <v>=DISPIMG("ID_49554AE84AB74EA484B7BF291FF0223C",1)</v>
      </c>
      <c r="AG456" s="939"/>
      <c r="AH456" s="1106"/>
      <c r="AI456" s="1189"/>
      <c r="AJ456" s="1106"/>
      <c r="AK456" s="1189"/>
      <c r="AL456" s="945">
        <v>15.5</v>
      </c>
      <c r="AM456" s="945">
        <v>35.34</v>
      </c>
      <c r="AN456" s="1114"/>
      <c r="AO456" s="936"/>
      <c r="AP456" s="936"/>
      <c r="AQ456" s="1154" t="s">
        <v>881</v>
      </c>
      <c r="AR456" s="1120">
        <v>45674</v>
      </c>
      <c r="AS456" s="1106" t="s">
        <v>882</v>
      </c>
      <c r="AT456" s="1120">
        <v>45687</v>
      </c>
      <c r="AU456" s="1106" t="s">
        <v>883</v>
      </c>
      <c r="AV456" s="1106" t="s">
        <v>59</v>
      </c>
      <c r="AW456" s="1106" t="s">
        <v>873</v>
      </c>
      <c r="AX456" s="1191"/>
      <c r="AY456" s="860"/>
      <c r="AZ456" s="897"/>
    </row>
    <row r="457" ht="78.75" spans="1:52">
      <c r="A457" s="937">
        <v>153</v>
      </c>
      <c r="B457" s="938">
        <v>7326909000</v>
      </c>
      <c r="C457" s="938">
        <v>741533</v>
      </c>
      <c r="D457" s="937" t="s">
        <v>874</v>
      </c>
      <c r="E457" s="937" t="s">
        <v>1294</v>
      </c>
      <c r="F457" s="937" t="s">
        <v>1295</v>
      </c>
      <c r="G457" s="937" t="s">
        <v>1296</v>
      </c>
      <c r="H457" s="937"/>
      <c r="I457" s="938" t="s">
        <v>123</v>
      </c>
      <c r="J457" s="1108">
        <v>0.98</v>
      </c>
      <c r="K457" s="939">
        <v>2400</v>
      </c>
      <c r="L457" s="1106" t="s">
        <v>52</v>
      </c>
      <c r="M457" s="939"/>
      <c r="N457" s="942"/>
      <c r="O457" s="939"/>
      <c r="P457" s="940">
        <v>16.5</v>
      </c>
      <c r="Q457" s="1108">
        <v>16.17</v>
      </c>
      <c r="R457" s="1141"/>
      <c r="S457" s="936"/>
      <c r="T457" s="1115">
        <v>0.99</v>
      </c>
      <c r="U457" s="936"/>
      <c r="V457" s="1115">
        <v>0.98</v>
      </c>
      <c r="W457" s="938"/>
      <c r="X457" s="937"/>
      <c r="Y457" s="938"/>
      <c r="Z457" s="938" t="s">
        <v>52</v>
      </c>
      <c r="AA457" s="936"/>
      <c r="AB457" s="936"/>
      <c r="AC457" s="936"/>
      <c r="AD457" s="948"/>
      <c r="AE457" s="1115"/>
      <c r="AF457" s="1178" t="str">
        <f>_xlfn.DISPIMG("ID_277CCBA4C30D4E1CA0AFDD0DFDE2346F",1)</f>
        <v>=DISPIMG("ID_277CCBA4C30D4E1CA0AFDD0DFDE2346F",1)</v>
      </c>
      <c r="AG457" s="939"/>
      <c r="AH457" s="1106"/>
      <c r="AI457" s="1189"/>
      <c r="AJ457" s="1106"/>
      <c r="AK457" s="1189"/>
      <c r="AL457" s="945">
        <v>16.5</v>
      </c>
      <c r="AM457" s="945">
        <v>16.17</v>
      </c>
      <c r="AN457" s="1114"/>
      <c r="AO457" s="936"/>
      <c r="AP457" s="936"/>
      <c r="AQ457" s="1154" t="s">
        <v>881</v>
      </c>
      <c r="AR457" s="1120">
        <v>45674</v>
      </c>
      <c r="AS457" s="1106" t="s">
        <v>882</v>
      </c>
      <c r="AT457" s="1120">
        <v>45687</v>
      </c>
      <c r="AU457" s="1106" t="s">
        <v>883</v>
      </c>
      <c r="AV457" s="1106" t="s">
        <v>59</v>
      </c>
      <c r="AW457" s="1106" t="s">
        <v>873</v>
      </c>
      <c r="AX457" s="1191"/>
      <c r="AY457" s="860"/>
      <c r="AZ457" s="897"/>
    </row>
    <row r="458" ht="78.75" spans="1:52">
      <c r="A458" s="937">
        <v>154</v>
      </c>
      <c r="B458" s="938">
        <v>7326909000</v>
      </c>
      <c r="C458" s="938">
        <v>741533</v>
      </c>
      <c r="D458" s="937" t="s">
        <v>874</v>
      </c>
      <c r="E458" s="937" t="s">
        <v>1297</v>
      </c>
      <c r="F458" s="937" t="s">
        <v>1298</v>
      </c>
      <c r="G458" s="937" t="s">
        <v>1299</v>
      </c>
      <c r="H458" s="937"/>
      <c r="I458" s="938" t="s">
        <v>123</v>
      </c>
      <c r="J458" s="1108">
        <v>0.81</v>
      </c>
      <c r="K458" s="939">
        <v>1400</v>
      </c>
      <c r="L458" s="1106" t="s">
        <v>52</v>
      </c>
      <c r="M458" s="939"/>
      <c r="N458" s="942"/>
      <c r="O458" s="939"/>
      <c r="P458" s="940">
        <v>17</v>
      </c>
      <c r="Q458" s="1108">
        <v>13.77</v>
      </c>
      <c r="R458" s="1141"/>
      <c r="S458" s="936"/>
      <c r="T458" s="1115">
        <v>0.82</v>
      </c>
      <c r="U458" s="936"/>
      <c r="V458" s="1115">
        <v>0.81</v>
      </c>
      <c r="W458" s="938"/>
      <c r="X458" s="937"/>
      <c r="Y458" s="938"/>
      <c r="Z458" s="938" t="s">
        <v>52</v>
      </c>
      <c r="AA458" s="936"/>
      <c r="AB458" s="936"/>
      <c r="AC458" s="936"/>
      <c r="AD458" s="948"/>
      <c r="AE458" s="1115"/>
      <c r="AF458" s="1178" t="str">
        <f>_xlfn.DISPIMG("ID_7D611D8C65DC48B199FCEA1120765BAB",1)</f>
        <v>=DISPIMG("ID_7D611D8C65DC48B199FCEA1120765BAB",1)</v>
      </c>
      <c r="AG458" s="939"/>
      <c r="AH458" s="1106"/>
      <c r="AI458" s="1189"/>
      <c r="AJ458" s="1106"/>
      <c r="AK458" s="1189"/>
      <c r="AL458" s="945">
        <v>17</v>
      </c>
      <c r="AM458" s="945">
        <v>13.77</v>
      </c>
      <c r="AN458" s="1114"/>
      <c r="AO458" s="936"/>
      <c r="AP458" s="936"/>
      <c r="AQ458" s="1154" t="s">
        <v>881</v>
      </c>
      <c r="AR458" s="1120">
        <v>45674</v>
      </c>
      <c r="AS458" s="1106" t="s">
        <v>882</v>
      </c>
      <c r="AT458" s="1120">
        <v>45687</v>
      </c>
      <c r="AU458" s="1106" t="s">
        <v>883</v>
      </c>
      <c r="AV458" s="1106" t="s">
        <v>59</v>
      </c>
      <c r="AW458" s="1106" t="s">
        <v>873</v>
      </c>
      <c r="AX458" s="1191"/>
      <c r="AY458" s="860"/>
      <c r="AZ458" s="897"/>
    </row>
    <row r="459" ht="78.75" spans="1:52">
      <c r="A459" s="937">
        <v>155</v>
      </c>
      <c r="B459" s="938">
        <v>7326909000</v>
      </c>
      <c r="C459" s="938">
        <v>741533</v>
      </c>
      <c r="D459" s="937" t="s">
        <v>874</v>
      </c>
      <c r="E459" s="937" t="s">
        <v>1300</v>
      </c>
      <c r="F459" s="937" t="s">
        <v>1301</v>
      </c>
      <c r="G459" s="937" t="s">
        <v>1302</v>
      </c>
      <c r="H459" s="937"/>
      <c r="I459" s="938" t="s">
        <v>123</v>
      </c>
      <c r="J459" s="1108">
        <v>0.1</v>
      </c>
      <c r="K459" s="939">
        <v>200</v>
      </c>
      <c r="L459" s="1106" t="s">
        <v>52</v>
      </c>
      <c r="M459" s="939"/>
      <c r="N459" s="942"/>
      <c r="O459" s="939"/>
      <c r="P459" s="940">
        <v>25.8</v>
      </c>
      <c r="Q459" s="1108">
        <v>2.58</v>
      </c>
      <c r="R459" s="1141"/>
      <c r="S459" s="936"/>
      <c r="T459" s="1115">
        <v>0.11</v>
      </c>
      <c r="U459" s="936"/>
      <c r="V459" s="1115">
        <v>0.1</v>
      </c>
      <c r="W459" s="938"/>
      <c r="X459" s="937"/>
      <c r="Y459" s="938"/>
      <c r="Z459" s="938" t="s">
        <v>52</v>
      </c>
      <c r="AA459" s="936"/>
      <c r="AB459" s="936"/>
      <c r="AC459" s="936"/>
      <c r="AD459" s="948"/>
      <c r="AE459" s="1115"/>
      <c r="AF459" s="1178" t="str">
        <f>_xlfn.DISPIMG("ID_7E80D7869DD94E39A7D700068F15DCE5",1)</f>
        <v>=DISPIMG("ID_7E80D7869DD94E39A7D700068F15DCE5",1)</v>
      </c>
      <c r="AG459" s="939"/>
      <c r="AH459" s="1106"/>
      <c r="AI459" s="1189"/>
      <c r="AJ459" s="1106"/>
      <c r="AK459" s="1189"/>
      <c r="AL459" s="945">
        <v>25.8</v>
      </c>
      <c r="AM459" s="945">
        <v>2.58</v>
      </c>
      <c r="AN459" s="1114"/>
      <c r="AO459" s="936"/>
      <c r="AP459" s="936"/>
      <c r="AQ459" s="1154" t="s">
        <v>881</v>
      </c>
      <c r="AR459" s="1120">
        <v>45674</v>
      </c>
      <c r="AS459" s="1106" t="s">
        <v>882</v>
      </c>
      <c r="AT459" s="1120">
        <v>45687</v>
      </c>
      <c r="AU459" s="1106" t="s">
        <v>883</v>
      </c>
      <c r="AV459" s="1106" t="s">
        <v>59</v>
      </c>
      <c r="AW459" s="1106" t="s">
        <v>873</v>
      </c>
      <c r="AX459" s="1191"/>
      <c r="AY459" s="860"/>
      <c r="AZ459" s="897"/>
    </row>
    <row r="460" ht="78.75" spans="1:52">
      <c r="A460" s="937">
        <v>156</v>
      </c>
      <c r="B460" s="938">
        <v>7326909000</v>
      </c>
      <c r="C460" s="938">
        <v>741533</v>
      </c>
      <c r="D460" s="937" t="s">
        <v>874</v>
      </c>
      <c r="E460" s="937" t="s">
        <v>1303</v>
      </c>
      <c r="F460" s="937" t="s">
        <v>1304</v>
      </c>
      <c r="G460" s="937" t="s">
        <v>1305</v>
      </c>
      <c r="H460" s="937"/>
      <c r="I460" s="938" t="s">
        <v>123</v>
      </c>
      <c r="J460" s="1108">
        <v>0.36</v>
      </c>
      <c r="K460" s="939">
        <v>600</v>
      </c>
      <c r="L460" s="1106" t="s">
        <v>52</v>
      </c>
      <c r="M460" s="939"/>
      <c r="N460" s="942"/>
      <c r="O460" s="939"/>
      <c r="P460" s="940">
        <v>21</v>
      </c>
      <c r="Q460" s="1108">
        <v>7.56</v>
      </c>
      <c r="R460" s="1141"/>
      <c r="S460" s="936"/>
      <c r="T460" s="1115">
        <v>0.37</v>
      </c>
      <c r="U460" s="936"/>
      <c r="V460" s="1115">
        <v>0.36</v>
      </c>
      <c r="W460" s="938"/>
      <c r="X460" s="937"/>
      <c r="Y460" s="938"/>
      <c r="Z460" s="938" t="s">
        <v>52</v>
      </c>
      <c r="AA460" s="936"/>
      <c r="AB460" s="936"/>
      <c r="AC460" s="936"/>
      <c r="AD460" s="948"/>
      <c r="AE460" s="1115"/>
      <c r="AF460" s="1178" t="str">
        <f>_xlfn.DISPIMG("ID_E751C5B926004BF19FD851B4BBAD61B3",1)</f>
        <v>=DISPIMG("ID_E751C5B926004BF19FD851B4BBAD61B3",1)</v>
      </c>
      <c r="AG460" s="939"/>
      <c r="AH460" s="1106"/>
      <c r="AI460" s="1189"/>
      <c r="AJ460" s="1106"/>
      <c r="AK460" s="1189"/>
      <c r="AL460" s="945">
        <v>21</v>
      </c>
      <c r="AM460" s="945">
        <v>7.56</v>
      </c>
      <c r="AN460" s="1114"/>
      <c r="AO460" s="936"/>
      <c r="AP460" s="936"/>
      <c r="AQ460" s="1154" t="s">
        <v>881</v>
      </c>
      <c r="AR460" s="1120">
        <v>45674</v>
      </c>
      <c r="AS460" s="1106" t="s">
        <v>882</v>
      </c>
      <c r="AT460" s="1120">
        <v>45687</v>
      </c>
      <c r="AU460" s="1106" t="s">
        <v>883</v>
      </c>
      <c r="AV460" s="1106" t="s">
        <v>59</v>
      </c>
      <c r="AW460" s="1106" t="s">
        <v>873</v>
      </c>
      <c r="AX460" s="1191"/>
      <c r="AY460" s="860"/>
      <c r="AZ460" s="897"/>
    </row>
    <row r="461" ht="78.75" spans="1:52">
      <c r="A461" s="937">
        <v>157</v>
      </c>
      <c r="B461" s="938">
        <v>7326909000</v>
      </c>
      <c r="C461" s="938">
        <v>741533</v>
      </c>
      <c r="D461" s="937" t="s">
        <v>874</v>
      </c>
      <c r="E461" s="937" t="s">
        <v>1306</v>
      </c>
      <c r="F461" s="937" t="s">
        <v>1307</v>
      </c>
      <c r="G461" s="937" t="s">
        <v>1308</v>
      </c>
      <c r="H461" s="937"/>
      <c r="I461" s="938" t="s">
        <v>123</v>
      </c>
      <c r="J461" s="1108">
        <v>0.18</v>
      </c>
      <c r="K461" s="939">
        <v>400</v>
      </c>
      <c r="L461" s="1106" t="s">
        <v>52</v>
      </c>
      <c r="M461" s="939"/>
      <c r="N461" s="942"/>
      <c r="O461" s="939"/>
      <c r="P461" s="940">
        <v>31.5</v>
      </c>
      <c r="Q461" s="1108">
        <v>5.67</v>
      </c>
      <c r="R461" s="1141"/>
      <c r="S461" s="936"/>
      <c r="T461" s="1115">
        <v>0.19</v>
      </c>
      <c r="U461" s="936"/>
      <c r="V461" s="1115">
        <v>0.18</v>
      </c>
      <c r="W461" s="938"/>
      <c r="X461" s="937"/>
      <c r="Y461" s="938"/>
      <c r="Z461" s="938" t="s">
        <v>52</v>
      </c>
      <c r="AA461" s="936"/>
      <c r="AB461" s="936"/>
      <c r="AC461" s="936"/>
      <c r="AD461" s="948"/>
      <c r="AE461" s="1115"/>
      <c r="AF461" s="1178" t="str">
        <f>_xlfn.DISPIMG("ID_46352DB03A504FFB8927622EBAB39C55",1)</f>
        <v>=DISPIMG("ID_46352DB03A504FFB8927622EBAB39C55",1)</v>
      </c>
      <c r="AG461" s="939"/>
      <c r="AH461" s="1106"/>
      <c r="AI461" s="1189"/>
      <c r="AJ461" s="1106"/>
      <c r="AK461" s="1189"/>
      <c r="AL461" s="945">
        <v>31.5</v>
      </c>
      <c r="AM461" s="945">
        <v>5.67</v>
      </c>
      <c r="AN461" s="1114"/>
      <c r="AO461" s="936"/>
      <c r="AP461" s="936"/>
      <c r="AQ461" s="1154" t="s">
        <v>881</v>
      </c>
      <c r="AR461" s="1120">
        <v>45674</v>
      </c>
      <c r="AS461" s="1106" t="s">
        <v>882</v>
      </c>
      <c r="AT461" s="1120">
        <v>45687</v>
      </c>
      <c r="AU461" s="1106" t="s">
        <v>883</v>
      </c>
      <c r="AV461" s="1106" t="s">
        <v>59</v>
      </c>
      <c r="AW461" s="1106" t="s">
        <v>873</v>
      </c>
      <c r="AX461" s="1191"/>
      <c r="AY461" s="860"/>
      <c r="AZ461" s="897"/>
    </row>
    <row r="462" ht="78.75" spans="1:52">
      <c r="A462" s="937">
        <v>158</v>
      </c>
      <c r="B462" s="938">
        <v>7326909000</v>
      </c>
      <c r="C462" s="938">
        <v>731829</v>
      </c>
      <c r="D462" s="937" t="s">
        <v>874</v>
      </c>
      <c r="E462" s="937" t="s">
        <v>1309</v>
      </c>
      <c r="F462" s="937" t="s">
        <v>1310</v>
      </c>
      <c r="G462" s="937" t="s">
        <v>1311</v>
      </c>
      <c r="H462" s="937"/>
      <c r="I462" s="938" t="s">
        <v>123</v>
      </c>
      <c r="J462" s="1108">
        <v>3.98</v>
      </c>
      <c r="K462" s="939">
        <v>200</v>
      </c>
      <c r="L462" s="1106" t="s">
        <v>52</v>
      </c>
      <c r="M462" s="939"/>
      <c r="N462" s="942"/>
      <c r="O462" s="939"/>
      <c r="P462" s="940">
        <v>15</v>
      </c>
      <c r="Q462" s="1108">
        <v>59.7</v>
      </c>
      <c r="R462" s="1141"/>
      <c r="S462" s="936"/>
      <c r="T462" s="1115">
        <v>4.09</v>
      </c>
      <c r="U462" s="936"/>
      <c r="V462" s="1115">
        <v>3.98</v>
      </c>
      <c r="W462" s="938"/>
      <c r="X462" s="937"/>
      <c r="Y462" s="938"/>
      <c r="Z462" s="938" t="s">
        <v>52</v>
      </c>
      <c r="AA462" s="936"/>
      <c r="AB462" s="936"/>
      <c r="AC462" s="936"/>
      <c r="AD462" s="948"/>
      <c r="AE462" s="1115"/>
      <c r="AF462" s="1178" t="str">
        <f>_xlfn.DISPIMG("ID_6406DE6E673B445DA9E8522EFCE74BB1",1)</f>
        <v>=DISPIMG("ID_6406DE6E673B445DA9E8522EFCE74BB1",1)</v>
      </c>
      <c r="AG462" s="939"/>
      <c r="AH462" s="1106"/>
      <c r="AI462" s="1189"/>
      <c r="AJ462" s="1106"/>
      <c r="AK462" s="1189"/>
      <c r="AL462" s="945">
        <v>15</v>
      </c>
      <c r="AM462" s="945">
        <v>59.7</v>
      </c>
      <c r="AN462" s="1114"/>
      <c r="AO462" s="936"/>
      <c r="AP462" s="936"/>
      <c r="AQ462" s="1154" t="s">
        <v>881</v>
      </c>
      <c r="AR462" s="1120">
        <v>45674</v>
      </c>
      <c r="AS462" s="1106" t="s">
        <v>882</v>
      </c>
      <c r="AT462" s="1120">
        <v>45687</v>
      </c>
      <c r="AU462" s="1106" t="s">
        <v>883</v>
      </c>
      <c r="AV462" s="1106" t="s">
        <v>59</v>
      </c>
      <c r="AW462" s="1106" t="s">
        <v>873</v>
      </c>
      <c r="AX462" s="1191"/>
      <c r="AY462" s="860"/>
      <c r="AZ462" s="897"/>
    </row>
    <row r="463" ht="78.75" spans="1:52">
      <c r="A463" s="937">
        <v>159</v>
      </c>
      <c r="B463" s="938">
        <v>7326909000</v>
      </c>
      <c r="C463" s="938">
        <v>731829</v>
      </c>
      <c r="D463" s="937" t="s">
        <v>874</v>
      </c>
      <c r="E463" s="937" t="s">
        <v>1312</v>
      </c>
      <c r="F463" s="937" t="s">
        <v>1313</v>
      </c>
      <c r="G463" s="937" t="s">
        <v>1314</v>
      </c>
      <c r="H463" s="937"/>
      <c r="I463" s="938" t="s">
        <v>123</v>
      </c>
      <c r="J463" s="1108">
        <v>1.08</v>
      </c>
      <c r="K463" s="939">
        <v>400</v>
      </c>
      <c r="L463" s="1106" t="s">
        <v>52</v>
      </c>
      <c r="M463" s="939"/>
      <c r="N463" s="942"/>
      <c r="O463" s="939"/>
      <c r="P463" s="940">
        <v>25</v>
      </c>
      <c r="Q463" s="1108">
        <v>27</v>
      </c>
      <c r="R463" s="1141"/>
      <c r="S463" s="936"/>
      <c r="T463" s="1115">
        <v>1.09</v>
      </c>
      <c r="U463" s="936"/>
      <c r="V463" s="1115">
        <v>1.08</v>
      </c>
      <c r="W463" s="938"/>
      <c r="X463" s="937"/>
      <c r="Y463" s="938"/>
      <c r="Z463" s="938" t="s">
        <v>52</v>
      </c>
      <c r="AA463" s="936"/>
      <c r="AB463" s="936"/>
      <c r="AC463" s="936"/>
      <c r="AD463" s="948"/>
      <c r="AE463" s="1115"/>
      <c r="AF463" s="1178" t="str">
        <f>_xlfn.DISPIMG("ID_31F24C7CA14E4B5EA32B1C33C77A7EF4",1)</f>
        <v>=DISPIMG("ID_31F24C7CA14E4B5EA32B1C33C77A7EF4",1)</v>
      </c>
      <c r="AG463" s="939"/>
      <c r="AH463" s="1106"/>
      <c r="AI463" s="1189"/>
      <c r="AJ463" s="1106"/>
      <c r="AK463" s="1189"/>
      <c r="AL463" s="945">
        <v>25</v>
      </c>
      <c r="AM463" s="945">
        <v>27</v>
      </c>
      <c r="AN463" s="1114"/>
      <c r="AO463" s="936"/>
      <c r="AP463" s="936"/>
      <c r="AQ463" s="1154" t="s">
        <v>881</v>
      </c>
      <c r="AR463" s="1120">
        <v>45674</v>
      </c>
      <c r="AS463" s="1106" t="s">
        <v>882</v>
      </c>
      <c r="AT463" s="1120">
        <v>45687</v>
      </c>
      <c r="AU463" s="1106" t="s">
        <v>883</v>
      </c>
      <c r="AV463" s="1106" t="s">
        <v>59</v>
      </c>
      <c r="AW463" s="1106" t="s">
        <v>873</v>
      </c>
      <c r="AX463" s="1191"/>
      <c r="AY463" s="860"/>
      <c r="AZ463" s="897"/>
    </row>
    <row r="464" ht="78.75" spans="1:52">
      <c r="A464" s="937">
        <v>160</v>
      </c>
      <c r="B464" s="938">
        <v>7326909000</v>
      </c>
      <c r="C464" s="938">
        <v>731829</v>
      </c>
      <c r="D464" s="937" t="s">
        <v>874</v>
      </c>
      <c r="E464" s="937" t="s">
        <v>1315</v>
      </c>
      <c r="F464" s="937" t="s">
        <v>1316</v>
      </c>
      <c r="G464" s="937" t="s">
        <v>1317</v>
      </c>
      <c r="H464" s="937"/>
      <c r="I464" s="938" t="s">
        <v>123</v>
      </c>
      <c r="J464" s="1108">
        <v>0.08</v>
      </c>
      <c r="K464" s="939">
        <v>200</v>
      </c>
      <c r="L464" s="1106" t="s">
        <v>52</v>
      </c>
      <c r="M464" s="939"/>
      <c r="N464" s="942"/>
      <c r="O464" s="939"/>
      <c r="P464" s="940">
        <v>55</v>
      </c>
      <c r="Q464" s="1108">
        <v>4.4</v>
      </c>
      <c r="R464" s="1141"/>
      <c r="S464" s="936"/>
      <c r="T464" s="1115">
        <v>0.09</v>
      </c>
      <c r="U464" s="936"/>
      <c r="V464" s="1115">
        <v>0.08</v>
      </c>
      <c r="W464" s="938"/>
      <c r="X464" s="937"/>
      <c r="Y464" s="938"/>
      <c r="Z464" s="938">
        <v>200</v>
      </c>
      <c r="AA464" s="936"/>
      <c r="AB464" s="936"/>
      <c r="AC464" s="936"/>
      <c r="AD464" s="948"/>
      <c r="AE464" s="1115"/>
      <c r="AF464" s="1178" t="str">
        <f>_xlfn.DISPIMG("ID_05995CA3C830465F9BE8FAC35A7FEE46",1)</f>
        <v>=DISPIMG("ID_05995CA3C830465F9BE8FAC35A7FEE46",1)</v>
      </c>
      <c r="AG464" s="939"/>
      <c r="AH464" s="1106"/>
      <c r="AI464" s="1189"/>
      <c r="AJ464" s="1106"/>
      <c r="AK464" s="1189"/>
      <c r="AL464" s="945">
        <v>55</v>
      </c>
      <c r="AM464" s="945">
        <v>4.4</v>
      </c>
      <c r="AN464" s="1114"/>
      <c r="AO464" s="936"/>
      <c r="AP464" s="936"/>
      <c r="AQ464" s="1154" t="s">
        <v>881</v>
      </c>
      <c r="AR464" s="1120">
        <v>45674</v>
      </c>
      <c r="AS464" s="1106" t="s">
        <v>882</v>
      </c>
      <c r="AT464" s="1120">
        <v>45687</v>
      </c>
      <c r="AU464" s="1106" t="s">
        <v>883</v>
      </c>
      <c r="AV464" s="1106" t="s">
        <v>59</v>
      </c>
      <c r="AW464" s="1106" t="s">
        <v>873</v>
      </c>
      <c r="AX464" s="1191"/>
      <c r="AY464" s="860"/>
      <c r="AZ464" s="897"/>
    </row>
    <row r="465" ht="78.75" spans="1:52">
      <c r="A465" s="937">
        <v>161</v>
      </c>
      <c r="B465" s="938">
        <v>7326909000</v>
      </c>
      <c r="C465" s="938">
        <v>731829</v>
      </c>
      <c r="D465" s="937" t="s">
        <v>874</v>
      </c>
      <c r="E465" s="937" t="s">
        <v>1318</v>
      </c>
      <c r="F465" s="937" t="s">
        <v>1319</v>
      </c>
      <c r="G465" s="937" t="s">
        <v>1320</v>
      </c>
      <c r="H465" s="937"/>
      <c r="I465" s="938" t="s">
        <v>123</v>
      </c>
      <c r="J465" s="1108">
        <v>0.24</v>
      </c>
      <c r="K465" s="939">
        <v>400</v>
      </c>
      <c r="L465" s="1106" t="s">
        <v>52</v>
      </c>
      <c r="M465" s="939"/>
      <c r="N465" s="942"/>
      <c r="O465" s="939"/>
      <c r="P465" s="940">
        <v>75</v>
      </c>
      <c r="Q465" s="1108">
        <v>18</v>
      </c>
      <c r="R465" s="1141"/>
      <c r="S465" s="936"/>
      <c r="T465" s="1115">
        <v>0.25</v>
      </c>
      <c r="U465" s="936"/>
      <c r="V465" s="1115">
        <v>0.24</v>
      </c>
      <c r="W465" s="938"/>
      <c r="X465" s="937"/>
      <c r="Y465" s="938"/>
      <c r="Z465" s="938" t="s">
        <v>52</v>
      </c>
      <c r="AA465" s="936"/>
      <c r="AB465" s="936"/>
      <c r="AC465" s="936"/>
      <c r="AD465" s="948"/>
      <c r="AE465" s="1115"/>
      <c r="AF465" s="1178" t="str">
        <f>_xlfn.DISPIMG("ID_A0579A98DD214AAF8E89F4FD250AB6C0",1)</f>
        <v>=DISPIMG("ID_A0579A98DD214AAF8E89F4FD250AB6C0",1)</v>
      </c>
      <c r="AG465" s="939"/>
      <c r="AH465" s="1106"/>
      <c r="AI465" s="1189"/>
      <c r="AJ465" s="1106"/>
      <c r="AK465" s="1189"/>
      <c r="AL465" s="945">
        <v>75</v>
      </c>
      <c r="AM465" s="945">
        <v>18</v>
      </c>
      <c r="AN465" s="1114"/>
      <c r="AO465" s="936"/>
      <c r="AP465" s="936"/>
      <c r="AQ465" s="1154" t="s">
        <v>881</v>
      </c>
      <c r="AR465" s="1120">
        <v>45674</v>
      </c>
      <c r="AS465" s="1106" t="s">
        <v>882</v>
      </c>
      <c r="AT465" s="1120">
        <v>45687</v>
      </c>
      <c r="AU465" s="1106" t="s">
        <v>883</v>
      </c>
      <c r="AV465" s="1106" t="s">
        <v>59</v>
      </c>
      <c r="AW465" s="1106" t="s">
        <v>873</v>
      </c>
      <c r="AX465" s="1191"/>
      <c r="AY465" s="860"/>
      <c r="AZ465" s="897"/>
    </row>
    <row r="466" ht="63" spans="1:52">
      <c r="A466" s="937">
        <v>162</v>
      </c>
      <c r="B466" s="938">
        <v>7326909000</v>
      </c>
      <c r="C466" s="938">
        <v>741533</v>
      </c>
      <c r="D466" s="937" t="s">
        <v>929</v>
      </c>
      <c r="E466" s="937" t="s">
        <v>1287</v>
      </c>
      <c r="F466" s="937" t="s">
        <v>227</v>
      </c>
      <c r="G466" s="937" t="s">
        <v>1288</v>
      </c>
      <c r="H466" s="937"/>
      <c r="I466" s="938" t="s">
        <v>123</v>
      </c>
      <c r="J466" s="1108">
        <v>0.2</v>
      </c>
      <c r="K466" s="939">
        <v>800</v>
      </c>
      <c r="L466" s="1106" t="s">
        <v>52</v>
      </c>
      <c r="M466" s="939"/>
      <c r="N466" s="942"/>
      <c r="O466" s="939"/>
      <c r="P466" s="940">
        <v>18.4</v>
      </c>
      <c r="Q466" s="1108">
        <v>3.68</v>
      </c>
      <c r="R466" s="1114">
        <v>194.18</v>
      </c>
      <c r="S466" s="936"/>
      <c r="T466" s="1115">
        <v>0.35</v>
      </c>
      <c r="U466" s="936"/>
      <c r="V466" s="1115">
        <v>0.2</v>
      </c>
      <c r="W466" s="937" t="s">
        <v>932</v>
      </c>
      <c r="X466" s="937">
        <v>127</v>
      </c>
      <c r="Y466" s="1133">
        <v>1</v>
      </c>
      <c r="Z466" s="938">
        <v>800</v>
      </c>
      <c r="AA466" s="936"/>
      <c r="AB466" s="936"/>
      <c r="AC466" s="936"/>
      <c r="AD466" s="948">
        <v>0.00775790830515508</v>
      </c>
      <c r="AE466" s="1115">
        <v>0.01</v>
      </c>
      <c r="AF466" s="1178" t="str">
        <f>_xlfn.DISPIMG("ID_CA64C3E19D2040219273FAC7D3E60242",1)</f>
        <v>=DISPIMG("ID_CA64C3E19D2040219273FAC7D3E60242",1)</v>
      </c>
      <c r="AG466" s="939"/>
      <c r="AH466" s="1106"/>
      <c r="AI466" s="1189"/>
      <c r="AJ466" s="1106"/>
      <c r="AK466" s="1189"/>
      <c r="AL466" s="945">
        <v>18.4</v>
      </c>
      <c r="AM466" s="945">
        <v>3.68</v>
      </c>
      <c r="AN466" s="1114"/>
      <c r="AO466" s="936"/>
      <c r="AP466" s="936"/>
      <c r="AQ466" s="1154" t="s">
        <v>881</v>
      </c>
      <c r="AR466" s="1120">
        <v>45674</v>
      </c>
      <c r="AS466" s="1106" t="s">
        <v>882</v>
      </c>
      <c r="AT466" s="1120">
        <v>45687</v>
      </c>
      <c r="AU466" s="1106" t="s">
        <v>883</v>
      </c>
      <c r="AV466" s="1106" t="s">
        <v>59</v>
      </c>
      <c r="AW466" s="1106" t="s">
        <v>873</v>
      </c>
      <c r="AX466" s="1191"/>
      <c r="AY466" s="860"/>
      <c r="AZ466" s="897"/>
    </row>
    <row r="467" ht="63" spans="1:52">
      <c r="A467" s="937">
        <v>163</v>
      </c>
      <c r="B467" s="938">
        <v>7326909000</v>
      </c>
      <c r="C467" s="938">
        <v>741533</v>
      </c>
      <c r="D467" s="937" t="s">
        <v>929</v>
      </c>
      <c r="E467" s="937" t="s">
        <v>1291</v>
      </c>
      <c r="F467" s="937" t="s">
        <v>1292</v>
      </c>
      <c r="G467" s="937" t="s">
        <v>1293</v>
      </c>
      <c r="H467" s="937"/>
      <c r="I467" s="938" t="s">
        <v>123</v>
      </c>
      <c r="J467" s="1108">
        <v>3.1</v>
      </c>
      <c r="K467" s="939">
        <v>10000</v>
      </c>
      <c r="L467" s="1106" t="s">
        <v>52</v>
      </c>
      <c r="M467" s="939"/>
      <c r="N467" s="942"/>
      <c r="O467" s="939"/>
      <c r="P467" s="940">
        <v>15.2</v>
      </c>
      <c r="Q467" s="1108">
        <v>47.12</v>
      </c>
      <c r="R467" s="1114"/>
      <c r="S467" s="936"/>
      <c r="T467" s="1115">
        <v>3.25</v>
      </c>
      <c r="U467" s="936"/>
      <c r="V467" s="1115">
        <v>3.1</v>
      </c>
      <c r="W467" s="937"/>
      <c r="X467" s="937"/>
      <c r="Y467" s="1133"/>
      <c r="Z467" s="938">
        <v>10000</v>
      </c>
      <c r="AA467" s="936"/>
      <c r="AB467" s="936"/>
      <c r="AC467" s="936"/>
      <c r="AD467" s="948"/>
      <c r="AE467" s="1115"/>
      <c r="AF467" s="1178" t="str">
        <f>_xlfn.DISPIMG("ID_B8F51494AC3342E9BA0994EC8BF22EC6",1)</f>
        <v>=DISPIMG("ID_B8F51494AC3342E9BA0994EC8BF22EC6",1)</v>
      </c>
      <c r="AG467" s="939"/>
      <c r="AH467" s="1106"/>
      <c r="AI467" s="1189"/>
      <c r="AJ467" s="1106"/>
      <c r="AK467" s="1189"/>
      <c r="AL467" s="945">
        <v>15.2</v>
      </c>
      <c r="AM467" s="945">
        <v>47.12</v>
      </c>
      <c r="AN467" s="1114"/>
      <c r="AO467" s="936"/>
      <c r="AP467" s="936"/>
      <c r="AQ467" s="1154" t="s">
        <v>881</v>
      </c>
      <c r="AR467" s="1120">
        <v>45674</v>
      </c>
      <c r="AS467" s="1106" t="s">
        <v>882</v>
      </c>
      <c r="AT467" s="1120">
        <v>45687</v>
      </c>
      <c r="AU467" s="1106" t="s">
        <v>883</v>
      </c>
      <c r="AV467" s="1106" t="s">
        <v>59</v>
      </c>
      <c r="AW467" s="1106" t="s">
        <v>873</v>
      </c>
      <c r="AX467" s="1191"/>
      <c r="AY467" s="860"/>
      <c r="AZ467" s="897"/>
    </row>
    <row r="468" ht="63" spans="1:52">
      <c r="A468" s="937">
        <v>164</v>
      </c>
      <c r="B468" s="938">
        <v>7326909000</v>
      </c>
      <c r="C468" s="938">
        <v>741533</v>
      </c>
      <c r="D468" s="937" t="s">
        <v>929</v>
      </c>
      <c r="E468" s="937" t="s">
        <v>1321</v>
      </c>
      <c r="F468" s="937" t="s">
        <v>1322</v>
      </c>
      <c r="G468" s="937" t="s">
        <v>1323</v>
      </c>
      <c r="H468" s="937"/>
      <c r="I468" s="938" t="s">
        <v>123</v>
      </c>
      <c r="J468" s="1108">
        <v>0.16</v>
      </c>
      <c r="K468" s="939">
        <v>400</v>
      </c>
      <c r="L468" s="1106" t="s">
        <v>52</v>
      </c>
      <c r="M468" s="939"/>
      <c r="N468" s="942"/>
      <c r="O468" s="939"/>
      <c r="P468" s="940">
        <v>17.5</v>
      </c>
      <c r="Q468" s="1108">
        <v>2.8</v>
      </c>
      <c r="R468" s="1114"/>
      <c r="S468" s="936"/>
      <c r="T468" s="1115">
        <v>0.31</v>
      </c>
      <c r="U468" s="936"/>
      <c r="V468" s="1115">
        <v>0.16</v>
      </c>
      <c r="W468" s="937"/>
      <c r="X468" s="937"/>
      <c r="Y468" s="1133"/>
      <c r="Z468" s="938">
        <v>400</v>
      </c>
      <c r="AA468" s="936"/>
      <c r="AB468" s="936"/>
      <c r="AC468" s="936"/>
      <c r="AD468" s="948"/>
      <c r="AE468" s="1115"/>
      <c r="AF468" s="1178" t="str">
        <f>_xlfn.DISPIMG("ID_BB4B489B9EC44DF5BF51EC9B2F438388",1)</f>
        <v>=DISPIMG("ID_BB4B489B9EC44DF5BF51EC9B2F438388",1)</v>
      </c>
      <c r="AG468" s="939"/>
      <c r="AH468" s="1106"/>
      <c r="AI468" s="1189"/>
      <c r="AJ468" s="1106"/>
      <c r="AK468" s="1189"/>
      <c r="AL468" s="945">
        <v>17.5</v>
      </c>
      <c r="AM468" s="945">
        <v>2.8</v>
      </c>
      <c r="AN468" s="1114"/>
      <c r="AO468" s="936"/>
      <c r="AP468" s="936"/>
      <c r="AQ468" s="1154" t="s">
        <v>881</v>
      </c>
      <c r="AR468" s="1120">
        <v>45674</v>
      </c>
      <c r="AS468" s="1106" t="s">
        <v>882</v>
      </c>
      <c r="AT468" s="1120">
        <v>45687</v>
      </c>
      <c r="AU468" s="1106" t="s">
        <v>883</v>
      </c>
      <c r="AV468" s="1106" t="s">
        <v>59</v>
      </c>
      <c r="AW468" s="1106" t="s">
        <v>873</v>
      </c>
      <c r="AX468" s="1191"/>
      <c r="AY468" s="860"/>
      <c r="AZ468" s="897"/>
    </row>
    <row r="469" ht="63" spans="1:52">
      <c r="A469" s="937">
        <v>165</v>
      </c>
      <c r="B469" s="938">
        <v>7326909000</v>
      </c>
      <c r="C469" s="938">
        <v>741533</v>
      </c>
      <c r="D469" s="937" t="s">
        <v>929</v>
      </c>
      <c r="E469" s="937" t="s">
        <v>1294</v>
      </c>
      <c r="F469" s="937" t="s">
        <v>1324</v>
      </c>
      <c r="G469" s="937" t="s">
        <v>1296</v>
      </c>
      <c r="H469" s="937"/>
      <c r="I469" s="938" t="s">
        <v>123</v>
      </c>
      <c r="J469" s="1108">
        <v>0.54</v>
      </c>
      <c r="K469" s="939">
        <v>1200</v>
      </c>
      <c r="L469" s="1106" t="s">
        <v>52</v>
      </c>
      <c r="M469" s="939"/>
      <c r="N469" s="942"/>
      <c r="O469" s="939"/>
      <c r="P469" s="940">
        <v>15</v>
      </c>
      <c r="Q469" s="1108">
        <v>8.1</v>
      </c>
      <c r="R469" s="1114"/>
      <c r="S469" s="936"/>
      <c r="T469" s="1115">
        <v>0.69</v>
      </c>
      <c r="U469" s="936"/>
      <c r="V469" s="1115">
        <v>0.54</v>
      </c>
      <c r="W469" s="937"/>
      <c r="X469" s="937"/>
      <c r="Y469" s="1133"/>
      <c r="Z469" s="938">
        <v>1200</v>
      </c>
      <c r="AA469" s="936"/>
      <c r="AB469" s="936"/>
      <c r="AC469" s="936"/>
      <c r="AD469" s="948"/>
      <c r="AE469" s="1115"/>
      <c r="AF469" s="1178" t="str">
        <f>_xlfn.DISPIMG("ID_FED0E4C9384A43B6A8D6EF92392CAA6E",1)</f>
        <v>=DISPIMG("ID_FED0E4C9384A43B6A8D6EF92392CAA6E",1)</v>
      </c>
      <c r="AG469" s="939"/>
      <c r="AH469" s="1106"/>
      <c r="AI469" s="1189"/>
      <c r="AJ469" s="1106"/>
      <c r="AK469" s="1189"/>
      <c r="AL469" s="945">
        <v>15</v>
      </c>
      <c r="AM469" s="945">
        <v>8.1</v>
      </c>
      <c r="AN469" s="1114"/>
      <c r="AO469" s="936"/>
      <c r="AP469" s="936"/>
      <c r="AQ469" s="1154" t="s">
        <v>881</v>
      </c>
      <c r="AR469" s="1120">
        <v>45674</v>
      </c>
      <c r="AS469" s="1106" t="s">
        <v>882</v>
      </c>
      <c r="AT469" s="1120">
        <v>45687</v>
      </c>
      <c r="AU469" s="1106" t="s">
        <v>883</v>
      </c>
      <c r="AV469" s="1106" t="s">
        <v>59</v>
      </c>
      <c r="AW469" s="1106" t="s">
        <v>873</v>
      </c>
      <c r="AX469" s="1191"/>
      <c r="AY469" s="860"/>
      <c r="AZ469" s="897"/>
    </row>
    <row r="470" ht="63" spans="1:52">
      <c r="A470" s="937">
        <v>166</v>
      </c>
      <c r="B470" s="938">
        <v>7326909000</v>
      </c>
      <c r="C470" s="938">
        <v>741533</v>
      </c>
      <c r="D470" s="937" t="s">
        <v>929</v>
      </c>
      <c r="E470" s="937" t="s">
        <v>1300</v>
      </c>
      <c r="F470" s="937" t="s">
        <v>1325</v>
      </c>
      <c r="G470" s="937" t="s">
        <v>1302</v>
      </c>
      <c r="H470" s="937"/>
      <c r="I470" s="938" t="s">
        <v>123</v>
      </c>
      <c r="J470" s="1108">
        <v>0.09</v>
      </c>
      <c r="K470" s="939">
        <v>200</v>
      </c>
      <c r="L470" s="1106" t="s">
        <v>52</v>
      </c>
      <c r="M470" s="939"/>
      <c r="N470" s="942"/>
      <c r="O470" s="939"/>
      <c r="P470" s="940">
        <v>28</v>
      </c>
      <c r="Q470" s="1108">
        <v>2.52</v>
      </c>
      <c r="R470" s="1114"/>
      <c r="S470" s="936"/>
      <c r="T470" s="1115">
        <v>0.24</v>
      </c>
      <c r="U470" s="936"/>
      <c r="V470" s="1115">
        <v>0.09</v>
      </c>
      <c r="W470" s="937"/>
      <c r="X470" s="937"/>
      <c r="Y470" s="1133"/>
      <c r="Z470" s="938">
        <v>200</v>
      </c>
      <c r="AA470" s="936"/>
      <c r="AB470" s="936"/>
      <c r="AC470" s="936"/>
      <c r="AD470" s="948"/>
      <c r="AE470" s="1115"/>
      <c r="AF470" s="1178" t="str">
        <f>_xlfn.DISPIMG("ID_8A2D5019C4CD4BC99B962B115A169C3B",1)</f>
        <v>=DISPIMG("ID_8A2D5019C4CD4BC99B962B115A169C3B",1)</v>
      </c>
      <c r="AG470" s="939"/>
      <c r="AH470" s="1106"/>
      <c r="AI470" s="1189"/>
      <c r="AJ470" s="1106"/>
      <c r="AK470" s="1189"/>
      <c r="AL470" s="1108">
        <v>28</v>
      </c>
      <c r="AM470" s="1108">
        <v>2.52</v>
      </c>
      <c r="AN470" s="1114"/>
      <c r="AO470" s="936"/>
      <c r="AP470" s="936"/>
      <c r="AQ470" s="1154" t="s">
        <v>881</v>
      </c>
      <c r="AR470" s="1120">
        <v>45674</v>
      </c>
      <c r="AS470" s="1106" t="s">
        <v>882</v>
      </c>
      <c r="AT470" s="1120">
        <v>45687</v>
      </c>
      <c r="AU470" s="1106" t="s">
        <v>883</v>
      </c>
      <c r="AV470" s="1106" t="s">
        <v>59</v>
      </c>
      <c r="AW470" s="1106" t="s">
        <v>873</v>
      </c>
      <c r="AX470" s="1191"/>
      <c r="AY470" s="860"/>
      <c r="AZ470" s="897"/>
    </row>
    <row r="471" ht="63" spans="1:52">
      <c r="A471" s="937">
        <v>167</v>
      </c>
      <c r="B471" s="938">
        <v>7326909000</v>
      </c>
      <c r="C471" s="938">
        <v>741533</v>
      </c>
      <c r="D471" s="937" t="s">
        <v>929</v>
      </c>
      <c r="E471" s="937" t="s">
        <v>1303</v>
      </c>
      <c r="F471" s="937" t="s">
        <v>1326</v>
      </c>
      <c r="G471" s="937" t="s">
        <v>1305</v>
      </c>
      <c r="H471" s="937"/>
      <c r="I471" s="938" t="s">
        <v>123</v>
      </c>
      <c r="J471" s="1108">
        <v>0.38</v>
      </c>
      <c r="K471" s="939">
        <v>1200</v>
      </c>
      <c r="L471" s="1106" t="s">
        <v>52</v>
      </c>
      <c r="M471" s="939"/>
      <c r="N471" s="942"/>
      <c r="O471" s="939"/>
      <c r="P471" s="940">
        <v>40.5</v>
      </c>
      <c r="Q471" s="1108">
        <v>15.39</v>
      </c>
      <c r="R471" s="1114"/>
      <c r="S471" s="936"/>
      <c r="T471" s="1115">
        <v>0.53</v>
      </c>
      <c r="U471" s="936"/>
      <c r="V471" s="1115">
        <v>0.38</v>
      </c>
      <c r="W471" s="937"/>
      <c r="X471" s="937"/>
      <c r="Y471" s="1133"/>
      <c r="Z471" s="938">
        <v>1200</v>
      </c>
      <c r="AA471" s="936"/>
      <c r="AB471" s="936"/>
      <c r="AC471" s="936"/>
      <c r="AD471" s="948"/>
      <c r="AE471" s="1115"/>
      <c r="AF471" s="1178" t="str">
        <f>_xlfn.DISPIMG("ID_1E491DFF95C04C09954E94D963BC9AE0",1)</f>
        <v>=DISPIMG("ID_1E491DFF95C04C09954E94D963BC9AE0",1)</v>
      </c>
      <c r="AG471" s="939"/>
      <c r="AH471" s="1106"/>
      <c r="AI471" s="1189"/>
      <c r="AJ471" s="1106"/>
      <c r="AK471" s="1189"/>
      <c r="AL471" s="1108">
        <v>40.5</v>
      </c>
      <c r="AM471" s="1108">
        <v>15.39</v>
      </c>
      <c r="AN471" s="1114"/>
      <c r="AO471" s="936"/>
      <c r="AP471" s="936"/>
      <c r="AQ471" s="1154" t="s">
        <v>881</v>
      </c>
      <c r="AR471" s="1120">
        <v>45674</v>
      </c>
      <c r="AS471" s="1106" t="s">
        <v>882</v>
      </c>
      <c r="AT471" s="1120">
        <v>45687</v>
      </c>
      <c r="AU471" s="1106" t="s">
        <v>883</v>
      </c>
      <c r="AV471" s="1106" t="s">
        <v>59</v>
      </c>
      <c r="AW471" s="1106" t="s">
        <v>873</v>
      </c>
      <c r="AX471" s="1191"/>
      <c r="AY471" s="860"/>
      <c r="AZ471" s="897"/>
    </row>
    <row r="472" ht="63" spans="1:52">
      <c r="A472" s="937">
        <v>168</v>
      </c>
      <c r="B472" s="938">
        <v>7326909000</v>
      </c>
      <c r="C472" s="938">
        <v>731829</v>
      </c>
      <c r="D472" s="937" t="s">
        <v>929</v>
      </c>
      <c r="E472" s="937" t="s">
        <v>1309</v>
      </c>
      <c r="F472" s="937" t="s">
        <v>1310</v>
      </c>
      <c r="G472" s="937" t="s">
        <v>1327</v>
      </c>
      <c r="H472" s="937"/>
      <c r="I472" s="938" t="s">
        <v>123</v>
      </c>
      <c r="J472" s="1108">
        <v>3.6</v>
      </c>
      <c r="K472" s="939">
        <v>200</v>
      </c>
      <c r="L472" s="1106" t="s">
        <v>52</v>
      </c>
      <c r="M472" s="939"/>
      <c r="N472" s="942"/>
      <c r="O472" s="939"/>
      <c r="P472" s="940">
        <v>15.85</v>
      </c>
      <c r="Q472" s="1108">
        <v>57.06</v>
      </c>
      <c r="R472" s="1114"/>
      <c r="S472" s="936"/>
      <c r="T472" s="1115">
        <v>3.75</v>
      </c>
      <c r="U472" s="936"/>
      <c r="V472" s="1115">
        <v>3.6</v>
      </c>
      <c r="W472" s="937"/>
      <c r="X472" s="937"/>
      <c r="Y472" s="1133"/>
      <c r="Z472" s="938">
        <v>200</v>
      </c>
      <c r="AA472" s="936"/>
      <c r="AB472" s="936"/>
      <c r="AC472" s="936"/>
      <c r="AD472" s="948"/>
      <c r="AE472" s="1115"/>
      <c r="AF472" s="1178" t="str">
        <f>_xlfn.DISPIMG("ID_29FB53193907440B84FE7B66EC6E9E62",1)</f>
        <v>=DISPIMG("ID_29FB53193907440B84FE7B66EC6E9E62",1)</v>
      </c>
      <c r="AG472" s="939"/>
      <c r="AH472" s="1106"/>
      <c r="AI472" s="1189"/>
      <c r="AJ472" s="1106"/>
      <c r="AK472" s="1189"/>
      <c r="AL472" s="1108">
        <v>15.85</v>
      </c>
      <c r="AM472" s="1108">
        <v>57.06</v>
      </c>
      <c r="AN472" s="1114"/>
      <c r="AO472" s="936"/>
      <c r="AP472" s="936"/>
      <c r="AQ472" s="1154" t="s">
        <v>881</v>
      </c>
      <c r="AR472" s="1120">
        <v>45674</v>
      </c>
      <c r="AS472" s="1106" t="s">
        <v>882</v>
      </c>
      <c r="AT472" s="1120">
        <v>45687</v>
      </c>
      <c r="AU472" s="1106" t="s">
        <v>883</v>
      </c>
      <c r="AV472" s="1106" t="s">
        <v>59</v>
      </c>
      <c r="AW472" s="1106" t="s">
        <v>873</v>
      </c>
      <c r="AX472" s="1191"/>
      <c r="AY472" s="860"/>
      <c r="AZ472" s="897"/>
    </row>
    <row r="473" ht="63" spans="1:52">
      <c r="A473" s="937">
        <v>169</v>
      </c>
      <c r="B473" s="938">
        <v>7326909000</v>
      </c>
      <c r="C473" s="938">
        <v>732020</v>
      </c>
      <c r="D473" s="937" t="s">
        <v>929</v>
      </c>
      <c r="E473" s="937" t="s">
        <v>1328</v>
      </c>
      <c r="F473" s="937" t="s">
        <v>1329</v>
      </c>
      <c r="G473" s="937" t="s">
        <v>1330</v>
      </c>
      <c r="H473" s="937"/>
      <c r="I473" s="938" t="s">
        <v>123</v>
      </c>
      <c r="J473" s="1108">
        <v>0.13</v>
      </c>
      <c r="K473" s="939">
        <v>400</v>
      </c>
      <c r="L473" s="1106" t="s">
        <v>52</v>
      </c>
      <c r="M473" s="939"/>
      <c r="N473" s="942"/>
      <c r="O473" s="939"/>
      <c r="P473" s="940">
        <v>63</v>
      </c>
      <c r="Q473" s="1108">
        <v>8.19</v>
      </c>
      <c r="R473" s="1114"/>
      <c r="S473" s="936"/>
      <c r="T473" s="1115">
        <v>0.28</v>
      </c>
      <c r="U473" s="936"/>
      <c r="V473" s="1115">
        <v>0.13</v>
      </c>
      <c r="W473" s="937"/>
      <c r="X473" s="937"/>
      <c r="Y473" s="1133"/>
      <c r="Z473" s="938">
        <v>400</v>
      </c>
      <c r="AA473" s="936"/>
      <c r="AB473" s="936"/>
      <c r="AC473" s="936"/>
      <c r="AD473" s="948"/>
      <c r="AE473" s="1115"/>
      <c r="AF473" s="1178" t="str">
        <f>_xlfn.DISPIMG("ID_16296F775F354229B4F2DF2D9E482742",1)</f>
        <v>=DISPIMG("ID_16296F775F354229B4F2DF2D9E482742",1)</v>
      </c>
      <c r="AG473" s="939"/>
      <c r="AH473" s="1106"/>
      <c r="AI473" s="1189"/>
      <c r="AJ473" s="1106"/>
      <c r="AK473" s="1189"/>
      <c r="AL473" s="1108">
        <v>63</v>
      </c>
      <c r="AM473" s="1108">
        <v>8.19</v>
      </c>
      <c r="AN473" s="1114"/>
      <c r="AO473" s="936"/>
      <c r="AP473" s="936"/>
      <c r="AQ473" s="1154" t="s">
        <v>881</v>
      </c>
      <c r="AR473" s="1120">
        <v>45674</v>
      </c>
      <c r="AS473" s="1106" t="s">
        <v>882</v>
      </c>
      <c r="AT473" s="1120">
        <v>45687</v>
      </c>
      <c r="AU473" s="1106" t="s">
        <v>883</v>
      </c>
      <c r="AV473" s="1106" t="s">
        <v>59</v>
      </c>
      <c r="AW473" s="1106" t="s">
        <v>873</v>
      </c>
      <c r="AX473" s="1191"/>
      <c r="AY473" s="860"/>
      <c r="AZ473" s="897"/>
    </row>
    <row r="474" ht="63" spans="1:52">
      <c r="A474" s="937">
        <v>170</v>
      </c>
      <c r="B474" s="938">
        <v>7326909000</v>
      </c>
      <c r="C474" s="938">
        <v>732020</v>
      </c>
      <c r="D474" s="937" t="s">
        <v>929</v>
      </c>
      <c r="E474" s="937" t="s">
        <v>1331</v>
      </c>
      <c r="F474" s="937" t="s">
        <v>1332</v>
      </c>
      <c r="G474" s="937" t="s">
        <v>1333</v>
      </c>
      <c r="H474" s="937"/>
      <c r="I474" s="938" t="s">
        <v>123</v>
      </c>
      <c r="J474" s="1108">
        <v>0.14</v>
      </c>
      <c r="K474" s="939">
        <v>200</v>
      </c>
      <c r="L474" s="1106" t="s">
        <v>52</v>
      </c>
      <c r="M474" s="939"/>
      <c r="N474" s="942"/>
      <c r="O474" s="939"/>
      <c r="P474" s="940">
        <v>28</v>
      </c>
      <c r="Q474" s="1108">
        <v>3.92</v>
      </c>
      <c r="R474" s="1114"/>
      <c r="S474" s="936"/>
      <c r="T474" s="1115">
        <v>0.29</v>
      </c>
      <c r="U474" s="936"/>
      <c r="V474" s="1115">
        <v>0.14</v>
      </c>
      <c r="W474" s="937"/>
      <c r="X474" s="937"/>
      <c r="Y474" s="1133"/>
      <c r="Z474" s="938">
        <v>200</v>
      </c>
      <c r="AA474" s="936"/>
      <c r="AB474" s="936"/>
      <c r="AC474" s="936"/>
      <c r="AD474" s="948"/>
      <c r="AE474" s="1115"/>
      <c r="AF474" s="1178" t="str">
        <f>_xlfn.DISPIMG("ID_4D240B7D5CFA4178888AE7EED4992E1E",1)</f>
        <v>=DISPIMG("ID_4D240B7D5CFA4178888AE7EED4992E1E",1)</v>
      </c>
      <c r="AG474" s="939"/>
      <c r="AH474" s="1106" t="s">
        <v>1334</v>
      </c>
      <c r="AI474" s="1189">
        <v>45635</v>
      </c>
      <c r="AJ474" s="1106" t="s">
        <v>1335</v>
      </c>
      <c r="AK474" s="1189">
        <v>45635</v>
      </c>
      <c r="AL474" s="1108">
        <v>28</v>
      </c>
      <c r="AM474" s="1108">
        <v>3.92</v>
      </c>
      <c r="AN474" s="1115">
        <v>1425.32</v>
      </c>
      <c r="AO474" s="936"/>
      <c r="AP474" s="936"/>
      <c r="AQ474" s="1154" t="s">
        <v>881</v>
      </c>
      <c r="AR474" s="1120">
        <v>45674</v>
      </c>
      <c r="AS474" s="1106" t="s">
        <v>882</v>
      </c>
      <c r="AT474" s="1120">
        <v>45687</v>
      </c>
      <c r="AU474" s="1106" t="s">
        <v>883</v>
      </c>
      <c r="AV474" s="1106" t="s">
        <v>59</v>
      </c>
      <c r="AW474" s="1106" t="s">
        <v>873</v>
      </c>
      <c r="AX474" s="1191"/>
      <c r="AY474" s="860"/>
      <c r="AZ474" s="897"/>
    </row>
    <row r="475" ht="63" spans="1:52">
      <c r="A475" s="937">
        <v>171</v>
      </c>
      <c r="B475" s="938">
        <v>7326909000</v>
      </c>
      <c r="C475" s="938">
        <v>731829</v>
      </c>
      <c r="D475" s="937" t="s">
        <v>929</v>
      </c>
      <c r="E475" s="937" t="s">
        <v>1336</v>
      </c>
      <c r="F475" s="937" t="s">
        <v>1337</v>
      </c>
      <c r="G475" s="937" t="s">
        <v>1338</v>
      </c>
      <c r="H475" s="937"/>
      <c r="I475" s="938" t="s">
        <v>123</v>
      </c>
      <c r="J475" s="1108">
        <v>0.22</v>
      </c>
      <c r="K475" s="939">
        <v>400</v>
      </c>
      <c r="L475" s="1106" t="s">
        <v>52</v>
      </c>
      <c r="M475" s="939"/>
      <c r="N475" s="942"/>
      <c r="O475" s="939"/>
      <c r="P475" s="940">
        <v>50</v>
      </c>
      <c r="Q475" s="1108">
        <v>11</v>
      </c>
      <c r="R475" s="1114"/>
      <c r="S475" s="936"/>
      <c r="T475" s="1115">
        <v>0.37</v>
      </c>
      <c r="U475" s="936"/>
      <c r="V475" s="1115">
        <v>0.22</v>
      </c>
      <c r="W475" s="937"/>
      <c r="X475" s="937"/>
      <c r="Y475" s="1133"/>
      <c r="Z475" s="938">
        <v>400</v>
      </c>
      <c r="AA475" s="936"/>
      <c r="AB475" s="936"/>
      <c r="AC475" s="936"/>
      <c r="AD475" s="948"/>
      <c r="AE475" s="1115"/>
      <c r="AF475" s="1178" t="str">
        <f>_xlfn.DISPIMG("ID_97CDDB4F8D8A4BA5AE7AED84DAF47ED4",1)</f>
        <v>=DISPIMG("ID_97CDDB4F8D8A4BA5AE7AED84DAF47ED4",1)</v>
      </c>
      <c r="AG475" s="939"/>
      <c r="AH475" s="1106"/>
      <c r="AI475" s="1189"/>
      <c r="AJ475" s="1106"/>
      <c r="AK475" s="1189"/>
      <c r="AL475" s="1108">
        <v>50</v>
      </c>
      <c r="AM475" s="1108">
        <v>11</v>
      </c>
      <c r="AN475" s="1115"/>
      <c r="AO475" s="936"/>
      <c r="AP475" s="936"/>
      <c r="AQ475" s="1154" t="s">
        <v>881</v>
      </c>
      <c r="AR475" s="1120">
        <v>45674</v>
      </c>
      <c r="AS475" s="1106" t="s">
        <v>882</v>
      </c>
      <c r="AT475" s="1120">
        <v>45687</v>
      </c>
      <c r="AU475" s="1106" t="s">
        <v>883</v>
      </c>
      <c r="AV475" s="1106" t="s">
        <v>59</v>
      </c>
      <c r="AW475" s="1106" t="s">
        <v>873</v>
      </c>
      <c r="AX475" s="1191"/>
      <c r="AY475" s="860"/>
      <c r="AZ475" s="897"/>
    </row>
    <row r="476" ht="63" spans="1:52">
      <c r="A476" s="937">
        <v>172</v>
      </c>
      <c r="B476" s="938">
        <v>7326909000</v>
      </c>
      <c r="C476" s="938">
        <v>731829</v>
      </c>
      <c r="D476" s="937" t="s">
        <v>929</v>
      </c>
      <c r="E476" s="937" t="s">
        <v>1339</v>
      </c>
      <c r="F476" s="937" t="s">
        <v>1340</v>
      </c>
      <c r="G476" s="937" t="s">
        <v>1341</v>
      </c>
      <c r="H476" s="937"/>
      <c r="I476" s="938" t="s">
        <v>123</v>
      </c>
      <c r="J476" s="1108">
        <v>0.4</v>
      </c>
      <c r="K476" s="939">
        <v>400</v>
      </c>
      <c r="L476" s="1106" t="s">
        <v>52</v>
      </c>
      <c r="M476" s="939"/>
      <c r="N476" s="942"/>
      <c r="O476" s="939"/>
      <c r="P476" s="940">
        <v>50</v>
      </c>
      <c r="Q476" s="1108">
        <v>20</v>
      </c>
      <c r="R476" s="1114"/>
      <c r="S476" s="936"/>
      <c r="T476" s="1115">
        <v>0.55</v>
      </c>
      <c r="U476" s="936"/>
      <c r="V476" s="1115">
        <v>0.4</v>
      </c>
      <c r="W476" s="937"/>
      <c r="X476" s="937"/>
      <c r="Y476" s="1133"/>
      <c r="Z476" s="938">
        <v>400</v>
      </c>
      <c r="AA476" s="936"/>
      <c r="AB476" s="936"/>
      <c r="AC476" s="936"/>
      <c r="AD476" s="948"/>
      <c r="AE476" s="1115"/>
      <c r="AF476" s="1178" t="str">
        <f>_xlfn.DISPIMG("ID_7F49425236704AF69E796A5116FA94EF",1)</f>
        <v>=DISPIMG("ID_7F49425236704AF69E796A5116FA94EF",1)</v>
      </c>
      <c r="AG476" s="939"/>
      <c r="AH476" s="1106"/>
      <c r="AI476" s="1189"/>
      <c r="AJ476" s="1106"/>
      <c r="AK476" s="1189"/>
      <c r="AL476" s="1108">
        <v>50</v>
      </c>
      <c r="AM476" s="1108">
        <v>20</v>
      </c>
      <c r="AN476" s="1115"/>
      <c r="AO476" s="936"/>
      <c r="AP476" s="936"/>
      <c r="AQ476" s="1154" t="s">
        <v>881</v>
      </c>
      <c r="AR476" s="1120">
        <v>45674</v>
      </c>
      <c r="AS476" s="1106" t="s">
        <v>882</v>
      </c>
      <c r="AT476" s="1120">
        <v>45687</v>
      </c>
      <c r="AU476" s="1106" t="s">
        <v>883</v>
      </c>
      <c r="AV476" s="1106" t="s">
        <v>59</v>
      </c>
      <c r="AW476" s="1106" t="s">
        <v>873</v>
      </c>
      <c r="AX476" s="1191"/>
      <c r="AY476" s="860"/>
      <c r="AZ476" s="897"/>
    </row>
    <row r="477" ht="63" spans="1:52">
      <c r="A477" s="937">
        <v>173</v>
      </c>
      <c r="B477" s="938">
        <v>7326909000</v>
      </c>
      <c r="C477" s="938">
        <v>731829</v>
      </c>
      <c r="D477" s="937" t="s">
        <v>929</v>
      </c>
      <c r="E477" s="937" t="s">
        <v>1342</v>
      </c>
      <c r="F477" s="937" t="s">
        <v>1343</v>
      </c>
      <c r="G477" s="937" t="s">
        <v>1344</v>
      </c>
      <c r="H477" s="937"/>
      <c r="I477" s="938" t="s">
        <v>123</v>
      </c>
      <c r="J477" s="1108">
        <v>0.18</v>
      </c>
      <c r="K477" s="939">
        <v>800</v>
      </c>
      <c r="L477" s="1106" t="s">
        <v>52</v>
      </c>
      <c r="M477" s="939"/>
      <c r="N477" s="942"/>
      <c r="O477" s="939"/>
      <c r="P477" s="940">
        <v>80</v>
      </c>
      <c r="Q477" s="1108">
        <v>14.4</v>
      </c>
      <c r="R477" s="1114"/>
      <c r="S477" s="936"/>
      <c r="T477" s="1115">
        <v>0.33</v>
      </c>
      <c r="U477" s="936"/>
      <c r="V477" s="1115">
        <v>0.18</v>
      </c>
      <c r="W477" s="937"/>
      <c r="X477" s="937"/>
      <c r="Y477" s="1133"/>
      <c r="Z477" s="938">
        <v>800</v>
      </c>
      <c r="AA477" s="936"/>
      <c r="AB477" s="936"/>
      <c r="AC477" s="936"/>
      <c r="AD477" s="948"/>
      <c r="AE477" s="1115"/>
      <c r="AF477" s="1178" t="str">
        <f>_xlfn.DISPIMG("ID_B965ADA2AF3443CA879DD6AAE6D2662F",1)</f>
        <v>=DISPIMG("ID_B965ADA2AF3443CA879DD6AAE6D2662F",1)</v>
      </c>
      <c r="AG477" s="939"/>
      <c r="AH477" s="1106"/>
      <c r="AI477" s="1189"/>
      <c r="AJ477" s="1106"/>
      <c r="AK477" s="1189"/>
      <c r="AL477" s="1108">
        <v>80</v>
      </c>
      <c r="AM477" s="1108">
        <v>14.4</v>
      </c>
      <c r="AN477" s="1115"/>
      <c r="AO477" s="936"/>
      <c r="AP477" s="936"/>
      <c r="AQ477" s="1154" t="s">
        <v>881</v>
      </c>
      <c r="AR477" s="1120">
        <v>45674</v>
      </c>
      <c r="AS477" s="1106" t="s">
        <v>882</v>
      </c>
      <c r="AT477" s="1120">
        <v>45687</v>
      </c>
      <c r="AU477" s="1106" t="s">
        <v>883</v>
      </c>
      <c r="AV477" s="1106" t="s">
        <v>59</v>
      </c>
      <c r="AW477" s="1106" t="s">
        <v>873</v>
      </c>
      <c r="AX477" s="1191"/>
      <c r="AY477" s="860"/>
      <c r="AZ477" s="897"/>
    </row>
    <row r="478" ht="78" spans="1:52">
      <c r="A478" s="937">
        <v>174</v>
      </c>
      <c r="B478" s="938">
        <v>7326909000</v>
      </c>
      <c r="C478" s="938">
        <v>731829</v>
      </c>
      <c r="D478" s="937" t="s">
        <v>347</v>
      </c>
      <c r="E478" s="937" t="s">
        <v>1345</v>
      </c>
      <c r="F478" s="937" t="s">
        <v>1346</v>
      </c>
      <c r="G478" s="937" t="s">
        <v>1347</v>
      </c>
      <c r="H478" s="937"/>
      <c r="I478" s="938" t="s">
        <v>123</v>
      </c>
      <c r="J478" s="1108">
        <v>16</v>
      </c>
      <c r="K478" s="939">
        <v>32000</v>
      </c>
      <c r="L478" s="1106" t="s">
        <v>254</v>
      </c>
      <c r="M478" s="939"/>
      <c r="N478" s="942"/>
      <c r="O478" s="939"/>
      <c r="P478" s="940">
        <v>86</v>
      </c>
      <c r="Q478" s="1108">
        <v>1376</v>
      </c>
      <c r="R478" s="1115">
        <v>1376</v>
      </c>
      <c r="S478" s="936"/>
      <c r="T478" s="1115">
        <v>17.48</v>
      </c>
      <c r="U478" s="936"/>
      <c r="V478" s="1115">
        <v>16</v>
      </c>
      <c r="W478" s="1138">
        <v>4</v>
      </c>
      <c r="X478" s="941" t="s">
        <v>1348</v>
      </c>
      <c r="Y478" s="1091">
        <v>1</v>
      </c>
      <c r="Z478" s="939">
        <v>32000</v>
      </c>
      <c r="AA478" s="936"/>
      <c r="AB478" s="936"/>
      <c r="AC478" s="936"/>
      <c r="AD478" s="948">
        <v>0.0126590074779062</v>
      </c>
      <c r="AE478" s="1115">
        <v>0.01</v>
      </c>
      <c r="AF478" s="1131" t="str">
        <f>_xlfn.DISPIMG("ID_FB81457FEE534A2B8D52B37389E2A363",1)</f>
        <v>=DISPIMG("ID_FB81457FEE534A2B8D52B37389E2A363",1)</v>
      </c>
      <c r="AG478" s="939"/>
      <c r="AH478" s="1106"/>
      <c r="AI478" s="1189"/>
      <c r="AJ478" s="1106"/>
      <c r="AK478" s="1189"/>
      <c r="AL478" s="1108">
        <v>86</v>
      </c>
      <c r="AM478" s="1108">
        <v>1376</v>
      </c>
      <c r="AN478" s="1115"/>
      <c r="AO478" s="936"/>
      <c r="AP478" s="936"/>
      <c r="AQ478" s="1154" t="s">
        <v>881</v>
      </c>
      <c r="AR478" s="1120">
        <v>45674</v>
      </c>
      <c r="AS478" s="1106" t="s">
        <v>882</v>
      </c>
      <c r="AT478" s="1120">
        <v>45687</v>
      </c>
      <c r="AU478" s="1106" t="s">
        <v>883</v>
      </c>
      <c r="AV478" s="1106" t="s">
        <v>59</v>
      </c>
      <c r="AW478" s="1106" t="s">
        <v>873</v>
      </c>
      <c r="AX478" s="1192"/>
      <c r="AY478" s="867"/>
      <c r="AZ478" s="901"/>
    </row>
    <row r="479" ht="71.25" customHeight="1" spans="1:52">
      <c r="A479" s="804"/>
      <c r="B479" s="805"/>
      <c r="C479" s="805"/>
      <c r="D479" s="804"/>
      <c r="E479" s="804"/>
      <c r="F479" s="804"/>
      <c r="G479" s="804"/>
      <c r="H479" s="804"/>
      <c r="I479" s="805"/>
      <c r="J479" s="809"/>
      <c r="K479" s="810"/>
      <c r="L479" s="811"/>
      <c r="M479" s="810"/>
      <c r="N479" s="812"/>
      <c r="O479" s="810"/>
      <c r="P479" s="813"/>
      <c r="Q479" s="922">
        <v>1764.05</v>
      </c>
      <c r="R479" s="922">
        <v>1764.05</v>
      </c>
      <c r="T479" s="922">
        <v>38.92</v>
      </c>
      <c r="V479" s="922">
        <v>35.43</v>
      </c>
      <c r="W479" s="923"/>
      <c r="X479" s="810"/>
      <c r="Y479" s="922">
        <v>3</v>
      </c>
      <c r="Z479" s="810"/>
      <c r="AD479" s="816"/>
      <c r="AE479" s="922">
        <v>0.03</v>
      </c>
      <c r="AF479" s="810"/>
      <c r="AG479" s="810"/>
      <c r="AH479" s="924"/>
      <c r="AI479" s="925"/>
      <c r="AJ479" s="926"/>
      <c r="AK479" s="925"/>
      <c r="AL479" s="809"/>
      <c r="AM479" s="922">
        <v>1764.05</v>
      </c>
      <c r="AN479" s="922">
        <v>1764.05</v>
      </c>
      <c r="AQ479" s="885"/>
      <c r="AR479" s="869"/>
      <c r="AS479" s="869"/>
      <c r="AT479" s="869"/>
      <c r="AU479" s="869"/>
      <c r="AV479" s="869"/>
      <c r="AW479" s="869"/>
      <c r="AX479" s="820"/>
      <c r="AY479" s="820"/>
      <c r="AZ479" s="821"/>
    </row>
    <row r="480" ht="78.75" spans="1:52">
      <c r="A480" s="937">
        <v>175</v>
      </c>
      <c r="B480" s="938">
        <v>3506100090</v>
      </c>
      <c r="C480" s="938">
        <v>350610</v>
      </c>
      <c r="D480" s="937" t="s">
        <v>874</v>
      </c>
      <c r="E480" s="937" t="s">
        <v>1349</v>
      </c>
      <c r="F480" s="937" t="s">
        <v>1350</v>
      </c>
      <c r="G480" s="937" t="s">
        <v>1351</v>
      </c>
      <c r="H480" s="937"/>
      <c r="I480" s="938" t="s">
        <v>123</v>
      </c>
      <c r="J480" s="1108">
        <v>5.3</v>
      </c>
      <c r="K480" s="939">
        <v>60000</v>
      </c>
      <c r="L480" s="1106" t="s">
        <v>52</v>
      </c>
      <c r="M480" s="939"/>
      <c r="N480" s="942"/>
      <c r="O480" s="939"/>
      <c r="P480" s="1107">
        <v>255.3</v>
      </c>
      <c r="Q480" s="943">
        <v>1353.09</v>
      </c>
      <c r="R480" s="943">
        <v>1353.09</v>
      </c>
      <c r="S480" s="936"/>
      <c r="T480" s="1115">
        <v>9.5</v>
      </c>
      <c r="U480" s="936"/>
      <c r="V480" s="1115">
        <v>5.3</v>
      </c>
      <c r="W480" s="1138" t="s">
        <v>878</v>
      </c>
      <c r="X480" s="941">
        <v>154</v>
      </c>
      <c r="Y480" s="1105">
        <v>1</v>
      </c>
      <c r="Z480" s="939">
        <v>300</v>
      </c>
      <c r="AA480" s="936"/>
      <c r="AB480" s="936"/>
      <c r="AC480" s="936"/>
      <c r="AD480" s="948">
        <v>0.0475723432244166</v>
      </c>
      <c r="AE480" s="1115">
        <v>0.05</v>
      </c>
      <c r="AF480" s="1178" t="str">
        <f>_xlfn.DISPIMG("ID_D61BC2E2F4BB4E07A09606E16320A744",1)</f>
        <v>=DISPIMG("ID_D61BC2E2F4BB4E07A09606E16320A744",1)</v>
      </c>
      <c r="AG480" s="939"/>
      <c r="AH480" s="1106" t="s">
        <v>1352</v>
      </c>
      <c r="AI480" s="942">
        <v>45635</v>
      </c>
      <c r="AJ480" s="939" t="s">
        <v>1353</v>
      </c>
      <c r="AK480" s="942">
        <v>45635</v>
      </c>
      <c r="AL480" s="943">
        <v>255.3</v>
      </c>
      <c r="AM480" s="943">
        <v>1353.09</v>
      </c>
      <c r="AN480" s="943">
        <v>1353.09</v>
      </c>
      <c r="AO480" s="936"/>
      <c r="AP480" s="936"/>
      <c r="AQ480" s="1154" t="s">
        <v>881</v>
      </c>
      <c r="AR480" s="1193">
        <v>45674</v>
      </c>
      <c r="AS480" s="1194" t="s">
        <v>1354</v>
      </c>
      <c r="AT480" s="1121">
        <v>45687</v>
      </c>
      <c r="AU480" s="1106" t="s">
        <v>883</v>
      </c>
      <c r="AV480" s="938" t="s">
        <v>59</v>
      </c>
      <c r="AW480" s="1195" t="s">
        <v>873</v>
      </c>
      <c r="AX480" s="955">
        <v>16188</v>
      </c>
      <c r="AY480" s="802"/>
      <c r="AZ480" s="955">
        <v>14927.7</v>
      </c>
    </row>
    <row r="481" ht="62.5" customHeight="1" spans="1:52">
      <c r="A481" s="804"/>
      <c r="B481" s="805"/>
      <c r="C481" s="805"/>
      <c r="D481" s="804"/>
      <c r="E481" s="804"/>
      <c r="F481" s="804"/>
      <c r="G481" s="804"/>
      <c r="H481" s="804"/>
      <c r="I481" s="805"/>
      <c r="J481" s="809"/>
      <c r="K481" s="810"/>
      <c r="L481" s="811"/>
      <c r="M481" s="810"/>
      <c r="N481" s="812"/>
      <c r="O481" s="810"/>
      <c r="P481" s="813"/>
      <c r="Q481" s="922">
        <v>1353.09</v>
      </c>
      <c r="R481" s="922">
        <v>1353.09</v>
      </c>
      <c r="T481" s="922">
        <v>9.5</v>
      </c>
      <c r="V481" s="922">
        <v>5.3</v>
      </c>
      <c r="W481" s="923"/>
      <c r="X481" s="810"/>
      <c r="Y481" s="922">
        <v>1</v>
      </c>
      <c r="Z481" s="810"/>
      <c r="AD481" s="816"/>
      <c r="AE481" s="922">
        <v>0.05</v>
      </c>
      <c r="AF481" s="810"/>
      <c r="AG481" s="810"/>
      <c r="AH481" s="924"/>
      <c r="AI481" s="925"/>
      <c r="AJ481" s="926"/>
      <c r="AK481" s="925"/>
      <c r="AL481" s="809"/>
      <c r="AM481" s="922">
        <v>1353.09</v>
      </c>
      <c r="AN481" s="922">
        <v>1353.09</v>
      </c>
      <c r="AQ481" s="817"/>
      <c r="AR481" s="807"/>
      <c r="AS481" s="807"/>
      <c r="AT481" s="807"/>
      <c r="AU481" s="807"/>
      <c r="AV481" s="807"/>
      <c r="AW481" s="807"/>
      <c r="AX481" s="820"/>
      <c r="AY481" s="820"/>
      <c r="AZ481" s="821"/>
    </row>
    <row r="482" ht="62.5" customHeight="1" spans="1:52">
      <c r="A482" s="822"/>
      <c r="B482" s="822"/>
      <c r="C482" s="822"/>
      <c r="D482" s="822"/>
      <c r="E482" s="822"/>
      <c r="F482" s="823"/>
      <c r="G482" s="823"/>
      <c r="H482" s="823"/>
      <c r="I482" s="823"/>
      <c r="J482" s="826"/>
      <c r="K482" s="823"/>
      <c r="L482" s="823"/>
      <c r="M482" s="823"/>
      <c r="N482" s="827"/>
      <c r="O482" s="823"/>
      <c r="P482" s="826"/>
      <c r="Q482" s="826"/>
      <c r="R482" s="828"/>
      <c r="T482" s="826"/>
      <c r="V482" s="826"/>
      <c r="W482" s="829"/>
      <c r="X482" s="830"/>
      <c r="Y482" s="823"/>
      <c r="Z482" s="823"/>
      <c r="AD482" s="823"/>
      <c r="AE482" s="823"/>
      <c r="AF482" s="823"/>
      <c r="AG482" s="823"/>
      <c r="AH482" s="831"/>
      <c r="AI482" s="832"/>
      <c r="AJ482" s="831"/>
      <c r="AK482" s="832"/>
      <c r="AL482" s="826"/>
      <c r="AM482" s="826"/>
      <c r="AN482" s="833"/>
      <c r="AQ482" s="817"/>
      <c r="AR482" s="807"/>
      <c r="AS482" s="807"/>
      <c r="AT482" s="807"/>
      <c r="AU482" s="807"/>
      <c r="AV482" s="807"/>
      <c r="AW482" s="807"/>
      <c r="AX482" s="820"/>
      <c r="AY482" s="820"/>
      <c r="AZ482" s="821"/>
    </row>
    <row r="483" ht="62.5" customHeight="1" spans="1:52">
      <c r="A483" s="804"/>
      <c r="B483" s="805"/>
      <c r="C483" s="805"/>
      <c r="D483" s="804"/>
      <c r="E483" s="804"/>
      <c r="F483" s="804"/>
      <c r="G483" s="804"/>
      <c r="H483" s="804"/>
      <c r="I483" s="805"/>
      <c r="J483" s="809"/>
      <c r="K483" s="810"/>
      <c r="L483" s="811"/>
      <c r="M483" s="810" t="s">
        <v>303</v>
      </c>
      <c r="N483" s="812"/>
      <c r="O483" s="810"/>
      <c r="P483" s="813"/>
      <c r="Q483" s="922">
        <v>110397.74697</v>
      </c>
      <c r="R483" s="922">
        <v>110397.74697</v>
      </c>
      <c r="T483" s="922">
        <v>4380</v>
      </c>
      <c r="V483" s="922">
        <v>3584.1165</v>
      </c>
      <c r="W483" s="923"/>
      <c r="X483" s="810"/>
      <c r="Y483" s="922">
        <v>539</v>
      </c>
      <c r="Z483" s="810"/>
      <c r="AD483" s="816"/>
      <c r="AE483" s="922">
        <v>46.28</v>
      </c>
      <c r="AF483" s="810"/>
      <c r="AG483" s="810"/>
      <c r="AH483" s="924"/>
      <c r="AI483" s="925"/>
      <c r="AJ483" s="926"/>
      <c r="AK483" s="925"/>
      <c r="AL483" s="809"/>
      <c r="AM483" s="922">
        <v>119209.77</v>
      </c>
      <c r="AN483" s="922">
        <v>119209.77</v>
      </c>
      <c r="AQ483" s="817"/>
      <c r="AR483" s="807"/>
      <c r="AS483" s="807"/>
      <c r="AT483" s="807"/>
      <c r="AU483" s="807"/>
      <c r="AV483" s="807"/>
      <c r="AW483" s="807"/>
      <c r="AX483" s="820"/>
      <c r="AY483" s="820"/>
      <c r="AZ483" s="821"/>
    </row>
    <row r="484" ht="135" customHeight="1" spans="1:52">
      <c r="A484" s="1196">
        <v>1</v>
      </c>
      <c r="B484" s="1196">
        <v>5808100090</v>
      </c>
      <c r="C484" s="1196">
        <v>580890</v>
      </c>
      <c r="D484" s="1196" t="s">
        <v>1355</v>
      </c>
      <c r="E484" s="1196" t="s">
        <v>354</v>
      </c>
      <c r="F484" s="1196" t="s">
        <v>355</v>
      </c>
      <c r="G484" s="1196"/>
      <c r="H484" s="1196" t="s">
        <v>1356</v>
      </c>
      <c r="I484" s="1197" t="s">
        <v>123</v>
      </c>
      <c r="J484" s="1198">
        <v>26.8</v>
      </c>
      <c r="K484" s="1199">
        <v>67</v>
      </c>
      <c r="L484" s="1200" t="s">
        <v>52</v>
      </c>
      <c r="M484" s="1200" t="s">
        <v>356</v>
      </c>
      <c r="N484" s="1201"/>
      <c r="O484" s="1199"/>
      <c r="P484" s="1198">
        <v>47.2</v>
      </c>
      <c r="Q484" s="1198">
        <v>1264.96</v>
      </c>
      <c r="R484" s="1202">
        <v>7532.38</v>
      </c>
      <c r="S484" s="1203"/>
      <c r="T484" s="1198">
        <v>29.29</v>
      </c>
      <c r="U484" s="1203"/>
      <c r="V484" s="1202">
        <v>26.8</v>
      </c>
      <c r="W484" s="1204">
        <v>4</v>
      </c>
      <c r="X484" s="1205" t="s">
        <v>1357</v>
      </c>
      <c r="Y484" s="1204">
        <v>1</v>
      </c>
      <c r="Z484" s="1204">
        <v>67</v>
      </c>
      <c r="AA484" s="1203"/>
      <c r="AB484" s="1203"/>
      <c r="AC484" s="1203"/>
      <c r="AD484" s="1206">
        <v>0.140916595301368</v>
      </c>
      <c r="AE484" s="1202">
        <v>0.14</v>
      </c>
      <c r="AF484" s="1207" t="str">
        <f>_xlfn.DISPIMG("ID_12AE2E8953564C01B10F4748BA5B74D7",1)</f>
        <v>=DISPIMG("ID_12AE2E8953564C01B10F4748BA5B74D7",1)</v>
      </c>
      <c r="AG484" s="1200"/>
      <c r="AH484" s="1196" t="s">
        <v>1358</v>
      </c>
      <c r="AI484" s="1208">
        <v>45635</v>
      </c>
      <c r="AJ484" s="1196" t="s">
        <v>1359</v>
      </c>
      <c r="AK484" s="1208">
        <v>45635</v>
      </c>
      <c r="AL484" s="1209">
        <v>49.55</v>
      </c>
      <c r="AM484" s="1209">
        <v>1327.94</v>
      </c>
      <c r="AN484" s="1210">
        <v>31640.28</v>
      </c>
      <c r="AO484" s="1203"/>
      <c r="AP484" s="1203"/>
      <c r="AQ484" s="1211" t="s">
        <v>1360</v>
      </c>
      <c r="AR484" s="1212">
        <v>45674</v>
      </c>
      <c r="AS484" s="1213" t="s">
        <v>1361</v>
      </c>
      <c r="AT484" s="1214">
        <v>45687</v>
      </c>
      <c r="AU484" s="1215"/>
      <c r="AV484" s="1197" t="s">
        <v>59</v>
      </c>
      <c r="AW484" s="1216" t="s">
        <v>873</v>
      </c>
      <c r="AX484" s="1217">
        <v>16118</v>
      </c>
      <c r="AY484" s="1218"/>
      <c r="AZ484" s="1217">
        <v>384485.02</v>
      </c>
    </row>
    <row r="485" ht="135" customHeight="1" spans="1:52">
      <c r="A485" s="1196">
        <v>2</v>
      </c>
      <c r="B485" s="1196">
        <v>5401101000</v>
      </c>
      <c r="C485" s="1196">
        <v>540239</v>
      </c>
      <c r="D485" s="1196" t="s">
        <v>1355</v>
      </c>
      <c r="E485" s="1196" t="s">
        <v>360</v>
      </c>
      <c r="F485" s="1196" t="s">
        <v>361</v>
      </c>
      <c r="G485" s="1196"/>
      <c r="H485" s="1196" t="s">
        <v>1362</v>
      </c>
      <c r="I485" s="1197" t="s">
        <v>123</v>
      </c>
      <c r="J485" s="1198">
        <v>17.6</v>
      </c>
      <c r="K485" s="1199">
        <v>110</v>
      </c>
      <c r="L485" s="1200" t="s">
        <v>52</v>
      </c>
      <c r="M485" s="1200"/>
      <c r="N485" s="1201"/>
      <c r="O485" s="1199"/>
      <c r="P485" s="1198">
        <v>62.5</v>
      </c>
      <c r="Q485" s="1198">
        <v>1100</v>
      </c>
      <c r="R485" s="1202"/>
      <c r="S485" s="1203"/>
      <c r="T485" s="1198">
        <v>18.6</v>
      </c>
      <c r="U485" s="1203"/>
      <c r="V485" s="1202">
        <v>17.6</v>
      </c>
      <c r="W485" s="1204"/>
      <c r="X485" s="1205"/>
      <c r="Y485" s="1204"/>
      <c r="Z485" s="1204">
        <v>110</v>
      </c>
      <c r="AA485" s="1203"/>
      <c r="AB485" s="1203"/>
      <c r="AC485" s="1203"/>
      <c r="AD485" s="1206"/>
      <c r="AE485" s="1202"/>
      <c r="AF485" s="1207" t="str">
        <f>_xlfn.DISPIMG("ID_73EAF7D3426D48A6AC9F8CF74B95AF67",1)</f>
        <v>=DISPIMG("ID_73EAF7D3426D48A6AC9F8CF74B95AF67",1)</v>
      </c>
      <c r="AG485" s="1200"/>
      <c r="AH485" s="1196"/>
      <c r="AI485" s="1208"/>
      <c r="AJ485" s="1196"/>
      <c r="AK485" s="1208"/>
      <c r="AL485" s="1209">
        <v>65.65</v>
      </c>
      <c r="AM485" s="1209">
        <v>1155.44</v>
      </c>
      <c r="AN485" s="1210"/>
      <c r="AO485" s="1203"/>
      <c r="AP485" s="1203"/>
      <c r="AQ485" s="1219" t="s">
        <v>1360</v>
      </c>
      <c r="AR485" s="1220">
        <v>45674</v>
      </c>
      <c r="AS485" s="1213" t="s">
        <v>1361</v>
      </c>
      <c r="AT485" s="1214">
        <v>45687</v>
      </c>
      <c r="AU485" s="1221"/>
      <c r="AV485" s="1197" t="s">
        <v>59</v>
      </c>
      <c r="AW485" s="1222" t="s">
        <v>873</v>
      </c>
      <c r="AX485" s="1223"/>
      <c r="AY485" s="1224"/>
      <c r="AZ485" s="1223"/>
    </row>
    <row r="486" ht="135" customHeight="1" spans="1:52">
      <c r="A486" s="1196">
        <v>3</v>
      </c>
      <c r="B486" s="1196">
        <v>5808100090</v>
      </c>
      <c r="C486" s="1196">
        <v>580890</v>
      </c>
      <c r="D486" s="1196" t="s">
        <v>1363</v>
      </c>
      <c r="E486" s="1196" t="s">
        <v>354</v>
      </c>
      <c r="F486" s="1196" t="s">
        <v>355</v>
      </c>
      <c r="G486" s="1196"/>
      <c r="H486" s="1196" t="s">
        <v>1356</v>
      </c>
      <c r="I486" s="1197" t="s">
        <v>123</v>
      </c>
      <c r="J486" s="1198">
        <v>26.8</v>
      </c>
      <c r="K486" s="1199">
        <v>67</v>
      </c>
      <c r="L486" s="1200" t="s">
        <v>52</v>
      </c>
      <c r="M486" s="1200"/>
      <c r="N486" s="1201"/>
      <c r="O486" s="1199"/>
      <c r="P486" s="1198">
        <v>47.2</v>
      </c>
      <c r="Q486" s="1198">
        <v>1264.96</v>
      </c>
      <c r="R486" s="1202"/>
      <c r="S486" s="1203"/>
      <c r="T486" s="1198">
        <v>29.29</v>
      </c>
      <c r="U486" s="1203"/>
      <c r="V486" s="1202">
        <v>26.8</v>
      </c>
      <c r="W486" s="1204">
        <v>10</v>
      </c>
      <c r="X486" s="1205" t="s">
        <v>1364</v>
      </c>
      <c r="Y486" s="1204">
        <v>1</v>
      </c>
      <c r="Z486" s="1204">
        <v>67</v>
      </c>
      <c r="AA486" s="1203"/>
      <c r="AB486" s="1203"/>
      <c r="AC486" s="1203"/>
      <c r="AD486" s="1206">
        <v>0.140916595301368</v>
      </c>
      <c r="AE486" s="1202">
        <v>0.14</v>
      </c>
      <c r="AF486" s="1207" t="str">
        <f>_xlfn.DISPIMG("ID_41B6F633498E4CCD81DF1B9A6AACE4EE",1)</f>
        <v>=DISPIMG("ID_41B6F633498E4CCD81DF1B9A6AACE4EE",1)</v>
      </c>
      <c r="AG486" s="1200"/>
      <c r="AH486" s="1196"/>
      <c r="AI486" s="1208"/>
      <c r="AJ486" s="1196"/>
      <c r="AK486" s="1208"/>
      <c r="AL486" s="1209">
        <v>49.55</v>
      </c>
      <c r="AM486" s="1209">
        <v>1327.94</v>
      </c>
      <c r="AN486" s="1210"/>
      <c r="AO486" s="1203"/>
      <c r="AP486" s="1203"/>
      <c r="AQ486" s="1219" t="s">
        <v>1360</v>
      </c>
      <c r="AR486" s="1220">
        <v>45674</v>
      </c>
      <c r="AS486" s="1213" t="s">
        <v>1361</v>
      </c>
      <c r="AT486" s="1214">
        <v>45687</v>
      </c>
      <c r="AU486" s="1221"/>
      <c r="AV486" s="1197" t="s">
        <v>59</v>
      </c>
      <c r="AW486" s="1222" t="s">
        <v>873</v>
      </c>
      <c r="AX486" s="1223"/>
      <c r="AY486" s="1224"/>
      <c r="AZ486" s="1223"/>
    </row>
    <row r="487" ht="135" customHeight="1" spans="1:52">
      <c r="A487" s="1196">
        <v>4</v>
      </c>
      <c r="B487" s="1196">
        <v>5401101000</v>
      </c>
      <c r="C487" s="1196">
        <v>540239</v>
      </c>
      <c r="D487" s="1196" t="s">
        <v>1363</v>
      </c>
      <c r="E487" s="1196" t="s">
        <v>360</v>
      </c>
      <c r="F487" s="1196" t="s">
        <v>361</v>
      </c>
      <c r="G487" s="1196"/>
      <c r="H487" s="1196" t="s">
        <v>1365</v>
      </c>
      <c r="I487" s="1197" t="s">
        <v>123</v>
      </c>
      <c r="J487" s="1198">
        <v>14</v>
      </c>
      <c r="K487" s="1199">
        <v>88</v>
      </c>
      <c r="L487" s="1200" t="s">
        <v>52</v>
      </c>
      <c r="M487" s="1200"/>
      <c r="N487" s="1201"/>
      <c r="O487" s="1199"/>
      <c r="P487" s="1198">
        <v>62.5</v>
      </c>
      <c r="Q487" s="1198">
        <v>875</v>
      </c>
      <c r="R487" s="1202"/>
      <c r="S487" s="1203"/>
      <c r="T487" s="1198">
        <v>16.49</v>
      </c>
      <c r="U487" s="1203"/>
      <c r="V487" s="1202">
        <v>14</v>
      </c>
      <c r="W487" s="1204">
        <v>10</v>
      </c>
      <c r="X487" s="1205" t="s">
        <v>1366</v>
      </c>
      <c r="Y487" s="1204">
        <v>1</v>
      </c>
      <c r="Z487" s="1204">
        <v>88</v>
      </c>
      <c r="AA487" s="1203"/>
      <c r="AB487" s="1203"/>
      <c r="AC487" s="1203"/>
      <c r="AD487" s="1206">
        <v>0.140916595301368</v>
      </c>
      <c r="AE487" s="1202">
        <v>0.14</v>
      </c>
      <c r="AF487" s="1207" t="str">
        <f>_xlfn.DISPIMG("ID_39622B8926E74BDF8BA75D460161CF2E",1)</f>
        <v>=DISPIMG("ID_39622B8926E74BDF8BA75D460161CF2E",1)</v>
      </c>
      <c r="AG487" s="1200"/>
      <c r="AH487" s="1196"/>
      <c r="AI487" s="1208"/>
      <c r="AJ487" s="1196"/>
      <c r="AK487" s="1208"/>
      <c r="AL487" s="1209">
        <v>65.65</v>
      </c>
      <c r="AM487" s="1209">
        <v>919.1</v>
      </c>
      <c r="AN487" s="1210"/>
      <c r="AO487" s="1203"/>
      <c r="AP487" s="1203"/>
      <c r="AQ487" s="1219" t="s">
        <v>1360</v>
      </c>
      <c r="AR487" s="1220">
        <v>45674</v>
      </c>
      <c r="AS487" s="1213" t="s">
        <v>1361</v>
      </c>
      <c r="AT487" s="1214">
        <v>45687</v>
      </c>
      <c r="AU487" s="1221"/>
      <c r="AV487" s="1197" t="s">
        <v>59</v>
      </c>
      <c r="AW487" s="1222" t="s">
        <v>873</v>
      </c>
      <c r="AX487" s="1223"/>
      <c r="AY487" s="1224"/>
      <c r="AZ487" s="1223"/>
    </row>
    <row r="488" ht="135" customHeight="1" spans="1:52">
      <c r="A488" s="1196">
        <v>5</v>
      </c>
      <c r="B488" s="1196">
        <v>5401101000</v>
      </c>
      <c r="C488" s="1196">
        <v>540239</v>
      </c>
      <c r="D488" s="1196" t="s">
        <v>1363</v>
      </c>
      <c r="E488" s="1196" t="s">
        <v>1367</v>
      </c>
      <c r="F488" s="1196" t="s">
        <v>1368</v>
      </c>
      <c r="G488" s="1196"/>
      <c r="H488" s="1196" t="s">
        <v>1369</v>
      </c>
      <c r="I488" s="1197" t="s">
        <v>123</v>
      </c>
      <c r="J488" s="1198">
        <v>12.6</v>
      </c>
      <c r="K488" s="1199">
        <v>72</v>
      </c>
      <c r="L488" s="1200" t="s">
        <v>52</v>
      </c>
      <c r="M488" s="1200"/>
      <c r="N488" s="1201"/>
      <c r="O488" s="1199"/>
      <c r="P488" s="1198">
        <v>62.5</v>
      </c>
      <c r="Q488" s="1198">
        <v>787.5</v>
      </c>
      <c r="R488" s="1202"/>
      <c r="S488" s="1203"/>
      <c r="T488" s="1198">
        <v>13.6</v>
      </c>
      <c r="U488" s="1203"/>
      <c r="V488" s="1202">
        <v>12.6</v>
      </c>
      <c r="W488" s="1204">
        <v>10</v>
      </c>
      <c r="X488" s="1205"/>
      <c r="Y488" s="1204"/>
      <c r="Z488" s="1204">
        <v>72</v>
      </c>
      <c r="AA488" s="1203"/>
      <c r="AB488" s="1203"/>
      <c r="AC488" s="1203"/>
      <c r="AD488" s="1206"/>
      <c r="AE488" s="1202"/>
      <c r="AF488" s="1207" t="str">
        <f>_xlfn.DISPIMG("ID_6F2EB2D12B604AF58CABABEEF842C9B5",1)</f>
        <v>=DISPIMG("ID_6F2EB2D12B604AF58CABABEEF842C9B5",1)</v>
      </c>
      <c r="AG488" s="1200"/>
      <c r="AH488" s="1196"/>
      <c r="AI488" s="1208"/>
      <c r="AJ488" s="1196"/>
      <c r="AK488" s="1208"/>
      <c r="AL488" s="1209">
        <v>65.65</v>
      </c>
      <c r="AM488" s="1209">
        <v>827.19</v>
      </c>
      <c r="AN488" s="1210"/>
      <c r="AO488" s="1203"/>
      <c r="AP488" s="1203"/>
      <c r="AQ488" s="1219" t="s">
        <v>1360</v>
      </c>
      <c r="AR488" s="1220">
        <v>45674</v>
      </c>
      <c r="AS488" s="1213" t="s">
        <v>1361</v>
      </c>
      <c r="AT488" s="1214">
        <v>45687</v>
      </c>
      <c r="AU488" s="1221"/>
      <c r="AV488" s="1197" t="s">
        <v>59</v>
      </c>
      <c r="AW488" s="1222" t="s">
        <v>873</v>
      </c>
      <c r="AX488" s="1223"/>
      <c r="AY488" s="1224"/>
      <c r="AZ488" s="1223"/>
    </row>
    <row r="489" ht="135" customHeight="1" spans="1:52">
      <c r="A489" s="1196">
        <v>6</v>
      </c>
      <c r="B489" s="1196">
        <v>5808100090</v>
      </c>
      <c r="C489" s="1196">
        <v>580890</v>
      </c>
      <c r="D489" s="1196" t="s">
        <v>1370</v>
      </c>
      <c r="E489" s="1196" t="s">
        <v>354</v>
      </c>
      <c r="F489" s="1196" t="s">
        <v>355</v>
      </c>
      <c r="G489" s="1196"/>
      <c r="H489" s="1196" t="s">
        <v>1356</v>
      </c>
      <c r="I489" s="1197" t="s">
        <v>123</v>
      </c>
      <c r="J489" s="1198">
        <v>26.8</v>
      </c>
      <c r="K489" s="1199">
        <v>67</v>
      </c>
      <c r="L489" s="1200" t="s">
        <v>52</v>
      </c>
      <c r="M489" s="1200"/>
      <c r="N489" s="1201"/>
      <c r="O489" s="1199"/>
      <c r="P489" s="1198">
        <v>47.2</v>
      </c>
      <c r="Q489" s="1198">
        <v>1264.96</v>
      </c>
      <c r="R489" s="1202"/>
      <c r="S489" s="1203"/>
      <c r="T489" s="1198">
        <v>29.29</v>
      </c>
      <c r="U489" s="1203"/>
      <c r="V489" s="1202">
        <v>26.8</v>
      </c>
      <c r="W489" s="1204">
        <v>7</v>
      </c>
      <c r="X489" s="1205" t="s">
        <v>1371</v>
      </c>
      <c r="Y489" s="1204">
        <v>1</v>
      </c>
      <c r="Z489" s="1204">
        <v>67</v>
      </c>
      <c r="AA489" s="1203"/>
      <c r="AB489" s="1203"/>
      <c r="AC489" s="1203"/>
      <c r="AD489" s="1206">
        <v>0.140916595301368</v>
      </c>
      <c r="AE489" s="1202">
        <v>0.14</v>
      </c>
      <c r="AF489" s="1225" t="str">
        <f>_xlfn.DISPIMG("ID_1AEF3A8A44C441F1B4D00DD9C43B055D",1)</f>
        <v>=DISPIMG("ID_1AEF3A8A44C441F1B4D00DD9C43B055D",1)</v>
      </c>
      <c r="AG489" s="1200"/>
      <c r="AH489" s="1196"/>
      <c r="AI489" s="1208"/>
      <c r="AJ489" s="1196"/>
      <c r="AK489" s="1208"/>
      <c r="AL489" s="1209">
        <v>49.55</v>
      </c>
      <c r="AM489" s="1209">
        <v>1327.94</v>
      </c>
      <c r="AN489" s="1210"/>
      <c r="AO489" s="1203"/>
      <c r="AP489" s="1203"/>
      <c r="AQ489" s="1219" t="s">
        <v>1360</v>
      </c>
      <c r="AR489" s="1220">
        <v>45674</v>
      </c>
      <c r="AS489" s="1213" t="s">
        <v>1361</v>
      </c>
      <c r="AT489" s="1214">
        <v>45687</v>
      </c>
      <c r="AU489" s="1221"/>
      <c r="AV489" s="1197" t="s">
        <v>59</v>
      </c>
      <c r="AW489" s="1222" t="s">
        <v>873</v>
      </c>
      <c r="AX489" s="1223"/>
      <c r="AY489" s="1224"/>
      <c r="AZ489" s="1223"/>
    </row>
    <row r="490" ht="135" customHeight="1" spans="1:52">
      <c r="A490" s="1196">
        <v>7</v>
      </c>
      <c r="B490" s="1196">
        <v>5401101000</v>
      </c>
      <c r="C490" s="1196">
        <v>540239</v>
      </c>
      <c r="D490" s="1196" t="s">
        <v>1370</v>
      </c>
      <c r="E490" s="1196" t="s">
        <v>360</v>
      </c>
      <c r="F490" s="1196" t="s">
        <v>361</v>
      </c>
      <c r="G490" s="1196"/>
      <c r="H490" s="1196" t="s">
        <v>1365</v>
      </c>
      <c r="I490" s="1197" t="s">
        <v>123</v>
      </c>
      <c r="J490" s="1198">
        <v>14</v>
      </c>
      <c r="K490" s="1199">
        <v>88</v>
      </c>
      <c r="L490" s="1200" t="s">
        <v>52</v>
      </c>
      <c r="M490" s="1200"/>
      <c r="N490" s="1201"/>
      <c r="O490" s="1199"/>
      <c r="P490" s="1198">
        <v>62.5</v>
      </c>
      <c r="Q490" s="1198">
        <v>875</v>
      </c>
      <c r="R490" s="1202"/>
      <c r="S490" s="1203"/>
      <c r="T490" s="1198">
        <v>15</v>
      </c>
      <c r="U490" s="1203"/>
      <c r="V490" s="1202">
        <v>14</v>
      </c>
      <c r="W490" s="1204">
        <v>7</v>
      </c>
      <c r="X490" s="1205"/>
      <c r="Y490" s="1204"/>
      <c r="Z490" s="1204">
        <v>88</v>
      </c>
      <c r="AA490" s="1203"/>
      <c r="AB490" s="1203"/>
      <c r="AC490" s="1203"/>
      <c r="AD490" s="1206"/>
      <c r="AE490" s="1202"/>
      <c r="AF490" s="1225" t="str">
        <f>_xlfn.DISPIMG("ID_C7945A2A4377449EB673ACB6F3DB16B3",1)</f>
        <v>=DISPIMG("ID_C7945A2A4377449EB673ACB6F3DB16B3",1)</v>
      </c>
      <c r="AG490" s="1200"/>
      <c r="AH490" s="1196"/>
      <c r="AI490" s="1208"/>
      <c r="AJ490" s="1196"/>
      <c r="AK490" s="1208"/>
      <c r="AL490" s="1209">
        <v>65.65</v>
      </c>
      <c r="AM490" s="1209">
        <v>919.1</v>
      </c>
      <c r="AN490" s="1210"/>
      <c r="AO490" s="1203"/>
      <c r="AP490" s="1203"/>
      <c r="AQ490" s="1219" t="s">
        <v>1360</v>
      </c>
      <c r="AR490" s="1220">
        <v>45674</v>
      </c>
      <c r="AS490" s="1213" t="s">
        <v>1361</v>
      </c>
      <c r="AT490" s="1214">
        <v>45687</v>
      </c>
      <c r="AU490" s="1221"/>
      <c r="AV490" s="1197" t="s">
        <v>59</v>
      </c>
      <c r="AW490" s="1222" t="s">
        <v>873</v>
      </c>
      <c r="AX490" s="1223"/>
      <c r="AY490" s="1224"/>
      <c r="AZ490" s="1223"/>
    </row>
    <row r="491" ht="135" customHeight="1" spans="1:52">
      <c r="A491" s="1196">
        <v>8</v>
      </c>
      <c r="B491" s="1196">
        <v>5401101000</v>
      </c>
      <c r="C491" s="1196">
        <v>540239</v>
      </c>
      <c r="D491" s="1196" t="s">
        <v>1370</v>
      </c>
      <c r="E491" s="1196" t="s">
        <v>363</v>
      </c>
      <c r="F491" s="1196" t="s">
        <v>1372</v>
      </c>
      <c r="G491" s="1196"/>
      <c r="H491" s="1196">
        <v>2.626</v>
      </c>
      <c r="I491" s="1197" t="s">
        <v>123</v>
      </c>
      <c r="J491" s="1198">
        <v>1.6</v>
      </c>
      <c r="K491" s="1199">
        <v>10</v>
      </c>
      <c r="L491" s="1200" t="s">
        <v>52</v>
      </c>
      <c r="M491" s="1200"/>
      <c r="N491" s="1201"/>
      <c r="O491" s="1199"/>
      <c r="P491" s="1198">
        <v>62.5</v>
      </c>
      <c r="Q491" s="1198">
        <v>100</v>
      </c>
      <c r="R491" s="1202"/>
      <c r="S491" s="1203"/>
      <c r="T491" s="1198">
        <v>2</v>
      </c>
      <c r="U491" s="1203"/>
      <c r="V491" s="1202">
        <v>1.6</v>
      </c>
      <c r="W491" s="1204">
        <v>7</v>
      </c>
      <c r="X491" s="1205"/>
      <c r="Y491" s="1204"/>
      <c r="Z491" s="1204">
        <v>10</v>
      </c>
      <c r="AA491" s="1203"/>
      <c r="AB491" s="1203"/>
      <c r="AC491" s="1203"/>
      <c r="AD491" s="1206"/>
      <c r="AE491" s="1202"/>
      <c r="AF491" s="1225" t="str">
        <f>_xlfn.DISPIMG("ID_254F5B1AA8CA4DF6B977E08A0EA18FD8",1)</f>
        <v>=DISPIMG("ID_254F5B1AA8CA4DF6B977E08A0EA18FD8",1)</v>
      </c>
      <c r="AG491" s="1200"/>
      <c r="AH491" s="1196"/>
      <c r="AI491" s="1208"/>
      <c r="AJ491" s="1196"/>
      <c r="AK491" s="1208"/>
      <c r="AL491" s="1209">
        <v>65.65</v>
      </c>
      <c r="AM491" s="1209">
        <v>105.04</v>
      </c>
      <c r="AN491" s="1210"/>
      <c r="AO491" s="1203"/>
      <c r="AP491" s="1203"/>
      <c r="AQ491" s="1219" t="s">
        <v>1360</v>
      </c>
      <c r="AR491" s="1220">
        <v>45674</v>
      </c>
      <c r="AS491" s="1213" t="s">
        <v>1361</v>
      </c>
      <c r="AT491" s="1214">
        <v>45687</v>
      </c>
      <c r="AU491" s="1221"/>
      <c r="AV491" s="1197" t="s">
        <v>59</v>
      </c>
      <c r="AW491" s="1222" t="s">
        <v>873</v>
      </c>
      <c r="AX491" s="1223"/>
      <c r="AY491" s="1224"/>
      <c r="AZ491" s="1223"/>
    </row>
    <row r="492" ht="135" customHeight="1" spans="1:52">
      <c r="A492" s="1196">
        <v>9</v>
      </c>
      <c r="B492" s="1196">
        <v>4821100000</v>
      </c>
      <c r="C492" s="1196">
        <v>482110</v>
      </c>
      <c r="D492" s="1196" t="s">
        <v>929</v>
      </c>
      <c r="E492" s="1196" t="s">
        <v>875</v>
      </c>
      <c r="F492" s="1196" t="s">
        <v>1373</v>
      </c>
      <c r="G492" s="1196" t="s">
        <v>1374</v>
      </c>
      <c r="H492" s="1196"/>
      <c r="I492" s="1197" t="s">
        <v>123</v>
      </c>
      <c r="J492" s="1198">
        <v>1.69</v>
      </c>
      <c r="K492" s="1199">
        <v>200</v>
      </c>
      <c r="L492" s="1200" t="s">
        <v>326</v>
      </c>
      <c r="M492" s="1200" t="s">
        <v>877</v>
      </c>
      <c r="N492" s="1201"/>
      <c r="O492" s="1199"/>
      <c r="P492" s="1198">
        <v>296</v>
      </c>
      <c r="Q492" s="1198">
        <v>500.24</v>
      </c>
      <c r="R492" s="1202">
        <v>500.24</v>
      </c>
      <c r="S492" s="1203"/>
      <c r="T492" s="1198">
        <v>3.06</v>
      </c>
      <c r="U492" s="1203"/>
      <c r="V492" s="1202">
        <v>1.69</v>
      </c>
      <c r="W492" s="1204">
        <v>11</v>
      </c>
      <c r="X492" s="1205">
        <v>128</v>
      </c>
      <c r="Y492" s="1204">
        <v>1</v>
      </c>
      <c r="Z492" s="1204">
        <v>200</v>
      </c>
      <c r="AA492" s="1203"/>
      <c r="AB492" s="1203"/>
      <c r="AC492" s="1203"/>
      <c r="AD492" s="1206">
        <v>0.010168481552438</v>
      </c>
      <c r="AE492" s="1210">
        <v>0.01</v>
      </c>
      <c r="AF492" s="1225"/>
      <c r="AG492" s="1200"/>
      <c r="AH492" s="1196"/>
      <c r="AI492" s="1208"/>
      <c r="AJ492" s="1196"/>
      <c r="AK492" s="1208"/>
      <c r="AL492" s="1209">
        <v>311</v>
      </c>
      <c r="AM492" s="1209">
        <v>525.59</v>
      </c>
      <c r="AN492" s="1210"/>
      <c r="AO492" s="1203"/>
      <c r="AP492" s="1203"/>
      <c r="AQ492" s="1219" t="s">
        <v>1360</v>
      </c>
      <c r="AR492" s="1220">
        <v>45674</v>
      </c>
      <c r="AS492" s="1213" t="s">
        <v>1361</v>
      </c>
      <c r="AT492" s="1214">
        <v>45687</v>
      </c>
      <c r="AU492" s="1221"/>
      <c r="AV492" s="1197" t="s">
        <v>59</v>
      </c>
      <c r="AW492" s="1222" t="s">
        <v>873</v>
      </c>
      <c r="AX492" s="1223"/>
      <c r="AY492" s="1224"/>
      <c r="AZ492" s="1223"/>
    </row>
    <row r="493" ht="135" customHeight="1" spans="1:52">
      <c r="A493" s="1196">
        <v>10</v>
      </c>
      <c r="B493" s="1196">
        <v>4819200000</v>
      </c>
      <c r="C493" s="1196">
        <v>481920</v>
      </c>
      <c r="D493" s="1196" t="s">
        <v>929</v>
      </c>
      <c r="E493" s="1196" t="s">
        <v>334</v>
      </c>
      <c r="F493" s="1196" t="s">
        <v>335</v>
      </c>
      <c r="G493" s="1196" t="s">
        <v>1375</v>
      </c>
      <c r="H493" s="1196"/>
      <c r="I493" s="1197" t="s">
        <v>123</v>
      </c>
      <c r="J493" s="1198">
        <v>117</v>
      </c>
      <c r="K493" s="1199">
        <v>100</v>
      </c>
      <c r="L493" s="1200" t="s">
        <v>52</v>
      </c>
      <c r="M493" s="1200" t="s">
        <v>886</v>
      </c>
      <c r="N493" s="1201"/>
      <c r="O493" s="1199"/>
      <c r="P493" s="1198">
        <v>124.8</v>
      </c>
      <c r="Q493" s="1198">
        <v>14601.6</v>
      </c>
      <c r="R493" s="1202">
        <v>22100</v>
      </c>
      <c r="S493" s="1203"/>
      <c r="T493" s="1198">
        <v>133.95</v>
      </c>
      <c r="U493" s="1203"/>
      <c r="V493" s="1202">
        <v>117</v>
      </c>
      <c r="W493" s="1226">
        <v>11</v>
      </c>
      <c r="X493" s="1227" t="s">
        <v>1376</v>
      </c>
      <c r="Y493" s="1228">
        <v>9</v>
      </c>
      <c r="Z493" s="1228" t="s">
        <v>1377</v>
      </c>
      <c r="AA493" s="1203"/>
      <c r="AB493" s="1203"/>
      <c r="AC493" s="1203"/>
      <c r="AD493" s="1229">
        <v>0.203879329372191</v>
      </c>
      <c r="AE493" s="1202">
        <v>1.83</v>
      </c>
      <c r="AF493" s="1230"/>
      <c r="AG493" s="1200"/>
      <c r="AH493" s="1196"/>
      <c r="AI493" s="1208"/>
      <c r="AJ493" s="1196"/>
      <c r="AK493" s="1208"/>
      <c r="AL493" s="1209">
        <v>131.04</v>
      </c>
      <c r="AM493" s="1209">
        <v>15331.68</v>
      </c>
      <c r="AN493" s="1210"/>
      <c r="AO493" s="1203"/>
      <c r="AP493" s="1203"/>
      <c r="AQ493" s="1219" t="s">
        <v>1360</v>
      </c>
      <c r="AR493" s="1220">
        <v>45674</v>
      </c>
      <c r="AS493" s="1213" t="s">
        <v>1361</v>
      </c>
      <c r="AT493" s="1214">
        <v>45687</v>
      </c>
      <c r="AU493" s="1221"/>
      <c r="AV493" s="1197" t="s">
        <v>59</v>
      </c>
      <c r="AW493" s="1222" t="s">
        <v>873</v>
      </c>
      <c r="AX493" s="1223"/>
      <c r="AY493" s="1224"/>
      <c r="AZ493" s="1223"/>
    </row>
    <row r="494" ht="135" customHeight="1" spans="1:52">
      <c r="A494" s="1196">
        <v>11</v>
      </c>
      <c r="B494" s="1196">
        <v>4824900000</v>
      </c>
      <c r="C494" s="1196">
        <v>481920</v>
      </c>
      <c r="D494" s="1196" t="s">
        <v>929</v>
      </c>
      <c r="E494" s="1196" t="s">
        <v>890</v>
      </c>
      <c r="F494" s="1196" t="s">
        <v>1378</v>
      </c>
      <c r="G494" s="1196" t="s">
        <v>1379</v>
      </c>
      <c r="H494" s="1196"/>
      <c r="I494" s="1197" t="s">
        <v>123</v>
      </c>
      <c r="J494" s="1198">
        <v>52</v>
      </c>
      <c r="K494" s="1199">
        <v>100</v>
      </c>
      <c r="L494" s="1200" t="s">
        <v>52</v>
      </c>
      <c r="M494" s="1200"/>
      <c r="N494" s="1201"/>
      <c r="O494" s="1199"/>
      <c r="P494" s="1198">
        <v>144.2</v>
      </c>
      <c r="Q494" s="1198">
        <v>7498.4</v>
      </c>
      <c r="R494" s="1202"/>
      <c r="S494" s="1203"/>
      <c r="T494" s="1198">
        <v>59.33</v>
      </c>
      <c r="U494" s="1203"/>
      <c r="V494" s="1202">
        <v>52</v>
      </c>
      <c r="W494" s="1226">
        <v>11</v>
      </c>
      <c r="X494" s="1227" t="s">
        <v>1380</v>
      </c>
      <c r="Y494" s="1228">
        <v>4</v>
      </c>
      <c r="Z494" s="1228">
        <v>25</v>
      </c>
      <c r="AA494" s="1203"/>
      <c r="AB494" s="1203"/>
      <c r="AC494" s="1203"/>
      <c r="AD494" s="1206">
        <v>0.135919552914794</v>
      </c>
      <c r="AE494" s="1202">
        <v>0.54</v>
      </c>
      <c r="AF494" s="1231" t="str">
        <f>_xlfn.DISPIMG("ID_665C356F5ED44CDFBE6A5FCC2383E4E9",1)</f>
        <v>=DISPIMG("ID_665C356F5ED44CDFBE6A5FCC2383E4E9",1)</v>
      </c>
      <c r="AG494" s="1200"/>
      <c r="AH494" s="1196"/>
      <c r="AI494" s="1208"/>
      <c r="AJ494" s="1196"/>
      <c r="AK494" s="1208"/>
      <c r="AL494" s="1209">
        <v>151.41</v>
      </c>
      <c r="AM494" s="1209">
        <v>7873.32</v>
      </c>
      <c r="AN494" s="1210"/>
      <c r="AO494" s="1203"/>
      <c r="AP494" s="1203"/>
      <c r="AQ494" s="1219" t="s">
        <v>1360</v>
      </c>
      <c r="AR494" s="1220">
        <v>45674</v>
      </c>
      <c r="AS494" s="1213" t="s">
        <v>1361</v>
      </c>
      <c r="AT494" s="1214">
        <v>45687</v>
      </c>
      <c r="AU494" s="1221"/>
      <c r="AV494" s="1197" t="s">
        <v>59</v>
      </c>
      <c r="AW494" s="1232" t="s">
        <v>873</v>
      </c>
      <c r="AX494" s="1223"/>
      <c r="AY494" s="1224"/>
      <c r="AZ494" s="1233"/>
    </row>
    <row r="495" ht="135" customHeight="1" spans="1:52">
      <c r="A495" s="1196">
        <v>12</v>
      </c>
      <c r="B495" s="1197">
        <v>8422309090</v>
      </c>
      <c r="C495" s="1197">
        <v>842230</v>
      </c>
      <c r="D495" s="1196"/>
      <c r="E495" s="1196" t="s">
        <v>1381</v>
      </c>
      <c r="F495" s="1196" t="s">
        <v>1382</v>
      </c>
      <c r="G495" s="1196" t="s">
        <v>1383</v>
      </c>
      <c r="H495" s="1196"/>
      <c r="I495" s="1197" t="s">
        <v>51</v>
      </c>
      <c r="J495" s="1234">
        <v>1</v>
      </c>
      <c r="K495" s="1200">
        <v>1</v>
      </c>
      <c r="L495" s="1213" t="s">
        <v>1384</v>
      </c>
      <c r="M495" s="1200" t="s">
        <v>1385</v>
      </c>
      <c r="N495" s="1201"/>
      <c r="O495" s="1200"/>
      <c r="P495" s="1235">
        <v>18500</v>
      </c>
      <c r="Q495" s="1236">
        <v>18500</v>
      </c>
      <c r="R495" s="1202">
        <v>18500</v>
      </c>
      <c r="S495" s="1203"/>
      <c r="T495" s="1202">
        <v>300</v>
      </c>
      <c r="U495" s="1203"/>
      <c r="V495" s="1202">
        <v>260</v>
      </c>
      <c r="W495" s="1237" t="s">
        <v>1386</v>
      </c>
      <c r="X495" s="1199" t="s">
        <v>256</v>
      </c>
      <c r="Y495" s="1234">
        <v>1</v>
      </c>
      <c r="Z495" s="1200">
        <v>1</v>
      </c>
      <c r="AA495" s="1203"/>
      <c r="AB495" s="1203"/>
      <c r="AC495" s="1203"/>
      <c r="AD495" s="1206">
        <v>0.575659282933246</v>
      </c>
      <c r="AE495" s="1202">
        <v>0.58</v>
      </c>
      <c r="AF495" s="1231" t="str">
        <f>_xlfn.DISPIMG("ID_97124AA2F84D451D96C2F1B4A3D4D5F1",1)</f>
        <v>=DISPIMG("ID_97124AA2F84D451D96C2F1B4A3D4D5F1",1)</v>
      </c>
      <c r="AG495" s="1200"/>
      <c r="AH495" s="1196" t="s">
        <v>1387</v>
      </c>
      <c r="AI495" s="1208">
        <v>45637</v>
      </c>
      <c r="AJ495" s="1196" t="s">
        <v>1388</v>
      </c>
      <c r="AK495" s="1208">
        <v>45637</v>
      </c>
      <c r="AL495" s="1209">
        <v>18500</v>
      </c>
      <c r="AM495" s="1209">
        <v>18500</v>
      </c>
      <c r="AN495" s="1210">
        <v>18500</v>
      </c>
      <c r="AO495" s="1203"/>
      <c r="AP495" s="1203"/>
      <c r="AQ495" s="1238" t="s">
        <v>1360</v>
      </c>
      <c r="AR495" s="1239">
        <v>45674</v>
      </c>
      <c r="AS495" s="1197" t="s">
        <v>1389</v>
      </c>
      <c r="AT495" s="1214">
        <v>45687</v>
      </c>
      <c r="AU495" s="1221"/>
      <c r="AV495" s="1197" t="s">
        <v>59</v>
      </c>
      <c r="AW495" s="1232" t="s">
        <v>873</v>
      </c>
      <c r="AX495" s="1223"/>
      <c r="AY495" s="1240"/>
      <c r="AZ495" s="1241">
        <v>4485</v>
      </c>
    </row>
    <row r="496" ht="135" customHeight="1" spans="1:52">
      <c r="A496" s="804"/>
      <c r="B496" s="805"/>
      <c r="C496" s="805"/>
      <c r="D496" s="804"/>
      <c r="E496" s="804"/>
      <c r="F496" s="804"/>
      <c r="G496" s="804"/>
      <c r="H496" s="804"/>
      <c r="I496" s="805"/>
      <c r="J496" s="809"/>
      <c r="K496" s="810"/>
      <c r="L496" s="811"/>
      <c r="M496" s="810"/>
      <c r="N496" s="812"/>
      <c r="O496" s="810"/>
      <c r="P496" s="813"/>
      <c r="Q496" s="922">
        <v>48632.62</v>
      </c>
      <c r="R496" s="922">
        <v>48632.62</v>
      </c>
      <c r="T496" s="922">
        <v>649.9</v>
      </c>
      <c r="V496" s="922">
        <v>570.89</v>
      </c>
      <c r="W496" s="923"/>
      <c r="X496" s="810"/>
      <c r="Y496" s="922">
        <v>19</v>
      </c>
      <c r="Z496" s="810"/>
      <c r="AD496" s="816"/>
      <c r="AE496" s="922">
        <v>3.52</v>
      </c>
      <c r="AF496" s="1242"/>
      <c r="AG496" s="810"/>
      <c r="AH496" s="811"/>
      <c r="AI496" s="812"/>
      <c r="AJ496" s="810"/>
      <c r="AK496" s="812"/>
      <c r="AL496" s="809"/>
      <c r="AM496" s="922">
        <v>50140.28</v>
      </c>
      <c r="AN496" s="922">
        <v>50140.28</v>
      </c>
      <c r="AQ496" s="885"/>
      <c r="AR496" s="1243"/>
      <c r="AS496" s="1244"/>
      <c r="AT496" s="1244"/>
      <c r="AU496" s="1244"/>
      <c r="AV496" s="1244"/>
      <c r="AW496" s="1244"/>
      <c r="AX496" s="1223"/>
      <c r="AY496" s="820"/>
      <c r="AZ496" s="820"/>
    </row>
    <row r="497" ht="135" customHeight="1" spans="1:52">
      <c r="A497" s="1196">
        <v>13</v>
      </c>
      <c r="B497" s="1196">
        <v>9503009000</v>
      </c>
      <c r="C497" s="1196">
        <v>392690</v>
      </c>
      <c r="D497" s="1196" t="s">
        <v>874</v>
      </c>
      <c r="E497" s="1196" t="s">
        <v>1162</v>
      </c>
      <c r="F497" s="1196" t="s">
        <v>1390</v>
      </c>
      <c r="G497" s="1196"/>
      <c r="H497" s="1196"/>
      <c r="I497" s="1197" t="s">
        <v>123</v>
      </c>
      <c r="J497" s="1198">
        <v>44.6</v>
      </c>
      <c r="K497" s="1199">
        <v>200</v>
      </c>
      <c r="L497" s="1200" t="s">
        <v>52</v>
      </c>
      <c r="M497" s="1196" t="s">
        <v>255</v>
      </c>
      <c r="N497" s="1201"/>
      <c r="O497" s="1199"/>
      <c r="P497" s="1198">
        <v>16.7</v>
      </c>
      <c r="Q497" s="1236">
        <v>744.82</v>
      </c>
      <c r="R497" s="1245"/>
      <c r="S497" s="1203"/>
      <c r="T497" s="1198">
        <v>80.44</v>
      </c>
      <c r="U497" s="1203"/>
      <c r="V497" s="1202">
        <v>44.6</v>
      </c>
      <c r="W497" s="1246">
        <v>12</v>
      </c>
      <c r="X497" s="1247" t="s">
        <v>1275</v>
      </c>
      <c r="Y497" s="1248">
        <v>4</v>
      </c>
      <c r="Z497" s="1196">
        <v>50</v>
      </c>
      <c r="AA497" s="1203"/>
      <c r="AB497" s="1203"/>
      <c r="AC497" s="1203"/>
      <c r="AD497" s="1206">
        <v>0.416377057748506</v>
      </c>
      <c r="AE497" s="1210">
        <v>1.67</v>
      </c>
      <c r="AF497" s="1230" t="str">
        <f>_xlfn.DISPIMG("ID_CB80DD7429DA491CBE7CAECA197C6002",1)</f>
        <v>=DISPIMG("ID_CB80DD7429DA491CBE7CAECA197C6002",1)</v>
      </c>
      <c r="AG497" s="1200"/>
      <c r="AH497" s="1200" t="s">
        <v>1391</v>
      </c>
      <c r="AI497" s="1201">
        <v>45635</v>
      </c>
      <c r="AJ497" s="1200" t="s">
        <v>1392</v>
      </c>
      <c r="AK497" s="1201">
        <v>45635</v>
      </c>
      <c r="AL497" s="1236">
        <v>16.7</v>
      </c>
      <c r="AM497" s="1236">
        <v>744.82</v>
      </c>
      <c r="AN497" s="1202">
        <v>894.82</v>
      </c>
      <c r="AO497" s="1203"/>
      <c r="AP497" s="1203"/>
      <c r="AQ497" s="1238" t="s">
        <v>1360</v>
      </c>
      <c r="AR497" s="1239">
        <v>45674</v>
      </c>
      <c r="AS497" s="1213" t="s">
        <v>1361</v>
      </c>
      <c r="AT497" s="1214">
        <v>45687</v>
      </c>
      <c r="AU497" s="1221"/>
      <c r="AV497" s="1197" t="s">
        <v>59</v>
      </c>
      <c r="AW497" s="1232" t="s">
        <v>873</v>
      </c>
      <c r="AX497" s="1223"/>
      <c r="AY497" s="1249"/>
      <c r="AZ497" s="1217">
        <v>384485.02</v>
      </c>
    </row>
    <row r="498" ht="135" customHeight="1" spans="1:52">
      <c r="A498" s="1196">
        <v>14</v>
      </c>
      <c r="B498" s="1196">
        <v>8528591090</v>
      </c>
      <c r="C498" s="1196">
        <v>852990</v>
      </c>
      <c r="D498" s="1196"/>
      <c r="E498" s="1196" t="s">
        <v>1393</v>
      </c>
      <c r="F498" s="1196" t="s">
        <v>1394</v>
      </c>
      <c r="G498" s="1196" t="s">
        <v>1395</v>
      </c>
      <c r="H498" s="1196"/>
      <c r="I498" s="1197" t="s">
        <v>51</v>
      </c>
      <c r="J498" s="1198">
        <v>1</v>
      </c>
      <c r="K498" s="1199">
        <v>1</v>
      </c>
      <c r="L498" s="1200" t="s">
        <v>52</v>
      </c>
      <c r="M498" s="1200" t="s">
        <v>416</v>
      </c>
      <c r="N498" s="1201"/>
      <c r="O498" s="1199"/>
      <c r="P498" s="1198">
        <v>100</v>
      </c>
      <c r="Q498" s="1236">
        <v>100</v>
      </c>
      <c r="R498" s="1202">
        <v>150</v>
      </c>
      <c r="S498" s="1203"/>
      <c r="T498" s="1198">
        <v>1.19</v>
      </c>
      <c r="U498" s="1203"/>
      <c r="V498" s="1202">
        <v>0.73</v>
      </c>
      <c r="W498" s="1204">
        <v>11</v>
      </c>
      <c r="X498" s="1205">
        <v>100</v>
      </c>
      <c r="Y498" s="1204">
        <v>1</v>
      </c>
      <c r="Z498" s="1228">
        <v>1</v>
      </c>
      <c r="AA498" s="1203"/>
      <c r="AB498" s="1203"/>
      <c r="AC498" s="1203"/>
      <c r="AD498" s="1206">
        <v>0.0264703329301562</v>
      </c>
      <c r="AE498" s="1202">
        <v>0.03</v>
      </c>
      <c r="AF498" s="1250" t="str">
        <f>_xlfn.DISPIMG("ID_428635232A904FB38E2EA52851AC7110",1)</f>
        <v>=DISPIMG("ID_428635232A904FB38E2EA52851AC7110",1)</v>
      </c>
      <c r="AG498" s="1200"/>
      <c r="AH498" s="1200"/>
      <c r="AI498" s="1201"/>
      <c r="AJ498" s="1200"/>
      <c r="AK498" s="1201"/>
      <c r="AL498" s="1236">
        <v>100</v>
      </c>
      <c r="AM498" s="1236">
        <v>100</v>
      </c>
      <c r="AN498" s="1202"/>
      <c r="AO498" s="1203"/>
      <c r="AP498" s="1203"/>
      <c r="AQ498" s="1238" t="s">
        <v>1360</v>
      </c>
      <c r="AR498" s="1239">
        <v>45674</v>
      </c>
      <c r="AS498" s="1213" t="s">
        <v>1361</v>
      </c>
      <c r="AT498" s="1214">
        <v>45687</v>
      </c>
      <c r="AU498" s="1221"/>
      <c r="AV498" s="1197" t="s">
        <v>59</v>
      </c>
      <c r="AW498" s="1232" t="s">
        <v>873</v>
      </c>
      <c r="AX498" s="1223"/>
      <c r="AY498" s="1251"/>
      <c r="AZ498" s="1223"/>
    </row>
    <row r="499" ht="135" customHeight="1" spans="1:52">
      <c r="A499" s="1196">
        <v>15</v>
      </c>
      <c r="B499" s="1197">
        <v>8501310000</v>
      </c>
      <c r="C499" s="1197">
        <v>854390</v>
      </c>
      <c r="D499" s="1196"/>
      <c r="E499" s="1196" t="s">
        <v>1396</v>
      </c>
      <c r="F499" s="1196" t="s">
        <v>1397</v>
      </c>
      <c r="G499" s="1196" t="s">
        <v>1398</v>
      </c>
      <c r="H499" s="1196"/>
      <c r="I499" s="1197" t="s">
        <v>51</v>
      </c>
      <c r="J499" s="1234">
        <v>1</v>
      </c>
      <c r="K499" s="1200">
        <v>1</v>
      </c>
      <c r="L499" s="1213" t="s">
        <v>52</v>
      </c>
      <c r="M499" s="1200"/>
      <c r="N499" s="1201"/>
      <c r="O499" s="1200"/>
      <c r="P499" s="1198">
        <v>50</v>
      </c>
      <c r="Q499" s="1236">
        <v>50</v>
      </c>
      <c r="R499" s="1202"/>
      <c r="S499" s="1203"/>
      <c r="T499" s="1202">
        <v>2</v>
      </c>
      <c r="U499" s="1203"/>
      <c r="V499" s="1202">
        <v>1.54</v>
      </c>
      <c r="W499" s="1204"/>
      <c r="X499" s="1205"/>
      <c r="Y499" s="1204"/>
      <c r="Z499" s="1200">
        <v>1</v>
      </c>
      <c r="AA499" s="1203"/>
      <c r="AB499" s="1203"/>
      <c r="AC499" s="1203"/>
      <c r="AD499" s="1206"/>
      <c r="AE499" s="1202"/>
      <c r="AF499" s="1252" t="str">
        <f>_xlfn.DISPIMG("ID_059A6B40DBAB4F6293070DC421A67E0B",1)</f>
        <v>=DISPIMG("ID_059A6B40DBAB4F6293070DC421A67E0B",1)</v>
      </c>
      <c r="AG499" s="1200"/>
      <c r="AH499" s="1200"/>
      <c r="AI499" s="1201"/>
      <c r="AJ499" s="1200"/>
      <c r="AK499" s="1201"/>
      <c r="AL499" s="1236">
        <v>50</v>
      </c>
      <c r="AM499" s="1236">
        <v>50</v>
      </c>
      <c r="AN499" s="1202"/>
      <c r="AO499" s="1203"/>
      <c r="AP499" s="1203"/>
      <c r="AQ499" s="1238" t="s">
        <v>1360</v>
      </c>
      <c r="AR499" s="1239">
        <v>45674</v>
      </c>
      <c r="AS499" s="1213" t="s">
        <v>1361</v>
      </c>
      <c r="AT499" s="1214">
        <v>45687</v>
      </c>
      <c r="AU499" s="1221"/>
      <c r="AV499" s="1197" t="s">
        <v>59</v>
      </c>
      <c r="AW499" s="1232" t="s">
        <v>873</v>
      </c>
      <c r="AX499" s="1223"/>
      <c r="AY499" s="1253"/>
      <c r="AZ499" s="1233"/>
    </row>
    <row r="500" ht="135" customHeight="1" spans="1:52">
      <c r="A500" s="804"/>
      <c r="B500" s="805"/>
      <c r="C500" s="805"/>
      <c r="D500" s="804"/>
      <c r="E500" s="804"/>
      <c r="F500" s="804"/>
      <c r="G500" s="804"/>
      <c r="H500" s="804"/>
      <c r="I500" s="805"/>
      <c r="J500" s="809"/>
      <c r="K500" s="810"/>
      <c r="L500" s="811"/>
      <c r="M500" s="810"/>
      <c r="N500" s="812"/>
      <c r="O500" s="810"/>
      <c r="P500" s="813"/>
      <c r="Q500" s="922">
        <v>894.82</v>
      </c>
      <c r="R500" s="922">
        <v>150</v>
      </c>
      <c r="T500" s="922">
        <v>83.63</v>
      </c>
      <c r="V500" s="922">
        <v>46.87</v>
      </c>
      <c r="W500" s="923"/>
      <c r="X500" s="810"/>
      <c r="Y500" s="922">
        <v>5</v>
      </c>
      <c r="Z500" s="810"/>
      <c r="AD500" s="816"/>
      <c r="AE500" s="922">
        <v>1.7</v>
      </c>
      <c r="AF500" s="1254"/>
      <c r="AG500" s="810"/>
      <c r="AH500" s="811"/>
      <c r="AI500" s="812"/>
      <c r="AJ500" s="810"/>
      <c r="AK500" s="812"/>
      <c r="AL500" s="809"/>
      <c r="AM500" s="922">
        <v>894.82</v>
      </c>
      <c r="AN500" s="922">
        <v>894.82</v>
      </c>
      <c r="AQ500" s="885"/>
      <c r="AR500" s="1244"/>
      <c r="AS500" s="1244"/>
      <c r="AT500" s="1244"/>
      <c r="AU500" s="1244"/>
      <c r="AV500" s="1244"/>
      <c r="AW500" s="1244"/>
      <c r="AX500" s="1223"/>
      <c r="AY500" s="820"/>
      <c r="AZ500" s="820"/>
    </row>
    <row r="501" ht="135" customHeight="1" spans="1:52">
      <c r="A501" s="1196">
        <v>16</v>
      </c>
      <c r="B501" s="1196">
        <v>5806320000</v>
      </c>
      <c r="C501" s="1196">
        <v>580632</v>
      </c>
      <c r="D501" s="1196" t="s">
        <v>1355</v>
      </c>
      <c r="E501" s="1196" t="s">
        <v>1399</v>
      </c>
      <c r="F501" s="1196" t="s">
        <v>1400</v>
      </c>
      <c r="G501" s="1196"/>
      <c r="H501" s="1196">
        <v>1</v>
      </c>
      <c r="I501" s="1197" t="s">
        <v>123</v>
      </c>
      <c r="J501" s="1236">
        <v>240</v>
      </c>
      <c r="K501" s="1213">
        <v>30000</v>
      </c>
      <c r="L501" s="1213" t="s">
        <v>254</v>
      </c>
      <c r="M501" s="1200" t="s">
        <v>422</v>
      </c>
      <c r="N501" s="1201"/>
      <c r="O501" s="1200"/>
      <c r="P501" s="1198">
        <v>175.36</v>
      </c>
      <c r="Q501" s="1198">
        <v>42086.4</v>
      </c>
      <c r="R501" s="1202">
        <v>368137.92</v>
      </c>
      <c r="S501" s="1203"/>
      <c r="T501" s="1198">
        <v>262.35</v>
      </c>
      <c r="U501" s="1203"/>
      <c r="V501" s="1202">
        <v>240</v>
      </c>
      <c r="W501" s="1237" t="s">
        <v>1401</v>
      </c>
      <c r="X501" s="1255" t="s">
        <v>1402</v>
      </c>
      <c r="Y501" s="1200">
        <v>15</v>
      </c>
      <c r="Z501" s="1213">
        <v>2000</v>
      </c>
      <c r="AA501" s="1203"/>
      <c r="AB501" s="1203"/>
      <c r="AC501" s="1203"/>
      <c r="AD501" s="1206">
        <v>0.140916595301368</v>
      </c>
      <c r="AE501" s="1202">
        <v>2.11</v>
      </c>
      <c r="AF501" s="1252" t="str">
        <f>_xlfn.DISPIMG("ID_C10256DB28B349C5BE639F1231BDEF03",1)</f>
        <v>=DISPIMG("ID_C10256DB28B349C5BE639F1231BDEF03",1)</v>
      </c>
      <c r="AG501" s="1200"/>
      <c r="AH501" s="1196" t="s">
        <v>1403</v>
      </c>
      <c r="AI501" s="1208">
        <v>45635</v>
      </c>
      <c r="AJ501" s="1196" t="s">
        <v>1404</v>
      </c>
      <c r="AK501" s="1208">
        <v>45635</v>
      </c>
      <c r="AL501" s="1236">
        <v>175.36</v>
      </c>
      <c r="AM501" s="1236">
        <v>42086.4</v>
      </c>
      <c r="AN501" s="1245">
        <v>324894.15</v>
      </c>
      <c r="AO501" s="1203"/>
      <c r="AP501" s="1203"/>
      <c r="AQ501" s="1238" t="s">
        <v>1360</v>
      </c>
      <c r="AR501" s="1239">
        <v>45674</v>
      </c>
      <c r="AS501" s="1213" t="s">
        <v>1361</v>
      </c>
      <c r="AT501" s="1214">
        <v>45687</v>
      </c>
      <c r="AU501" s="1221"/>
      <c r="AV501" s="1197" t="s">
        <v>59</v>
      </c>
      <c r="AW501" s="1232" t="s">
        <v>873</v>
      </c>
      <c r="AX501" s="1223"/>
      <c r="AY501" s="1249"/>
      <c r="AZ501" s="1249"/>
    </row>
    <row r="502" ht="135" customHeight="1" spans="1:52">
      <c r="A502" s="1196">
        <v>17</v>
      </c>
      <c r="B502" s="1196">
        <v>5806320000</v>
      </c>
      <c r="C502" s="1196">
        <v>580632</v>
      </c>
      <c r="D502" s="1196" t="s">
        <v>1355</v>
      </c>
      <c r="E502" s="1196" t="s">
        <v>1405</v>
      </c>
      <c r="F502" s="1196" t="s">
        <v>1406</v>
      </c>
      <c r="G502" s="1196"/>
      <c r="H502" s="1196">
        <v>2</v>
      </c>
      <c r="I502" s="1197" t="s">
        <v>123</v>
      </c>
      <c r="J502" s="1236">
        <v>210</v>
      </c>
      <c r="K502" s="1213">
        <v>60000</v>
      </c>
      <c r="L502" s="1213" t="s">
        <v>254</v>
      </c>
      <c r="M502" s="1200"/>
      <c r="N502" s="1201"/>
      <c r="O502" s="1200"/>
      <c r="P502" s="1198">
        <v>85.07</v>
      </c>
      <c r="Q502" s="1198">
        <v>17864.7</v>
      </c>
      <c r="R502" s="1202"/>
      <c r="S502" s="1203"/>
      <c r="T502" s="1198">
        <v>229.88</v>
      </c>
      <c r="U502" s="1203"/>
      <c r="V502" s="1202">
        <v>210</v>
      </c>
      <c r="W502" s="1237">
        <v>2</v>
      </c>
      <c r="X502" s="1255" t="s">
        <v>1407</v>
      </c>
      <c r="Y502" s="1200">
        <v>12</v>
      </c>
      <c r="Z502" s="1213">
        <v>5000</v>
      </c>
      <c r="AA502" s="1203"/>
      <c r="AB502" s="1203"/>
      <c r="AC502" s="1203"/>
      <c r="AD502" s="1206">
        <v>0.140916595301368</v>
      </c>
      <c r="AE502" s="1202">
        <v>1.69</v>
      </c>
      <c r="AF502" s="1252" t="str">
        <f>_xlfn.DISPIMG("ID_125FD58F19574227977CD614A6902643",1)</f>
        <v>=DISPIMG("ID_125FD58F19574227977CD614A6902643",1)</v>
      </c>
      <c r="AG502" s="1200"/>
      <c r="AH502" s="1196"/>
      <c r="AI502" s="1208"/>
      <c r="AJ502" s="1196"/>
      <c r="AK502" s="1208"/>
      <c r="AL502" s="1236">
        <v>85.07</v>
      </c>
      <c r="AM502" s="1236">
        <v>17864.7</v>
      </c>
      <c r="AN502" s="1245"/>
      <c r="AO502" s="1203"/>
      <c r="AP502" s="1203"/>
      <c r="AQ502" s="1238" t="s">
        <v>1360</v>
      </c>
      <c r="AR502" s="1239">
        <v>45674</v>
      </c>
      <c r="AS502" s="1213" t="s">
        <v>1361</v>
      </c>
      <c r="AT502" s="1214">
        <v>45687</v>
      </c>
      <c r="AU502" s="1221"/>
      <c r="AV502" s="1197" t="s">
        <v>59</v>
      </c>
      <c r="AW502" s="1232" t="s">
        <v>873</v>
      </c>
      <c r="AX502" s="1223"/>
      <c r="AY502" s="1251"/>
      <c r="AZ502" s="1251"/>
    </row>
    <row r="503" ht="135" customHeight="1" spans="1:52">
      <c r="A503" s="1196">
        <v>18</v>
      </c>
      <c r="B503" s="1196">
        <v>5806320000</v>
      </c>
      <c r="C503" s="1196">
        <v>580632</v>
      </c>
      <c r="D503" s="1196" t="s">
        <v>1355</v>
      </c>
      <c r="E503" s="1196" t="s">
        <v>1408</v>
      </c>
      <c r="F503" s="1196" t="s">
        <v>1409</v>
      </c>
      <c r="G503" s="1196"/>
      <c r="H503" s="1196">
        <v>1</v>
      </c>
      <c r="I503" s="1197" t="s">
        <v>123</v>
      </c>
      <c r="J503" s="1236">
        <v>60</v>
      </c>
      <c r="K503" s="1213">
        <v>30000</v>
      </c>
      <c r="L503" s="1213" t="s">
        <v>254</v>
      </c>
      <c r="M503" s="1200"/>
      <c r="N503" s="1201"/>
      <c r="O503" s="1200"/>
      <c r="P503" s="1198">
        <v>45.59</v>
      </c>
      <c r="Q503" s="1198">
        <v>2735.4</v>
      </c>
      <c r="R503" s="1202"/>
      <c r="S503" s="1203"/>
      <c r="T503" s="1198">
        <v>66.96</v>
      </c>
      <c r="U503" s="1203"/>
      <c r="V503" s="1202">
        <v>60</v>
      </c>
      <c r="W503" s="1237">
        <v>2.3</v>
      </c>
      <c r="X503" s="1255" t="s">
        <v>1410</v>
      </c>
      <c r="Y503" s="1200">
        <v>4</v>
      </c>
      <c r="Z503" s="1213">
        <v>7500</v>
      </c>
      <c r="AA503" s="1203"/>
      <c r="AB503" s="1203"/>
      <c r="AC503" s="1203"/>
      <c r="AD503" s="1206">
        <v>0.140916595301368</v>
      </c>
      <c r="AE503" s="1202">
        <v>0.56</v>
      </c>
      <c r="AF503" s="1252" t="str">
        <f>_xlfn.DISPIMG("ID_502054C58B8E48C48D12362267E9CF12",1)</f>
        <v>=DISPIMG("ID_502054C58B8E48C48D12362267E9CF12",1)</v>
      </c>
      <c r="AG503" s="1200"/>
      <c r="AH503" s="1196"/>
      <c r="AI503" s="1208"/>
      <c r="AJ503" s="1196"/>
      <c r="AK503" s="1208"/>
      <c r="AL503" s="1236">
        <v>45.59</v>
      </c>
      <c r="AM503" s="1236">
        <v>2735.4</v>
      </c>
      <c r="AN503" s="1245"/>
      <c r="AO503" s="1203"/>
      <c r="AP503" s="1203"/>
      <c r="AQ503" s="1238" t="s">
        <v>1360</v>
      </c>
      <c r="AR503" s="1239">
        <v>45674</v>
      </c>
      <c r="AS503" s="1213" t="s">
        <v>1361</v>
      </c>
      <c r="AT503" s="1214">
        <v>45687</v>
      </c>
      <c r="AU503" s="1221"/>
      <c r="AV503" s="1197" t="s">
        <v>59</v>
      </c>
      <c r="AW503" s="1232" t="s">
        <v>873</v>
      </c>
      <c r="AX503" s="1223"/>
      <c r="AY503" s="1251"/>
      <c r="AZ503" s="1251"/>
    </row>
    <row r="504" ht="135" customHeight="1" spans="1:52">
      <c r="A504" s="1196">
        <v>19</v>
      </c>
      <c r="B504" s="1196">
        <v>5806320000</v>
      </c>
      <c r="C504" s="1196">
        <v>580632</v>
      </c>
      <c r="D504" s="1196" t="s">
        <v>1355</v>
      </c>
      <c r="E504" s="1196" t="s">
        <v>1411</v>
      </c>
      <c r="F504" s="1196" t="s">
        <v>1412</v>
      </c>
      <c r="G504" s="1196"/>
      <c r="H504" s="1196">
        <v>2</v>
      </c>
      <c r="I504" s="1197" t="s">
        <v>123</v>
      </c>
      <c r="J504" s="1236">
        <v>24</v>
      </c>
      <c r="K504" s="1213">
        <v>60000</v>
      </c>
      <c r="L504" s="1213" t="s">
        <v>254</v>
      </c>
      <c r="M504" s="1200"/>
      <c r="N504" s="1201"/>
      <c r="O504" s="1200"/>
      <c r="P504" s="1198">
        <v>109.91</v>
      </c>
      <c r="Q504" s="1198">
        <v>2637.84</v>
      </c>
      <c r="R504" s="1202"/>
      <c r="S504" s="1203"/>
      <c r="T504" s="1198">
        <v>27.98</v>
      </c>
      <c r="U504" s="1203"/>
      <c r="V504" s="1202">
        <v>24</v>
      </c>
      <c r="W504" s="1237">
        <v>3</v>
      </c>
      <c r="X504" s="1255">
        <v>35.36</v>
      </c>
      <c r="Y504" s="1200">
        <v>2</v>
      </c>
      <c r="Z504" s="1213">
        <v>30000</v>
      </c>
      <c r="AA504" s="1203"/>
      <c r="AB504" s="1203"/>
      <c r="AC504" s="1203"/>
      <c r="AD504" s="1206">
        <v>0.140916595301368</v>
      </c>
      <c r="AE504" s="1202">
        <v>0.28</v>
      </c>
      <c r="AF504" s="1252" t="str">
        <f>_xlfn.DISPIMG("ID_25FE95B2CA52436585EBEF36B17D34A1",1)</f>
        <v>=DISPIMG("ID_25FE95B2CA52436585EBEF36B17D34A1",1)</v>
      </c>
      <c r="AG504" s="1200"/>
      <c r="AH504" s="1196"/>
      <c r="AI504" s="1208"/>
      <c r="AJ504" s="1196"/>
      <c r="AK504" s="1208"/>
      <c r="AL504" s="1236">
        <v>109.91</v>
      </c>
      <c r="AM504" s="1236">
        <v>2637.84</v>
      </c>
      <c r="AN504" s="1245"/>
      <c r="AO504" s="1203"/>
      <c r="AP504" s="1203"/>
      <c r="AQ504" s="1238" t="s">
        <v>1360</v>
      </c>
      <c r="AR504" s="1239">
        <v>45674</v>
      </c>
      <c r="AS504" s="1213" t="s">
        <v>1361</v>
      </c>
      <c r="AT504" s="1214">
        <v>45687</v>
      </c>
      <c r="AU504" s="1221"/>
      <c r="AV504" s="1197" t="s">
        <v>59</v>
      </c>
      <c r="AW504" s="1232" t="s">
        <v>873</v>
      </c>
      <c r="AX504" s="1223"/>
      <c r="AY504" s="1251"/>
      <c r="AZ504" s="1251"/>
    </row>
    <row r="505" ht="135" customHeight="1" spans="1:52">
      <c r="A505" s="1196">
        <v>20</v>
      </c>
      <c r="B505" s="1196">
        <v>5806320000</v>
      </c>
      <c r="C505" s="1196">
        <v>580632</v>
      </c>
      <c r="D505" s="1196" t="s">
        <v>1355</v>
      </c>
      <c r="E505" s="1196" t="s">
        <v>1413</v>
      </c>
      <c r="F505" s="1196" t="s">
        <v>1414</v>
      </c>
      <c r="G505" s="1196"/>
      <c r="H505" s="1196">
        <v>2</v>
      </c>
      <c r="I505" s="1197" t="s">
        <v>123</v>
      </c>
      <c r="J505" s="1236">
        <v>102</v>
      </c>
      <c r="K505" s="1213">
        <v>60000</v>
      </c>
      <c r="L505" s="1213" t="s">
        <v>254</v>
      </c>
      <c r="M505" s="1200"/>
      <c r="N505" s="1201"/>
      <c r="O505" s="1200"/>
      <c r="P505" s="1198">
        <v>300.2</v>
      </c>
      <c r="Q505" s="1198">
        <v>30620.4</v>
      </c>
      <c r="R505" s="1202"/>
      <c r="S505" s="1203"/>
      <c r="T505" s="1198">
        <v>113.94</v>
      </c>
      <c r="U505" s="1203"/>
      <c r="V505" s="1202">
        <v>102</v>
      </c>
      <c r="W505" s="1237">
        <v>1.3</v>
      </c>
      <c r="X505" s="1255" t="s">
        <v>1415</v>
      </c>
      <c r="Y505" s="1200">
        <v>6</v>
      </c>
      <c r="Z505" s="1213">
        <v>10000</v>
      </c>
      <c r="AA505" s="1203"/>
      <c r="AB505" s="1203"/>
      <c r="AC505" s="1203"/>
      <c r="AD505" s="1206">
        <v>0.140916595301368</v>
      </c>
      <c r="AE505" s="1202">
        <v>0.85</v>
      </c>
      <c r="AF505" s="1252" t="str">
        <f>_xlfn.DISPIMG("ID_06528268881F4ECDA2D9DE7C7367A2F3",1)</f>
        <v>=DISPIMG("ID_06528268881F4ECDA2D9DE7C7367A2F3",1)</v>
      </c>
      <c r="AG505" s="1200"/>
      <c r="AH505" s="1196"/>
      <c r="AI505" s="1208"/>
      <c r="AJ505" s="1196"/>
      <c r="AK505" s="1208"/>
      <c r="AL505" s="1236">
        <v>300.2</v>
      </c>
      <c r="AM505" s="1236">
        <v>30620.4</v>
      </c>
      <c r="AN505" s="1245"/>
      <c r="AO505" s="1203"/>
      <c r="AP505" s="1203"/>
      <c r="AQ505" s="1238" t="s">
        <v>1360</v>
      </c>
      <c r="AR505" s="1239">
        <v>45674</v>
      </c>
      <c r="AS505" s="1213" t="s">
        <v>1361</v>
      </c>
      <c r="AT505" s="1214">
        <v>45687</v>
      </c>
      <c r="AU505" s="1221"/>
      <c r="AV505" s="1197" t="s">
        <v>59</v>
      </c>
      <c r="AW505" s="1232" t="s">
        <v>873</v>
      </c>
      <c r="AX505" s="1223"/>
      <c r="AY505" s="1251"/>
      <c r="AZ505" s="1251"/>
    </row>
    <row r="506" ht="135" customHeight="1" spans="1:52">
      <c r="A506" s="1196">
        <v>21</v>
      </c>
      <c r="B506" s="1196">
        <v>5806320000</v>
      </c>
      <c r="C506" s="1196">
        <v>580632</v>
      </c>
      <c r="D506" s="1196" t="s">
        <v>1355</v>
      </c>
      <c r="E506" s="1196" t="s">
        <v>1416</v>
      </c>
      <c r="F506" s="1196" t="s">
        <v>1417</v>
      </c>
      <c r="G506" s="1196"/>
      <c r="H506" s="1196">
        <v>2</v>
      </c>
      <c r="I506" s="1197" t="s">
        <v>123</v>
      </c>
      <c r="J506" s="1236">
        <v>72</v>
      </c>
      <c r="K506" s="1213">
        <v>60000</v>
      </c>
      <c r="L506" s="1213" t="s">
        <v>254</v>
      </c>
      <c r="M506" s="1200"/>
      <c r="N506" s="1201"/>
      <c r="O506" s="1200"/>
      <c r="P506" s="1198">
        <v>79.33</v>
      </c>
      <c r="Q506" s="1198">
        <v>5711.76</v>
      </c>
      <c r="R506" s="1202"/>
      <c r="S506" s="1203"/>
      <c r="T506" s="1198">
        <v>81.94</v>
      </c>
      <c r="U506" s="1203"/>
      <c r="V506" s="1202">
        <v>72</v>
      </c>
      <c r="W506" s="1237">
        <v>3</v>
      </c>
      <c r="X506" s="1255" t="s">
        <v>1418</v>
      </c>
      <c r="Y506" s="1200">
        <v>6</v>
      </c>
      <c r="Z506" s="1213">
        <v>10000</v>
      </c>
      <c r="AA506" s="1203"/>
      <c r="AB506" s="1203"/>
      <c r="AC506" s="1203"/>
      <c r="AD506" s="1206">
        <v>0.140916595301368</v>
      </c>
      <c r="AE506" s="1202">
        <v>0.85</v>
      </c>
      <c r="AF506" s="1252" t="str">
        <f>_xlfn.DISPIMG("ID_0F53F04B3CA64BCD90F73776F2E56E39",1)</f>
        <v>=DISPIMG("ID_0F53F04B3CA64BCD90F73776F2E56E39",1)</v>
      </c>
      <c r="AG506" s="1200"/>
      <c r="AH506" s="1196"/>
      <c r="AI506" s="1208"/>
      <c r="AJ506" s="1196"/>
      <c r="AK506" s="1208"/>
      <c r="AL506" s="1236">
        <v>79.33</v>
      </c>
      <c r="AM506" s="1236">
        <v>5711.76</v>
      </c>
      <c r="AN506" s="1245"/>
      <c r="AO506" s="1203"/>
      <c r="AP506" s="1203"/>
      <c r="AQ506" s="1238" t="s">
        <v>1360</v>
      </c>
      <c r="AR506" s="1239">
        <v>45674</v>
      </c>
      <c r="AS506" s="1213" t="s">
        <v>1361</v>
      </c>
      <c r="AT506" s="1214">
        <v>45687</v>
      </c>
      <c r="AU506" s="1221"/>
      <c r="AV506" s="1197" t="s">
        <v>59</v>
      </c>
      <c r="AW506" s="1232" t="s">
        <v>873</v>
      </c>
      <c r="AX506" s="1223"/>
      <c r="AY506" s="1251"/>
      <c r="AZ506" s="1251"/>
    </row>
    <row r="507" ht="135" customHeight="1" spans="1:52">
      <c r="A507" s="1196">
        <v>22</v>
      </c>
      <c r="B507" s="1196">
        <v>5806320000</v>
      </c>
      <c r="C507" s="1196">
        <v>580632</v>
      </c>
      <c r="D507" s="1196" t="s">
        <v>1355</v>
      </c>
      <c r="E507" s="1196" t="s">
        <v>1419</v>
      </c>
      <c r="F507" s="1196" t="s">
        <v>1420</v>
      </c>
      <c r="G507" s="1196"/>
      <c r="H507" s="1196">
        <v>1</v>
      </c>
      <c r="I507" s="1197" t="s">
        <v>123</v>
      </c>
      <c r="J507" s="1236">
        <v>120</v>
      </c>
      <c r="K507" s="1213">
        <v>30000</v>
      </c>
      <c r="L507" s="1213" t="s">
        <v>254</v>
      </c>
      <c r="M507" s="1200"/>
      <c r="N507" s="1201"/>
      <c r="O507" s="1200"/>
      <c r="P507" s="1198">
        <v>78.84</v>
      </c>
      <c r="Q507" s="1198">
        <v>9460.8</v>
      </c>
      <c r="R507" s="1202"/>
      <c r="S507" s="1203"/>
      <c r="T507" s="1198">
        <v>128.98</v>
      </c>
      <c r="U507" s="1203"/>
      <c r="V507" s="1202">
        <v>120</v>
      </c>
      <c r="W507" s="1237">
        <v>2</v>
      </c>
      <c r="X507" s="1255">
        <v>17.18</v>
      </c>
      <c r="Y507" s="1200">
        <v>2</v>
      </c>
      <c r="Z507" s="1213">
        <v>15000</v>
      </c>
      <c r="AA507" s="1203"/>
      <c r="AB507" s="1203"/>
      <c r="AC507" s="1203"/>
      <c r="AD507" s="1206">
        <v>0.140916595301368</v>
      </c>
      <c r="AE507" s="1202">
        <v>0.28</v>
      </c>
      <c r="AF507" s="1252" t="str">
        <f>_xlfn.DISPIMG("ID_9EC1BAF6EF444841A45253ACE006C64D",1)</f>
        <v>=DISPIMG("ID_9EC1BAF6EF444841A45253ACE006C64D",1)</v>
      </c>
      <c r="AG507" s="1200"/>
      <c r="AH507" s="1196"/>
      <c r="AI507" s="1208"/>
      <c r="AJ507" s="1196"/>
      <c r="AK507" s="1208"/>
      <c r="AL507" s="1236">
        <v>78.84</v>
      </c>
      <c r="AM507" s="1236">
        <v>9460.8</v>
      </c>
      <c r="AN507" s="1245"/>
      <c r="AO507" s="1203"/>
      <c r="AP507" s="1203"/>
      <c r="AQ507" s="1238" t="s">
        <v>1360</v>
      </c>
      <c r="AR507" s="1239">
        <v>45674</v>
      </c>
      <c r="AS507" s="1213" t="s">
        <v>1361</v>
      </c>
      <c r="AT507" s="1214">
        <v>45687</v>
      </c>
      <c r="AU507" s="1221"/>
      <c r="AV507" s="1197" t="s">
        <v>59</v>
      </c>
      <c r="AW507" s="1232" t="s">
        <v>873</v>
      </c>
      <c r="AX507" s="1223"/>
      <c r="AY507" s="1251"/>
      <c r="AZ507" s="1251"/>
    </row>
    <row r="508" ht="135" customHeight="1" spans="1:52">
      <c r="A508" s="1196">
        <v>23</v>
      </c>
      <c r="B508" s="1196">
        <v>5806320000</v>
      </c>
      <c r="C508" s="1196">
        <v>580632</v>
      </c>
      <c r="D508" s="1196" t="s">
        <v>1355</v>
      </c>
      <c r="E508" s="1196" t="s">
        <v>1421</v>
      </c>
      <c r="F508" s="1196" t="s">
        <v>1422</v>
      </c>
      <c r="G508" s="1196"/>
      <c r="H508" s="1196">
        <v>1</v>
      </c>
      <c r="I508" s="1197" t="s">
        <v>123</v>
      </c>
      <c r="J508" s="1236">
        <v>10.5</v>
      </c>
      <c r="K508" s="1213">
        <v>30000</v>
      </c>
      <c r="L508" s="1213" t="s">
        <v>254</v>
      </c>
      <c r="M508" s="1200"/>
      <c r="N508" s="1201"/>
      <c r="O508" s="1200"/>
      <c r="P508" s="1198">
        <v>168.98</v>
      </c>
      <c r="Q508" s="1198">
        <v>1774.29</v>
      </c>
      <c r="R508" s="1202"/>
      <c r="S508" s="1203"/>
      <c r="T508" s="1198">
        <v>12.99</v>
      </c>
      <c r="U508" s="1203"/>
      <c r="V508" s="1202">
        <v>10.5</v>
      </c>
      <c r="W508" s="1237">
        <v>3</v>
      </c>
      <c r="X508" s="1255">
        <v>45</v>
      </c>
      <c r="Y508" s="1200">
        <v>1</v>
      </c>
      <c r="Z508" s="1213">
        <v>30000</v>
      </c>
      <c r="AA508" s="1203"/>
      <c r="AB508" s="1203"/>
      <c r="AC508" s="1203"/>
      <c r="AD508" s="1206">
        <v>0.140916595301368</v>
      </c>
      <c r="AE508" s="1202">
        <v>0.14</v>
      </c>
      <c r="AF508" s="1252" t="str">
        <f>_xlfn.DISPIMG("ID_C68118BF10AE4755AF8BEDD160F513C0",1)</f>
        <v>=DISPIMG("ID_C68118BF10AE4755AF8BEDD160F513C0",1)</v>
      </c>
      <c r="AG508" s="1200"/>
      <c r="AH508" s="1196"/>
      <c r="AI508" s="1208"/>
      <c r="AJ508" s="1196"/>
      <c r="AK508" s="1208"/>
      <c r="AL508" s="1236">
        <v>168.98</v>
      </c>
      <c r="AM508" s="1236">
        <v>1774.29</v>
      </c>
      <c r="AN508" s="1245"/>
      <c r="AO508" s="1203"/>
      <c r="AP508" s="1203"/>
      <c r="AQ508" s="1238" t="s">
        <v>1360</v>
      </c>
      <c r="AR508" s="1239">
        <v>45674</v>
      </c>
      <c r="AS508" s="1213" t="s">
        <v>1361</v>
      </c>
      <c r="AT508" s="1214">
        <v>45687</v>
      </c>
      <c r="AU508" s="1221"/>
      <c r="AV508" s="1197" t="s">
        <v>59</v>
      </c>
      <c r="AW508" s="1232" t="s">
        <v>873</v>
      </c>
      <c r="AX508" s="1223"/>
      <c r="AY508" s="1251"/>
      <c r="AZ508" s="1251"/>
    </row>
    <row r="509" ht="135" customHeight="1" spans="1:52">
      <c r="A509" s="1196">
        <v>24</v>
      </c>
      <c r="B509" s="1196">
        <v>5806320000</v>
      </c>
      <c r="C509" s="1196">
        <v>580632</v>
      </c>
      <c r="D509" s="1196" t="s">
        <v>1355</v>
      </c>
      <c r="E509" s="1196" t="s">
        <v>1423</v>
      </c>
      <c r="F509" s="1196" t="s">
        <v>1424</v>
      </c>
      <c r="G509" s="1196"/>
      <c r="H509" s="1196">
        <v>1</v>
      </c>
      <c r="I509" s="1197" t="s">
        <v>123</v>
      </c>
      <c r="J509" s="1236">
        <v>15</v>
      </c>
      <c r="K509" s="1213">
        <v>30000</v>
      </c>
      <c r="L509" s="1213" t="s">
        <v>254</v>
      </c>
      <c r="M509" s="1200"/>
      <c r="N509" s="1201"/>
      <c r="O509" s="1200"/>
      <c r="P509" s="1198">
        <v>46.87</v>
      </c>
      <c r="Q509" s="1198">
        <v>703.05</v>
      </c>
      <c r="R509" s="1202"/>
      <c r="S509" s="1203"/>
      <c r="T509" s="1198">
        <v>18.98</v>
      </c>
      <c r="U509" s="1203"/>
      <c r="V509" s="1202">
        <v>15</v>
      </c>
      <c r="W509" s="1237">
        <v>3</v>
      </c>
      <c r="X509" s="1255" t="s">
        <v>1425</v>
      </c>
      <c r="Y509" s="1200">
        <v>2</v>
      </c>
      <c r="Z509" s="1213">
        <v>15000</v>
      </c>
      <c r="AA509" s="1203"/>
      <c r="AB509" s="1203"/>
      <c r="AC509" s="1203"/>
      <c r="AD509" s="1206">
        <v>0.140916595301368</v>
      </c>
      <c r="AE509" s="1202">
        <v>0.28</v>
      </c>
      <c r="AF509" s="1252" t="str">
        <f>_xlfn.DISPIMG("ID_948C667FD15D499CB7C7106FC503E217",1)</f>
        <v>=DISPIMG("ID_948C667FD15D499CB7C7106FC503E217",1)</v>
      </c>
      <c r="AG509" s="1200"/>
      <c r="AH509" s="1196"/>
      <c r="AI509" s="1208"/>
      <c r="AJ509" s="1196"/>
      <c r="AK509" s="1208"/>
      <c r="AL509" s="1236">
        <v>46.87</v>
      </c>
      <c r="AM509" s="1236">
        <v>703.05</v>
      </c>
      <c r="AN509" s="1245"/>
      <c r="AO509" s="1203"/>
      <c r="AP509" s="1203"/>
      <c r="AQ509" s="1238" t="s">
        <v>1360</v>
      </c>
      <c r="AR509" s="1239">
        <v>45674</v>
      </c>
      <c r="AS509" s="1213" t="s">
        <v>1361</v>
      </c>
      <c r="AT509" s="1214">
        <v>45687</v>
      </c>
      <c r="AU509" s="1221"/>
      <c r="AV509" s="1197" t="s">
        <v>59</v>
      </c>
      <c r="AW509" s="1232" t="s">
        <v>873</v>
      </c>
      <c r="AX509" s="1223"/>
      <c r="AY509" s="1251"/>
      <c r="AZ509" s="1251"/>
    </row>
    <row r="510" ht="135" customHeight="1" spans="1:52">
      <c r="A510" s="1196">
        <v>25</v>
      </c>
      <c r="B510" s="1196">
        <v>5806320000</v>
      </c>
      <c r="C510" s="1196">
        <v>580632</v>
      </c>
      <c r="D510" s="1196" t="s">
        <v>1363</v>
      </c>
      <c r="E510" s="1196" t="s">
        <v>1426</v>
      </c>
      <c r="F510" s="1196" t="s">
        <v>1427</v>
      </c>
      <c r="G510" s="1196"/>
      <c r="H510" s="1196">
        <v>1</v>
      </c>
      <c r="I510" s="1197" t="s">
        <v>123</v>
      </c>
      <c r="J510" s="1236">
        <v>246</v>
      </c>
      <c r="K510" s="1213">
        <v>30000</v>
      </c>
      <c r="L510" s="1213" t="s">
        <v>254</v>
      </c>
      <c r="M510" s="1200"/>
      <c r="N510" s="1201"/>
      <c r="O510" s="1200"/>
      <c r="P510" s="1198">
        <v>188.58</v>
      </c>
      <c r="Q510" s="1198">
        <v>46390.68</v>
      </c>
      <c r="R510" s="1202"/>
      <c r="S510" s="1203"/>
      <c r="T510" s="1198">
        <v>269.35</v>
      </c>
      <c r="U510" s="1203"/>
      <c r="V510" s="1202">
        <v>246</v>
      </c>
      <c r="W510" s="1237">
        <v>9.1</v>
      </c>
      <c r="X510" s="1255" t="s">
        <v>1428</v>
      </c>
      <c r="Y510" s="1200">
        <v>15</v>
      </c>
      <c r="Z510" s="1213">
        <v>2000</v>
      </c>
      <c r="AA510" s="1203"/>
      <c r="AB510" s="1203"/>
      <c r="AC510" s="1203"/>
      <c r="AD510" s="1206">
        <v>0.140916595301368</v>
      </c>
      <c r="AE510" s="1202">
        <v>2.11</v>
      </c>
      <c r="AF510" s="1252" t="str">
        <f>_xlfn.DISPIMG("ID_2B5EE47505314246BEC80A4C0F865F87",1)</f>
        <v>=DISPIMG("ID_2B5EE47505314246BEC80A4C0F865F87",1)</v>
      </c>
      <c r="AG510" s="1200"/>
      <c r="AH510" s="1196"/>
      <c r="AI510" s="1208"/>
      <c r="AJ510" s="1196"/>
      <c r="AK510" s="1208"/>
      <c r="AL510" s="1236">
        <v>188.58</v>
      </c>
      <c r="AM510" s="1236">
        <v>46390.68</v>
      </c>
      <c r="AN510" s="1245"/>
      <c r="AO510" s="1203"/>
      <c r="AP510" s="1203"/>
      <c r="AQ510" s="1238" t="s">
        <v>1360</v>
      </c>
      <c r="AR510" s="1239">
        <v>45674</v>
      </c>
      <c r="AS510" s="1213" t="s">
        <v>1361</v>
      </c>
      <c r="AT510" s="1214">
        <v>45687</v>
      </c>
      <c r="AU510" s="1221"/>
      <c r="AV510" s="1197" t="s">
        <v>59</v>
      </c>
      <c r="AW510" s="1232" t="s">
        <v>873</v>
      </c>
      <c r="AX510" s="1223"/>
      <c r="AY510" s="1251"/>
      <c r="AZ510" s="1251"/>
    </row>
    <row r="511" ht="135" customHeight="1" spans="1:52">
      <c r="A511" s="1196">
        <v>26</v>
      </c>
      <c r="B511" s="1196">
        <v>5806320000</v>
      </c>
      <c r="C511" s="1196">
        <v>580632</v>
      </c>
      <c r="D511" s="1196" t="s">
        <v>1363</v>
      </c>
      <c r="E511" s="1196" t="s">
        <v>1429</v>
      </c>
      <c r="F511" s="1196" t="s">
        <v>1430</v>
      </c>
      <c r="G511" s="1196"/>
      <c r="H511" s="1196">
        <v>2</v>
      </c>
      <c r="I511" s="1197" t="s">
        <v>123</v>
      </c>
      <c r="J511" s="1236">
        <v>210</v>
      </c>
      <c r="K511" s="1213">
        <v>60000</v>
      </c>
      <c r="L511" s="1213" t="s">
        <v>254</v>
      </c>
      <c r="M511" s="1200"/>
      <c r="N511" s="1201"/>
      <c r="O511" s="1200"/>
      <c r="P511" s="1198">
        <v>104.96</v>
      </c>
      <c r="Q511" s="1198">
        <v>22041.6</v>
      </c>
      <c r="R511" s="1202"/>
      <c r="S511" s="1203"/>
      <c r="T511" s="1198">
        <v>234.84</v>
      </c>
      <c r="U511" s="1203"/>
      <c r="V511" s="1202">
        <v>210</v>
      </c>
      <c r="W511" s="1237">
        <v>8.9</v>
      </c>
      <c r="X511" s="1255" t="s">
        <v>1431</v>
      </c>
      <c r="Y511" s="1200">
        <v>16</v>
      </c>
      <c r="Z511" s="1213">
        <v>3750</v>
      </c>
      <c r="AA511" s="1203"/>
      <c r="AB511" s="1203"/>
      <c r="AC511" s="1203"/>
      <c r="AD511" s="1206">
        <v>0.140916595301368</v>
      </c>
      <c r="AE511" s="1202">
        <v>2.25</v>
      </c>
      <c r="AF511" s="1252" t="str">
        <f>_xlfn.DISPIMG("ID_1BF9CA615C8044C5B2D3DDB622990B65",1)</f>
        <v>=DISPIMG("ID_1BF9CA615C8044C5B2D3DDB622990B65",1)</v>
      </c>
      <c r="AG511" s="1200"/>
      <c r="AH511" s="1196"/>
      <c r="AI511" s="1208"/>
      <c r="AJ511" s="1196"/>
      <c r="AK511" s="1208"/>
      <c r="AL511" s="1236">
        <v>104.96</v>
      </c>
      <c r="AM511" s="1236">
        <v>22041.6</v>
      </c>
      <c r="AN511" s="1245"/>
      <c r="AO511" s="1203"/>
      <c r="AP511" s="1203"/>
      <c r="AQ511" s="1238" t="s">
        <v>1360</v>
      </c>
      <c r="AR511" s="1239">
        <v>45674</v>
      </c>
      <c r="AS511" s="1213" t="s">
        <v>1361</v>
      </c>
      <c r="AT511" s="1214">
        <v>45687</v>
      </c>
      <c r="AU511" s="1221"/>
      <c r="AV511" s="1197" t="s">
        <v>59</v>
      </c>
      <c r="AW511" s="1232" t="s">
        <v>873</v>
      </c>
      <c r="AX511" s="1223"/>
      <c r="AY511" s="1251"/>
      <c r="AZ511" s="1251"/>
    </row>
    <row r="512" ht="135" customHeight="1" spans="1:52">
      <c r="A512" s="1196">
        <v>27</v>
      </c>
      <c r="B512" s="1196">
        <v>5806320000</v>
      </c>
      <c r="C512" s="1196">
        <v>580632</v>
      </c>
      <c r="D512" s="1196" t="s">
        <v>1363</v>
      </c>
      <c r="E512" s="1196" t="s">
        <v>1432</v>
      </c>
      <c r="F512" s="1196" t="s">
        <v>1433</v>
      </c>
      <c r="G512" s="1196"/>
      <c r="H512" s="1196">
        <v>1</v>
      </c>
      <c r="I512" s="1197" t="s">
        <v>123</v>
      </c>
      <c r="J512" s="1236">
        <v>60</v>
      </c>
      <c r="K512" s="1213">
        <v>30000</v>
      </c>
      <c r="L512" s="1213" t="s">
        <v>254</v>
      </c>
      <c r="M512" s="1200"/>
      <c r="N512" s="1201"/>
      <c r="O512" s="1200"/>
      <c r="P512" s="1198">
        <v>56.25</v>
      </c>
      <c r="Q512" s="1198">
        <v>3375</v>
      </c>
      <c r="R512" s="1202"/>
      <c r="S512" s="1203"/>
      <c r="T512" s="1198">
        <v>66.96</v>
      </c>
      <c r="U512" s="1203"/>
      <c r="V512" s="1202">
        <v>60</v>
      </c>
      <c r="W512" s="1237">
        <v>9</v>
      </c>
      <c r="X512" s="1255" t="s">
        <v>1434</v>
      </c>
      <c r="Y512" s="1200">
        <v>4</v>
      </c>
      <c r="Z512" s="1213">
        <v>7500</v>
      </c>
      <c r="AA512" s="1203"/>
      <c r="AB512" s="1203"/>
      <c r="AC512" s="1203"/>
      <c r="AD512" s="1206">
        <v>0.140916595301368</v>
      </c>
      <c r="AE512" s="1202">
        <v>0.56</v>
      </c>
      <c r="AF512" s="1252" t="str">
        <f>_xlfn.DISPIMG("ID_5F92943E7D144FD4A3C203AC201BCC7A",1)</f>
        <v>=DISPIMG("ID_5F92943E7D144FD4A3C203AC201BCC7A",1)</v>
      </c>
      <c r="AG512" s="1200"/>
      <c r="AH512" s="1196"/>
      <c r="AI512" s="1208"/>
      <c r="AJ512" s="1196"/>
      <c r="AK512" s="1208"/>
      <c r="AL512" s="1236">
        <v>56.25</v>
      </c>
      <c r="AM512" s="1236">
        <v>3375</v>
      </c>
      <c r="AN512" s="1245"/>
      <c r="AO512" s="1203"/>
      <c r="AP512" s="1203"/>
      <c r="AQ512" s="1238" t="s">
        <v>1360</v>
      </c>
      <c r="AR512" s="1239">
        <v>45674</v>
      </c>
      <c r="AS512" s="1213" t="s">
        <v>1361</v>
      </c>
      <c r="AT512" s="1214">
        <v>45687</v>
      </c>
      <c r="AU512" s="1221"/>
      <c r="AV512" s="1197" t="s">
        <v>59</v>
      </c>
      <c r="AW512" s="1232" t="s">
        <v>873</v>
      </c>
      <c r="AX512" s="1223"/>
      <c r="AY512" s="1251"/>
      <c r="AZ512" s="1251"/>
    </row>
    <row r="513" ht="135" customHeight="1" spans="1:52">
      <c r="A513" s="1196">
        <v>28</v>
      </c>
      <c r="B513" s="1196">
        <v>5806320000</v>
      </c>
      <c r="C513" s="1196">
        <v>580632</v>
      </c>
      <c r="D513" s="1196" t="s">
        <v>1363</v>
      </c>
      <c r="E513" s="1196" t="s">
        <v>1435</v>
      </c>
      <c r="F513" s="1196" t="s">
        <v>1436</v>
      </c>
      <c r="G513" s="1196"/>
      <c r="H513" s="1196">
        <v>2</v>
      </c>
      <c r="I513" s="1197" t="s">
        <v>123</v>
      </c>
      <c r="J513" s="1236">
        <v>23.4</v>
      </c>
      <c r="K513" s="1213">
        <v>60000</v>
      </c>
      <c r="L513" s="1213" t="s">
        <v>254</v>
      </c>
      <c r="M513" s="1200"/>
      <c r="N513" s="1201"/>
      <c r="O513" s="1200"/>
      <c r="P513" s="1198">
        <v>278.8</v>
      </c>
      <c r="Q513" s="1198">
        <v>6523.92</v>
      </c>
      <c r="R513" s="1202"/>
      <c r="S513" s="1203"/>
      <c r="T513" s="1198">
        <v>27.38</v>
      </c>
      <c r="U513" s="1203"/>
      <c r="V513" s="1202">
        <v>23.4</v>
      </c>
      <c r="W513" s="1237">
        <v>9</v>
      </c>
      <c r="X513" s="1255">
        <v>132.133</v>
      </c>
      <c r="Y513" s="1200">
        <v>2</v>
      </c>
      <c r="Z513" s="1213">
        <v>30000</v>
      </c>
      <c r="AA513" s="1203"/>
      <c r="AB513" s="1203"/>
      <c r="AC513" s="1203"/>
      <c r="AD513" s="1206">
        <v>0.140916595301368</v>
      </c>
      <c r="AE513" s="1202">
        <v>0.28</v>
      </c>
      <c r="AF513" s="1252" t="str">
        <f>_xlfn.DISPIMG("ID_95353E9D94024F9289D81B6C94A0E712",1)</f>
        <v>=DISPIMG("ID_95353E9D94024F9289D81B6C94A0E712",1)</v>
      </c>
      <c r="AG513" s="1200"/>
      <c r="AH513" s="1196"/>
      <c r="AI513" s="1208"/>
      <c r="AJ513" s="1196"/>
      <c r="AK513" s="1208"/>
      <c r="AL513" s="1236">
        <v>278.8</v>
      </c>
      <c r="AM513" s="1236">
        <v>6523.92</v>
      </c>
      <c r="AN513" s="1245"/>
      <c r="AO513" s="1203"/>
      <c r="AP513" s="1203"/>
      <c r="AQ513" s="1238" t="s">
        <v>1360</v>
      </c>
      <c r="AR513" s="1239">
        <v>45674</v>
      </c>
      <c r="AS513" s="1213" t="s">
        <v>1361</v>
      </c>
      <c r="AT513" s="1214">
        <v>45687</v>
      </c>
      <c r="AU513" s="1221"/>
      <c r="AV513" s="1197" t="s">
        <v>59</v>
      </c>
      <c r="AW513" s="1232" t="s">
        <v>873</v>
      </c>
      <c r="AX513" s="1223"/>
      <c r="AY513" s="1251"/>
      <c r="AZ513" s="1251"/>
    </row>
    <row r="514" ht="135" customHeight="1" spans="1:52">
      <c r="A514" s="1196">
        <v>29</v>
      </c>
      <c r="B514" s="1196">
        <v>5806320000</v>
      </c>
      <c r="C514" s="1196">
        <v>580632</v>
      </c>
      <c r="D514" s="1196" t="s">
        <v>1363</v>
      </c>
      <c r="E514" s="1196" t="s">
        <v>1437</v>
      </c>
      <c r="F514" s="1196" t="s">
        <v>1438</v>
      </c>
      <c r="G514" s="1196"/>
      <c r="H514" s="1196">
        <v>4</v>
      </c>
      <c r="I514" s="1197" t="s">
        <v>123</v>
      </c>
      <c r="J514" s="1236">
        <v>96</v>
      </c>
      <c r="K514" s="1213">
        <v>120000</v>
      </c>
      <c r="L514" s="1213" t="s">
        <v>254</v>
      </c>
      <c r="M514" s="1200"/>
      <c r="N514" s="1201"/>
      <c r="O514" s="1200"/>
      <c r="P514" s="1198">
        <v>519.1</v>
      </c>
      <c r="Q514" s="1198">
        <v>49833.6</v>
      </c>
      <c r="R514" s="1202"/>
      <c r="S514" s="1203"/>
      <c r="T514" s="1198">
        <v>116.88</v>
      </c>
      <c r="U514" s="1203"/>
      <c r="V514" s="1202">
        <v>96</v>
      </c>
      <c r="W514" s="1237">
        <v>7.8</v>
      </c>
      <c r="X514" s="1255" t="s">
        <v>1439</v>
      </c>
      <c r="Y514" s="1200">
        <v>12</v>
      </c>
      <c r="Z514" s="1213">
        <v>10000</v>
      </c>
      <c r="AA514" s="1203"/>
      <c r="AB514" s="1203"/>
      <c r="AC514" s="1203"/>
      <c r="AD514" s="1206">
        <v>0.140916595301368</v>
      </c>
      <c r="AE514" s="1202">
        <v>1.69</v>
      </c>
      <c r="AF514" s="1252" t="str">
        <f>_xlfn.DISPIMG("ID_E2C1A6DEB9004F27AB7F06723A7A4602",1)</f>
        <v>=DISPIMG("ID_E2C1A6DEB9004F27AB7F06723A7A4602",1)</v>
      </c>
      <c r="AG514" s="1200"/>
      <c r="AH514" s="1196"/>
      <c r="AI514" s="1208"/>
      <c r="AJ514" s="1196"/>
      <c r="AK514" s="1208"/>
      <c r="AL514" s="1236">
        <v>519.1</v>
      </c>
      <c r="AM514" s="1236">
        <v>49833.6</v>
      </c>
      <c r="AN514" s="1245"/>
      <c r="AO514" s="1203"/>
      <c r="AP514" s="1203"/>
      <c r="AQ514" s="1238" t="s">
        <v>1360</v>
      </c>
      <c r="AR514" s="1239">
        <v>45674</v>
      </c>
      <c r="AS514" s="1213" t="s">
        <v>1361</v>
      </c>
      <c r="AT514" s="1214">
        <v>45687</v>
      </c>
      <c r="AU514" s="1221"/>
      <c r="AV514" s="1197" t="s">
        <v>59</v>
      </c>
      <c r="AW514" s="1232" t="s">
        <v>873</v>
      </c>
      <c r="AX514" s="1223"/>
      <c r="AY514" s="1251"/>
      <c r="AZ514" s="1251"/>
    </row>
    <row r="515" ht="135" customHeight="1" spans="1:52">
      <c r="A515" s="1196">
        <v>30</v>
      </c>
      <c r="B515" s="1196">
        <v>5806320000</v>
      </c>
      <c r="C515" s="1196">
        <v>580632</v>
      </c>
      <c r="D515" s="1196" t="s">
        <v>1363</v>
      </c>
      <c r="E515" s="1196" t="s">
        <v>1440</v>
      </c>
      <c r="F515" s="1196" t="s">
        <v>1441</v>
      </c>
      <c r="G515" s="1196"/>
      <c r="H515" s="1196">
        <v>1</v>
      </c>
      <c r="I515" s="1197" t="s">
        <v>123</v>
      </c>
      <c r="J515" s="1236">
        <v>120</v>
      </c>
      <c r="K515" s="1213">
        <v>30000</v>
      </c>
      <c r="L515" s="1213" t="s">
        <v>254</v>
      </c>
      <c r="M515" s="1200"/>
      <c r="N515" s="1201"/>
      <c r="O515" s="1200"/>
      <c r="P515" s="1198">
        <v>112.04</v>
      </c>
      <c r="Q515" s="1198">
        <v>13444.8</v>
      </c>
      <c r="R515" s="1202"/>
      <c r="S515" s="1203"/>
      <c r="T515" s="1198">
        <v>134.98</v>
      </c>
      <c r="U515" s="1203"/>
      <c r="V515" s="1202">
        <v>120</v>
      </c>
      <c r="W515" s="1237">
        <v>7</v>
      </c>
      <c r="X515" s="1255">
        <v>102.103</v>
      </c>
      <c r="Y515" s="1200">
        <v>2</v>
      </c>
      <c r="Z515" s="1213">
        <v>15000</v>
      </c>
      <c r="AA515" s="1203"/>
      <c r="AB515" s="1203"/>
      <c r="AC515" s="1203"/>
      <c r="AD515" s="1206">
        <v>0.140916595301368</v>
      </c>
      <c r="AE515" s="1202">
        <v>0.28</v>
      </c>
      <c r="AF515" s="1256" t="str">
        <f>_xlfn.DISPIMG("ID_D574A91F70E2446CA10067E05518E1A5",1)</f>
        <v>=DISPIMG("ID_D574A91F70E2446CA10067E05518E1A5",1)</v>
      </c>
      <c r="AG515" s="1200"/>
      <c r="AH515" s="1196"/>
      <c r="AI515" s="1208"/>
      <c r="AJ515" s="1196"/>
      <c r="AK515" s="1208"/>
      <c r="AL515" s="1236">
        <v>112.04</v>
      </c>
      <c r="AM515" s="1236">
        <v>13444.8</v>
      </c>
      <c r="AN515" s="1245"/>
      <c r="AO515" s="1203"/>
      <c r="AP515" s="1203"/>
      <c r="AQ515" s="1238" t="s">
        <v>1360</v>
      </c>
      <c r="AR515" s="1239">
        <v>45674</v>
      </c>
      <c r="AS515" s="1213" t="s">
        <v>1361</v>
      </c>
      <c r="AT515" s="1214">
        <v>45687</v>
      </c>
      <c r="AU515" s="1221"/>
      <c r="AV515" s="1197" t="s">
        <v>59</v>
      </c>
      <c r="AW515" s="1232" t="s">
        <v>873</v>
      </c>
      <c r="AX515" s="1223"/>
      <c r="AY515" s="1251"/>
      <c r="AZ515" s="1251"/>
    </row>
    <row r="516" ht="135" customHeight="1" spans="1:52">
      <c r="A516" s="1196">
        <v>31</v>
      </c>
      <c r="B516" s="1196">
        <v>5806320000</v>
      </c>
      <c r="C516" s="1196">
        <v>580632</v>
      </c>
      <c r="D516" s="1196" t="s">
        <v>1363</v>
      </c>
      <c r="E516" s="1196" t="s">
        <v>1442</v>
      </c>
      <c r="F516" s="1196" t="s">
        <v>1443</v>
      </c>
      <c r="G516" s="1196"/>
      <c r="H516" s="1196">
        <v>1</v>
      </c>
      <c r="I516" s="1197" t="s">
        <v>123</v>
      </c>
      <c r="J516" s="1236">
        <v>24</v>
      </c>
      <c r="K516" s="1213">
        <v>30000</v>
      </c>
      <c r="L516" s="1213" t="s">
        <v>254</v>
      </c>
      <c r="M516" s="1200"/>
      <c r="N516" s="1201"/>
      <c r="O516" s="1200"/>
      <c r="P516" s="1198">
        <v>119.52</v>
      </c>
      <c r="Q516" s="1198">
        <v>2868.48</v>
      </c>
      <c r="R516" s="1202"/>
      <c r="S516" s="1203"/>
      <c r="T516" s="1198">
        <v>26.49</v>
      </c>
      <c r="U516" s="1203"/>
      <c r="V516" s="1202">
        <v>24</v>
      </c>
      <c r="W516" s="1237">
        <v>10</v>
      </c>
      <c r="X516" s="1255">
        <v>159</v>
      </c>
      <c r="Y516" s="1200">
        <v>1</v>
      </c>
      <c r="Z516" s="1213">
        <v>30000</v>
      </c>
      <c r="AA516" s="1203"/>
      <c r="AB516" s="1203"/>
      <c r="AC516" s="1203"/>
      <c r="AD516" s="1206">
        <v>0.140916595301368</v>
      </c>
      <c r="AE516" s="1202">
        <v>0.14</v>
      </c>
      <c r="AF516" s="1256" t="str">
        <f>_xlfn.DISPIMG("ID_2CCCD858377E42A0A25978E243E40783",1)</f>
        <v>=DISPIMG("ID_2CCCD858377E42A0A25978E243E40783",1)</v>
      </c>
      <c r="AG516" s="1200"/>
      <c r="AH516" s="1196"/>
      <c r="AI516" s="1208"/>
      <c r="AJ516" s="1196"/>
      <c r="AK516" s="1208"/>
      <c r="AL516" s="1236">
        <v>119.52</v>
      </c>
      <c r="AM516" s="1236">
        <v>2868.48</v>
      </c>
      <c r="AN516" s="1245"/>
      <c r="AO516" s="1203"/>
      <c r="AP516" s="1203"/>
      <c r="AQ516" s="1238" t="s">
        <v>1360</v>
      </c>
      <c r="AR516" s="1239">
        <v>45674</v>
      </c>
      <c r="AS516" s="1213" t="s">
        <v>1361</v>
      </c>
      <c r="AT516" s="1214">
        <v>45687</v>
      </c>
      <c r="AU516" s="1221"/>
      <c r="AV516" s="1197" t="s">
        <v>59</v>
      </c>
      <c r="AW516" s="1232" t="s">
        <v>873</v>
      </c>
      <c r="AX516" s="1223"/>
      <c r="AY516" s="1251"/>
      <c r="AZ516" s="1251"/>
    </row>
    <row r="517" ht="135" customHeight="1" spans="1:52">
      <c r="A517" s="1196">
        <v>32</v>
      </c>
      <c r="B517" s="1196">
        <v>5808100090</v>
      </c>
      <c r="C517" s="1196">
        <v>961210</v>
      </c>
      <c r="D517" s="1196" t="s">
        <v>1363</v>
      </c>
      <c r="E517" s="1196" t="s">
        <v>1444</v>
      </c>
      <c r="F517" s="1196" t="s">
        <v>1445</v>
      </c>
      <c r="G517" s="1196"/>
      <c r="H517" s="1196" t="s">
        <v>1446</v>
      </c>
      <c r="I517" s="1197" t="s">
        <v>123</v>
      </c>
      <c r="J517" s="1236">
        <v>16.2</v>
      </c>
      <c r="K517" s="1213">
        <v>18000</v>
      </c>
      <c r="L517" s="1213" t="s">
        <v>254</v>
      </c>
      <c r="M517" s="1200"/>
      <c r="N517" s="1201"/>
      <c r="O517" s="1200"/>
      <c r="P517" s="1198">
        <v>430</v>
      </c>
      <c r="Q517" s="1198">
        <v>6966</v>
      </c>
      <c r="R517" s="1202"/>
      <c r="S517" s="1203"/>
      <c r="T517" s="1198">
        <v>23.16</v>
      </c>
      <c r="U517" s="1203"/>
      <c r="V517" s="1202">
        <v>16.2</v>
      </c>
      <c r="W517" s="1237">
        <v>10</v>
      </c>
      <c r="X517" s="1255" t="s">
        <v>1447</v>
      </c>
      <c r="Y517" s="1200">
        <v>4</v>
      </c>
      <c r="Z517" s="1213">
        <v>7500</v>
      </c>
      <c r="AA517" s="1203"/>
      <c r="AB517" s="1203"/>
      <c r="AC517" s="1203"/>
      <c r="AD517" s="1206">
        <v>0.140916595301368</v>
      </c>
      <c r="AE517" s="1202">
        <v>0.56</v>
      </c>
      <c r="AF517" s="1256" t="str">
        <f>_xlfn.DISPIMG("ID_C4431656CB8C4B6181103E6914E8927A",1)</f>
        <v>=DISPIMG("ID_C4431656CB8C4B6181103E6914E8927A",1)</v>
      </c>
      <c r="AG517" s="1200"/>
      <c r="AH517" s="1196"/>
      <c r="AI517" s="1208"/>
      <c r="AJ517" s="1196"/>
      <c r="AK517" s="1208"/>
      <c r="AL517" s="1236">
        <v>430</v>
      </c>
      <c r="AM517" s="1236">
        <v>6966</v>
      </c>
      <c r="AN517" s="1245"/>
      <c r="AO517" s="1203"/>
      <c r="AP517" s="1203"/>
      <c r="AQ517" s="1238" t="s">
        <v>1360</v>
      </c>
      <c r="AR517" s="1239">
        <v>45674</v>
      </c>
      <c r="AS517" s="1213" t="s">
        <v>1361</v>
      </c>
      <c r="AT517" s="1214">
        <v>45687</v>
      </c>
      <c r="AU517" s="1221"/>
      <c r="AV517" s="1197" t="s">
        <v>59</v>
      </c>
      <c r="AW517" s="1232" t="s">
        <v>873</v>
      </c>
      <c r="AX517" s="1223"/>
      <c r="AY517" s="1251"/>
      <c r="AZ517" s="1251"/>
    </row>
    <row r="518" ht="135" customHeight="1" spans="1:52">
      <c r="A518" s="1196">
        <v>33</v>
      </c>
      <c r="B518" s="1196">
        <v>5806320000</v>
      </c>
      <c r="C518" s="1196">
        <v>580632</v>
      </c>
      <c r="D518" s="1196" t="s">
        <v>1370</v>
      </c>
      <c r="E518" s="1196" t="s">
        <v>1448</v>
      </c>
      <c r="F518" s="1196" t="s">
        <v>1449</v>
      </c>
      <c r="G518" s="1196"/>
      <c r="H518" s="1196">
        <v>1</v>
      </c>
      <c r="I518" s="1197" t="s">
        <v>123</v>
      </c>
      <c r="J518" s="1236">
        <v>267</v>
      </c>
      <c r="K518" s="1213">
        <v>30000</v>
      </c>
      <c r="L518" s="1213" t="s">
        <v>254</v>
      </c>
      <c r="M518" s="1200"/>
      <c r="N518" s="1201"/>
      <c r="O518" s="1200"/>
      <c r="P518" s="1198">
        <v>157.27</v>
      </c>
      <c r="Q518" s="1198">
        <v>41991.09</v>
      </c>
      <c r="R518" s="1202"/>
      <c r="S518" s="1203"/>
      <c r="T518" s="1198">
        <v>289.35</v>
      </c>
      <c r="U518" s="1203"/>
      <c r="V518" s="1202">
        <v>267</v>
      </c>
      <c r="W518" s="1237" t="s">
        <v>1450</v>
      </c>
      <c r="X518" s="1255" t="s">
        <v>1451</v>
      </c>
      <c r="Y518" s="1200">
        <v>15</v>
      </c>
      <c r="Z518" s="1213">
        <v>2000</v>
      </c>
      <c r="AA518" s="1203"/>
      <c r="AB518" s="1203"/>
      <c r="AC518" s="1203"/>
      <c r="AD518" s="1206">
        <v>0.140916595301368</v>
      </c>
      <c r="AE518" s="1202">
        <v>2.11</v>
      </c>
      <c r="AF518" s="1256" t="str">
        <f>_xlfn.DISPIMG("ID_45364533C26B46968A54398C9549EB43",1)</f>
        <v>=DISPIMG("ID_45364533C26B46968A54398C9549EB43",1)</v>
      </c>
      <c r="AG518" s="1200"/>
      <c r="AH518" s="1196"/>
      <c r="AI518" s="1208"/>
      <c r="AJ518" s="1196"/>
      <c r="AK518" s="1208"/>
      <c r="AL518" s="1236">
        <v>157.27</v>
      </c>
      <c r="AM518" s="1236">
        <v>41991.09</v>
      </c>
      <c r="AN518" s="1245"/>
      <c r="AO518" s="1203"/>
      <c r="AP518" s="1203"/>
      <c r="AQ518" s="1238" t="s">
        <v>1360</v>
      </c>
      <c r="AR518" s="1239">
        <v>45674</v>
      </c>
      <c r="AS518" s="1213" t="s">
        <v>1361</v>
      </c>
      <c r="AT518" s="1214">
        <v>45687</v>
      </c>
      <c r="AU518" s="1221"/>
      <c r="AV518" s="1197" t="s">
        <v>59</v>
      </c>
      <c r="AW518" s="1232" t="s">
        <v>873</v>
      </c>
      <c r="AX518" s="1223"/>
      <c r="AY518" s="1251"/>
      <c r="AZ518" s="1251"/>
    </row>
    <row r="519" ht="135" customHeight="1" spans="1:52">
      <c r="A519" s="1196">
        <v>34</v>
      </c>
      <c r="B519" s="1196">
        <v>5806320000</v>
      </c>
      <c r="C519" s="1196">
        <v>580632</v>
      </c>
      <c r="D519" s="1196" t="s">
        <v>1370</v>
      </c>
      <c r="E519" s="1196" t="s">
        <v>1452</v>
      </c>
      <c r="F519" s="1196" t="s">
        <v>1453</v>
      </c>
      <c r="G519" s="1196"/>
      <c r="H519" s="1196">
        <v>2</v>
      </c>
      <c r="I519" s="1197" t="s">
        <v>123</v>
      </c>
      <c r="J519" s="1236">
        <v>222</v>
      </c>
      <c r="K519" s="1213">
        <v>60000</v>
      </c>
      <c r="L519" s="1213" t="s">
        <v>254</v>
      </c>
      <c r="M519" s="1200"/>
      <c r="N519" s="1201"/>
      <c r="O519" s="1200"/>
      <c r="P519" s="1198">
        <v>80.47</v>
      </c>
      <c r="Q519" s="1198">
        <v>17864.34</v>
      </c>
      <c r="R519" s="1202"/>
      <c r="S519" s="1203"/>
      <c r="T519" s="1198">
        <v>245.84</v>
      </c>
      <c r="U519" s="1203"/>
      <c r="V519" s="1202">
        <v>222</v>
      </c>
      <c r="W519" s="1237">
        <v>5</v>
      </c>
      <c r="X519" s="1255" t="s">
        <v>1454</v>
      </c>
      <c r="Y519" s="1200">
        <v>16</v>
      </c>
      <c r="Z519" s="1213">
        <v>3750</v>
      </c>
      <c r="AA519" s="1203"/>
      <c r="AB519" s="1203"/>
      <c r="AC519" s="1203"/>
      <c r="AD519" s="1206">
        <v>0.140916595301368</v>
      </c>
      <c r="AE519" s="1202">
        <v>2.25</v>
      </c>
      <c r="AF519" s="1256" t="str">
        <f>_xlfn.DISPIMG("ID_B2A3041367094463BEC645D470B37463",1)</f>
        <v>=DISPIMG("ID_B2A3041367094463BEC645D470B37463",1)</v>
      </c>
      <c r="AG519" s="1200"/>
      <c r="AH519" s="1196"/>
      <c r="AI519" s="1208"/>
      <c r="AJ519" s="1196"/>
      <c r="AK519" s="1208"/>
      <c r="AL519" s="1236">
        <v>80.47</v>
      </c>
      <c r="AM519" s="1236">
        <v>17864.34</v>
      </c>
      <c r="AN519" s="1245"/>
      <c r="AO519" s="1203"/>
      <c r="AP519" s="1203"/>
      <c r="AQ519" s="1238" t="s">
        <v>1360</v>
      </c>
      <c r="AR519" s="1239">
        <v>45674</v>
      </c>
      <c r="AS519" s="1213" t="s">
        <v>1361</v>
      </c>
      <c r="AT519" s="1214">
        <v>45687</v>
      </c>
      <c r="AU519" s="1221"/>
      <c r="AV519" s="1197" t="s">
        <v>59</v>
      </c>
      <c r="AW519" s="1232" t="s">
        <v>873</v>
      </c>
      <c r="AX519" s="1223"/>
      <c r="AY519" s="1251"/>
      <c r="AZ519" s="1251"/>
    </row>
    <row r="520" ht="135" customHeight="1" spans="1:52">
      <c r="A520" s="1196">
        <v>35</v>
      </c>
      <c r="B520" s="1196">
        <v>5806320000</v>
      </c>
      <c r="C520" s="1196">
        <v>580632</v>
      </c>
      <c r="D520" s="1196" t="s">
        <v>1370</v>
      </c>
      <c r="E520" s="1196" t="s">
        <v>1455</v>
      </c>
      <c r="F520" s="1196" t="s">
        <v>1456</v>
      </c>
      <c r="G520" s="1196"/>
      <c r="H520" s="1196">
        <v>1</v>
      </c>
      <c r="I520" s="1197" t="s">
        <v>123</v>
      </c>
      <c r="J520" s="1236">
        <v>69</v>
      </c>
      <c r="K520" s="1213">
        <v>30000</v>
      </c>
      <c r="L520" s="1213" t="s">
        <v>254</v>
      </c>
      <c r="M520" s="1200"/>
      <c r="N520" s="1201"/>
      <c r="O520" s="1200"/>
      <c r="P520" s="1198">
        <v>39.64</v>
      </c>
      <c r="Q520" s="1198">
        <v>2735.16</v>
      </c>
      <c r="R520" s="1202"/>
      <c r="S520" s="1203"/>
      <c r="T520" s="1198">
        <v>76.88</v>
      </c>
      <c r="U520" s="1203"/>
      <c r="V520" s="1202">
        <v>69</v>
      </c>
      <c r="W520" s="1237">
        <v>6</v>
      </c>
      <c r="X520" s="1255" t="s">
        <v>1457</v>
      </c>
      <c r="Y520" s="1200">
        <v>4</v>
      </c>
      <c r="Z520" s="1213">
        <v>7500</v>
      </c>
      <c r="AA520" s="1203"/>
      <c r="AB520" s="1203"/>
      <c r="AC520" s="1203"/>
      <c r="AD520" s="1206">
        <v>0.140916595301368</v>
      </c>
      <c r="AE520" s="1202">
        <v>0.56</v>
      </c>
      <c r="AF520" s="1256" t="str">
        <f>_xlfn.DISPIMG("ID_E64CC708380C4B1793778C455B441C74",1)</f>
        <v>=DISPIMG("ID_E64CC708380C4B1793778C455B441C74",1)</v>
      </c>
      <c r="AG520" s="1200"/>
      <c r="AH520" s="1200" t="s">
        <v>1458</v>
      </c>
      <c r="AI520" s="1201">
        <v>45635</v>
      </c>
      <c r="AJ520" s="1200" t="s">
        <v>1459</v>
      </c>
      <c r="AK520" s="1201">
        <v>45635</v>
      </c>
      <c r="AL520" s="1236">
        <v>39.64</v>
      </c>
      <c r="AM520" s="1236">
        <v>2735.16</v>
      </c>
      <c r="AN520" s="1210">
        <v>43243.77</v>
      </c>
      <c r="AO520" s="1203"/>
      <c r="AP520" s="1203"/>
      <c r="AQ520" s="1238" t="s">
        <v>1360</v>
      </c>
      <c r="AR520" s="1239">
        <v>45674</v>
      </c>
      <c r="AS520" s="1213" t="s">
        <v>1361</v>
      </c>
      <c r="AT520" s="1214">
        <v>45687</v>
      </c>
      <c r="AU520" s="1221"/>
      <c r="AV520" s="1197" t="s">
        <v>59</v>
      </c>
      <c r="AW520" s="1232" t="s">
        <v>873</v>
      </c>
      <c r="AX520" s="1223"/>
      <c r="AY520" s="1251"/>
      <c r="AZ520" s="1251"/>
    </row>
    <row r="521" ht="135" customHeight="1" spans="1:52">
      <c r="A521" s="1196">
        <v>36</v>
      </c>
      <c r="B521" s="1196">
        <v>5806320000</v>
      </c>
      <c r="C521" s="1196">
        <v>580632</v>
      </c>
      <c r="D521" s="1196" t="s">
        <v>1370</v>
      </c>
      <c r="E521" s="1196" t="s">
        <v>1460</v>
      </c>
      <c r="F521" s="1196" t="s">
        <v>1461</v>
      </c>
      <c r="G521" s="1196"/>
      <c r="H521" s="1196">
        <v>2</v>
      </c>
      <c r="I521" s="1197" t="s">
        <v>123</v>
      </c>
      <c r="J521" s="1236">
        <v>24</v>
      </c>
      <c r="K521" s="1213">
        <v>60000</v>
      </c>
      <c r="L521" s="1213" t="s">
        <v>254</v>
      </c>
      <c r="M521" s="1200"/>
      <c r="N521" s="1201"/>
      <c r="O521" s="1200"/>
      <c r="P521" s="1198">
        <v>109.91</v>
      </c>
      <c r="Q521" s="1198">
        <v>2637.84</v>
      </c>
      <c r="R521" s="1202"/>
      <c r="S521" s="1203"/>
      <c r="T521" s="1198">
        <v>26.98</v>
      </c>
      <c r="U521" s="1203"/>
      <c r="V521" s="1202">
        <v>24</v>
      </c>
      <c r="W521" s="1237">
        <v>6</v>
      </c>
      <c r="X521" s="1255">
        <v>81.82</v>
      </c>
      <c r="Y521" s="1200">
        <v>2</v>
      </c>
      <c r="Z521" s="1213">
        <v>30000</v>
      </c>
      <c r="AA521" s="1203"/>
      <c r="AB521" s="1203"/>
      <c r="AC521" s="1203"/>
      <c r="AD521" s="1206">
        <v>0.140916595301368</v>
      </c>
      <c r="AE521" s="1202">
        <v>0.28</v>
      </c>
      <c r="AF521" s="1256" t="str">
        <f>_xlfn.DISPIMG("ID_790FD60780AE44FD9B3B167D44919275",1)</f>
        <v>=DISPIMG("ID_790FD60780AE44FD9B3B167D44919275",1)</v>
      </c>
      <c r="AG521" s="1200"/>
      <c r="AH521" s="1200"/>
      <c r="AI521" s="1201"/>
      <c r="AJ521" s="1200"/>
      <c r="AK521" s="1201"/>
      <c r="AL521" s="1236">
        <v>109.91</v>
      </c>
      <c r="AM521" s="1236">
        <v>2637.84</v>
      </c>
      <c r="AN521" s="1210"/>
      <c r="AO521" s="1203"/>
      <c r="AP521" s="1203"/>
      <c r="AQ521" s="1238" t="s">
        <v>1360</v>
      </c>
      <c r="AR521" s="1239">
        <v>45674</v>
      </c>
      <c r="AS521" s="1213" t="s">
        <v>1361</v>
      </c>
      <c r="AT521" s="1214">
        <v>45687</v>
      </c>
      <c r="AU521" s="1221"/>
      <c r="AV521" s="1197" t="s">
        <v>59</v>
      </c>
      <c r="AW521" s="1232" t="s">
        <v>873</v>
      </c>
      <c r="AX521" s="1223"/>
      <c r="AY521" s="1251"/>
      <c r="AZ521" s="1251"/>
    </row>
    <row r="522" ht="135" customHeight="1" spans="1:52">
      <c r="A522" s="1196">
        <v>37</v>
      </c>
      <c r="B522" s="1196">
        <v>5806320000</v>
      </c>
      <c r="C522" s="1196">
        <v>580632</v>
      </c>
      <c r="D522" s="1196" t="s">
        <v>1370</v>
      </c>
      <c r="E522" s="1196" t="s">
        <v>1462</v>
      </c>
      <c r="F522" s="1196" t="s">
        <v>1463</v>
      </c>
      <c r="G522" s="1196"/>
      <c r="H522" s="1196">
        <v>2</v>
      </c>
      <c r="I522" s="1197" t="s">
        <v>123</v>
      </c>
      <c r="J522" s="1236">
        <v>66</v>
      </c>
      <c r="K522" s="1213">
        <v>60000</v>
      </c>
      <c r="L522" s="1213" t="s">
        <v>254</v>
      </c>
      <c r="M522" s="1200"/>
      <c r="N522" s="1201"/>
      <c r="O522" s="1200"/>
      <c r="P522" s="1198">
        <v>169.09</v>
      </c>
      <c r="Q522" s="1198">
        <v>11159.94</v>
      </c>
      <c r="R522" s="1202"/>
      <c r="S522" s="1203"/>
      <c r="T522" s="1198">
        <v>71.96</v>
      </c>
      <c r="U522" s="1203"/>
      <c r="V522" s="1202">
        <v>66</v>
      </c>
      <c r="W522" s="1237">
        <v>6</v>
      </c>
      <c r="X522" s="1255" t="s">
        <v>1464</v>
      </c>
      <c r="Y522" s="1200">
        <v>4</v>
      </c>
      <c r="Z522" s="1213">
        <v>15000</v>
      </c>
      <c r="AA522" s="1203"/>
      <c r="AB522" s="1203"/>
      <c r="AC522" s="1203"/>
      <c r="AD522" s="1206">
        <v>0.140916595301368</v>
      </c>
      <c r="AE522" s="1202">
        <v>0.56</v>
      </c>
      <c r="AF522" s="1256" t="str">
        <f>_xlfn.DISPIMG("ID_267A6B37596D41F29A74CB9513200884",1)</f>
        <v>=DISPIMG("ID_267A6B37596D41F29A74CB9513200884",1)</v>
      </c>
      <c r="AG522" s="1200"/>
      <c r="AH522" s="1200"/>
      <c r="AI522" s="1201"/>
      <c r="AJ522" s="1200"/>
      <c r="AK522" s="1201"/>
      <c r="AL522" s="1236">
        <v>169.09</v>
      </c>
      <c r="AM522" s="1236">
        <v>11159.94</v>
      </c>
      <c r="AN522" s="1210"/>
      <c r="AO522" s="1203"/>
      <c r="AP522" s="1203"/>
      <c r="AQ522" s="1238" t="s">
        <v>1360</v>
      </c>
      <c r="AR522" s="1239">
        <v>45674</v>
      </c>
      <c r="AS522" s="1213" t="s">
        <v>1361</v>
      </c>
      <c r="AT522" s="1214">
        <v>45687</v>
      </c>
      <c r="AU522" s="1221"/>
      <c r="AV522" s="1197" t="s">
        <v>59</v>
      </c>
      <c r="AW522" s="1232" t="s">
        <v>873</v>
      </c>
      <c r="AX522" s="1223"/>
      <c r="AY522" s="1251"/>
      <c r="AZ522" s="1251"/>
    </row>
    <row r="523" ht="135" customHeight="1" spans="1:52">
      <c r="A523" s="1196">
        <v>38</v>
      </c>
      <c r="B523" s="1196">
        <v>5806320000</v>
      </c>
      <c r="C523" s="1196">
        <v>580632</v>
      </c>
      <c r="D523" s="1196" t="s">
        <v>1370</v>
      </c>
      <c r="E523" s="1196" t="s">
        <v>1465</v>
      </c>
      <c r="F523" s="1196" t="s">
        <v>1466</v>
      </c>
      <c r="G523" s="1196"/>
      <c r="H523" s="1196">
        <v>2</v>
      </c>
      <c r="I523" s="1197" t="s">
        <v>123</v>
      </c>
      <c r="J523" s="1236">
        <v>102</v>
      </c>
      <c r="K523" s="1213">
        <v>60000</v>
      </c>
      <c r="L523" s="1213" t="s">
        <v>254</v>
      </c>
      <c r="M523" s="1200"/>
      <c r="N523" s="1201"/>
      <c r="O523" s="1200"/>
      <c r="P523" s="1198">
        <v>123.23</v>
      </c>
      <c r="Q523" s="1198">
        <v>12569.46</v>
      </c>
      <c r="R523" s="1202"/>
      <c r="S523" s="1203"/>
      <c r="T523" s="1198">
        <v>115.96</v>
      </c>
      <c r="U523" s="1203"/>
      <c r="V523" s="1202">
        <v>102</v>
      </c>
      <c r="W523" s="1237">
        <v>4</v>
      </c>
      <c r="X523" s="1255" t="s">
        <v>1467</v>
      </c>
      <c r="Y523" s="1200">
        <v>4</v>
      </c>
      <c r="Z523" s="1213">
        <v>15000</v>
      </c>
      <c r="AA523" s="1203"/>
      <c r="AB523" s="1203"/>
      <c r="AC523" s="1203"/>
      <c r="AD523" s="1206">
        <v>0.140916595301368</v>
      </c>
      <c r="AE523" s="1202">
        <v>0.56</v>
      </c>
      <c r="AF523" s="1256" t="str">
        <f>_xlfn.DISPIMG("ID_BBD8417616BA4911BB03B940C81684C0",1)</f>
        <v>=DISPIMG("ID_BBD8417616BA4911BB03B940C81684C0",1)</v>
      </c>
      <c r="AG523" s="1200"/>
      <c r="AH523" s="1200"/>
      <c r="AI523" s="1201"/>
      <c r="AJ523" s="1200"/>
      <c r="AK523" s="1201"/>
      <c r="AL523" s="1236">
        <v>123.23</v>
      </c>
      <c r="AM523" s="1236">
        <v>12569.46</v>
      </c>
      <c r="AN523" s="1210"/>
      <c r="AO523" s="1203"/>
      <c r="AP523" s="1203"/>
      <c r="AQ523" s="1238" t="s">
        <v>1360</v>
      </c>
      <c r="AR523" s="1239">
        <v>45674</v>
      </c>
      <c r="AS523" s="1213" t="s">
        <v>1361</v>
      </c>
      <c r="AT523" s="1214">
        <v>45687</v>
      </c>
      <c r="AU523" s="1221"/>
      <c r="AV523" s="1197" t="s">
        <v>59</v>
      </c>
      <c r="AW523" s="1232" t="s">
        <v>873</v>
      </c>
      <c r="AX523" s="1223"/>
      <c r="AY523" s="1251"/>
      <c r="AZ523" s="1251"/>
    </row>
    <row r="524" ht="135" customHeight="1" spans="1:52">
      <c r="A524" s="1196">
        <v>39</v>
      </c>
      <c r="B524" s="1196">
        <v>5806320000</v>
      </c>
      <c r="C524" s="1196">
        <v>580632</v>
      </c>
      <c r="D524" s="1196" t="s">
        <v>1370</v>
      </c>
      <c r="E524" s="1196" t="s">
        <v>1468</v>
      </c>
      <c r="F524" s="1196" t="s">
        <v>1469</v>
      </c>
      <c r="G524" s="1196"/>
      <c r="H524" s="1196">
        <v>1</v>
      </c>
      <c r="I524" s="1197" t="s">
        <v>123</v>
      </c>
      <c r="J524" s="1236">
        <v>120</v>
      </c>
      <c r="K524" s="1213">
        <v>30000</v>
      </c>
      <c r="L524" s="1213" t="s">
        <v>254</v>
      </c>
      <c r="M524" s="1200"/>
      <c r="N524" s="1201"/>
      <c r="O524" s="1200"/>
      <c r="P524" s="1198">
        <v>90.74</v>
      </c>
      <c r="Q524" s="1198">
        <v>10888.8</v>
      </c>
      <c r="R524" s="1202"/>
      <c r="S524" s="1203"/>
      <c r="T524" s="1198">
        <v>134.98</v>
      </c>
      <c r="U524" s="1203"/>
      <c r="V524" s="1202">
        <v>120</v>
      </c>
      <c r="W524" s="1237">
        <v>6</v>
      </c>
      <c r="X524" s="1255">
        <v>84.85</v>
      </c>
      <c r="Y524" s="1200">
        <v>2</v>
      </c>
      <c r="Z524" s="1213">
        <v>15000</v>
      </c>
      <c r="AA524" s="1203"/>
      <c r="AB524" s="1203"/>
      <c r="AC524" s="1203"/>
      <c r="AD524" s="1206">
        <v>0.140916595301368</v>
      </c>
      <c r="AE524" s="1202">
        <v>0.28</v>
      </c>
      <c r="AF524" s="1230" t="str">
        <f>_xlfn.DISPIMG("ID_AFB2A57EAD73446B9B0CBB697B84F7D1",1)</f>
        <v>=DISPIMG("ID_AFB2A57EAD73446B9B0CBB697B84F7D1",1)</v>
      </c>
      <c r="AG524" s="1200"/>
      <c r="AH524" s="1200"/>
      <c r="AI524" s="1201"/>
      <c r="AJ524" s="1200"/>
      <c r="AK524" s="1201"/>
      <c r="AL524" s="1236">
        <v>90.74</v>
      </c>
      <c r="AM524" s="1236">
        <v>10888.8</v>
      </c>
      <c r="AN524" s="1210"/>
      <c r="AO524" s="1203"/>
      <c r="AP524" s="1203"/>
      <c r="AQ524" s="1238" t="s">
        <v>1360</v>
      </c>
      <c r="AR524" s="1239">
        <v>45674</v>
      </c>
      <c r="AS524" s="1213" t="s">
        <v>1361</v>
      </c>
      <c r="AT524" s="1214">
        <v>45687</v>
      </c>
      <c r="AU524" s="1221"/>
      <c r="AV524" s="1197" t="s">
        <v>59</v>
      </c>
      <c r="AW524" s="1232" t="s">
        <v>873</v>
      </c>
      <c r="AX524" s="1223"/>
      <c r="AY524" s="1251"/>
      <c r="AZ524" s="1251"/>
    </row>
    <row r="525" ht="135" customHeight="1" spans="1:52">
      <c r="A525" s="1196">
        <v>40</v>
      </c>
      <c r="B525" s="1196">
        <v>5806320000</v>
      </c>
      <c r="C525" s="1196">
        <v>580632</v>
      </c>
      <c r="D525" s="1196" t="s">
        <v>1370</v>
      </c>
      <c r="E525" s="1196" t="s">
        <v>1442</v>
      </c>
      <c r="F525" s="1196" t="s">
        <v>1470</v>
      </c>
      <c r="G525" s="1196"/>
      <c r="H525" s="1196">
        <v>1</v>
      </c>
      <c r="I525" s="1197" t="s">
        <v>123</v>
      </c>
      <c r="J525" s="1236">
        <v>23.4</v>
      </c>
      <c r="K525" s="1213">
        <v>30000</v>
      </c>
      <c r="L525" s="1213" t="s">
        <v>254</v>
      </c>
      <c r="M525" s="1200"/>
      <c r="N525" s="1201"/>
      <c r="O525" s="1200"/>
      <c r="P525" s="1198">
        <v>104.05</v>
      </c>
      <c r="Q525" s="1198">
        <v>2434.77</v>
      </c>
      <c r="R525" s="1202"/>
      <c r="S525" s="1203"/>
      <c r="T525" s="1198">
        <v>24.89</v>
      </c>
      <c r="U525" s="1203"/>
      <c r="V525" s="1202">
        <v>23.4</v>
      </c>
      <c r="W525" s="1237">
        <v>6</v>
      </c>
      <c r="X525" s="1255">
        <v>94</v>
      </c>
      <c r="Y525" s="1200">
        <v>1</v>
      </c>
      <c r="Z525" s="1213">
        <v>30000</v>
      </c>
      <c r="AA525" s="1203"/>
      <c r="AB525" s="1203"/>
      <c r="AC525" s="1203"/>
      <c r="AD525" s="1206">
        <v>0.140916595301368</v>
      </c>
      <c r="AE525" s="1202">
        <v>0.14</v>
      </c>
      <c r="AF525" s="1225" t="str">
        <f>_xlfn.DISPIMG("ID_F7F5216666B54161A51FDAB8D14F4312",1)</f>
        <v>=DISPIMG("ID_F7F5216666B54161A51FDAB8D14F4312",1)</v>
      </c>
      <c r="AG525" s="1200"/>
      <c r="AH525" s="1200"/>
      <c r="AI525" s="1201"/>
      <c r="AJ525" s="1200"/>
      <c r="AK525" s="1201"/>
      <c r="AL525" s="1236">
        <v>104.05</v>
      </c>
      <c r="AM525" s="1236">
        <v>2434.77</v>
      </c>
      <c r="AN525" s="1210"/>
      <c r="AO525" s="1203"/>
      <c r="AP525" s="1203"/>
      <c r="AQ525" s="1238" t="s">
        <v>1360</v>
      </c>
      <c r="AR525" s="1239">
        <v>45674</v>
      </c>
      <c r="AS525" s="1213" t="s">
        <v>1361</v>
      </c>
      <c r="AT525" s="1214">
        <v>45687</v>
      </c>
      <c r="AU525" s="1221"/>
      <c r="AV525" s="1197" t="s">
        <v>59</v>
      </c>
      <c r="AW525" s="1232" t="s">
        <v>873</v>
      </c>
      <c r="AX525" s="1223"/>
      <c r="AY525" s="1251"/>
      <c r="AZ525" s="1251"/>
    </row>
    <row r="526" ht="135" customHeight="1" spans="1:52">
      <c r="A526" s="1196">
        <v>41</v>
      </c>
      <c r="B526" s="1196">
        <v>5806320000</v>
      </c>
      <c r="C526" s="1196">
        <v>580632</v>
      </c>
      <c r="D526" s="1196" t="s">
        <v>1370</v>
      </c>
      <c r="E526" s="1196" t="s">
        <v>1471</v>
      </c>
      <c r="F526" s="1196" t="s">
        <v>1472</v>
      </c>
      <c r="G526" s="1196"/>
      <c r="H526" s="1196">
        <v>1</v>
      </c>
      <c r="I526" s="1197" t="s">
        <v>123</v>
      </c>
      <c r="J526" s="1236">
        <v>14.1</v>
      </c>
      <c r="K526" s="1213">
        <v>30000</v>
      </c>
      <c r="L526" s="1213" t="s">
        <v>254</v>
      </c>
      <c r="M526" s="1200"/>
      <c r="N526" s="1201"/>
      <c r="O526" s="1200"/>
      <c r="P526" s="1198">
        <v>58</v>
      </c>
      <c r="Q526" s="1198">
        <v>817.8</v>
      </c>
      <c r="R526" s="1202"/>
      <c r="S526" s="1203"/>
      <c r="T526" s="1198">
        <v>15.59</v>
      </c>
      <c r="U526" s="1203"/>
      <c r="V526" s="1202">
        <v>14.1</v>
      </c>
      <c r="W526" s="1237">
        <v>6</v>
      </c>
      <c r="X526" s="1255">
        <v>83</v>
      </c>
      <c r="Y526" s="1200">
        <v>1</v>
      </c>
      <c r="Z526" s="1213">
        <v>30000</v>
      </c>
      <c r="AA526" s="1203"/>
      <c r="AB526" s="1203"/>
      <c r="AC526" s="1203"/>
      <c r="AD526" s="1206">
        <v>0.140916595301368</v>
      </c>
      <c r="AE526" s="1202">
        <v>0.14</v>
      </c>
      <c r="AF526" s="1230" t="str">
        <f>_xlfn.DISPIMG("ID_C1A5B255EC1C4FD09369A30B5BE7007B",1)</f>
        <v>=DISPIMG("ID_C1A5B255EC1C4FD09369A30B5BE7007B",1)</v>
      </c>
      <c r="AG526" s="1200"/>
      <c r="AH526" s="1200"/>
      <c r="AI526" s="1201"/>
      <c r="AJ526" s="1200"/>
      <c r="AK526" s="1201"/>
      <c r="AL526" s="1236">
        <v>58</v>
      </c>
      <c r="AM526" s="1236">
        <v>817.8</v>
      </c>
      <c r="AN526" s="1210"/>
      <c r="AO526" s="1203"/>
      <c r="AP526" s="1203"/>
      <c r="AQ526" s="1238" t="s">
        <v>1360</v>
      </c>
      <c r="AR526" s="1239">
        <v>45674</v>
      </c>
      <c r="AS526" s="1213" t="s">
        <v>1361</v>
      </c>
      <c r="AT526" s="1214">
        <v>45687</v>
      </c>
      <c r="AU526" s="1221"/>
      <c r="AV526" s="1197" t="s">
        <v>59</v>
      </c>
      <c r="AW526" s="1232" t="s">
        <v>873</v>
      </c>
      <c r="AX526" s="1223"/>
      <c r="AY526" s="1253"/>
      <c r="AZ526" s="1253"/>
    </row>
    <row r="527" ht="135" customHeight="1" spans="1:52">
      <c r="A527" s="804"/>
      <c r="B527" s="805"/>
      <c r="C527" s="805"/>
      <c r="D527" s="804"/>
      <c r="E527" s="804"/>
      <c r="F527" s="804"/>
      <c r="G527" s="804"/>
      <c r="H527" s="804"/>
      <c r="I527" s="805"/>
      <c r="J527" s="809"/>
      <c r="K527" s="810"/>
      <c r="L527" s="811"/>
      <c r="M527" s="810"/>
      <c r="N527" s="812"/>
      <c r="O527" s="810"/>
      <c r="P527" s="813"/>
      <c r="Q527" s="922">
        <v>368137.92</v>
      </c>
      <c r="R527" s="922">
        <v>368137.92</v>
      </c>
      <c r="T527" s="922">
        <v>2846.47</v>
      </c>
      <c r="V527" s="922">
        <v>2556.6</v>
      </c>
      <c r="W527" s="923"/>
      <c r="X527" s="810"/>
      <c r="Y527" s="922">
        <v>155</v>
      </c>
      <c r="Z527" s="810"/>
      <c r="AD527" s="816"/>
      <c r="AE527" s="922">
        <v>21.79</v>
      </c>
      <c r="AF527" s="1257"/>
      <c r="AG527" s="810"/>
      <c r="AH527" s="811"/>
      <c r="AI527" s="812"/>
      <c r="AJ527" s="810"/>
      <c r="AK527" s="812"/>
      <c r="AL527" s="809"/>
      <c r="AM527" s="922">
        <v>368137.92</v>
      </c>
      <c r="AN527" s="922">
        <v>368137.92</v>
      </c>
      <c r="AQ527" s="885"/>
      <c r="AR527" s="1244"/>
      <c r="AS527" s="1244"/>
      <c r="AT527" s="1244"/>
      <c r="AU527" s="1244"/>
      <c r="AV527" s="1244"/>
      <c r="AW527" s="1244"/>
      <c r="AX527" s="1223"/>
      <c r="AY527" s="820"/>
      <c r="AZ527" s="820"/>
    </row>
    <row r="528" ht="135" customHeight="1" spans="1:52">
      <c r="A528" s="1196">
        <v>42</v>
      </c>
      <c r="B528" s="1197">
        <v>9405390000</v>
      </c>
      <c r="C528" s="1197">
        <v>950510</v>
      </c>
      <c r="D528" s="1196" t="s">
        <v>1473</v>
      </c>
      <c r="E528" s="1196" t="s">
        <v>1474</v>
      </c>
      <c r="F528" s="1196" t="s">
        <v>1475</v>
      </c>
      <c r="G528" s="1196"/>
      <c r="H528" s="1196"/>
      <c r="I528" s="1197" t="s">
        <v>51</v>
      </c>
      <c r="J528" s="1234">
        <v>1000</v>
      </c>
      <c r="K528" s="1200">
        <v>1000</v>
      </c>
      <c r="L528" s="1213" t="s">
        <v>52</v>
      </c>
      <c r="M528" s="1200" t="s">
        <v>671</v>
      </c>
      <c r="N528" s="1201"/>
      <c r="O528" s="1200"/>
      <c r="P528" s="1258">
        <v>29.2</v>
      </c>
      <c r="Q528" s="1259">
        <v>29200</v>
      </c>
      <c r="R528" s="1202">
        <v>29200</v>
      </c>
      <c r="S528" s="1203"/>
      <c r="T528" s="1202">
        <v>235</v>
      </c>
      <c r="U528" s="1203"/>
      <c r="V528" s="1202">
        <v>176.2</v>
      </c>
      <c r="W528" s="1237" t="s">
        <v>1476</v>
      </c>
      <c r="X528" s="1199" t="s">
        <v>1477</v>
      </c>
      <c r="Y528" s="1234">
        <v>20</v>
      </c>
      <c r="Z528" s="1200">
        <v>50</v>
      </c>
      <c r="AA528" s="1203"/>
      <c r="AB528" s="1203"/>
      <c r="AC528" s="1203"/>
      <c r="AD528" s="1206">
        <v>0.0567114340452206</v>
      </c>
      <c r="AE528" s="1202">
        <v>1.13</v>
      </c>
      <c r="AF528" s="1225" t="str">
        <f>_xlfn.DISPIMG("ID_1D1E82BECD8B42F2ADC549BEDD40F755",1)</f>
        <v>=DISPIMG("ID_1D1E82BECD8B42F2ADC549BEDD40F755",1)</v>
      </c>
      <c r="AG528" s="1200" t="s">
        <v>1478</v>
      </c>
      <c r="AH528" s="1213" t="s">
        <v>1479</v>
      </c>
      <c r="AI528" s="1201">
        <v>45635</v>
      </c>
      <c r="AJ528" s="1200" t="s">
        <v>1480</v>
      </c>
      <c r="AK528" s="1201">
        <v>45635</v>
      </c>
      <c r="AL528" s="1259">
        <v>29.2</v>
      </c>
      <c r="AM528" s="1259">
        <v>29200</v>
      </c>
      <c r="AN528" s="1202">
        <v>29200</v>
      </c>
      <c r="AO528" s="1203"/>
      <c r="AP528" s="1203"/>
      <c r="AQ528" s="1238" t="s">
        <v>1360</v>
      </c>
      <c r="AR528" s="1239">
        <v>45674</v>
      </c>
      <c r="AS528" s="1197" t="s">
        <v>1481</v>
      </c>
      <c r="AT528" s="1214">
        <v>45687</v>
      </c>
      <c r="AU528" s="1221"/>
      <c r="AV528" s="1197" t="s">
        <v>59</v>
      </c>
      <c r="AW528" s="1213" t="s">
        <v>873</v>
      </c>
      <c r="AX528" s="1223"/>
      <c r="AY528" s="1260"/>
      <c r="AZ528" s="1261">
        <v>10970.25</v>
      </c>
    </row>
    <row r="529" ht="135" customHeight="1" spans="1:52">
      <c r="A529" s="804"/>
      <c r="B529" s="805"/>
      <c r="C529" s="805"/>
      <c r="D529" s="804"/>
      <c r="E529" s="804"/>
      <c r="F529" s="804"/>
      <c r="G529" s="804"/>
      <c r="H529" s="804"/>
      <c r="I529" s="805"/>
      <c r="J529" s="809"/>
      <c r="K529" s="810"/>
      <c r="L529" s="811"/>
      <c r="M529" s="810"/>
      <c r="N529" s="812"/>
      <c r="O529" s="810"/>
      <c r="P529" s="813"/>
      <c r="Q529" s="922">
        <v>29200</v>
      </c>
      <c r="R529" s="922">
        <v>29200</v>
      </c>
      <c r="T529" s="922">
        <v>235</v>
      </c>
      <c r="V529" s="922">
        <v>176.2</v>
      </c>
      <c r="W529" s="923"/>
      <c r="X529" s="810"/>
      <c r="Y529" s="922">
        <v>20</v>
      </c>
      <c r="Z529" s="810"/>
      <c r="AD529" s="816"/>
      <c r="AE529" s="922">
        <v>1.13</v>
      </c>
      <c r="AF529" s="874"/>
      <c r="AG529" s="810"/>
      <c r="AH529" s="811"/>
      <c r="AI529" s="812"/>
      <c r="AJ529" s="810"/>
      <c r="AK529" s="812"/>
      <c r="AL529" s="809"/>
      <c r="AM529" s="922">
        <v>29200</v>
      </c>
      <c r="AN529" s="922">
        <v>29200</v>
      </c>
      <c r="AQ529" s="885"/>
      <c r="AR529" s="1244"/>
      <c r="AS529" s="1244"/>
      <c r="AT529" s="1244"/>
      <c r="AU529" s="1244"/>
      <c r="AV529" s="1244"/>
      <c r="AW529" s="1244"/>
      <c r="AX529" s="1223"/>
      <c r="AY529" s="820"/>
      <c r="AZ529" s="820"/>
    </row>
    <row r="530" ht="135" customHeight="1" spans="1:52">
      <c r="A530" s="1196">
        <v>43</v>
      </c>
      <c r="B530" s="1197">
        <v>9504200090</v>
      </c>
      <c r="C530" s="1197">
        <v>950420</v>
      </c>
      <c r="D530" s="1196"/>
      <c r="E530" s="1196" t="s">
        <v>1482</v>
      </c>
      <c r="F530" s="1196" t="s">
        <v>1483</v>
      </c>
      <c r="G530" s="1196" t="s">
        <v>1484</v>
      </c>
      <c r="H530" s="1196"/>
      <c r="I530" s="1197" t="s">
        <v>51</v>
      </c>
      <c r="J530" s="1234">
        <v>1</v>
      </c>
      <c r="K530" s="1200">
        <v>1</v>
      </c>
      <c r="L530" s="1213" t="s">
        <v>1384</v>
      </c>
      <c r="M530" s="1196" t="s">
        <v>293</v>
      </c>
      <c r="N530" s="1201"/>
      <c r="O530" s="1200"/>
      <c r="P530" s="1198">
        <v>9500</v>
      </c>
      <c r="Q530" s="1236">
        <v>9500</v>
      </c>
      <c r="R530" s="1202">
        <v>42600</v>
      </c>
      <c r="S530" s="1203"/>
      <c r="T530" s="1202">
        <v>680</v>
      </c>
      <c r="U530" s="1203"/>
      <c r="V530" s="1202">
        <v>655</v>
      </c>
      <c r="W530" s="1237" t="s">
        <v>1485</v>
      </c>
      <c r="X530" s="1199" t="s">
        <v>1486</v>
      </c>
      <c r="Y530" s="1234">
        <v>2</v>
      </c>
      <c r="Z530" s="1200"/>
      <c r="AA530" s="1203"/>
      <c r="AB530" s="1203"/>
      <c r="AC530" s="1203"/>
      <c r="AD530" s="1206">
        <v>1.23886874729621</v>
      </c>
      <c r="AE530" s="1202">
        <v>2.48</v>
      </c>
      <c r="AF530" s="1225" t="str">
        <f>_xlfn.DISPIMG("ID_68B10F33385743E59EF8A6AA17D58D5E",1)</f>
        <v>=DISPIMG("ID_68B10F33385743E59EF8A6AA17D58D5E",1)</v>
      </c>
      <c r="AG530" s="1200" t="s">
        <v>1487</v>
      </c>
      <c r="AH530" s="1213" t="s">
        <v>1488</v>
      </c>
      <c r="AI530" s="1262">
        <v>45637</v>
      </c>
      <c r="AJ530" s="1213" t="s">
        <v>1489</v>
      </c>
      <c r="AK530" s="1262">
        <v>45637</v>
      </c>
      <c r="AL530" s="1236">
        <v>9500</v>
      </c>
      <c r="AM530" s="1236">
        <v>9500</v>
      </c>
      <c r="AN530" s="1202">
        <v>42600</v>
      </c>
      <c r="AO530" s="1203"/>
      <c r="AP530" s="1203"/>
      <c r="AQ530" s="1238" t="s">
        <v>1360</v>
      </c>
      <c r="AR530" s="1239">
        <v>45674</v>
      </c>
      <c r="AS530" s="1263" t="s">
        <v>1490</v>
      </c>
      <c r="AT530" s="1214">
        <v>45687</v>
      </c>
      <c r="AU530" s="1221"/>
      <c r="AV530" s="1197" t="s">
        <v>59</v>
      </c>
      <c r="AW530" s="1213" t="s">
        <v>873</v>
      </c>
      <c r="AX530" s="1223"/>
      <c r="AY530" s="1218"/>
      <c r="AZ530" s="1217">
        <v>26412</v>
      </c>
    </row>
    <row r="531" ht="135" customHeight="1" spans="1:52">
      <c r="A531" s="1196">
        <v>44</v>
      </c>
      <c r="B531" s="1197">
        <v>8413810090</v>
      </c>
      <c r="C531" s="1197">
        <v>842290</v>
      </c>
      <c r="D531" s="1196"/>
      <c r="E531" s="1196" t="s">
        <v>1491</v>
      </c>
      <c r="F531" s="1196" t="s">
        <v>1492</v>
      </c>
      <c r="G531" s="1196" t="s">
        <v>1493</v>
      </c>
      <c r="H531" s="1196"/>
      <c r="I531" s="1197" t="s">
        <v>51</v>
      </c>
      <c r="J531" s="1234">
        <v>1</v>
      </c>
      <c r="K531" s="1200">
        <v>1</v>
      </c>
      <c r="L531" s="1213" t="s">
        <v>1384</v>
      </c>
      <c r="M531" s="1196"/>
      <c r="N531" s="1201"/>
      <c r="O531" s="1200"/>
      <c r="P531" s="1198">
        <v>22500</v>
      </c>
      <c r="Q531" s="1236">
        <v>22500</v>
      </c>
      <c r="R531" s="1202"/>
      <c r="S531" s="1203"/>
      <c r="T531" s="1202">
        <v>1200</v>
      </c>
      <c r="U531" s="1203"/>
      <c r="V531" s="1202">
        <v>1108</v>
      </c>
      <c r="W531" s="1237" t="s">
        <v>1494</v>
      </c>
      <c r="X531" s="1199" t="s">
        <v>1495</v>
      </c>
      <c r="Y531" s="1234">
        <v>3</v>
      </c>
      <c r="Z531" s="1200"/>
      <c r="AA531" s="1203"/>
      <c r="AB531" s="1203"/>
      <c r="AC531" s="1203"/>
      <c r="AD531" s="1206">
        <v>4.28650293554168</v>
      </c>
      <c r="AE531" s="1202">
        <v>12.86</v>
      </c>
      <c r="AF531" s="1225" t="str">
        <f>_xlfn.DISPIMG("ID_ECAC43D51A7A4AAFAA0C5076C7253337",1)</f>
        <v>=DISPIMG("ID_ECAC43D51A7A4AAFAA0C5076C7253337",1)</v>
      </c>
      <c r="AG531" s="1200" t="s">
        <v>1496</v>
      </c>
      <c r="AH531" s="1213"/>
      <c r="AI531" s="1262"/>
      <c r="AJ531" s="1213"/>
      <c r="AK531" s="1262"/>
      <c r="AL531" s="1236">
        <v>22500</v>
      </c>
      <c r="AM531" s="1236">
        <v>22500</v>
      </c>
      <c r="AN531" s="1202"/>
      <c r="AO531" s="1203"/>
      <c r="AP531" s="1203"/>
      <c r="AQ531" s="1238" t="s">
        <v>1360</v>
      </c>
      <c r="AR531" s="1239">
        <v>45674</v>
      </c>
      <c r="AS531" s="1264" t="s">
        <v>1490</v>
      </c>
      <c r="AT531" s="1214">
        <v>45687</v>
      </c>
      <c r="AU531" s="1221"/>
      <c r="AV531" s="1197" t="s">
        <v>59</v>
      </c>
      <c r="AW531" s="1213" t="s">
        <v>873</v>
      </c>
      <c r="AX531" s="1223"/>
      <c r="AY531" s="1224"/>
      <c r="AZ531" s="1223"/>
    </row>
    <row r="532" ht="135" customHeight="1" spans="1:52">
      <c r="A532" s="1196">
        <v>45</v>
      </c>
      <c r="B532" s="1197">
        <v>3920620000</v>
      </c>
      <c r="C532" s="1197">
        <v>391990</v>
      </c>
      <c r="D532" s="1196"/>
      <c r="E532" s="1196" t="s">
        <v>1497</v>
      </c>
      <c r="F532" s="1196" t="s">
        <v>1498</v>
      </c>
      <c r="G532" s="1196" t="s">
        <v>1499</v>
      </c>
      <c r="H532" s="1196"/>
      <c r="I532" s="1197" t="s">
        <v>51</v>
      </c>
      <c r="J532" s="1234">
        <v>10</v>
      </c>
      <c r="K532" s="1200">
        <v>10</v>
      </c>
      <c r="L532" s="1213" t="s">
        <v>1500</v>
      </c>
      <c r="M532" s="1196"/>
      <c r="N532" s="1201"/>
      <c r="O532" s="1200"/>
      <c r="P532" s="1198">
        <v>260</v>
      </c>
      <c r="Q532" s="1236">
        <v>2600</v>
      </c>
      <c r="R532" s="1202"/>
      <c r="S532" s="1203"/>
      <c r="T532" s="1202">
        <v>212</v>
      </c>
      <c r="U532" s="1203"/>
      <c r="V532" s="1202">
        <v>206</v>
      </c>
      <c r="W532" s="1237" t="s">
        <v>1501</v>
      </c>
      <c r="X532" s="1199" t="s">
        <v>1502</v>
      </c>
      <c r="Y532" s="1234">
        <v>11</v>
      </c>
      <c r="Z532" s="1200"/>
      <c r="AA532" s="1203"/>
      <c r="AB532" s="1203"/>
      <c r="AC532" s="1203"/>
      <c r="AD532" s="1206">
        <v>0.0470121747728818</v>
      </c>
      <c r="AE532" s="1202">
        <v>0.52</v>
      </c>
      <c r="AF532" s="1230" t="str">
        <f>_xlfn.DISPIMG("ID_E5183FF54164433E9947F58CBEC91884",1)</f>
        <v>=DISPIMG("ID_E5183FF54164433E9947F58CBEC91884",1)</v>
      </c>
      <c r="AG532" s="1200" t="s">
        <v>1503</v>
      </c>
      <c r="AH532" s="1213"/>
      <c r="AI532" s="1262"/>
      <c r="AJ532" s="1213"/>
      <c r="AK532" s="1262"/>
      <c r="AL532" s="1236">
        <v>260</v>
      </c>
      <c r="AM532" s="1236">
        <v>2600</v>
      </c>
      <c r="AN532" s="1202"/>
      <c r="AO532" s="1203"/>
      <c r="AP532" s="1203"/>
      <c r="AQ532" s="1238" t="s">
        <v>1360</v>
      </c>
      <c r="AR532" s="1239">
        <v>45674</v>
      </c>
      <c r="AS532" s="1264" t="s">
        <v>1490</v>
      </c>
      <c r="AT532" s="1214">
        <v>45687</v>
      </c>
      <c r="AU532" s="1221"/>
      <c r="AV532" s="1197" t="s">
        <v>59</v>
      </c>
      <c r="AW532" s="1213" t="s">
        <v>873</v>
      </c>
      <c r="AX532" s="1223"/>
      <c r="AY532" s="1224"/>
      <c r="AZ532" s="1223"/>
    </row>
    <row r="533" ht="135" customHeight="1" spans="1:52">
      <c r="A533" s="1196">
        <v>46</v>
      </c>
      <c r="B533" s="1197">
        <v>9504909000</v>
      </c>
      <c r="C533" s="1197">
        <v>950430</v>
      </c>
      <c r="D533" s="1196"/>
      <c r="E533" s="1196" t="s">
        <v>1504</v>
      </c>
      <c r="F533" s="1196" t="s">
        <v>1505</v>
      </c>
      <c r="G533" s="1196" t="s">
        <v>1506</v>
      </c>
      <c r="H533" s="1196"/>
      <c r="I533" s="1197" t="s">
        <v>51</v>
      </c>
      <c r="J533" s="1234">
        <v>1</v>
      </c>
      <c r="K533" s="1200">
        <v>1</v>
      </c>
      <c r="L533" s="1213" t="s">
        <v>1384</v>
      </c>
      <c r="M533" s="1196"/>
      <c r="N533" s="1201"/>
      <c r="O533" s="1200"/>
      <c r="P533" s="1198">
        <v>3200</v>
      </c>
      <c r="Q533" s="1236">
        <v>3200</v>
      </c>
      <c r="R533" s="1202"/>
      <c r="S533" s="1203"/>
      <c r="T533" s="1202">
        <v>100</v>
      </c>
      <c r="U533" s="1203"/>
      <c r="V533" s="1202">
        <v>86</v>
      </c>
      <c r="W533" s="1237"/>
      <c r="X533" s="1199" t="s">
        <v>1507</v>
      </c>
      <c r="Y533" s="1234">
        <v>5</v>
      </c>
      <c r="Z533" s="1200"/>
      <c r="AA533" s="1203"/>
      <c r="AB533" s="1203"/>
      <c r="AC533" s="1203"/>
      <c r="AD533" s="1206">
        <v>0.302444991038873</v>
      </c>
      <c r="AE533" s="1202">
        <v>1.51</v>
      </c>
      <c r="AF533" s="1265" t="str">
        <f>_xlfn.DISPIMG("ID_DFDAF6DC514645079FD5BADB3D07766A",1)</f>
        <v>=DISPIMG("ID_DFDAF6DC514645079FD5BADB3D07766A",1)</v>
      </c>
      <c r="AG533" s="1200" t="s">
        <v>1508</v>
      </c>
      <c r="AH533" s="1213"/>
      <c r="AI533" s="1262"/>
      <c r="AJ533" s="1213"/>
      <c r="AK533" s="1262"/>
      <c r="AL533" s="1236">
        <v>3200</v>
      </c>
      <c r="AM533" s="1236">
        <v>3200</v>
      </c>
      <c r="AN533" s="1202"/>
      <c r="AO533" s="1203"/>
      <c r="AP533" s="1203"/>
      <c r="AQ533" s="1238" t="s">
        <v>1360</v>
      </c>
      <c r="AR533" s="1239">
        <v>45674</v>
      </c>
      <c r="AS533" s="1264" t="s">
        <v>1490</v>
      </c>
      <c r="AT533" s="1214">
        <v>45687</v>
      </c>
      <c r="AU533" s="1221"/>
      <c r="AV533" s="1197" t="s">
        <v>59</v>
      </c>
      <c r="AW533" s="1213" t="s">
        <v>873</v>
      </c>
      <c r="AX533" s="1223"/>
      <c r="AY533" s="1224"/>
      <c r="AZ533" s="1223"/>
    </row>
    <row r="534" ht="135" customHeight="1" spans="1:52">
      <c r="A534" s="1196">
        <v>47</v>
      </c>
      <c r="B534" s="1197">
        <v>9030339000</v>
      </c>
      <c r="C534" s="1197">
        <v>903033</v>
      </c>
      <c r="D534" s="1196"/>
      <c r="E534" s="1196" t="s">
        <v>1509</v>
      </c>
      <c r="F534" s="1196" t="s">
        <v>1510</v>
      </c>
      <c r="G534" s="1196" t="s">
        <v>1511</v>
      </c>
      <c r="H534" s="1196"/>
      <c r="I534" s="1197" t="s">
        <v>51</v>
      </c>
      <c r="J534" s="1234">
        <v>1</v>
      </c>
      <c r="K534" s="1200">
        <v>1</v>
      </c>
      <c r="L534" s="1213" t="s">
        <v>1384</v>
      </c>
      <c r="M534" s="1196"/>
      <c r="N534" s="1201"/>
      <c r="O534" s="1200"/>
      <c r="P534" s="1198">
        <v>4800</v>
      </c>
      <c r="Q534" s="1236">
        <v>4800</v>
      </c>
      <c r="R534" s="1202"/>
      <c r="S534" s="1203"/>
      <c r="T534" s="1202">
        <v>13</v>
      </c>
      <c r="U534" s="1203"/>
      <c r="V534" s="1202">
        <v>10</v>
      </c>
      <c r="W534" s="1237"/>
      <c r="X534" s="1199" t="s">
        <v>1512</v>
      </c>
      <c r="Y534" s="1234">
        <v>1</v>
      </c>
      <c r="Z534" s="1200"/>
      <c r="AA534" s="1203"/>
      <c r="AB534" s="1203"/>
      <c r="AC534" s="1203"/>
      <c r="AD534" s="1206">
        <v>0.0439299990288434</v>
      </c>
      <c r="AE534" s="1202">
        <v>0.04</v>
      </c>
      <c r="AF534" s="1230" t="str">
        <f>_xlfn.DISPIMG("ID_55657DF417304932AA85552BA93BAC4D",1)</f>
        <v>=DISPIMG("ID_55657DF417304932AA85552BA93BAC4D",1)</v>
      </c>
      <c r="AG534" s="1200" t="s">
        <v>1513</v>
      </c>
      <c r="AH534" s="1213"/>
      <c r="AI534" s="1262"/>
      <c r="AJ534" s="1213"/>
      <c r="AK534" s="1262"/>
      <c r="AL534" s="1236">
        <v>4800</v>
      </c>
      <c r="AM534" s="1236">
        <v>4800</v>
      </c>
      <c r="AN534" s="1202"/>
      <c r="AO534" s="1203"/>
      <c r="AP534" s="1203"/>
      <c r="AQ534" s="1238" t="s">
        <v>1360</v>
      </c>
      <c r="AR534" s="1239">
        <v>45674</v>
      </c>
      <c r="AS534" s="1266" t="s">
        <v>1490</v>
      </c>
      <c r="AT534" s="1214">
        <v>45687</v>
      </c>
      <c r="AU534" s="1221"/>
      <c r="AV534" s="1197" t="s">
        <v>59</v>
      </c>
      <c r="AW534" s="1213" t="s">
        <v>873</v>
      </c>
      <c r="AX534" s="1233"/>
      <c r="AY534" s="1240"/>
      <c r="AZ534" s="1233"/>
    </row>
    <row r="535" ht="135" customHeight="1" spans="1:52">
      <c r="A535" s="804"/>
      <c r="B535" s="805"/>
      <c r="C535" s="805"/>
      <c r="D535" s="804"/>
      <c r="E535" s="804"/>
      <c r="F535" s="804"/>
      <c r="G535" s="804"/>
      <c r="H535" s="804"/>
      <c r="I535" s="805"/>
      <c r="J535" s="809"/>
      <c r="K535" s="810"/>
      <c r="L535" s="811"/>
      <c r="M535" s="810"/>
      <c r="N535" s="812"/>
      <c r="O535" s="810"/>
      <c r="P535" s="813"/>
      <c r="Q535" s="922">
        <v>42600</v>
      </c>
      <c r="R535" s="922">
        <v>42600</v>
      </c>
      <c r="T535" s="922">
        <v>2205</v>
      </c>
      <c r="V535" s="922">
        <v>2065</v>
      </c>
      <c r="W535" s="923"/>
      <c r="X535" s="810"/>
      <c r="Y535" s="922">
        <v>22</v>
      </c>
      <c r="Z535" s="810"/>
      <c r="AD535" s="816"/>
      <c r="AE535" s="922">
        <v>17.41</v>
      </c>
      <c r="AF535" s="812"/>
      <c r="AG535" s="810"/>
      <c r="AH535" s="811"/>
      <c r="AI535" s="812"/>
      <c r="AJ535" s="810"/>
      <c r="AK535" s="812"/>
      <c r="AL535" s="809"/>
      <c r="AM535" s="922">
        <v>42600</v>
      </c>
      <c r="AN535" s="922">
        <v>42600</v>
      </c>
      <c r="AQ535" s="885"/>
      <c r="AR535" s="1244"/>
      <c r="AS535" s="1244"/>
      <c r="AT535" s="1244"/>
      <c r="AU535" s="1244"/>
      <c r="AV535" s="1244"/>
      <c r="AW535" s="1244"/>
      <c r="AX535" s="820"/>
      <c r="AY535" s="820"/>
      <c r="AZ535" s="820"/>
    </row>
    <row r="536" ht="135" customHeight="1" spans="1:52">
      <c r="A536" s="822"/>
      <c r="B536" s="822"/>
      <c r="C536" s="822"/>
      <c r="D536" s="822"/>
      <c r="E536" s="822"/>
      <c r="F536" s="823"/>
      <c r="G536" s="823"/>
      <c r="H536" s="823"/>
      <c r="I536" s="823"/>
      <c r="J536" s="826"/>
      <c r="K536" s="823"/>
      <c r="L536" s="823"/>
      <c r="M536" s="823"/>
      <c r="N536" s="827"/>
      <c r="O536" s="823"/>
      <c r="P536" s="826"/>
      <c r="Q536" s="826"/>
      <c r="R536" s="828"/>
      <c r="T536" s="826"/>
      <c r="V536" s="826"/>
      <c r="W536" s="829"/>
      <c r="X536" s="830"/>
      <c r="Y536" s="823"/>
      <c r="Z536" s="823"/>
      <c r="AD536" s="823"/>
      <c r="AE536" s="823"/>
      <c r="AF536" s="827"/>
      <c r="AG536" s="823"/>
      <c r="AH536" s="823"/>
      <c r="AI536" s="827"/>
      <c r="AJ536" s="823"/>
      <c r="AK536" s="827"/>
      <c r="AL536" s="826"/>
      <c r="AM536" s="826"/>
      <c r="AN536" s="833"/>
      <c r="AQ536" s="885"/>
      <c r="AR536" s="1244"/>
      <c r="AS536" s="1244"/>
      <c r="AT536" s="1244"/>
      <c r="AU536" s="1244"/>
      <c r="AV536" s="1244"/>
      <c r="AW536" s="1244"/>
      <c r="AX536" s="820"/>
      <c r="AY536" s="820"/>
      <c r="AZ536" s="820"/>
    </row>
    <row r="537" ht="135" customHeight="1" spans="1:52">
      <c r="A537" s="804"/>
      <c r="B537" s="805"/>
      <c r="C537" s="805"/>
      <c r="D537" s="804"/>
      <c r="E537" s="804"/>
      <c r="F537" s="804"/>
      <c r="G537" s="804"/>
      <c r="H537" s="804"/>
      <c r="I537" s="805"/>
      <c r="J537" s="809"/>
      <c r="K537" s="810"/>
      <c r="L537" s="811"/>
      <c r="M537" s="810" t="s">
        <v>303</v>
      </c>
      <c r="N537" s="812"/>
      <c r="O537" s="810"/>
      <c r="P537" s="813"/>
      <c r="Q537" s="922">
        <v>489465.36</v>
      </c>
      <c r="R537" s="922">
        <v>488720.54</v>
      </c>
      <c r="T537" s="922">
        <v>6020</v>
      </c>
      <c r="V537" s="922">
        <v>5415.56</v>
      </c>
      <c r="W537" s="923"/>
      <c r="X537" s="810"/>
      <c r="Y537" s="922">
        <v>221</v>
      </c>
      <c r="Z537" s="810"/>
      <c r="AD537" s="816"/>
      <c r="AE537" s="922">
        <v>45.55</v>
      </c>
      <c r="AF537" s="812"/>
      <c r="AG537" s="810"/>
      <c r="AH537" s="811"/>
      <c r="AI537" s="812"/>
      <c r="AJ537" s="810"/>
      <c r="AK537" s="812"/>
      <c r="AL537" s="809"/>
      <c r="AM537" s="922">
        <v>490973.02</v>
      </c>
      <c r="AN537" s="922">
        <v>490973.02</v>
      </c>
      <c r="AQ537" s="885"/>
      <c r="AR537" s="1244"/>
      <c r="AS537" s="1244"/>
      <c r="AT537" s="1244"/>
      <c r="AU537" s="1244"/>
      <c r="AV537" s="1244"/>
      <c r="AW537" s="1244"/>
      <c r="AX537" s="820"/>
      <c r="AY537" s="820"/>
      <c r="AZ537" s="820"/>
    </row>
  </sheetData>
  <sheetProtection formatCells="0" formatColumns="0" formatRows="0" insertRows="0" insertColumns="0" insertHyperlinks="0" deleteColumns="0" deleteRows="0" sort="0" autoFilter="0" pivotTables="0"/>
  <mergeCells count="594">
    <mergeCell ref="M10:M37"/>
    <mergeCell ref="M39:M68"/>
    <mergeCell ref="M75:M78"/>
    <mergeCell ref="M83:M84"/>
    <mergeCell ref="M97:M98"/>
    <mergeCell ref="M100:M108"/>
    <mergeCell ref="M110:M121"/>
    <mergeCell ref="M122:M123"/>
    <mergeCell ref="M125:M153"/>
    <mergeCell ref="M160:M161"/>
    <mergeCell ref="M170:M175"/>
    <mergeCell ref="M176:M184"/>
    <mergeCell ref="M186:M199"/>
    <mergeCell ref="M205:M206"/>
    <mergeCell ref="M207:M230"/>
    <mergeCell ref="M231:M235"/>
    <mergeCell ref="M236:M237"/>
    <mergeCell ref="M239:M295"/>
    <mergeCell ref="M303:M304"/>
    <mergeCell ref="M305:M310"/>
    <mergeCell ref="M311:M318"/>
    <mergeCell ref="M319:M320"/>
    <mergeCell ref="M326:M449"/>
    <mergeCell ref="M450:M453"/>
    <mergeCell ref="M455:M478"/>
    <mergeCell ref="M484:M491"/>
    <mergeCell ref="M493:M494"/>
    <mergeCell ref="M498:M499"/>
    <mergeCell ref="M501:M526"/>
    <mergeCell ref="M530:M534"/>
    <mergeCell ref="N110:N116"/>
    <mergeCell ref="N117:N121"/>
    <mergeCell ref="O110:O116"/>
    <mergeCell ref="O117:O121"/>
    <mergeCell ref="R10:R37"/>
    <mergeCell ref="R39:R68"/>
    <mergeCell ref="R75:R78"/>
    <mergeCell ref="R83:R84"/>
    <mergeCell ref="R97:R98"/>
    <mergeCell ref="R100:R108"/>
    <mergeCell ref="R110:R116"/>
    <mergeCell ref="R117:R121"/>
    <mergeCell ref="R122:R123"/>
    <mergeCell ref="R125:R153"/>
    <mergeCell ref="R170:R175"/>
    <mergeCell ref="R176:R182"/>
    <mergeCell ref="R183:R184"/>
    <mergeCell ref="R186:R198"/>
    <mergeCell ref="R205:R206"/>
    <mergeCell ref="R207:R230"/>
    <mergeCell ref="R231:R235"/>
    <mergeCell ref="R236:R237"/>
    <mergeCell ref="R239:R295"/>
    <mergeCell ref="R303:R304"/>
    <mergeCell ref="R305:R310"/>
    <mergeCell ref="R311:R318"/>
    <mergeCell ref="R319:R320"/>
    <mergeCell ref="R326:R387"/>
    <mergeCell ref="R388:R445"/>
    <mergeCell ref="R446:R449"/>
    <mergeCell ref="R450:R452"/>
    <mergeCell ref="R455:R465"/>
    <mergeCell ref="R466:R477"/>
    <mergeCell ref="R484:R491"/>
    <mergeCell ref="R493:R494"/>
    <mergeCell ref="R498:R499"/>
    <mergeCell ref="R501:R526"/>
    <mergeCell ref="R530:R534"/>
    <mergeCell ref="W10:W37"/>
    <mergeCell ref="W39:W53"/>
    <mergeCell ref="W54:W68"/>
    <mergeCell ref="W100:W102"/>
    <mergeCell ref="W103:W105"/>
    <mergeCell ref="W106:W108"/>
    <mergeCell ref="W118:W119"/>
    <mergeCell ref="W122:W123"/>
    <mergeCell ref="W132:W133"/>
    <mergeCell ref="W176:W182"/>
    <mergeCell ref="W186:W187"/>
    <mergeCell ref="W188:W189"/>
    <mergeCell ref="W190:W191"/>
    <mergeCell ref="W192:W193"/>
    <mergeCell ref="W194:W195"/>
    <mergeCell ref="W196:W197"/>
    <mergeCell ref="W205:W206"/>
    <mergeCell ref="W207:W230"/>
    <mergeCell ref="W231:W237"/>
    <mergeCell ref="W239:W241"/>
    <mergeCell ref="W245:W246"/>
    <mergeCell ref="W247:W252"/>
    <mergeCell ref="W253:W254"/>
    <mergeCell ref="W255:W256"/>
    <mergeCell ref="W262:W266"/>
    <mergeCell ref="W267:W268"/>
    <mergeCell ref="W269:W270"/>
    <mergeCell ref="W272:W274"/>
    <mergeCell ref="W276:W280"/>
    <mergeCell ref="W281:W282"/>
    <mergeCell ref="W283:W284"/>
    <mergeCell ref="W286:W287"/>
    <mergeCell ref="W289:W290"/>
    <mergeCell ref="W292:W294"/>
    <mergeCell ref="W303:W304"/>
    <mergeCell ref="W318:W319"/>
    <mergeCell ref="W331:W332"/>
    <mergeCell ref="W335:W336"/>
    <mergeCell ref="W337:W338"/>
    <mergeCell ref="W339:W340"/>
    <mergeCell ref="W342:W343"/>
    <mergeCell ref="W344:W349"/>
    <mergeCell ref="W350:W351"/>
    <mergeCell ref="W352:W354"/>
    <mergeCell ref="W360:W361"/>
    <mergeCell ref="W364:W365"/>
    <mergeCell ref="W368:W369"/>
    <mergeCell ref="W377:W378"/>
    <mergeCell ref="W405:W406"/>
    <mergeCell ref="W407:W409"/>
    <mergeCell ref="W410:W411"/>
    <mergeCell ref="W412:W413"/>
    <mergeCell ref="W415:W416"/>
    <mergeCell ref="W419:W420"/>
    <mergeCell ref="W421:W422"/>
    <mergeCell ref="W424:W426"/>
    <mergeCell ref="W427:W428"/>
    <mergeCell ref="W429:W430"/>
    <mergeCell ref="W450:W453"/>
    <mergeCell ref="W455:W465"/>
    <mergeCell ref="W466:W477"/>
    <mergeCell ref="W484:W485"/>
    <mergeCell ref="W498:W499"/>
    <mergeCell ref="W532:W534"/>
    <mergeCell ref="X10:X32"/>
    <mergeCell ref="X33:X36"/>
    <mergeCell ref="X100:X102"/>
    <mergeCell ref="X103:X105"/>
    <mergeCell ref="X106:X108"/>
    <mergeCell ref="X118:X119"/>
    <mergeCell ref="X122:X123"/>
    <mergeCell ref="X132:X133"/>
    <mergeCell ref="X176:X177"/>
    <mergeCell ref="X178:X179"/>
    <mergeCell ref="X181:X182"/>
    <mergeCell ref="X205:X206"/>
    <mergeCell ref="X207:X230"/>
    <mergeCell ref="X249:X250"/>
    <mergeCell ref="X251:X252"/>
    <mergeCell ref="X263:X264"/>
    <mergeCell ref="X265:X266"/>
    <mergeCell ref="X277:X278"/>
    <mergeCell ref="X279:X280"/>
    <mergeCell ref="X293:X294"/>
    <mergeCell ref="X303:X304"/>
    <mergeCell ref="X318:X319"/>
    <mergeCell ref="X331:X332"/>
    <mergeCell ref="X335:X336"/>
    <mergeCell ref="X337:X338"/>
    <mergeCell ref="X339:X340"/>
    <mergeCell ref="X342:X343"/>
    <mergeCell ref="X344:X349"/>
    <mergeCell ref="X350:X351"/>
    <mergeCell ref="X352:X354"/>
    <mergeCell ref="X360:X361"/>
    <mergeCell ref="X364:X365"/>
    <mergeCell ref="X368:X369"/>
    <mergeCell ref="X377:X378"/>
    <mergeCell ref="X405:X406"/>
    <mergeCell ref="X407:X409"/>
    <mergeCell ref="X410:X411"/>
    <mergeCell ref="X412:X413"/>
    <mergeCell ref="X415:X416"/>
    <mergeCell ref="X419:X420"/>
    <mergeCell ref="X421:X422"/>
    <mergeCell ref="X424:X426"/>
    <mergeCell ref="X427:X428"/>
    <mergeCell ref="X429:X430"/>
    <mergeCell ref="X450:X453"/>
    <mergeCell ref="X455:X465"/>
    <mergeCell ref="X466:X477"/>
    <mergeCell ref="X484:X485"/>
    <mergeCell ref="X487:X488"/>
    <mergeCell ref="X489:X491"/>
    <mergeCell ref="X498:X499"/>
    <mergeCell ref="Y10:Y32"/>
    <mergeCell ref="Y33:Y36"/>
    <mergeCell ref="Y100:Y102"/>
    <mergeCell ref="Y103:Y105"/>
    <mergeCell ref="Y106:Y108"/>
    <mergeCell ref="Y118:Y119"/>
    <mergeCell ref="Y122:Y123"/>
    <mergeCell ref="Y132:Y133"/>
    <mergeCell ref="Y176:Y177"/>
    <mergeCell ref="Y178:Y179"/>
    <mergeCell ref="Y181:Y182"/>
    <mergeCell ref="Y205:Y206"/>
    <mergeCell ref="Y207:Y230"/>
    <mergeCell ref="Y249:Y250"/>
    <mergeCell ref="Y251:Y252"/>
    <mergeCell ref="Y263:Y264"/>
    <mergeCell ref="Y265:Y266"/>
    <mergeCell ref="Y277:Y278"/>
    <mergeCell ref="Y279:Y280"/>
    <mergeCell ref="Y293:Y294"/>
    <mergeCell ref="Y303:Y304"/>
    <mergeCell ref="Y318:Y319"/>
    <mergeCell ref="Y331:Y332"/>
    <mergeCell ref="Y335:Y336"/>
    <mergeCell ref="Y337:Y338"/>
    <mergeCell ref="Y339:Y340"/>
    <mergeCell ref="Y342:Y343"/>
    <mergeCell ref="Y344:Y349"/>
    <mergeCell ref="Y350:Y351"/>
    <mergeCell ref="Y352:Y354"/>
    <mergeCell ref="Y360:Y361"/>
    <mergeCell ref="Y364:Y365"/>
    <mergeCell ref="Y368:Y369"/>
    <mergeCell ref="Y377:Y378"/>
    <mergeCell ref="Y405:Y406"/>
    <mergeCell ref="Y407:Y409"/>
    <mergeCell ref="Y410:Y411"/>
    <mergeCell ref="Y412:Y413"/>
    <mergeCell ref="Y415:Y416"/>
    <mergeCell ref="Y419:Y420"/>
    <mergeCell ref="Y421:Y422"/>
    <mergeCell ref="Y424:Y426"/>
    <mergeCell ref="Y427:Y428"/>
    <mergeCell ref="Y429:Y430"/>
    <mergeCell ref="Y450:Y453"/>
    <mergeCell ref="Y455:Y465"/>
    <mergeCell ref="Y466:Y477"/>
    <mergeCell ref="Y484:Y485"/>
    <mergeCell ref="Y487:Y488"/>
    <mergeCell ref="Y489:Y491"/>
    <mergeCell ref="Y498:Y499"/>
    <mergeCell ref="Z176:Z177"/>
    <mergeCell ref="Z178:Z179"/>
    <mergeCell ref="Z181:Z182"/>
    <mergeCell ref="AA176:AA177"/>
    <mergeCell ref="AA178:AA179"/>
    <mergeCell ref="AA181:AA182"/>
    <mergeCell ref="AB176:AB177"/>
    <mergeCell ref="AB178:AB179"/>
    <mergeCell ref="AB181:AB182"/>
    <mergeCell ref="AC176:AC177"/>
    <mergeCell ref="AC178:AC179"/>
    <mergeCell ref="AC181:AC182"/>
    <mergeCell ref="AD10:AD32"/>
    <mergeCell ref="AD33:AD36"/>
    <mergeCell ref="AD100:AD102"/>
    <mergeCell ref="AD103:AD105"/>
    <mergeCell ref="AD106:AD108"/>
    <mergeCell ref="AD118:AD119"/>
    <mergeCell ref="AD122:AD123"/>
    <mergeCell ref="AD132:AD133"/>
    <mergeCell ref="AD176:AD177"/>
    <mergeCell ref="AD178:AD179"/>
    <mergeCell ref="AD181:AD182"/>
    <mergeCell ref="AD205:AD206"/>
    <mergeCell ref="AD207:AD230"/>
    <mergeCell ref="AD231:AD237"/>
    <mergeCell ref="AD239:AD241"/>
    <mergeCell ref="AD245:AD246"/>
    <mergeCell ref="AD247:AD252"/>
    <mergeCell ref="AD253:AD254"/>
    <mergeCell ref="AD255:AD256"/>
    <mergeCell ref="AD262:AD266"/>
    <mergeCell ref="AD267:AD268"/>
    <mergeCell ref="AD269:AD270"/>
    <mergeCell ref="AD272:AD274"/>
    <mergeCell ref="AD276:AD280"/>
    <mergeCell ref="AD281:AD282"/>
    <mergeCell ref="AD283:AD284"/>
    <mergeCell ref="AD286:AD287"/>
    <mergeCell ref="AD289:AD290"/>
    <mergeCell ref="AD292:AD294"/>
    <mergeCell ref="AD303:AD304"/>
    <mergeCell ref="AD318:AD319"/>
    <mergeCell ref="AD331:AD332"/>
    <mergeCell ref="AD335:AD336"/>
    <mergeCell ref="AD337:AD338"/>
    <mergeCell ref="AD339:AD340"/>
    <mergeCell ref="AD342:AD343"/>
    <mergeCell ref="AD344:AD349"/>
    <mergeCell ref="AD350:AD351"/>
    <mergeCell ref="AD352:AD354"/>
    <mergeCell ref="AD360:AD361"/>
    <mergeCell ref="AD364:AD365"/>
    <mergeCell ref="AD368:AD369"/>
    <mergeCell ref="AD377:AD378"/>
    <mergeCell ref="AD405:AD406"/>
    <mergeCell ref="AD407:AD409"/>
    <mergeCell ref="AD410:AD411"/>
    <mergeCell ref="AD412:AD413"/>
    <mergeCell ref="AD415:AD416"/>
    <mergeCell ref="AD419:AD420"/>
    <mergeCell ref="AD421:AD422"/>
    <mergeCell ref="AD424:AD426"/>
    <mergeCell ref="AD427:AD428"/>
    <mergeCell ref="AD429:AD430"/>
    <mergeCell ref="AD450:AD453"/>
    <mergeCell ref="AD455:AD465"/>
    <mergeCell ref="AD466:AD477"/>
    <mergeCell ref="AD484:AD485"/>
    <mergeCell ref="AD487:AD488"/>
    <mergeCell ref="AD489:AD491"/>
    <mergeCell ref="AD498:AD499"/>
    <mergeCell ref="AE10:AE32"/>
    <mergeCell ref="AE33:AE36"/>
    <mergeCell ref="AE100:AE102"/>
    <mergeCell ref="AE103:AE105"/>
    <mergeCell ref="AE106:AE108"/>
    <mergeCell ref="AE118:AE119"/>
    <mergeCell ref="AE122:AE123"/>
    <mergeCell ref="AE132:AE133"/>
    <mergeCell ref="AE176:AE177"/>
    <mergeCell ref="AE178:AE179"/>
    <mergeCell ref="AE181:AE182"/>
    <mergeCell ref="AE205:AE206"/>
    <mergeCell ref="AE207:AE230"/>
    <mergeCell ref="AE231:AE237"/>
    <mergeCell ref="AE239:AE241"/>
    <mergeCell ref="AE245:AE246"/>
    <mergeCell ref="AE247:AE252"/>
    <mergeCell ref="AE253:AE254"/>
    <mergeCell ref="AE255:AE256"/>
    <mergeCell ref="AE262:AE266"/>
    <mergeCell ref="AE267:AE268"/>
    <mergeCell ref="AE269:AE270"/>
    <mergeCell ref="AE272:AE274"/>
    <mergeCell ref="AE276:AE280"/>
    <mergeCell ref="AE281:AE282"/>
    <mergeCell ref="AE283:AE284"/>
    <mergeCell ref="AE286:AE287"/>
    <mergeCell ref="AE289:AE290"/>
    <mergeCell ref="AE292:AE294"/>
    <mergeCell ref="AE303:AE304"/>
    <mergeCell ref="AE318:AE319"/>
    <mergeCell ref="AE331:AE332"/>
    <mergeCell ref="AE335:AE336"/>
    <mergeCell ref="AE337:AE338"/>
    <mergeCell ref="AE339:AE340"/>
    <mergeCell ref="AE342:AE343"/>
    <mergeCell ref="AE344:AE349"/>
    <mergeCell ref="AE350:AE351"/>
    <mergeCell ref="AE352:AE354"/>
    <mergeCell ref="AE360:AE361"/>
    <mergeCell ref="AE364:AE365"/>
    <mergeCell ref="AE368:AE369"/>
    <mergeCell ref="AE377:AE378"/>
    <mergeCell ref="AE405:AE406"/>
    <mergeCell ref="AE407:AE409"/>
    <mergeCell ref="AE410:AE411"/>
    <mergeCell ref="AE412:AE413"/>
    <mergeCell ref="AE415:AE416"/>
    <mergeCell ref="AE419:AE420"/>
    <mergeCell ref="AE421:AE422"/>
    <mergeCell ref="AE424:AE426"/>
    <mergeCell ref="AE427:AE428"/>
    <mergeCell ref="AE429:AE430"/>
    <mergeCell ref="AE450:AE453"/>
    <mergeCell ref="AE455:AE465"/>
    <mergeCell ref="AE466:AE477"/>
    <mergeCell ref="AE484:AE485"/>
    <mergeCell ref="AE487:AE488"/>
    <mergeCell ref="AE489:AE491"/>
    <mergeCell ref="AE498:AE499"/>
    <mergeCell ref="AG128:AG131"/>
    <mergeCell ref="AH10:AH28"/>
    <mergeCell ref="AH29:AH37"/>
    <mergeCell ref="AH39:AH56"/>
    <mergeCell ref="AH57:AH68"/>
    <mergeCell ref="AH72:AH73"/>
    <mergeCell ref="AH75:AH78"/>
    <mergeCell ref="AH83:AH84"/>
    <mergeCell ref="AH94:AH108"/>
    <mergeCell ref="AH110:AH123"/>
    <mergeCell ref="AH125:AH143"/>
    <mergeCell ref="AH144:AH153"/>
    <mergeCell ref="AH160:AH161"/>
    <mergeCell ref="AH170:AH184"/>
    <mergeCell ref="AH186:AH198"/>
    <mergeCell ref="AH205:AH223"/>
    <mergeCell ref="AH224:AH237"/>
    <mergeCell ref="AH239:AH257"/>
    <mergeCell ref="AH258:AH276"/>
    <mergeCell ref="AH277:AH295"/>
    <mergeCell ref="AH303:AH321"/>
    <mergeCell ref="AH322:AH324"/>
    <mergeCell ref="AH326:AH344"/>
    <mergeCell ref="AH345:AH363"/>
    <mergeCell ref="AH364:AH382"/>
    <mergeCell ref="AH383:AH401"/>
    <mergeCell ref="AH402:AH420"/>
    <mergeCell ref="AH421:AH439"/>
    <mergeCell ref="AH440:AH453"/>
    <mergeCell ref="AH455:AH473"/>
    <mergeCell ref="AH474:AH478"/>
    <mergeCell ref="AH484:AH494"/>
    <mergeCell ref="AH497:AH499"/>
    <mergeCell ref="AH501:AH519"/>
    <mergeCell ref="AH520:AH526"/>
    <mergeCell ref="AH530:AH534"/>
    <mergeCell ref="AI10:AI28"/>
    <mergeCell ref="AI29:AI37"/>
    <mergeCell ref="AI39:AI56"/>
    <mergeCell ref="AI57:AI68"/>
    <mergeCell ref="AI72:AI73"/>
    <mergeCell ref="AI75:AI78"/>
    <mergeCell ref="AI83:AI84"/>
    <mergeCell ref="AI94:AI108"/>
    <mergeCell ref="AI110:AI123"/>
    <mergeCell ref="AI125:AI143"/>
    <mergeCell ref="AI144:AI153"/>
    <mergeCell ref="AI160:AI161"/>
    <mergeCell ref="AI170:AI184"/>
    <mergeCell ref="AI186:AI198"/>
    <mergeCell ref="AI205:AI223"/>
    <mergeCell ref="AI224:AI237"/>
    <mergeCell ref="AI239:AI257"/>
    <mergeCell ref="AI258:AI276"/>
    <mergeCell ref="AI277:AI295"/>
    <mergeCell ref="AI303:AI321"/>
    <mergeCell ref="AI322:AI324"/>
    <mergeCell ref="AI326:AI344"/>
    <mergeCell ref="AI345:AI363"/>
    <mergeCell ref="AI364:AI382"/>
    <mergeCell ref="AI383:AI401"/>
    <mergeCell ref="AI402:AI420"/>
    <mergeCell ref="AI421:AI439"/>
    <mergeCell ref="AI440:AI453"/>
    <mergeCell ref="AI455:AI473"/>
    <mergeCell ref="AI474:AI478"/>
    <mergeCell ref="AI484:AI494"/>
    <mergeCell ref="AI497:AI499"/>
    <mergeCell ref="AI501:AI519"/>
    <mergeCell ref="AI520:AI526"/>
    <mergeCell ref="AI530:AI534"/>
    <mergeCell ref="AJ10:AJ28"/>
    <mergeCell ref="AJ29:AJ37"/>
    <mergeCell ref="AJ39:AJ56"/>
    <mergeCell ref="AJ57:AJ68"/>
    <mergeCell ref="AJ72:AJ73"/>
    <mergeCell ref="AJ75:AJ78"/>
    <mergeCell ref="AJ83:AJ84"/>
    <mergeCell ref="AJ94:AJ108"/>
    <mergeCell ref="AJ110:AJ123"/>
    <mergeCell ref="AJ125:AJ143"/>
    <mergeCell ref="AJ144:AJ153"/>
    <mergeCell ref="AJ160:AJ161"/>
    <mergeCell ref="AJ170:AJ184"/>
    <mergeCell ref="AJ186:AJ198"/>
    <mergeCell ref="AJ205:AJ223"/>
    <mergeCell ref="AJ224:AJ237"/>
    <mergeCell ref="AJ239:AJ257"/>
    <mergeCell ref="AJ258:AJ276"/>
    <mergeCell ref="AJ277:AJ295"/>
    <mergeCell ref="AJ303:AJ321"/>
    <mergeCell ref="AJ322:AJ324"/>
    <mergeCell ref="AJ326:AJ344"/>
    <mergeCell ref="AJ345:AJ363"/>
    <mergeCell ref="AJ364:AJ382"/>
    <mergeCell ref="AJ383:AJ401"/>
    <mergeCell ref="AJ402:AJ420"/>
    <mergeCell ref="AJ421:AJ439"/>
    <mergeCell ref="AJ440:AJ453"/>
    <mergeCell ref="AJ455:AJ473"/>
    <mergeCell ref="AJ474:AJ478"/>
    <mergeCell ref="AJ484:AJ494"/>
    <mergeCell ref="AJ497:AJ499"/>
    <mergeCell ref="AJ501:AJ519"/>
    <mergeCell ref="AJ520:AJ526"/>
    <mergeCell ref="AJ530:AJ534"/>
    <mergeCell ref="AK10:AK28"/>
    <mergeCell ref="AK29:AK37"/>
    <mergeCell ref="AK39:AK56"/>
    <mergeCell ref="AK57:AK68"/>
    <mergeCell ref="AK72:AK73"/>
    <mergeCell ref="AK75:AK78"/>
    <mergeCell ref="AK83:AK84"/>
    <mergeCell ref="AK94:AK108"/>
    <mergeCell ref="AK110:AK123"/>
    <mergeCell ref="AK125:AK143"/>
    <mergeCell ref="AK144:AK153"/>
    <mergeCell ref="AK160:AK161"/>
    <mergeCell ref="AK170:AK184"/>
    <mergeCell ref="AK186:AK198"/>
    <mergeCell ref="AK205:AK223"/>
    <mergeCell ref="AK224:AK237"/>
    <mergeCell ref="AK239:AK257"/>
    <mergeCell ref="AK258:AK276"/>
    <mergeCell ref="AK277:AK295"/>
    <mergeCell ref="AK303:AK321"/>
    <mergeCell ref="AK322:AK324"/>
    <mergeCell ref="AK326:AK344"/>
    <mergeCell ref="AK345:AK363"/>
    <mergeCell ref="AK364:AK382"/>
    <mergeCell ref="AK383:AK401"/>
    <mergeCell ref="AK402:AK420"/>
    <mergeCell ref="AK421:AK439"/>
    <mergeCell ref="AK440:AK453"/>
    <mergeCell ref="AK455:AK473"/>
    <mergeCell ref="AK474:AK478"/>
    <mergeCell ref="AK484:AK494"/>
    <mergeCell ref="AK497:AK499"/>
    <mergeCell ref="AK501:AK519"/>
    <mergeCell ref="AK520:AK526"/>
    <mergeCell ref="AK530:AK534"/>
    <mergeCell ref="AN10:AN28"/>
    <mergeCell ref="AN29:AN37"/>
    <mergeCell ref="AN39:AN56"/>
    <mergeCell ref="AN57:AN68"/>
    <mergeCell ref="AN72:AN73"/>
    <mergeCell ref="AN75:AN78"/>
    <mergeCell ref="AN83:AN84"/>
    <mergeCell ref="AN94:AN108"/>
    <mergeCell ref="AN110:AN123"/>
    <mergeCell ref="AN125:AN143"/>
    <mergeCell ref="AN144:AN153"/>
    <mergeCell ref="AN170:AN184"/>
    <mergeCell ref="AN186:AN198"/>
    <mergeCell ref="AN205:AN223"/>
    <mergeCell ref="AN224:AN237"/>
    <mergeCell ref="AN239:AN257"/>
    <mergeCell ref="AN258:AN276"/>
    <mergeCell ref="AN277:AN295"/>
    <mergeCell ref="AN303:AN321"/>
    <mergeCell ref="AN322:AN324"/>
    <mergeCell ref="AN326:AN344"/>
    <mergeCell ref="AN345:AN363"/>
    <mergeCell ref="AN364:AN382"/>
    <mergeCell ref="AN383:AN401"/>
    <mergeCell ref="AN402:AN420"/>
    <mergeCell ref="AN421:AN439"/>
    <mergeCell ref="AN440:AN453"/>
    <mergeCell ref="AN455:AN473"/>
    <mergeCell ref="AN474:AN478"/>
    <mergeCell ref="AN484:AN494"/>
    <mergeCell ref="AN497:AN499"/>
    <mergeCell ref="AN501:AN519"/>
    <mergeCell ref="AN520:AN526"/>
    <mergeCell ref="AN530:AN534"/>
    <mergeCell ref="AX10:AX37"/>
    <mergeCell ref="AX39:AX68"/>
    <mergeCell ref="AX72:AX73"/>
    <mergeCell ref="AX75:AX78"/>
    <mergeCell ref="AX80:AX81"/>
    <mergeCell ref="AX83:AX84"/>
    <mergeCell ref="AX94:AX123"/>
    <mergeCell ref="AX125:AX153"/>
    <mergeCell ref="AX160:AX161"/>
    <mergeCell ref="AX165:AX184"/>
    <mergeCell ref="AX186:AX199"/>
    <mergeCell ref="AX203:AX237"/>
    <mergeCell ref="AX239:AX295"/>
    <mergeCell ref="AX303:AX324"/>
    <mergeCell ref="AX326:AX453"/>
    <mergeCell ref="AX455:AX478"/>
    <mergeCell ref="AX484:AX534"/>
    <mergeCell ref="AY10:AY37"/>
    <mergeCell ref="AY39:AY68"/>
    <mergeCell ref="AY72:AY84"/>
    <mergeCell ref="AY94:AY123"/>
    <mergeCell ref="AY125:AY153"/>
    <mergeCell ref="AY160:AY161"/>
    <mergeCell ref="AY165:AY184"/>
    <mergeCell ref="AY186:AY199"/>
    <mergeCell ref="AY205:AY237"/>
    <mergeCell ref="AY239:AY295"/>
    <mergeCell ref="AY303:AY324"/>
    <mergeCell ref="AY326:AY453"/>
    <mergeCell ref="AY455:AY478"/>
    <mergeCell ref="AY484:AY495"/>
    <mergeCell ref="AY497:AY499"/>
    <mergeCell ref="AY501:AY526"/>
    <mergeCell ref="AY530:AY534"/>
    <mergeCell ref="AZ10:AZ37"/>
    <mergeCell ref="AZ39:AZ68"/>
    <mergeCell ref="AZ72:AZ78"/>
    <mergeCell ref="AZ83:AZ84"/>
    <mergeCell ref="AZ94:AZ123"/>
    <mergeCell ref="AZ125:AZ153"/>
    <mergeCell ref="AZ160:AZ161"/>
    <mergeCell ref="AZ167:AZ168"/>
    <mergeCell ref="AZ170:AZ184"/>
    <mergeCell ref="AZ186:AZ199"/>
    <mergeCell ref="AZ205:AZ237"/>
    <mergeCell ref="AZ239:AZ295"/>
    <mergeCell ref="AZ303:AZ324"/>
    <mergeCell ref="AZ326:AZ453"/>
    <mergeCell ref="AZ455:AZ478"/>
    <mergeCell ref="AZ484:AZ494"/>
    <mergeCell ref="AZ497:AZ499"/>
    <mergeCell ref="AZ501:AZ526"/>
    <mergeCell ref="AZ530:AZ534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C27"/>
  <sheetViews>
    <sheetView workbookViewId="0">
      <selection activeCell="J17" sqref="J17"/>
    </sheetView>
  </sheetViews>
  <sheetFormatPr defaultColWidth="8.61666666666667" defaultRowHeight="13.5" outlineLevelCol="2"/>
  <cols>
    <col min="1" max="1" width="5.48333333333333" style="429" customWidth="1"/>
    <col min="2" max="2" width="15.7583333333333" style="429" customWidth="1"/>
    <col min="3" max="3" width="18.3" style="429" customWidth="1"/>
    <col min="4" max="16384" width="8.61666666666667" style="429"/>
  </cols>
  <sheetData>
    <row r="3" spans="1:3">
      <c r="A3" s="429" t="s">
        <v>1514</v>
      </c>
      <c r="B3" s="429" t="s">
        <v>1515</v>
      </c>
      <c r="C3" s="429" t="s">
        <v>1516</v>
      </c>
    </row>
    <row r="4" ht="22" customHeight="1" spans="1:3">
      <c r="B4" s="429" t="s">
        <v>1517</v>
      </c>
      <c r="C4" s="771">
        <f>SUMIFS('5.21出货明细'!AA:AA,'5.21出货明细'!I:I,B4)</f>
        <v>0</v>
      </c>
    </row>
    <row r="5" ht="22" customHeight="1" spans="1:3">
      <c r="B5" s="429" t="s">
        <v>1518</v>
      </c>
      <c r="C5" s="771">
        <f>SUMIFS('5.21出货明细'!AA:AA,'5.21出货明细'!I:I,B5)</f>
        <v>0</v>
      </c>
    </row>
    <row r="6" ht="22" customHeight="1" spans="1:3">
      <c r="B6" s="429" t="s">
        <v>1519</v>
      </c>
      <c r="C6" s="771">
        <f>SUMIFS('5.21出货明细'!AA:AA,'5.21出货明细'!I:I,B6)</f>
        <v>0</v>
      </c>
    </row>
    <row r="7" ht="22" customHeight="1" spans="1:3">
      <c r="B7" s="429" t="s">
        <v>1520</v>
      </c>
      <c r="C7" s="771">
        <f>SUMIFS('5.21出货明细'!AA:AA,'5.21出货明细'!I:I,B7)</f>
        <v>0</v>
      </c>
    </row>
    <row r="8" ht="22" customHeight="1" spans="1:3">
      <c r="B8" s="429" t="s">
        <v>1521</v>
      </c>
      <c r="C8" s="771">
        <f>SUMIFS('5.21出货明细'!AA:AA,'5.21出货明细'!I:I,B8)</f>
        <v>0</v>
      </c>
    </row>
    <row r="9" ht="22" customHeight="1" spans="1:3">
      <c r="B9" s="429" t="s">
        <v>1522</v>
      </c>
      <c r="C9" s="771">
        <f>SUMIFS('5.21出货明细'!AA:AA,'5.21出货明细'!I:I,B9)</f>
        <v>1411.8</v>
      </c>
    </row>
    <row r="10" ht="22" customHeight="1" spans="1:3">
      <c r="B10" s="429" t="s">
        <v>1523</v>
      </c>
      <c r="C10" s="771">
        <f>SUMIFS('5.21出货明细'!AA:AA,'5.21出货明细'!I:I,B10)</f>
        <v>0</v>
      </c>
    </row>
    <row r="11" ht="22" customHeight="1" spans="1:3">
      <c r="B11" s="429" t="s">
        <v>1524</v>
      </c>
      <c r="C11" s="771">
        <f>SUMIFS('5.21出货明细'!AA:AA,'5.21出货明细'!I:I,B11)</f>
        <v>0</v>
      </c>
    </row>
    <row r="12" ht="22" customHeight="1" spans="1:3">
      <c r="B12" s="429" t="s">
        <v>1525</v>
      </c>
      <c r="C12" s="771">
        <f>SUMIFS('5.21出货明细'!AA:AA,'5.21出货明细'!I:I,B12)</f>
        <v>0</v>
      </c>
    </row>
    <row r="13" ht="22" customHeight="1" spans="1:3">
      <c r="B13" s="429" t="s">
        <v>1526</v>
      </c>
      <c r="C13" s="771">
        <f>SUMIFS('5.21出货明细'!AA:AA,'5.21出货明细'!I:I,B13)</f>
        <v>0</v>
      </c>
    </row>
    <row r="14" ht="22" customHeight="1" spans="1:3">
      <c r="B14" s="429" t="s">
        <v>1527</v>
      </c>
      <c r="C14" s="771">
        <f>SUMIFS('5.21出货明细'!AA:AA,'5.21出货明细'!I:I,B14)</f>
        <v>0</v>
      </c>
    </row>
    <row r="15" ht="22" customHeight="1" spans="1:3">
      <c r="B15" s="429" t="s">
        <v>1528</v>
      </c>
      <c r="C15" s="771">
        <f>SUMIFS('5.21出货明细'!AA:AA,'5.21出货明细'!I:I,B15)</f>
        <v>0</v>
      </c>
    </row>
    <row r="16" ht="22" customHeight="1" spans="1:3">
      <c r="B16" s="429" t="s">
        <v>1529</v>
      </c>
      <c r="C16" s="771">
        <f>SUMIFS('5.21出货明细'!AA:AA,'5.21出货明细'!I:I,B16)</f>
        <v>0</v>
      </c>
    </row>
    <row r="17" ht="22" customHeight="1" spans="2:3">
      <c r="B17" s="429" t="s">
        <v>1530</v>
      </c>
      <c r="C17" s="771">
        <f>SUMIFS('5.21出货明细'!AA:AA,'5.21出货明细'!I:I,B17)</f>
        <v>0</v>
      </c>
    </row>
    <row r="18" ht="22" customHeight="1" spans="2:3">
      <c r="B18" s="429" t="s">
        <v>1531</v>
      </c>
      <c r="C18" s="771">
        <f>SUMIFS('5.21出货明细'!AA:AA,'5.21出货明细'!I:I,B18)</f>
        <v>0</v>
      </c>
    </row>
    <row r="19" ht="22" customHeight="1" spans="2:3">
      <c r="B19" s="429" t="s">
        <v>1532</v>
      </c>
      <c r="C19" s="771">
        <f>SUMIFS('5.21出货明细'!AA:AA,'5.21出货明细'!I:I,B19)</f>
        <v>0</v>
      </c>
    </row>
    <row r="20" ht="23" customHeight="1" spans="2:3">
      <c r="B20" s="429" t="s">
        <v>1533</v>
      </c>
      <c r="C20" s="771">
        <f>SUMIFS('5.21出货明细'!AA:AA,'5.21出货明细'!I:I,B20)</f>
        <v>0</v>
      </c>
    </row>
    <row r="21" ht="23" customHeight="1" spans="2:3">
      <c r="B21" s="429" t="s">
        <v>1534</v>
      </c>
      <c r="C21" s="771">
        <f>SUMIFS('5.21出货明细'!AA:AA,'5.21出货明细'!I:I,B21)</f>
        <v>0</v>
      </c>
    </row>
    <row r="22" spans="2:3">
      <c r="B22" s="429" t="s">
        <v>1535</v>
      </c>
      <c r="C22" s="771">
        <f>SUMIFS('5.21出货明细'!AA:AA,'5.21出货明细'!I:I,B22)</f>
        <v>0</v>
      </c>
    </row>
    <row r="23" spans="2:3">
      <c r="B23" s="429" t="s">
        <v>1536</v>
      </c>
      <c r="C23" s="771">
        <f>SUMIFS('5.21出货明细'!AA:AA,'5.21出货明细'!I:I,B23)</f>
        <v>0</v>
      </c>
    </row>
    <row r="24" spans="2:3">
      <c r="B24" s="429" t="s">
        <v>1537</v>
      </c>
      <c r="C24" s="771">
        <f>SUMIFS('5.21出货明细'!AA:AA,'5.21出货明细'!I:I,B24)</f>
        <v>0</v>
      </c>
    </row>
    <row r="25" spans="2:3">
      <c r="B25" s="429" t="s">
        <v>1538</v>
      </c>
      <c r="C25" s="771">
        <f>SUMIFS('5.21出货明细'!AA:AA,'5.21出货明细'!I:I,B25)</f>
        <v>0</v>
      </c>
    </row>
    <row r="26" spans="2:3">
      <c r="B26" s="429" t="s">
        <v>1539</v>
      </c>
    </row>
    <row r="27" spans="2:3">
      <c r="C27" s="772">
        <f>SUM(C4:C26)</f>
        <v>1411.8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97"/>
  <sheetViews>
    <sheetView zoomScale="70" zoomScaleNormal="70" topLeftCell="A105" workbookViewId="0">
      <selection activeCell="B80" sqref="B80"/>
    </sheetView>
  </sheetViews>
  <sheetFormatPr defaultColWidth="19.3" defaultRowHeight="13.5" outlineLevelCol="7"/>
  <cols>
    <col min="1" max="1" width="6.63333333333333" customWidth="1"/>
    <col min="2" max="2" width="28.6666666666667" customWidth="1"/>
    <col min="3" max="3" width="65.0583333333333" customWidth="1"/>
    <col min="4" max="4" width="15.675" customWidth="1"/>
    <col min="5" max="5" width="11.9916666666667" customWidth="1"/>
    <col min="6" max="6" width="19.2833333333333" customWidth="1"/>
    <col min="7" max="7" width="21.6" customWidth="1"/>
    <col min="8" max="8" width="16.9666666666667" customWidth="1"/>
    <col min="9" max="16384" width="19.3" customWidth="1"/>
  </cols>
  <sheetData>
    <row r="1" customFormat="1" ht="30" customHeight="1" spans="2:8">
      <c r="B1" s="701" t="s">
        <v>1540</v>
      </c>
      <c r="C1" s="701"/>
      <c r="D1" s="701"/>
      <c r="E1" s="701"/>
      <c r="F1" s="701"/>
      <c r="G1" s="701"/>
      <c r="H1" s="701"/>
    </row>
    <row r="2" customFormat="1" ht="18" spans="2:8">
      <c r="B2" s="702" t="s">
        <v>1541</v>
      </c>
      <c r="C2" s="702"/>
      <c r="D2" s="702"/>
      <c r="E2" s="702"/>
      <c r="F2" s="702"/>
      <c r="G2" s="702"/>
      <c r="H2" s="702"/>
    </row>
    <row r="3" customFormat="1" ht="42" customHeight="1" spans="2:8">
      <c r="B3" s="703" t="s">
        <v>1542</v>
      </c>
      <c r="C3" s="703"/>
      <c r="D3" s="703"/>
      <c r="E3" s="703"/>
      <c r="F3" s="703"/>
      <c r="G3" s="703"/>
      <c r="H3" s="703"/>
    </row>
    <row r="4" customFormat="1" ht="18" spans="2:8">
      <c r="B4" s="704"/>
      <c r="C4" s="705"/>
      <c r="D4" s="705"/>
      <c r="E4" s="706"/>
      <c r="F4" s="707"/>
      <c r="G4" s="708"/>
      <c r="H4" s="654"/>
    </row>
    <row r="5" customFormat="1" ht="18.75" spans="2:8">
      <c r="B5" s="709" t="s">
        <v>1543</v>
      </c>
      <c r="C5" s="710" t="s">
        <v>1540</v>
      </c>
      <c r="D5" s="710"/>
      <c r="E5" s="710"/>
      <c r="F5" s="711"/>
      <c r="G5" s="712" t="s">
        <v>1544</v>
      </c>
      <c r="H5" s="642" t="s">
        <v>1545</v>
      </c>
    </row>
    <row r="6" customFormat="1" ht="18.75" spans="2:8">
      <c r="B6" s="709"/>
      <c r="C6" s="710" t="s">
        <v>1546</v>
      </c>
      <c r="D6" s="710"/>
      <c r="E6" s="710"/>
      <c r="F6" s="711"/>
      <c r="G6" s="712"/>
      <c r="H6" s="645"/>
    </row>
    <row r="7" customFormat="1" ht="18.75" spans="2:8">
      <c r="B7" s="713"/>
      <c r="C7" s="654" t="s">
        <v>1547</v>
      </c>
      <c r="D7" s="714"/>
      <c r="E7" s="710"/>
      <c r="F7" s="711"/>
      <c r="G7" s="715"/>
      <c r="H7" s="716"/>
    </row>
    <row r="8" customFormat="1" ht="18.75" spans="2:8">
      <c r="B8" s="654"/>
      <c r="C8" s="640" t="s">
        <v>1548</v>
      </c>
      <c r="D8" s="640"/>
      <c r="E8" s="640"/>
      <c r="F8" s="640"/>
      <c r="G8" s="717"/>
      <c r="H8" s="718"/>
    </row>
    <row r="9" customFormat="1" ht="18.75" spans="2:8">
      <c r="B9" s="711"/>
      <c r="C9" s="640"/>
      <c r="D9" s="640"/>
      <c r="E9" s="640"/>
      <c r="F9" s="640"/>
      <c r="G9" s="719" t="s">
        <v>1549</v>
      </c>
      <c r="H9" s="720">
        <v>46076</v>
      </c>
    </row>
    <row r="10" customFormat="1" ht="35" customHeight="1" spans="2:8">
      <c r="B10" s="709"/>
      <c r="C10" s="640"/>
      <c r="D10" s="640"/>
      <c r="E10" s="640"/>
      <c r="F10" s="640"/>
      <c r="G10" s="719"/>
      <c r="H10" s="721"/>
    </row>
    <row r="11" customFormat="1" ht="18.75" spans="2:8">
      <c r="B11" s="652" t="s">
        <v>1550</v>
      </c>
      <c r="C11" s="654" t="s">
        <v>1551</v>
      </c>
      <c r="D11" s="654"/>
      <c r="E11" s="654"/>
      <c r="F11" s="711"/>
      <c r="G11" s="722"/>
      <c r="H11" s="716"/>
    </row>
    <row r="12" customFormat="1" ht="18.75" spans="2:8">
      <c r="B12" s="652"/>
      <c r="C12" s="653" t="s">
        <v>1552</v>
      </c>
      <c r="D12" s="653"/>
      <c r="E12" s="653"/>
      <c r="F12" s="711"/>
      <c r="G12" s="722"/>
      <c r="H12" s="716"/>
    </row>
    <row r="13" customFormat="1" ht="48" customHeight="1" spans="2:8">
      <c r="B13" s="654" t="s">
        <v>1553</v>
      </c>
      <c r="C13" s="637" t="s">
        <v>1554</v>
      </c>
      <c r="D13" s="637"/>
      <c r="E13" s="637"/>
      <c r="F13" s="637"/>
      <c r="G13" s="719" t="s">
        <v>1555</v>
      </c>
      <c r="H13" s="642" t="s">
        <v>1556</v>
      </c>
    </row>
    <row r="14" customFormat="1" ht="24" customHeight="1" spans="2:8">
      <c r="B14" s="723"/>
      <c r="C14" s="637"/>
      <c r="D14" s="637"/>
      <c r="E14" s="637"/>
      <c r="F14" s="637"/>
      <c r="G14" s="719"/>
      <c r="H14" s="724"/>
    </row>
    <row r="15" customFormat="1" ht="18" spans="2:8">
      <c r="B15" s="725" t="s">
        <v>1557</v>
      </c>
      <c r="C15" s="654" t="s">
        <v>1558</v>
      </c>
      <c r="D15" s="654"/>
      <c r="E15" s="654"/>
      <c r="F15" s="726"/>
      <c r="G15" s="727"/>
      <c r="H15" s="706"/>
    </row>
    <row r="16" customFormat="1" ht="40" customHeight="1" spans="2:8">
      <c r="B16" s="725"/>
      <c r="C16" s="637" t="s">
        <v>1559</v>
      </c>
      <c r="D16" s="637"/>
      <c r="E16" s="637"/>
      <c r="F16" s="637"/>
      <c r="G16" s="727"/>
      <c r="H16" s="706"/>
    </row>
    <row r="17" customFormat="1" ht="18" spans="1:8">
      <c r="B17" s="725"/>
      <c r="C17" s="654" t="s">
        <v>1560</v>
      </c>
      <c r="D17" s="654"/>
      <c r="E17" s="654"/>
      <c r="F17" s="726"/>
      <c r="G17" s="727"/>
      <c r="H17" s="706"/>
    </row>
    <row r="18" customFormat="1" ht="18" spans="1:8">
      <c r="B18" s="725"/>
      <c r="C18" s="654" t="s">
        <v>1561</v>
      </c>
      <c r="D18" s="654"/>
      <c r="E18" s="654"/>
      <c r="F18" s="726"/>
      <c r="G18" s="706"/>
      <c r="H18" s="706"/>
    </row>
    <row r="19" customFormat="1" ht="15.75" spans="1:8">
      <c r="B19" s="728" t="s">
        <v>1562</v>
      </c>
      <c r="C19" s="729"/>
      <c r="D19" s="729"/>
      <c r="E19" s="729"/>
      <c r="F19" s="704"/>
      <c r="G19" s="706"/>
      <c r="H19" s="706"/>
    </row>
    <row r="20" customFormat="1" ht="15" spans="1:8">
      <c r="B20" s="730" t="s">
        <v>1563</v>
      </c>
      <c r="C20" s="730"/>
      <c r="D20" s="730"/>
      <c r="E20" s="730"/>
      <c r="F20" s="730"/>
      <c r="G20" s="730"/>
      <c r="H20" s="730"/>
    </row>
    <row r="21" customFormat="1" ht="2" customHeight="1" spans="1:8">
      <c r="B21" s="731"/>
      <c r="C21" s="732"/>
      <c r="D21" s="733"/>
      <c r="E21" s="732"/>
      <c r="F21" s="732"/>
      <c r="G21" s="732"/>
      <c r="H21" s="706"/>
    </row>
    <row r="22" customFormat="1" ht="36" spans="1:8">
      <c r="B22" s="734" t="s">
        <v>1564</v>
      </c>
      <c r="C22" s="734" t="s">
        <v>1565</v>
      </c>
      <c r="D22" s="734" t="s">
        <v>1566</v>
      </c>
      <c r="E22" s="735" t="s">
        <v>1567</v>
      </c>
      <c r="F22" s="736" t="s">
        <v>1568</v>
      </c>
      <c r="G22" s="734" t="s">
        <v>1569</v>
      </c>
      <c r="H22" s="734" t="s">
        <v>1570</v>
      </c>
    </row>
    <row r="23" customFormat="1" ht="18" spans="1:8">
      <c r="B23" s="734"/>
      <c r="C23" s="734"/>
      <c r="D23" s="734"/>
      <c r="E23" s="735"/>
      <c r="F23" s="737" t="s">
        <v>1571</v>
      </c>
      <c r="G23" s="737"/>
      <c r="H23" s="734"/>
    </row>
    <row r="24" customFormat="1" ht="41" customHeight="1" spans="1:8">
      <c r="A24" s="429">
        <v>1</v>
      </c>
      <c r="B24" s="738" t="e" cm="1">
        <f t="array" ref="B24">LOOKUP(1,0/(('5.21出货明细'!V:V=$H$5)*('5.21出货明细'!A:A=A24)),'5.21出货明细'!D:D)</f>
        <v>#N/A</v>
      </c>
      <c r="C24" s="738" t="e" cm="1">
        <f t="array" ref="C24">LOOKUP(1,0/(('5.21出货明细'!V:V=$H$5)*('5.21出货明细'!A:A=A24)),'5.21出货明细'!G:G&amp;'5.21出货明细'!F:F)</f>
        <v>#N/A</v>
      </c>
      <c r="D24" s="738" t="e">
        <f t="array" ref="D24">LOOKUP(1,0/(('5.21出货明细'!V:V=$H$5)*('5.21出货明细'!A:A=A24)),'5.21出货明细'!K:K)</f>
        <v>#N/A</v>
      </c>
      <c r="E24" s="680" t="e">
        <f t="array" ref="E24">LOOKUP(1,0/(('5.21出货明细'!V:V=$H$5)*('5.21出货明细'!A:A=A24)),'5.21出货明细'!J:J)</f>
        <v>#N/A</v>
      </c>
      <c r="F24" s="683" t="e">
        <f t="array" ref="F24">LOOKUP(1,0/(('5.21出货明细'!V:V=$H$5)*('5.21出货明细'!A:A=A24)),'5.21出货明细'!Z:Z)</f>
        <v>#N/A</v>
      </c>
      <c r="G24" s="683" t="e">
        <f t="shared" ref="G24:G41" si="0">F24*D24</f>
        <v>#N/A</v>
      </c>
      <c r="H24" s="734"/>
    </row>
    <row r="25" customFormat="1" ht="41" customHeight="1" spans="1:8">
      <c r="A25" s="429">
        <v>2</v>
      </c>
      <c r="B25" s="738" t="e">
        <f t="array" ref="B25">LOOKUP(1,0/(('5.21出货明细'!V:V=$H$5)*('5.21出货明细'!A:A=A25)),'5.21出货明细'!D:D)</f>
        <v>#N/A</v>
      </c>
      <c r="C25" s="738" t="e">
        <f t="array" ref="C25">LOOKUP(1,0/(('5.21出货明细'!V:V=$H$5)*('5.21出货明细'!A:A=A25)),'5.21出货明细'!G:G&amp;'5.21出货明细'!F:F)</f>
        <v>#N/A</v>
      </c>
      <c r="D25" s="738" t="e">
        <f t="array" ref="D25">LOOKUP(1,0/(('5.21出货明细'!V:V=$H$5)*('5.21出货明细'!A:A=A25)),'5.21出货明细'!K:K)</f>
        <v>#N/A</v>
      </c>
      <c r="E25" s="680" t="e">
        <f t="array" ref="E25">LOOKUP(1,0/(('5.21出货明细'!V:V=$H$5)*('5.21出货明细'!A:A=A25)),'5.21出货明细'!J:J)</f>
        <v>#N/A</v>
      </c>
      <c r="F25" s="685" t="e">
        <f t="array" ref="F25">LOOKUP(1,0/(('5.21出货明细'!V:V=$H$5)*('5.21出货明细'!A:A=A25)),'5.21出货明细'!Z:Z)</f>
        <v>#N/A</v>
      </c>
      <c r="G25" s="683" t="e">
        <f t="shared" si="0"/>
        <v>#N/A</v>
      </c>
      <c r="H25" s="734"/>
    </row>
    <row r="26" customFormat="1" ht="41" customHeight="1" spans="1:8">
      <c r="A26" s="429">
        <v>3</v>
      </c>
      <c r="B26" s="738" t="e">
        <f t="array" ref="B26">LOOKUP(1,0/(('5.21出货明细'!V:V=$H$5)*('5.21出货明细'!A:A=A26)),'5.21出货明细'!D:D)</f>
        <v>#N/A</v>
      </c>
      <c r="C26" s="738" t="e">
        <f t="array" ref="C26">LOOKUP(1,0/(('5.21出货明细'!V:V=$H$5)*('5.21出货明细'!A:A=A26)),'5.21出货明细'!G:G&amp;'5.21出货明细'!F:F)</f>
        <v>#N/A</v>
      </c>
      <c r="D26" s="738" t="e">
        <f t="array" ref="D26">LOOKUP(1,0/(('5.21出货明细'!V:V=$H$5)*('5.21出货明细'!A:A=A26)),'5.21出货明细'!K:K)</f>
        <v>#N/A</v>
      </c>
      <c r="E26" s="680" t="e">
        <f t="array" ref="E26">LOOKUP(1,0/(('5.21出货明细'!V:V=$H$5)*('5.21出货明细'!A:A=A26)),'5.21出货明细'!J:J)</f>
        <v>#N/A</v>
      </c>
      <c r="F26" s="683" t="e">
        <f t="array" ref="F26">LOOKUP(1,0/(('5.21出货明细'!V:V=$H$5)*('5.21出货明细'!A:A=A26)),'5.21出货明细'!Z:Z)</f>
        <v>#N/A</v>
      </c>
      <c r="G26" s="683" t="e">
        <f t="shared" si="0"/>
        <v>#N/A</v>
      </c>
      <c r="H26" s="734"/>
    </row>
    <row r="27" customFormat="1" ht="41" customHeight="1" spans="1:8">
      <c r="A27" s="429">
        <v>4</v>
      </c>
      <c r="B27" s="738" t="e">
        <f t="array" ref="B27">LOOKUP(1,0/(('5.21出货明细'!V:V=$H$5)*('5.21出货明细'!A:A=A27)),'5.21出货明细'!D:D)</f>
        <v>#N/A</v>
      </c>
      <c r="C27" s="738" t="e">
        <f t="array" ref="C27">LOOKUP(1,0/(('5.21出货明细'!V:V=$H$5)*('5.21出货明细'!A:A=A27)),'5.21出货明细'!G:G&amp;'5.21出货明细'!F:F)</f>
        <v>#N/A</v>
      </c>
      <c r="D27" s="738" t="e">
        <f t="array" ref="D27">LOOKUP(1,0/(('5.21出货明细'!V:V=$H$5)*('5.21出货明细'!A:A=A27)),'5.21出货明细'!K:K)</f>
        <v>#N/A</v>
      </c>
      <c r="E27" s="680" t="e">
        <f t="array" ref="E27">LOOKUP(1,0/(('5.21出货明细'!V:V=$H$5)*('5.21出货明细'!A:A=A27)),'5.21出货明细'!J:J)</f>
        <v>#N/A</v>
      </c>
      <c r="F27" s="683" t="e">
        <f t="array" ref="F27">LOOKUP(1,0/(('5.21出货明细'!V:V=$H$5)*('5.21出货明细'!A:A=A27)),'5.21出货明细'!Z:Z)</f>
        <v>#N/A</v>
      </c>
      <c r="G27" s="683" t="e">
        <f t="shared" si="0"/>
        <v>#N/A</v>
      </c>
      <c r="H27" s="734"/>
    </row>
    <row r="28" customFormat="1" ht="41" customHeight="1" spans="1:8">
      <c r="A28" s="429">
        <v>5</v>
      </c>
      <c r="B28" s="738" t="e">
        <f t="array" ref="B28">LOOKUP(1,0/(('5.21出货明细'!V:V=$H$5)*('5.21出货明细'!A:A=A28)),'5.21出货明细'!D:D)</f>
        <v>#N/A</v>
      </c>
      <c r="C28" s="738" t="e">
        <f t="array" ref="C28">LOOKUP(1,0/(('5.21出货明细'!V:V=$H$5)*('5.21出货明细'!A:A=A28)),'5.21出货明细'!G:G&amp;'5.21出货明细'!F:F)</f>
        <v>#N/A</v>
      </c>
      <c r="D28" s="738" t="e">
        <f t="array" ref="D28">LOOKUP(1,0/(('5.21出货明细'!V:V=$H$5)*('5.21出货明细'!A:A=A28)),'5.21出货明细'!K:K)</f>
        <v>#N/A</v>
      </c>
      <c r="E28" s="680" t="e">
        <f t="array" ref="E28">LOOKUP(1,0/(('5.21出货明细'!V:V=$H$5)*('5.21出货明细'!A:A=A28)),'5.21出货明细'!J:J)</f>
        <v>#N/A</v>
      </c>
      <c r="F28" s="683" t="e">
        <f t="array" ref="F28">LOOKUP(1,0/(('5.21出货明细'!V:V=$H$5)*('5.21出货明细'!A:A=A28)),'5.21出货明细'!Z:Z)</f>
        <v>#N/A</v>
      </c>
      <c r="G28" s="683" t="e">
        <f t="shared" si="0"/>
        <v>#N/A</v>
      </c>
      <c r="H28" s="734"/>
    </row>
    <row r="29" customFormat="1" ht="41" customHeight="1" spans="1:8">
      <c r="A29" s="429">
        <v>6</v>
      </c>
      <c r="B29" s="738" t="e">
        <f t="array" ref="B29">LOOKUP(1,0/(('5.21出货明细'!V:V=$H$5)*('5.21出货明细'!A:A=A29)),'5.21出货明细'!D:D)</f>
        <v>#N/A</v>
      </c>
      <c r="C29" s="738" t="e">
        <f t="array" ref="C29">LOOKUP(1,0/(('5.21出货明细'!V:V=$H$5)*('5.21出货明细'!A:A=A29)),'5.21出货明细'!G:G&amp;'5.21出货明细'!F:F)</f>
        <v>#N/A</v>
      </c>
      <c r="D29" s="738" t="e">
        <f t="array" ref="D29">LOOKUP(1,0/(('5.21出货明细'!V:V=$H$5)*('5.21出货明细'!A:A=A29)),'5.21出货明细'!K:K)</f>
        <v>#N/A</v>
      </c>
      <c r="E29" s="680" t="e">
        <f t="array" ref="E29">LOOKUP(1,0/(('5.21出货明细'!V:V=$H$5)*('5.21出货明细'!A:A=A29)),'5.21出货明细'!J:J)</f>
        <v>#N/A</v>
      </c>
      <c r="F29" s="683" t="e">
        <f t="array" ref="F29">LOOKUP(1,0/(('5.21出货明细'!V:V=$H$5)*('5.21出货明细'!A:A=A29)),'5.21出货明细'!Z:Z)</f>
        <v>#N/A</v>
      </c>
      <c r="G29" s="683" t="e">
        <f t="shared" si="0"/>
        <v>#N/A</v>
      </c>
      <c r="H29" s="734"/>
    </row>
    <row r="30" customFormat="1" ht="41" customHeight="1" spans="1:8">
      <c r="A30" s="429">
        <v>7</v>
      </c>
      <c r="B30" s="738" t="e">
        <f t="array" ref="B30">LOOKUP(1,0/(('5.21出货明细'!V:V=$H$5)*('5.21出货明细'!A:A=A30)),'5.21出货明细'!D:D)</f>
        <v>#N/A</v>
      </c>
      <c r="C30" s="738" t="e">
        <f t="array" ref="C30">LOOKUP(1,0/(('5.21出货明细'!V:V=$H$5)*('5.21出货明细'!A:A=A30)),'5.21出货明细'!G:G&amp;'5.21出货明细'!F:F)</f>
        <v>#N/A</v>
      </c>
      <c r="D30" s="738" t="e">
        <f t="array" ref="D30">LOOKUP(1,0/(('5.21出货明细'!V:V=$H$5)*('5.21出货明细'!A:A=A30)),'5.21出货明细'!K:K)</f>
        <v>#N/A</v>
      </c>
      <c r="E30" s="680" t="e">
        <f t="array" ref="E30">LOOKUP(1,0/(('5.21出货明细'!V:V=$H$5)*('5.21出货明细'!A:A=A30)),'5.21出货明细'!J:J)</f>
        <v>#N/A</v>
      </c>
      <c r="F30" s="683" t="e">
        <f t="array" ref="F30">LOOKUP(1,0/(('5.21出货明细'!V:V=$H$5)*('5.21出货明细'!A:A=A30)),'5.21出货明细'!Z:Z)</f>
        <v>#N/A</v>
      </c>
      <c r="G30" s="683" t="e">
        <f t="shared" si="0"/>
        <v>#N/A</v>
      </c>
      <c r="H30" s="734"/>
    </row>
    <row r="31" customFormat="1" ht="41" customHeight="1" spans="1:8">
      <c r="A31" s="429">
        <v>8</v>
      </c>
      <c r="B31" s="738" t="e">
        <f t="array" ref="B31">LOOKUP(1,0/(('5.21出货明细'!V:V=$H$5)*('5.21出货明细'!A:A=A31)),'5.21出货明细'!D:D)</f>
        <v>#N/A</v>
      </c>
      <c r="C31" s="738" t="e">
        <f t="array" ref="C31">LOOKUP(1,0/(('5.21出货明细'!V:V=$H$5)*('5.21出货明细'!A:A=A31)),'5.21出货明细'!G:G&amp;'5.21出货明细'!F:F)</f>
        <v>#N/A</v>
      </c>
      <c r="D31" s="738" t="e">
        <f t="array" ref="D31">LOOKUP(1,0/(('5.21出货明细'!V:V=$H$5)*('5.21出货明细'!A:A=A31)),'5.21出货明细'!K:K)</f>
        <v>#N/A</v>
      </c>
      <c r="E31" s="680" t="e">
        <f t="array" ref="E31">LOOKUP(1,0/(('5.21出货明细'!V:V=$H$5)*('5.21出货明细'!A:A=A31)),'5.21出货明细'!J:J)</f>
        <v>#N/A</v>
      </c>
      <c r="F31" s="686" t="e">
        <f t="array" ref="F31">LOOKUP(1,0/(('5.21出货明细'!V:V=$H$5)*('5.21出货明细'!A:A=A31)),'5.21出货明细'!Z:Z)</f>
        <v>#N/A</v>
      </c>
      <c r="G31" s="683" t="e">
        <f t="shared" si="0"/>
        <v>#N/A</v>
      </c>
      <c r="H31" s="734"/>
    </row>
    <row r="32" customFormat="1" ht="41" customHeight="1" spans="1:8">
      <c r="A32" s="429">
        <v>9</v>
      </c>
      <c r="B32" s="738" t="e">
        <f t="array" ref="B32">LOOKUP(1,0/(('5.21出货明细'!V:V=$H$5)*('5.21出货明细'!A:A=A32)),'5.21出货明细'!D:D)</f>
        <v>#N/A</v>
      </c>
      <c r="C32" s="738" t="e">
        <f t="array" ref="C32">LOOKUP(1,0/(('5.21出货明细'!V:V=$H$5)*('5.21出货明细'!A:A=A32)),'5.21出货明细'!G:G&amp;'5.21出货明细'!F:F)</f>
        <v>#N/A</v>
      </c>
      <c r="D32" s="738" t="e">
        <f t="array" ref="D32">LOOKUP(1,0/(('5.21出货明细'!V:V=$H$5)*('5.21出货明细'!A:A=A32)),'5.21出货明细'!K:K)</f>
        <v>#N/A</v>
      </c>
      <c r="E32" s="680" t="e">
        <f t="array" ref="E32">LOOKUP(1,0/(('5.21出货明细'!V:V=$H$5)*('5.21出货明细'!A:A=A32)),'5.21出货明细'!J:J)</f>
        <v>#N/A</v>
      </c>
      <c r="F32" s="683" t="e">
        <f t="array" ref="F32">LOOKUP(1,0/(('5.21出货明细'!V:V=$H$5)*('5.21出货明细'!A:A=A32)),'5.21出货明细'!Z:Z)</f>
        <v>#N/A</v>
      </c>
      <c r="G32" s="683" t="e">
        <f t="shared" si="0"/>
        <v>#N/A</v>
      </c>
      <c r="H32" s="734"/>
    </row>
    <row r="33" customFormat="1" ht="41" customHeight="1" spans="1:8">
      <c r="A33" s="429">
        <v>10</v>
      </c>
      <c r="B33" s="738" t="e">
        <f t="array" ref="B33">LOOKUP(1,0/(('5.21出货明细'!V:V=$H$5)*('5.21出货明细'!A:A=A33)),'5.21出货明细'!D:D)</f>
        <v>#N/A</v>
      </c>
      <c r="C33" s="738" t="e">
        <f t="array" ref="C33">LOOKUP(1,0/(('5.21出货明细'!V:V=$H$5)*('5.21出货明细'!A:A=A33)),'5.21出货明细'!G:G&amp;'5.21出货明细'!F:F)</f>
        <v>#N/A</v>
      </c>
      <c r="D33" s="738" t="e">
        <f t="array" ref="D33">LOOKUP(1,0/(('5.21出货明细'!V:V=$H$5)*('5.21出货明细'!A:A=A33)),'5.21出货明细'!K:K)</f>
        <v>#N/A</v>
      </c>
      <c r="E33" s="680" t="e">
        <f t="array" ref="E33">LOOKUP(1,0/(('5.21出货明细'!V:V=$H$5)*('5.21出货明细'!A:A=A33)),'5.21出货明细'!J:J)</f>
        <v>#N/A</v>
      </c>
      <c r="F33" s="683" t="e">
        <f t="array" ref="F33">LOOKUP(1,0/(('5.21出货明细'!V:V=$H$5)*('5.21出货明细'!A:A=A33)),'5.21出货明细'!Z:Z)</f>
        <v>#N/A</v>
      </c>
      <c r="G33" s="683" t="e">
        <f t="shared" si="0"/>
        <v>#N/A</v>
      </c>
      <c r="H33" s="734"/>
    </row>
    <row r="34" customFormat="1" ht="41" customHeight="1" spans="1:8">
      <c r="A34" s="429">
        <v>11</v>
      </c>
      <c r="B34" s="738" t="e">
        <f t="array" ref="B34">LOOKUP(1,0/(('5.21出货明细'!V:V=$H$5)*('5.21出货明细'!A:A=A34)),'5.21出货明细'!D:D)</f>
        <v>#N/A</v>
      </c>
      <c r="C34" s="738" t="e">
        <f t="array" ref="C34">LOOKUP(1,0/(('5.21出货明细'!V:V=$H$5)*('5.21出货明细'!A:A=A34)),'5.21出货明细'!G:G&amp;'5.21出货明细'!F:F)</f>
        <v>#N/A</v>
      </c>
      <c r="D34" s="738" t="e">
        <f t="array" ref="D34">LOOKUP(1,0/(('5.21出货明细'!V:V=$H$5)*('5.21出货明细'!A:A=A34)),'5.21出货明细'!K:K)</f>
        <v>#N/A</v>
      </c>
      <c r="E34" s="680" t="e">
        <f t="array" ref="E34">LOOKUP(1,0/(('5.21出货明细'!V:V=$H$5)*('5.21出货明细'!A:A=A34)),'5.21出货明细'!J:J)</f>
        <v>#N/A</v>
      </c>
      <c r="F34" s="683" t="e">
        <f t="array" ref="F34">LOOKUP(1,0/(('5.21出货明细'!V:V=$H$5)*('5.21出货明细'!A:A=A34)),'5.21出货明细'!Z:Z)</f>
        <v>#N/A</v>
      </c>
      <c r="G34" s="683" t="e">
        <f t="shared" si="0"/>
        <v>#N/A</v>
      </c>
      <c r="H34" s="734"/>
    </row>
    <row r="35" customFormat="1" ht="41" customHeight="1" spans="1:8">
      <c r="A35" s="429">
        <v>12</v>
      </c>
      <c r="B35" s="738" t="e">
        <f t="array" ref="B35">LOOKUP(1,0/(('5.21出货明细'!V:V=$H$5)*('5.21出货明细'!A:A=A35)),'5.21出货明细'!D:D)</f>
        <v>#N/A</v>
      </c>
      <c r="C35" s="738" t="e">
        <f t="array" ref="C35">LOOKUP(1,0/(('5.21出货明细'!V:V=$H$5)*('5.21出货明细'!A:A=A35)),'5.21出货明细'!G:G&amp;'5.21出货明细'!F:F)</f>
        <v>#N/A</v>
      </c>
      <c r="D35" s="738" t="e">
        <f t="array" ref="D35">LOOKUP(1,0/(('5.21出货明细'!V:V=$H$5)*('5.21出货明细'!A:A=A35)),'5.21出货明细'!K:K)</f>
        <v>#N/A</v>
      </c>
      <c r="E35" s="680" t="e">
        <f t="array" ref="E35">LOOKUP(1,0/(('5.21出货明细'!V:V=$H$5)*('5.21出货明细'!A:A=A35)),'5.21出货明细'!J:J)</f>
        <v>#N/A</v>
      </c>
      <c r="F35" s="685" t="e">
        <f t="array" ref="F35">LOOKUP(1,0/(('5.21出货明细'!V:V=$H$5)*('5.21出货明细'!A:A=A35)),'5.21出货明细'!Z:Z)</f>
        <v>#N/A</v>
      </c>
      <c r="G35" s="683" t="e">
        <f t="shared" si="0"/>
        <v>#N/A</v>
      </c>
      <c r="H35" s="734"/>
    </row>
    <row r="36" customFormat="1" ht="41" customHeight="1" spans="1:8">
      <c r="A36" s="429">
        <v>13</v>
      </c>
      <c r="B36" s="738" t="e">
        <f t="array" ref="B36">LOOKUP(1,0/(('5.21出货明细'!V:V=$H$5)*('5.21出货明细'!A:A=A36)),'5.21出货明细'!D:D)</f>
        <v>#N/A</v>
      </c>
      <c r="C36" s="738" t="e">
        <f t="array" ref="C36">LOOKUP(1,0/(('5.21出货明细'!V:V=$H$5)*('5.21出货明细'!A:A=A36)),'5.21出货明细'!G:G&amp;'5.21出货明细'!F:F)</f>
        <v>#N/A</v>
      </c>
      <c r="D36" s="738" t="e">
        <f t="array" ref="D36">LOOKUP(1,0/(('5.21出货明细'!V:V=$H$5)*('5.21出货明细'!A:A=A36)),'5.21出货明细'!K:K)</f>
        <v>#N/A</v>
      </c>
      <c r="E36" s="680" t="e">
        <f t="array" ref="E36">LOOKUP(1,0/(('5.21出货明细'!V:V=$H$5)*('5.21出货明细'!A:A=A36)),'5.21出货明细'!J:J)</f>
        <v>#N/A</v>
      </c>
      <c r="F36" s="683" t="e">
        <f t="array" ref="F36">LOOKUP(1,0/(('5.21出货明细'!V:V=$H$5)*('5.21出货明细'!A:A=A36)),'5.21出货明细'!Z:Z)</f>
        <v>#N/A</v>
      </c>
      <c r="G36" s="683" t="e">
        <f t="shared" si="0"/>
        <v>#N/A</v>
      </c>
      <c r="H36" s="734"/>
    </row>
    <row r="37" customFormat="1" ht="41" customHeight="1" spans="1:8">
      <c r="A37" s="429">
        <v>14</v>
      </c>
      <c r="B37" s="738" t="e">
        <f t="array" ref="B37">LOOKUP(1,0/(('5.21出货明细'!V:V=$H$5)*('5.21出货明细'!A:A=A37)),'5.21出货明细'!D:D)</f>
        <v>#N/A</v>
      </c>
      <c r="C37" s="738" t="e">
        <f t="array" ref="C37">LOOKUP(1,0/(('5.21出货明细'!V:V=$H$5)*('5.21出货明细'!A:A=A37)),'5.21出货明细'!G:G&amp;'5.21出货明细'!F:F)</f>
        <v>#N/A</v>
      </c>
      <c r="D37" s="738" t="e">
        <f t="array" ref="D37">LOOKUP(1,0/(('5.21出货明细'!V:V=$H$5)*('5.21出货明细'!A:A=A37)),'5.21出货明细'!K:K)</f>
        <v>#N/A</v>
      </c>
      <c r="E37" s="680" t="e">
        <f t="array" ref="E37">LOOKUP(1,0/(('5.21出货明细'!V:V=$H$5)*('5.21出货明细'!A:A=A37)),'5.21出货明细'!J:J)</f>
        <v>#N/A</v>
      </c>
      <c r="F37" s="685" t="e">
        <f t="array" ref="F37">LOOKUP(1,0/(('5.21出货明细'!V:V=$H$5)*('5.21出货明细'!A:A=A37)),'5.21出货明细'!Z:Z)</f>
        <v>#N/A</v>
      </c>
      <c r="G37" s="683" t="e">
        <f t="shared" si="0"/>
        <v>#N/A</v>
      </c>
      <c r="H37" s="734"/>
    </row>
    <row r="38" customFormat="1" ht="41" customHeight="1" spans="1:8">
      <c r="A38" s="429">
        <v>15</v>
      </c>
      <c r="B38" s="738" t="e">
        <f t="array" ref="B38">LOOKUP(1,0/(('5.21出货明细'!V:V=$H$5)*('5.21出货明细'!A:A=A38)),'5.21出货明细'!D:D)</f>
        <v>#N/A</v>
      </c>
      <c r="C38" s="738" t="e">
        <f t="array" ref="C38">LOOKUP(1,0/(('5.21出货明细'!V:V=$H$5)*('5.21出货明细'!A:A=A38)),'5.21出货明细'!G:G&amp;'5.21出货明细'!F:F)</f>
        <v>#N/A</v>
      </c>
      <c r="D38" s="738" t="e">
        <f t="array" ref="D38">LOOKUP(1,0/(('5.21出货明细'!V:V=$H$5)*('5.21出货明细'!A:A=A38)),'5.21出货明细'!K:K)</f>
        <v>#N/A</v>
      </c>
      <c r="E38" s="680" t="e">
        <f t="array" ref="E38">LOOKUP(1,0/(('5.21出货明细'!V:V=$H$5)*('5.21出货明细'!A:A=A38)),'5.21出货明细'!J:J)</f>
        <v>#N/A</v>
      </c>
      <c r="F38" s="683" t="e">
        <f t="array" ref="F38">LOOKUP(1,0/(('5.21出货明细'!V:V=$H$5)*('5.21出货明细'!A:A=A38)),'5.21出货明细'!Z:Z)</f>
        <v>#N/A</v>
      </c>
      <c r="G38" s="683" t="e">
        <f t="shared" si="0"/>
        <v>#N/A</v>
      </c>
      <c r="H38" s="734"/>
    </row>
    <row r="39" customFormat="1" ht="41" customHeight="1" spans="1:8">
      <c r="A39" s="429">
        <v>16</v>
      </c>
      <c r="B39" s="738" t="e">
        <f t="array" ref="B39">LOOKUP(1,0/(('5.21出货明细'!V:V=$H$5)*('5.21出货明细'!A:A=A39)),'5.21出货明细'!D:D)</f>
        <v>#N/A</v>
      </c>
      <c r="C39" s="738" t="e">
        <f t="array" ref="C39">LOOKUP(1,0/(('5.21出货明细'!V:V=$H$5)*('5.21出货明细'!A:A=A39)),'5.21出货明细'!G:G&amp;'5.21出货明细'!F:F)</f>
        <v>#N/A</v>
      </c>
      <c r="D39" s="738" t="e">
        <f t="array" ref="D39">LOOKUP(1,0/(('5.21出货明细'!V:V=$H$5)*('5.21出货明细'!A:A=A39)),'5.21出货明细'!K:K)</f>
        <v>#N/A</v>
      </c>
      <c r="E39" s="680" t="e">
        <f t="array" ref="E39">LOOKUP(1,0/(('5.21出货明细'!V:V=$H$5)*('5.21出货明细'!A:A=A39)),'5.21出货明细'!J:J)</f>
        <v>#N/A</v>
      </c>
      <c r="F39" s="683" t="e">
        <f t="array" ref="F39">LOOKUP(1,0/(('5.21出货明细'!V:V=$H$5)*('5.21出货明细'!A:A=A39)),'5.21出货明细'!Z:Z)</f>
        <v>#N/A</v>
      </c>
      <c r="G39" s="683" t="e">
        <f t="shared" si="0"/>
        <v>#N/A</v>
      </c>
      <c r="H39" s="734"/>
    </row>
    <row r="40" customFormat="1" ht="41" customHeight="1" spans="1:8">
      <c r="A40" s="429">
        <v>17</v>
      </c>
      <c r="B40" s="738" t="e">
        <f t="array" ref="B40">LOOKUP(1,0/(('5.21出货明细'!V:V=$H$5)*('5.21出货明细'!A:A=A40)),'5.21出货明细'!D:D)</f>
        <v>#N/A</v>
      </c>
      <c r="C40" s="738" t="e">
        <f t="array" ref="C40">LOOKUP(1,0/(('5.21出货明细'!V:V=$H$5)*('5.21出货明细'!A:A=A40)),'5.21出货明细'!G:G&amp;'5.21出货明细'!F:F)</f>
        <v>#N/A</v>
      </c>
      <c r="D40" s="738" t="e">
        <f t="array" ref="D40">LOOKUP(1,0/(('5.21出货明细'!V:V=$H$5)*('5.21出货明细'!A:A=A40)),'5.21出货明细'!K:K)</f>
        <v>#N/A</v>
      </c>
      <c r="E40" s="680" t="e">
        <f t="array" ref="E40">LOOKUP(1,0/(('5.21出货明细'!V:V=$H$5)*('5.21出货明细'!A:A=A40)),'5.21出货明细'!J:J)</f>
        <v>#N/A</v>
      </c>
      <c r="F40" s="683" t="e">
        <f t="array" ref="F40">LOOKUP(1,0/(('5.21出货明细'!V:V=$H$5)*('5.21出货明细'!A:A=A40)),'5.21出货明细'!Z:Z)</f>
        <v>#N/A</v>
      </c>
      <c r="G40" s="683" t="e">
        <f t="shared" si="0"/>
        <v>#N/A</v>
      </c>
      <c r="H40" s="734"/>
    </row>
    <row r="41" customFormat="1" ht="41" customHeight="1" spans="1:8">
      <c r="A41" s="429">
        <v>18</v>
      </c>
      <c r="B41" s="738" t="e">
        <f t="array" ref="B41">LOOKUP(1,0/(('5.21出货明细'!V:V=$H$5)*('5.21出货明细'!A:A=A41)),'5.21出货明细'!D:D)</f>
        <v>#N/A</v>
      </c>
      <c r="C41" s="738" t="e">
        <f t="array" ref="C41">LOOKUP(1,0/(('5.21出货明细'!V:V=$H$5)*('5.21出货明细'!A:A=A41)),'5.21出货明细'!G:G&amp;'5.21出货明细'!F:F)</f>
        <v>#N/A</v>
      </c>
      <c r="D41" s="738" t="e">
        <f t="array" ref="D41">LOOKUP(1,0/(('5.21出货明细'!V:V=$H$5)*('5.21出货明细'!A:A=A41)),'5.21出货明细'!K:K)</f>
        <v>#N/A</v>
      </c>
      <c r="E41" s="680" t="e">
        <f t="array" ref="E41">LOOKUP(1,0/(('5.21出货明细'!V:V=$H$5)*('5.21出货明细'!A:A=A41)),'5.21出货明细'!J:J)</f>
        <v>#N/A</v>
      </c>
      <c r="F41" s="683" t="e">
        <f t="array" ref="F41">LOOKUP(1,0/(('5.21出货明细'!V:V=$H$5)*('5.21出货明细'!A:A=A41)),'5.21出货明细'!Z:Z)</f>
        <v>#N/A</v>
      </c>
      <c r="G41" s="683" t="e">
        <f t="shared" si="0"/>
        <v>#N/A</v>
      </c>
      <c r="H41" s="734"/>
    </row>
    <row r="42" customFormat="1" ht="30" customHeight="1" spans="1:8">
      <c r="B42" s="739"/>
      <c r="C42" s="740"/>
      <c r="D42" s="741"/>
      <c r="E42" s="740"/>
      <c r="F42" s="683"/>
      <c r="G42" s="742" t="e">
        <f>SUM(G24:G41)</f>
        <v>#N/A</v>
      </c>
      <c r="H42" s="740"/>
    </row>
    <row r="43" customFormat="1" ht="2" customHeight="1" spans="1:8">
      <c r="B43" s="705"/>
      <c r="C43" s="743"/>
      <c r="D43" s="706"/>
      <c r="E43" s="732"/>
      <c r="F43" s="744"/>
      <c r="G43" s="745"/>
      <c r="H43" s="732"/>
    </row>
    <row r="44" customFormat="1" ht="16.5" spans="1:8">
      <c r="B44" s="746" t="s">
        <v>1572</v>
      </c>
      <c r="C44" s="747" t="s">
        <v>1573</v>
      </c>
      <c r="D44" s="748"/>
      <c r="E44" s="748"/>
      <c r="F44" s="748"/>
      <c r="G44" s="749"/>
      <c r="H44" s="706"/>
    </row>
    <row r="45" customFormat="1" ht="16.5" spans="1:8">
      <c r="B45" s="750" t="s">
        <v>1574</v>
      </c>
      <c r="C45" s="751" t="s">
        <v>1571</v>
      </c>
      <c r="D45" s="751"/>
      <c r="E45" s="752"/>
      <c r="F45" s="752"/>
      <c r="G45" s="752"/>
      <c r="H45" s="743"/>
    </row>
    <row r="46" customFormat="1" ht="16.5" spans="1:8">
      <c r="B46" s="753" t="s">
        <v>1575</v>
      </c>
      <c r="C46" s="751" t="s">
        <v>1576</v>
      </c>
      <c r="D46" s="751"/>
      <c r="E46" s="751"/>
      <c r="F46" s="754"/>
      <c r="G46" s="754"/>
      <c r="H46" s="755"/>
    </row>
    <row r="47" customFormat="1" ht="33" spans="1:8">
      <c r="B47" s="750" t="s">
        <v>1577</v>
      </c>
      <c r="C47" s="751" t="s">
        <v>1578</v>
      </c>
      <c r="D47" s="754"/>
      <c r="E47" s="756" t="s">
        <v>1579</v>
      </c>
      <c r="F47" s="756"/>
      <c r="G47" s="757" t="s">
        <v>1580</v>
      </c>
      <c r="H47" s="755"/>
    </row>
    <row r="48" customFormat="1" ht="33" spans="1:8">
      <c r="B48" s="758" t="s">
        <v>1581</v>
      </c>
      <c r="C48" s="751" t="s">
        <v>1582</v>
      </c>
      <c r="D48" s="754"/>
      <c r="E48" s="754"/>
      <c r="F48" s="754"/>
      <c r="G48" s="754"/>
      <c r="H48" s="755"/>
    </row>
    <row r="49" customFormat="1" ht="16.5" spans="2:8">
      <c r="B49" s="754" t="s">
        <v>1583</v>
      </c>
      <c r="C49" s="754"/>
      <c r="D49" s="754"/>
      <c r="E49" s="754"/>
      <c r="F49" s="754"/>
      <c r="G49" s="754"/>
      <c r="H49" s="755"/>
    </row>
    <row r="50" customFormat="1" ht="16.5" spans="2:8">
      <c r="B50" s="754" t="s">
        <v>1584</v>
      </c>
      <c r="C50" s="754"/>
      <c r="D50" s="754"/>
      <c r="E50" s="754"/>
      <c r="F50" s="754"/>
      <c r="G50" s="754"/>
      <c r="H50" s="755"/>
    </row>
    <row r="51" customFormat="1" ht="2" customHeight="1" spans="2:8">
      <c r="B51" s="759"/>
      <c r="C51" s="759"/>
      <c r="D51" s="759"/>
      <c r="E51" s="759"/>
      <c r="F51" s="759"/>
      <c r="G51" s="759"/>
      <c r="H51" s="759"/>
    </row>
    <row r="52" customFormat="1" ht="31.5" spans="2:8">
      <c r="B52" s="760" t="s">
        <v>1585</v>
      </c>
      <c r="C52" s="761" t="s">
        <v>1586</v>
      </c>
      <c r="D52" s="762" t="s">
        <v>1587</v>
      </c>
      <c r="E52" s="763" t="s">
        <v>1588</v>
      </c>
      <c r="F52" s="764"/>
      <c r="G52" s="764"/>
      <c r="H52" s="764"/>
    </row>
    <row r="53" customFormat="1" ht="28.5" spans="2:8">
      <c r="B53" s="760" t="s">
        <v>1589</v>
      </c>
      <c r="C53" s="765"/>
      <c r="D53" s="766" t="s">
        <v>1590</v>
      </c>
      <c r="E53" s="766"/>
      <c r="F53" s="767"/>
      <c r="G53" s="768"/>
      <c r="H53" s="768"/>
    </row>
    <row r="54" customFormat="1" ht="20" customHeight="1" spans="2:8">
      <c r="B54" s="760"/>
      <c r="C54" s="765"/>
      <c r="D54" s="766"/>
      <c r="E54" s="766"/>
      <c r="F54" s="767"/>
      <c r="G54" s="768"/>
      <c r="H54" s="768"/>
    </row>
    <row r="55" customFormat="1" ht="20" customHeight="1" spans="2:8">
      <c r="B55" s="760"/>
      <c r="C55" s="765"/>
      <c r="D55" s="766"/>
      <c r="E55" s="766"/>
      <c r="F55" s="767"/>
      <c r="G55" s="768"/>
      <c r="H55" s="768"/>
    </row>
    <row r="56" ht="30" spans="2:8">
      <c r="B56" s="701" t="s">
        <v>1540</v>
      </c>
      <c r="C56" s="701"/>
      <c r="D56" s="701"/>
      <c r="E56" s="701"/>
      <c r="F56" s="701"/>
      <c r="G56" s="701"/>
      <c r="H56" s="701"/>
    </row>
    <row r="57" ht="18" spans="2:8">
      <c r="B57" s="702" t="s">
        <v>1541</v>
      </c>
      <c r="C57" s="702"/>
      <c r="D57" s="702"/>
      <c r="E57" s="702"/>
      <c r="F57" s="702"/>
      <c r="G57" s="702"/>
      <c r="H57" s="702"/>
    </row>
    <row r="58" ht="42" customHeight="1" spans="2:8">
      <c r="B58" s="703" t="s">
        <v>1542</v>
      </c>
      <c r="C58" s="703"/>
      <c r="D58" s="703"/>
      <c r="E58" s="703"/>
      <c r="F58" s="703"/>
      <c r="G58" s="703"/>
      <c r="H58" s="703"/>
    </row>
    <row r="59" ht="18" spans="2:8">
      <c r="B59" s="704"/>
      <c r="C59" s="705"/>
      <c r="D59" s="705"/>
      <c r="E59" s="706"/>
      <c r="F59" s="707"/>
      <c r="G59" s="708"/>
      <c r="H59" s="654"/>
    </row>
    <row r="60" ht="18.75" spans="2:8">
      <c r="B60" s="709" t="s">
        <v>1543</v>
      </c>
      <c r="C60" s="710" t="s">
        <v>1540</v>
      </c>
      <c r="D60" s="710"/>
      <c r="E60" s="710"/>
      <c r="F60" s="711"/>
      <c r="G60" s="712" t="s">
        <v>1544</v>
      </c>
      <c r="H60" s="642" t="s">
        <v>1591</v>
      </c>
    </row>
    <row r="61" ht="18.75" spans="2:8">
      <c r="B61" s="709"/>
      <c r="C61" s="710" t="s">
        <v>1546</v>
      </c>
      <c r="D61" s="710"/>
      <c r="E61" s="710"/>
      <c r="F61" s="711"/>
      <c r="G61" s="712"/>
      <c r="H61" s="645"/>
    </row>
    <row r="62" ht="18.75" spans="2:8">
      <c r="B62" s="713"/>
      <c r="C62" s="654" t="s">
        <v>1547</v>
      </c>
      <c r="D62" s="714"/>
      <c r="E62" s="710"/>
      <c r="F62" s="711"/>
      <c r="G62" s="715"/>
      <c r="H62" s="716"/>
    </row>
    <row r="63" ht="18.75" spans="2:8">
      <c r="B63" s="654"/>
      <c r="C63" s="640" t="s">
        <v>1548</v>
      </c>
      <c r="D63" s="640"/>
      <c r="E63" s="640"/>
      <c r="F63" s="640"/>
      <c r="G63" s="717"/>
      <c r="H63" s="718"/>
    </row>
    <row r="64" ht="18.75" spans="2:8">
      <c r="B64" s="711"/>
      <c r="C64" s="640"/>
      <c r="D64" s="640"/>
      <c r="E64" s="640"/>
      <c r="F64" s="640"/>
      <c r="G64" s="719" t="s">
        <v>1549</v>
      </c>
      <c r="H64" s="720">
        <f>H9</f>
        <v>46076</v>
      </c>
    </row>
    <row r="65" ht="35" customHeight="1" spans="1:8">
      <c r="B65" s="709"/>
      <c r="C65" s="640"/>
      <c r="D65" s="640"/>
      <c r="E65" s="640"/>
      <c r="F65" s="640"/>
      <c r="G65" s="719"/>
      <c r="H65" s="721"/>
    </row>
    <row r="66" ht="18.75" spans="1:8">
      <c r="B66" s="652" t="s">
        <v>1550</v>
      </c>
      <c r="C66" s="654" t="s">
        <v>960</v>
      </c>
      <c r="D66" s="654"/>
      <c r="E66" s="654"/>
      <c r="F66" s="711"/>
      <c r="G66" s="722"/>
      <c r="H66" s="716"/>
    </row>
    <row r="67" ht="18.75" spans="1:8">
      <c r="B67" s="652"/>
      <c r="C67" s="653" t="s">
        <v>1592</v>
      </c>
      <c r="D67" s="653"/>
      <c r="E67" s="653"/>
      <c r="F67" s="711"/>
      <c r="G67" s="722"/>
      <c r="H67" s="716"/>
    </row>
    <row r="68" ht="27" customHeight="1" spans="1:8">
      <c r="B68" s="654" t="s">
        <v>1553</v>
      </c>
      <c r="C68" s="637" t="s">
        <v>1593</v>
      </c>
      <c r="D68" s="637"/>
      <c r="E68" s="637"/>
      <c r="F68" s="637"/>
      <c r="G68" s="719" t="s">
        <v>1555</v>
      </c>
      <c r="H68" s="642" t="s">
        <v>1594</v>
      </c>
    </row>
    <row r="69" ht="27" customHeight="1" spans="1:8">
      <c r="B69" s="723"/>
      <c r="C69" s="637"/>
      <c r="D69" s="637"/>
      <c r="E69" s="637"/>
      <c r="F69" s="637"/>
      <c r="G69" s="719"/>
      <c r="H69" s="724"/>
    </row>
    <row r="70" ht="18" spans="1:8">
      <c r="B70" s="725" t="s">
        <v>1557</v>
      </c>
      <c r="C70" s="654" t="s">
        <v>1558</v>
      </c>
      <c r="D70" s="654"/>
      <c r="E70" s="654"/>
      <c r="F70" s="726"/>
      <c r="G70" s="727"/>
      <c r="H70" s="706"/>
    </row>
    <row r="71" ht="40" customHeight="1" spans="1:8">
      <c r="B71" s="725"/>
      <c r="C71" s="637" t="s">
        <v>1559</v>
      </c>
      <c r="D71" s="637"/>
      <c r="E71" s="637"/>
      <c r="F71" s="637"/>
      <c r="G71" s="727"/>
      <c r="H71" s="706"/>
    </row>
    <row r="72" ht="18" spans="1:8">
      <c r="B72" s="725"/>
      <c r="C72" s="654" t="s">
        <v>1560</v>
      </c>
      <c r="D72" s="654"/>
      <c r="E72" s="654"/>
      <c r="F72" s="726"/>
      <c r="G72" s="727"/>
      <c r="H72" s="706"/>
    </row>
    <row r="73" ht="18" spans="1:8">
      <c r="B73" s="725"/>
      <c r="C73" s="654" t="s">
        <v>1561</v>
      </c>
      <c r="D73" s="654"/>
      <c r="E73" s="654"/>
      <c r="F73" s="726"/>
      <c r="G73" s="706"/>
      <c r="H73" s="706"/>
    </row>
    <row r="74" ht="15.75" spans="1:8">
      <c r="B74" s="728" t="s">
        <v>1562</v>
      </c>
      <c r="C74" s="729"/>
      <c r="D74" s="729"/>
      <c r="E74" s="729"/>
      <c r="F74" s="704"/>
      <c r="G74" s="706"/>
      <c r="H74" s="706"/>
    </row>
    <row r="75" ht="15" spans="1:8">
      <c r="B75" s="730" t="s">
        <v>1563</v>
      </c>
      <c r="C75" s="730"/>
      <c r="D75" s="730"/>
      <c r="E75" s="730"/>
      <c r="F75" s="730"/>
      <c r="G75" s="730"/>
      <c r="H75" s="730"/>
    </row>
    <row r="76" ht="15.75" spans="1:8">
      <c r="B76" s="731"/>
      <c r="C76" s="732"/>
      <c r="D76" s="733"/>
      <c r="E76" s="732"/>
      <c r="F76" s="732"/>
      <c r="G76" s="732"/>
      <c r="H76" s="706"/>
    </row>
    <row r="77" ht="36" spans="1:8">
      <c r="B77" s="734" t="s">
        <v>1564</v>
      </c>
      <c r="C77" s="734" t="s">
        <v>1565</v>
      </c>
      <c r="D77" s="734" t="s">
        <v>1566</v>
      </c>
      <c r="E77" s="735" t="s">
        <v>1567</v>
      </c>
      <c r="F77" s="736" t="s">
        <v>1568</v>
      </c>
      <c r="G77" s="734" t="s">
        <v>1569</v>
      </c>
      <c r="H77" s="734" t="s">
        <v>1570</v>
      </c>
    </row>
    <row r="78" ht="18" spans="1:8">
      <c r="B78" s="734"/>
      <c r="C78" s="734"/>
      <c r="D78" s="734"/>
      <c r="E78" s="735"/>
      <c r="F78" s="737" t="s">
        <v>1595</v>
      </c>
      <c r="G78" s="737"/>
      <c r="H78" s="734"/>
    </row>
    <row r="79" ht="49" customHeight="1" spans="1:8">
      <c r="A79" s="429">
        <v>19</v>
      </c>
      <c r="B79" s="738" t="e" cm="1">
        <f t="array" ref="B79">LOOKUP(1,0/(('5.21出货明细'!V:V=$H$60)*('5.21出货明细'!A:A=A79)),'5.21出货明细'!D:D)</f>
        <v>#N/A</v>
      </c>
      <c r="C79" s="738" t="e">
        <f t="array" ref="C79">LOOKUP(1,0/(('5.21出货明细'!V:V=$H$60)*('5.21出货明细'!A:A=A79)),'5.21出货明细'!G:G&amp;'5.21出货明细'!F:F)</f>
        <v>#N/A</v>
      </c>
      <c r="D79" s="738" t="e">
        <f t="array" ref="D79">LOOKUP(1,0/(('5.21出货明细'!V:V=$H$60)*('5.21出货明细'!A:A=A79)),'5.21出货明细'!K:K)</f>
        <v>#N/A</v>
      </c>
      <c r="E79" s="680" t="e">
        <f t="array" ref="E79">LOOKUP(1,0/(('5.21出货明细'!V:V=$H$60)*('5.21出货明细'!A:A=A79)),'5.21出货明细'!J:J)</f>
        <v>#N/A</v>
      </c>
      <c r="F79" s="683" t="e">
        <f t="array" ref="F79">LOOKUP(1,0/(('5.21出货明细'!V:V=$H$60)*('5.21出货明细'!A:A=A79)),'5.21出货明细'!Z:Z)</f>
        <v>#N/A</v>
      </c>
      <c r="G79" s="683" t="e">
        <f t="shared" ref="G79:G89" si="1">F79*D79</f>
        <v>#N/A</v>
      </c>
      <c r="H79" s="734"/>
    </row>
    <row r="80" ht="49" customHeight="1" spans="1:8">
      <c r="A80" s="429">
        <v>20</v>
      </c>
      <c r="B80" s="738" t="e">
        <f t="array" ref="B80">LOOKUP(1,0/(('5.21出货明细'!V:V=$H$60)*('5.21出货明细'!A:A=A80)),'5.21出货明细'!D:D)</f>
        <v>#N/A</v>
      </c>
      <c r="C80" s="738" t="e">
        <f t="array" ref="C80">LOOKUP(1,0/(('5.21出货明细'!V:V=$H$60)*('5.21出货明细'!A:A=A80)),'5.21出货明细'!G:G&amp;'5.21出货明细'!F:F)</f>
        <v>#N/A</v>
      </c>
      <c r="D80" s="738" t="e">
        <f t="array" ref="D80">LOOKUP(1,0/(('5.21出货明细'!V:V=$H$60)*('5.21出货明细'!A:A=A80)),'5.21出货明细'!K:K)</f>
        <v>#N/A</v>
      </c>
      <c r="E80" s="680" t="e">
        <f t="array" ref="E80">LOOKUP(1,0/(('5.21出货明细'!V:V=$H$60)*('5.21出货明细'!A:A=A80)),'5.21出货明细'!J:J)</f>
        <v>#N/A</v>
      </c>
      <c r="F80" s="683" t="e">
        <f t="array" ref="F80">LOOKUP(1,0/(('5.21出货明细'!V:V=$H$60)*('5.21出货明细'!A:A=A80)),'5.21出货明细'!Z:Z)</f>
        <v>#N/A</v>
      </c>
      <c r="G80" s="683" t="e">
        <f t="shared" si="1"/>
        <v>#N/A</v>
      </c>
      <c r="H80" s="734"/>
    </row>
    <row r="81" ht="49" customHeight="1" spans="1:8">
      <c r="A81" s="429">
        <v>21</v>
      </c>
      <c r="B81" s="738" t="e">
        <f t="array" ref="B81">LOOKUP(1,0/(('5.21出货明细'!V:V=$H$60)*('5.21出货明细'!A:A=A81)),'5.21出货明细'!D:D)</f>
        <v>#N/A</v>
      </c>
      <c r="C81" s="738" t="e">
        <f t="array" ref="C81">LOOKUP(1,0/(('5.21出货明细'!V:V=$H$60)*('5.21出货明细'!A:A=A81)),'5.21出货明细'!G:G&amp;'5.21出货明细'!F:F)</f>
        <v>#N/A</v>
      </c>
      <c r="D81" s="738" t="e">
        <f t="array" ref="D81">LOOKUP(1,0/(('5.21出货明细'!V:V=$H$60)*('5.21出货明细'!A:A=A81)),'5.21出货明细'!K:K)</f>
        <v>#N/A</v>
      </c>
      <c r="E81" s="680" t="e">
        <f t="array" ref="E81">LOOKUP(1,0/(('5.21出货明细'!V:V=$H$60)*('5.21出货明细'!A:A=A81)),'5.21出货明细'!J:J)</f>
        <v>#N/A</v>
      </c>
      <c r="F81" s="683" t="e">
        <f t="array" ref="F81">LOOKUP(1,0/(('5.21出货明细'!V:V=$H$60)*('5.21出货明细'!A:A=A81)),'5.21出货明细'!Z:Z)</f>
        <v>#N/A</v>
      </c>
      <c r="G81" s="683" t="e">
        <f t="shared" si="1"/>
        <v>#N/A</v>
      </c>
      <c r="H81" s="734"/>
    </row>
    <row r="82" ht="49" customHeight="1" spans="1:8">
      <c r="A82" s="429">
        <v>22</v>
      </c>
      <c r="B82" s="738" t="e">
        <f t="array" ref="B82">LOOKUP(1,0/(('5.21出货明细'!V:V=$H$60)*('5.21出货明细'!A:A=A82)),'5.21出货明细'!D:D)</f>
        <v>#N/A</v>
      </c>
      <c r="C82" s="738" t="e">
        <f t="array" ref="C82">LOOKUP(1,0/(('5.21出货明细'!V:V=$H$60)*('5.21出货明细'!A:A=A82)),'5.21出货明细'!G:G&amp;'5.21出货明细'!F:F)</f>
        <v>#N/A</v>
      </c>
      <c r="D82" s="738" t="e">
        <f t="array" ref="D82">LOOKUP(1,0/(('5.21出货明细'!V:V=$H$60)*('5.21出货明细'!A:A=A82)),'5.21出货明细'!K:K)</f>
        <v>#N/A</v>
      </c>
      <c r="E82" s="680" t="e">
        <f t="array" ref="E82">LOOKUP(1,0/(('5.21出货明细'!V:V=$H$60)*('5.21出货明细'!A:A=A82)),'5.21出货明细'!J:J)</f>
        <v>#N/A</v>
      </c>
      <c r="F82" s="683" t="e">
        <f t="array" ref="F82">LOOKUP(1,0/(('5.21出货明细'!V:V=$H$60)*('5.21出货明细'!A:A=A82)),'5.21出货明细'!Z:Z)</f>
        <v>#N/A</v>
      </c>
      <c r="G82" s="683" t="e">
        <f t="shared" si="1"/>
        <v>#N/A</v>
      </c>
      <c r="H82" s="734"/>
    </row>
    <row r="83" ht="49" customHeight="1" spans="1:8">
      <c r="A83" s="429">
        <v>23</v>
      </c>
      <c r="B83" s="738" t="e">
        <f t="array" ref="B83">LOOKUP(1,0/(('5.21出货明细'!V:V=$H$60)*('5.21出货明细'!A:A=A83)),'5.21出货明细'!D:D)</f>
        <v>#N/A</v>
      </c>
      <c r="C83" s="738" t="e">
        <f t="array" ref="C83">LOOKUP(1,0/(('5.21出货明细'!V:V=$H$60)*('5.21出货明细'!A:A=A83)),'5.21出货明细'!G:G&amp;'5.21出货明细'!F:F)</f>
        <v>#N/A</v>
      </c>
      <c r="D83" s="738" t="e">
        <f t="array" ref="D83">LOOKUP(1,0/(('5.21出货明细'!V:V=$H$60)*('5.21出货明细'!A:A=A83)),'5.21出货明细'!K:K)</f>
        <v>#N/A</v>
      </c>
      <c r="E83" s="680" t="e">
        <f t="array" ref="E83">LOOKUP(1,0/(('5.21出货明细'!V:V=$H$60)*('5.21出货明细'!A:A=A83)),'5.21出货明细'!J:J)</f>
        <v>#N/A</v>
      </c>
      <c r="F83" s="683" t="e">
        <f t="array" ref="F83">LOOKUP(1,0/(('5.21出货明细'!V:V=$H$60)*('5.21出货明细'!A:A=A83)),'5.21出货明细'!Z:Z)</f>
        <v>#N/A</v>
      </c>
      <c r="G83" s="683" t="e">
        <f t="shared" si="1"/>
        <v>#N/A</v>
      </c>
      <c r="H83" s="734"/>
    </row>
    <row r="84" ht="49" customHeight="1" spans="1:8">
      <c r="A84" s="429">
        <v>24</v>
      </c>
      <c r="B84" s="738" t="e">
        <f t="array" ref="B84">LOOKUP(1,0/(('5.21出货明细'!V:V=$H$60)*('5.21出货明细'!A:A=A84)),'5.21出货明细'!D:D)</f>
        <v>#N/A</v>
      </c>
      <c r="C84" s="738" t="e">
        <f t="array" ref="C84">LOOKUP(1,0/(('5.21出货明细'!V:V=$H$60)*('5.21出货明细'!A:A=A84)),'5.21出货明细'!G:G&amp;'5.21出货明细'!F:F)</f>
        <v>#N/A</v>
      </c>
      <c r="D84" s="738" t="e">
        <f t="array" ref="D84">LOOKUP(1,0/(('5.21出货明细'!V:V=$H$60)*('5.21出货明细'!A:A=A84)),'5.21出货明细'!K:K)</f>
        <v>#N/A</v>
      </c>
      <c r="E84" s="680" t="e">
        <f t="array" ref="E84">LOOKUP(1,0/(('5.21出货明细'!V:V=$H$60)*('5.21出货明细'!A:A=A84)),'5.21出货明细'!J:J)</f>
        <v>#N/A</v>
      </c>
      <c r="F84" s="683" t="e">
        <f t="array" ref="F84">LOOKUP(1,0/(('5.21出货明细'!V:V=$H$60)*('5.21出货明细'!A:A=A84)),'5.21出货明细'!Z:Z)</f>
        <v>#N/A</v>
      </c>
      <c r="G84" s="683" t="e">
        <f t="shared" si="1"/>
        <v>#N/A</v>
      </c>
      <c r="H84" s="734"/>
    </row>
    <row r="85" ht="49" customHeight="1" spans="1:8">
      <c r="A85" s="429">
        <v>25</v>
      </c>
      <c r="B85" s="738" t="e">
        <f t="array" ref="B85">LOOKUP(1,0/(('5.21出货明细'!V:V=$H$60)*('5.21出货明细'!A:A=A85)),'5.21出货明细'!D:D)</f>
        <v>#N/A</v>
      </c>
      <c r="C85" s="738" t="e">
        <f t="array" ref="C85">LOOKUP(1,0/(('5.21出货明细'!V:V=$H$60)*('5.21出货明细'!A:A=A85)),'5.21出货明细'!G:G&amp;'5.21出货明细'!F:F)</f>
        <v>#N/A</v>
      </c>
      <c r="D85" s="738" t="e">
        <f t="array" ref="D85">LOOKUP(1,0/(('5.21出货明细'!V:V=$H$60)*('5.21出货明细'!A:A=A85)),'5.21出货明细'!K:K)</f>
        <v>#N/A</v>
      </c>
      <c r="E85" s="680" t="e">
        <f t="array" ref="E85">LOOKUP(1,0/(('5.21出货明细'!V:V=$H$60)*('5.21出货明细'!A:A=A85)),'5.21出货明细'!J:J)</f>
        <v>#N/A</v>
      </c>
      <c r="F85" s="683" t="e">
        <f t="array" ref="F85">LOOKUP(1,0/(('5.21出货明细'!V:V=$H$60)*('5.21出货明细'!A:A=A85)),'5.21出货明细'!Z:Z)</f>
        <v>#N/A</v>
      </c>
      <c r="G85" s="683" t="e">
        <f t="shared" si="1"/>
        <v>#N/A</v>
      </c>
      <c r="H85" s="734"/>
    </row>
    <row r="86" ht="46" customHeight="1" spans="1:8">
      <c r="A86" s="429">
        <v>26</v>
      </c>
      <c r="B86" s="738" t="e">
        <f t="array" ref="B86">LOOKUP(1,0/(('5.21出货明细'!V:V=$H$60)*('5.21出货明细'!A:A=A86)),'5.21出货明细'!D:D)</f>
        <v>#N/A</v>
      </c>
      <c r="C86" s="738" t="e">
        <f t="array" ref="C86">LOOKUP(1,0/(('5.21出货明细'!V:V=$H$60)*('5.21出货明细'!A:A=A86)),'5.21出货明细'!G:G&amp;'5.21出货明细'!F:F)</f>
        <v>#N/A</v>
      </c>
      <c r="D86" s="738" t="e">
        <f t="array" ref="D86">LOOKUP(1,0/(('5.21出货明细'!V:V=$H$60)*('5.21出货明细'!A:A=A86)),'5.21出货明细'!K:K)</f>
        <v>#N/A</v>
      </c>
      <c r="E86" s="680" t="e">
        <f t="array" ref="E86">LOOKUP(1,0/(('5.21出货明细'!V:V=$H$60)*('5.21出货明细'!A:A=A86)),'5.21出货明细'!J:J)</f>
        <v>#N/A</v>
      </c>
      <c r="F86" s="683" t="e">
        <f t="array" ref="F86">LOOKUP(1,0/(('5.21出货明细'!V:V=$H$60)*('5.21出货明细'!A:A=A86)),'5.21出货明细'!Z:Z)</f>
        <v>#N/A</v>
      </c>
      <c r="G86" s="683" t="e">
        <f t="shared" si="1"/>
        <v>#N/A</v>
      </c>
      <c r="H86" s="734"/>
    </row>
    <row r="87" ht="46" customHeight="1" spans="1:8">
      <c r="A87" s="429">
        <v>27</v>
      </c>
      <c r="B87" s="738" t="e">
        <f t="array" ref="B87">LOOKUP(1,0/(('5.21出货明细'!V:V=$H$60)*('5.21出货明细'!A:A=A87)),'5.21出货明细'!D:D)</f>
        <v>#N/A</v>
      </c>
      <c r="C87" s="738" t="e">
        <f t="array" ref="C87">LOOKUP(1,0/(('5.21出货明细'!V:V=$H$60)*('5.21出货明细'!A:A=A87)),'5.21出货明细'!G:G&amp;'5.21出货明细'!F:F)</f>
        <v>#N/A</v>
      </c>
      <c r="D87" s="738" t="e">
        <f t="array" ref="D87">LOOKUP(1,0/(('5.21出货明细'!V:V=$H$60)*('5.21出货明细'!A:A=A87)),'5.21出货明细'!K:K)</f>
        <v>#N/A</v>
      </c>
      <c r="E87" s="680" t="e">
        <f t="array" ref="E87">LOOKUP(1,0/(('5.21出货明细'!V:V=$H$60)*('5.21出货明细'!A:A=A87)),'5.21出货明细'!J:J)</f>
        <v>#N/A</v>
      </c>
      <c r="F87" s="683" t="e">
        <f t="array" ref="F87">LOOKUP(1,0/(('5.21出货明细'!V:V=$H$60)*('5.21出货明细'!A:A=A87)),'5.21出货明细'!Z:Z)</f>
        <v>#N/A</v>
      </c>
      <c r="G87" s="683" t="e">
        <f t="shared" si="1"/>
        <v>#N/A</v>
      </c>
      <c r="H87" s="734"/>
    </row>
    <row r="88" ht="46" customHeight="1" spans="1:8">
      <c r="A88" s="429">
        <v>28</v>
      </c>
      <c r="B88" s="738" t="e">
        <f t="array" ref="B88">LOOKUP(1,0/(('5.21出货明细'!V:V=$H$60)*('5.21出货明细'!A:A=A88)),'5.21出货明细'!D:D)</f>
        <v>#N/A</v>
      </c>
      <c r="C88" s="738" t="e">
        <f t="array" ref="C88">LOOKUP(1,0/(('5.21出货明细'!V:V=$H$60)*('5.21出货明细'!A:A=A88)),'5.21出货明细'!G:G&amp;'5.21出货明细'!F:F)</f>
        <v>#N/A</v>
      </c>
      <c r="D88" s="738" t="e">
        <f t="array" ref="D88">LOOKUP(1,0/(('5.21出货明细'!V:V=$H$60)*('5.21出货明细'!A:A=A88)),'5.21出货明细'!K:K)</f>
        <v>#N/A</v>
      </c>
      <c r="E88" s="680" t="e">
        <f t="array" ref="E88">LOOKUP(1,0/(('5.21出货明细'!V:V=$H$60)*('5.21出货明细'!A:A=A88)),'5.21出货明细'!J:J)</f>
        <v>#N/A</v>
      </c>
      <c r="F88" s="683" t="e">
        <f t="array" ref="F88">LOOKUP(1,0/(('5.21出货明细'!V:V=$H$60)*('5.21出货明细'!A:A=A88)),'5.21出货明细'!Z:Z)</f>
        <v>#N/A</v>
      </c>
      <c r="G88" s="683" t="e">
        <f t="shared" si="1"/>
        <v>#N/A</v>
      </c>
      <c r="H88" s="734"/>
    </row>
    <row r="89" ht="46" customHeight="1" spans="1:8">
      <c r="A89" s="429">
        <v>29</v>
      </c>
      <c r="B89" s="738" t="e">
        <f t="array" ref="B89">LOOKUP(1,0/(('5.21出货明细'!V:V=$H$60)*('5.21出货明细'!A:A=A89)),'5.21出货明细'!D:D)</f>
        <v>#N/A</v>
      </c>
      <c r="C89" s="738" t="e">
        <f t="array" ref="C89">LOOKUP(1,0/(('5.21出货明细'!V:V=$H$60)*('5.21出货明细'!A:A=A89)),'5.21出货明细'!G:G&amp;'5.21出货明细'!F:F)</f>
        <v>#N/A</v>
      </c>
      <c r="D89" s="738" t="e">
        <f t="array" ref="D89">LOOKUP(1,0/(('5.21出货明细'!V:V=$H$60)*('5.21出货明细'!A:A=A89)),'5.21出货明细'!K:K)</f>
        <v>#N/A</v>
      </c>
      <c r="E89" s="680" t="e">
        <f t="array" ref="E89">LOOKUP(1,0/(('5.21出货明细'!V:V=$H$60)*('5.21出货明细'!A:A=A89)),'5.21出货明细'!J:J)</f>
        <v>#N/A</v>
      </c>
      <c r="F89" s="683" t="e">
        <f t="array" ref="F89">LOOKUP(1,0/(('5.21出货明细'!V:V=$H$60)*('5.21出货明细'!A:A=A89)),'5.21出货明细'!Z:Z)</f>
        <v>#N/A</v>
      </c>
      <c r="G89" s="683" t="e">
        <f t="shared" si="1"/>
        <v>#N/A</v>
      </c>
      <c r="H89" s="734"/>
    </row>
    <row r="90" ht="40" customHeight="1" spans="1:8">
      <c r="B90" s="739"/>
      <c r="C90" s="740"/>
      <c r="D90" s="741"/>
      <c r="E90" s="740"/>
      <c r="F90" s="683"/>
      <c r="G90" s="742" t="e">
        <f>SUM(G79:G89)</f>
        <v>#N/A</v>
      </c>
      <c r="H90" s="740"/>
    </row>
    <row r="91" ht="15.75" spans="1:8">
      <c r="B91" s="705"/>
      <c r="C91" s="743"/>
      <c r="D91" s="706"/>
      <c r="E91" s="732"/>
      <c r="F91" s="744"/>
      <c r="G91" s="745"/>
      <c r="H91" s="732"/>
    </row>
    <row r="92" customFormat="1" ht="16.5" spans="1:8">
      <c r="B92" s="746" t="s">
        <v>1572</v>
      </c>
      <c r="C92" s="747" t="s">
        <v>1573</v>
      </c>
      <c r="D92" s="748"/>
      <c r="E92" s="748"/>
      <c r="F92" s="748"/>
      <c r="G92" s="749"/>
      <c r="H92" s="706"/>
    </row>
    <row r="93" customFormat="1" ht="16.5" spans="1:8">
      <c r="B93" s="750" t="s">
        <v>1574</v>
      </c>
      <c r="C93" s="751" t="s">
        <v>1595</v>
      </c>
      <c r="D93" s="751"/>
      <c r="E93" s="752"/>
      <c r="F93" s="752"/>
      <c r="G93" s="752"/>
      <c r="H93" s="743"/>
    </row>
    <row r="94" customFormat="1" ht="16.5" spans="1:8">
      <c r="B94" s="753" t="s">
        <v>1575</v>
      </c>
      <c r="C94" s="751" t="s">
        <v>1576</v>
      </c>
      <c r="D94" s="751"/>
      <c r="E94" s="751"/>
      <c r="F94" s="754"/>
      <c r="G94" s="754"/>
      <c r="H94" s="755"/>
    </row>
    <row r="95" customFormat="1" ht="33" spans="1:8">
      <c r="B95" s="750" t="s">
        <v>1577</v>
      </c>
      <c r="C95" s="751" t="s">
        <v>1578</v>
      </c>
      <c r="D95" s="754"/>
      <c r="E95" s="756" t="s">
        <v>1579</v>
      </c>
      <c r="F95" s="756"/>
      <c r="G95" s="757" t="s">
        <v>1580</v>
      </c>
      <c r="H95" s="755"/>
    </row>
    <row r="96" ht="33" spans="1:8">
      <c r="B96" s="758" t="s">
        <v>1581</v>
      </c>
      <c r="C96" s="751" t="s">
        <v>1582</v>
      </c>
      <c r="D96" s="754"/>
      <c r="E96" s="754"/>
      <c r="F96" s="754"/>
      <c r="G96" s="754"/>
      <c r="H96" s="755"/>
    </row>
    <row r="97" ht="16.5" spans="2:8">
      <c r="B97" s="754" t="s">
        <v>1583</v>
      </c>
      <c r="C97" s="754"/>
      <c r="D97" s="754"/>
      <c r="E97" s="754"/>
      <c r="F97" s="754"/>
      <c r="G97" s="754"/>
      <c r="H97" s="755"/>
    </row>
    <row r="98" ht="16.5" spans="2:8">
      <c r="B98" s="754" t="s">
        <v>1584</v>
      </c>
      <c r="C98" s="754"/>
      <c r="D98" s="754"/>
      <c r="E98" s="754"/>
      <c r="F98" s="754"/>
      <c r="G98" s="754"/>
      <c r="H98" s="755"/>
    </row>
    <row r="99" ht="15.75" spans="2:8">
      <c r="B99" s="759"/>
      <c r="C99" s="759"/>
      <c r="D99" s="759"/>
      <c r="E99" s="759"/>
      <c r="F99" s="759"/>
      <c r="G99" s="759"/>
      <c r="H99" s="759"/>
    </row>
    <row r="100" ht="31.5" spans="2:8">
      <c r="B100" s="760" t="s">
        <v>1585</v>
      </c>
      <c r="C100" s="761" t="s">
        <v>1586</v>
      </c>
      <c r="D100" s="762" t="s">
        <v>1587</v>
      </c>
      <c r="E100" s="763" t="s">
        <v>1596</v>
      </c>
      <c r="F100" s="764"/>
      <c r="G100" s="764"/>
      <c r="H100" s="764"/>
    </row>
    <row r="101" ht="28.5" spans="2:8">
      <c r="B101" s="760" t="s">
        <v>1589</v>
      </c>
      <c r="C101" s="765"/>
      <c r="D101" s="766" t="s">
        <v>1590</v>
      </c>
      <c r="E101" s="766"/>
      <c r="F101" s="767"/>
      <c r="G101" s="768"/>
      <c r="H101" s="768"/>
    </row>
    <row r="103" customFormat="1" ht="30" spans="2:8">
      <c r="B103" s="701" t="s">
        <v>1540</v>
      </c>
      <c r="C103" s="701"/>
      <c r="D103" s="701"/>
      <c r="E103" s="701"/>
      <c r="F103" s="701"/>
      <c r="G103" s="701"/>
      <c r="H103" s="701"/>
    </row>
    <row r="104" customFormat="1" ht="18" spans="2:8">
      <c r="B104" s="702" t="s">
        <v>1541</v>
      </c>
      <c r="C104" s="702"/>
      <c r="D104" s="702"/>
      <c r="E104" s="702"/>
      <c r="F104" s="702"/>
      <c r="G104" s="702"/>
      <c r="H104" s="702"/>
    </row>
    <row r="105" customFormat="1" ht="42" customHeight="1" spans="2:8">
      <c r="B105" s="703" t="s">
        <v>1542</v>
      </c>
      <c r="C105" s="703"/>
      <c r="D105" s="703"/>
      <c r="E105" s="703"/>
      <c r="F105" s="703"/>
      <c r="G105" s="703"/>
      <c r="H105" s="703"/>
    </row>
    <row r="106" customFormat="1" ht="18" spans="2:8">
      <c r="B106" s="704"/>
      <c r="C106" s="705"/>
      <c r="D106" s="705"/>
      <c r="E106" s="706"/>
      <c r="F106" s="707"/>
      <c r="G106" s="708"/>
      <c r="H106" s="654"/>
    </row>
    <row r="107" customFormat="1" ht="18.75" spans="2:8">
      <c r="B107" s="709" t="s">
        <v>1543</v>
      </c>
      <c r="C107" s="710" t="s">
        <v>1540</v>
      </c>
      <c r="D107" s="710"/>
      <c r="E107" s="710"/>
      <c r="F107" s="711"/>
      <c r="G107" s="712" t="s">
        <v>1544</v>
      </c>
      <c r="H107" s="642" t="s">
        <v>1597</v>
      </c>
    </row>
    <row r="108" customFormat="1" ht="18.75" spans="2:8">
      <c r="B108" s="709"/>
      <c r="C108" s="710" t="s">
        <v>1546</v>
      </c>
      <c r="D108" s="710"/>
      <c r="E108" s="710"/>
      <c r="F108" s="711"/>
      <c r="G108" s="712"/>
      <c r="H108" s="645"/>
    </row>
    <row r="109" customFormat="1" ht="18.75" spans="2:8">
      <c r="B109" s="713"/>
      <c r="C109" s="654" t="s">
        <v>1547</v>
      </c>
      <c r="D109" s="714"/>
      <c r="E109" s="710"/>
      <c r="F109" s="711"/>
      <c r="G109" s="715"/>
      <c r="H109" s="716"/>
    </row>
    <row r="110" customFormat="1" ht="18.75" spans="2:8">
      <c r="B110" s="654"/>
      <c r="C110" s="640" t="s">
        <v>1548</v>
      </c>
      <c r="D110" s="640"/>
      <c r="E110" s="640"/>
      <c r="F110" s="640"/>
      <c r="G110" s="717"/>
      <c r="H110" s="718"/>
    </row>
    <row r="111" customFormat="1" ht="18.75" spans="2:8">
      <c r="B111" s="711"/>
      <c r="C111" s="640"/>
      <c r="D111" s="640"/>
      <c r="E111" s="640"/>
      <c r="F111" s="640"/>
      <c r="G111" s="719" t="s">
        <v>1549</v>
      </c>
      <c r="H111" s="720">
        <f>H9</f>
        <v>46076</v>
      </c>
    </row>
    <row r="112" customFormat="1" ht="35" customHeight="1" spans="2:8">
      <c r="B112" s="709"/>
      <c r="C112" s="640"/>
      <c r="D112" s="640"/>
      <c r="E112" s="640"/>
      <c r="F112" s="640"/>
      <c r="G112" s="719"/>
      <c r="H112" s="721"/>
    </row>
    <row r="113" customFormat="1" ht="18.75" spans="1:8">
      <c r="B113" s="652" t="s">
        <v>1550</v>
      </c>
      <c r="C113" s="654" t="s">
        <v>255</v>
      </c>
      <c r="D113" s="654"/>
      <c r="E113" s="654"/>
      <c r="F113" s="711"/>
      <c r="G113" s="722"/>
      <c r="H113" s="716"/>
    </row>
    <row r="114" customFormat="1" ht="18.75" spans="1:8">
      <c r="B114" s="652"/>
      <c r="C114" s="653" t="s">
        <v>1598</v>
      </c>
      <c r="D114" s="653"/>
      <c r="E114" s="653"/>
      <c r="F114" s="711"/>
      <c r="G114" s="722"/>
      <c r="H114" s="716"/>
    </row>
    <row r="115" customFormat="1" ht="30" customHeight="1" spans="1:8">
      <c r="B115" s="654" t="s">
        <v>1553</v>
      </c>
      <c r="C115" s="637" t="s">
        <v>1599</v>
      </c>
      <c r="D115" s="637"/>
      <c r="E115" s="637"/>
      <c r="F115" s="637"/>
      <c r="G115" s="719" t="s">
        <v>1555</v>
      </c>
      <c r="H115" s="642" t="s">
        <v>1594</v>
      </c>
    </row>
    <row r="116" customFormat="1" ht="40" customHeight="1" spans="1:8">
      <c r="B116" s="723"/>
      <c r="C116" s="637"/>
      <c r="D116" s="637"/>
      <c r="E116" s="637"/>
      <c r="F116" s="637"/>
      <c r="G116" s="719"/>
      <c r="H116" s="724"/>
    </row>
    <row r="117" customFormat="1" ht="18" spans="1:8">
      <c r="B117" s="725" t="s">
        <v>1557</v>
      </c>
      <c r="C117" s="654" t="s">
        <v>1558</v>
      </c>
      <c r="D117" s="654"/>
      <c r="E117" s="654"/>
      <c r="F117" s="726"/>
      <c r="G117" s="727"/>
      <c r="H117" s="706"/>
    </row>
    <row r="118" customFormat="1" ht="40" customHeight="1" spans="1:8">
      <c r="B118" s="725"/>
      <c r="C118" s="637" t="s">
        <v>1559</v>
      </c>
      <c r="D118" s="637"/>
      <c r="E118" s="637"/>
      <c r="F118" s="637"/>
      <c r="G118" s="727"/>
      <c r="H118" s="706"/>
    </row>
    <row r="119" customFormat="1" ht="18" spans="1:8">
      <c r="B119" s="725"/>
      <c r="C119" s="654" t="s">
        <v>1560</v>
      </c>
      <c r="D119" s="654"/>
      <c r="E119" s="654"/>
      <c r="F119" s="726"/>
      <c r="G119" s="727"/>
      <c r="H119" s="706"/>
    </row>
    <row r="120" customFormat="1" ht="18" spans="1:8">
      <c r="B120" s="725"/>
      <c r="C120" s="654" t="s">
        <v>1561</v>
      </c>
      <c r="D120" s="654"/>
      <c r="E120" s="654"/>
      <c r="F120" s="726"/>
      <c r="G120" s="706"/>
      <c r="H120" s="706"/>
    </row>
    <row r="121" customFormat="1" ht="15.75" spans="1:8">
      <c r="B121" s="728" t="s">
        <v>1562</v>
      </c>
      <c r="C121" s="729"/>
      <c r="D121" s="729"/>
      <c r="E121" s="729"/>
      <c r="F121" s="704"/>
      <c r="G121" s="706"/>
      <c r="H121" s="706"/>
    </row>
    <row r="122" customFormat="1" ht="15" spans="1:8">
      <c r="B122" s="730" t="s">
        <v>1563</v>
      </c>
      <c r="C122" s="730"/>
      <c r="D122" s="730"/>
      <c r="E122" s="730"/>
      <c r="F122" s="730"/>
      <c r="G122" s="730"/>
      <c r="H122" s="730"/>
    </row>
    <row r="123" customFormat="1" ht="6" customHeight="1" spans="1:8">
      <c r="B123" s="731"/>
      <c r="C123" s="732"/>
      <c r="D123" s="733"/>
      <c r="E123" s="732"/>
      <c r="F123" s="732"/>
      <c r="G123" s="732"/>
      <c r="H123" s="706"/>
    </row>
    <row r="124" customFormat="1" ht="36" spans="1:8">
      <c r="B124" s="734" t="s">
        <v>1564</v>
      </c>
      <c r="C124" s="734" t="s">
        <v>1565</v>
      </c>
      <c r="D124" s="734" t="s">
        <v>1566</v>
      </c>
      <c r="E124" s="735" t="s">
        <v>1567</v>
      </c>
      <c r="F124" s="736" t="s">
        <v>1568</v>
      </c>
      <c r="G124" s="734" t="s">
        <v>1569</v>
      </c>
      <c r="H124" s="734" t="s">
        <v>1570</v>
      </c>
    </row>
    <row r="125" customFormat="1" ht="18" spans="1:8">
      <c r="B125" s="734"/>
      <c r="C125" s="734"/>
      <c r="D125" s="734"/>
      <c r="E125" s="735"/>
      <c r="F125" s="737" t="s">
        <v>1595</v>
      </c>
      <c r="G125" s="737"/>
      <c r="H125" s="734"/>
    </row>
    <row r="126" customFormat="1" ht="50" customHeight="1" spans="1:8">
      <c r="A126" s="429">
        <v>30</v>
      </c>
      <c r="B126" s="738" t="e">
        <f t="array" ref="B126">LOOKUP(1,0/(('5.21出货明细'!V:V=$H$107)*('5.21出货明细'!A:A=A126)),'5.21出货明细'!D:D)</f>
        <v>#N/A</v>
      </c>
      <c r="C126" s="738" t="e">
        <f t="array" ref="C126">LOOKUP(1,0/(('5.21出货明细'!V:V=$H$107)*('5.21出货明细'!A:A=A126)),'5.21出货明细'!G:G&amp;'5.21出货明细'!F:F)</f>
        <v>#N/A</v>
      </c>
      <c r="D126" s="738" t="e">
        <f t="array" ref="D126">LOOKUP(1,0/(('5.21出货明细'!V:V=$H$107)*('5.21出货明细'!A:A=A126)),'5.21出货明细'!K:K)</f>
        <v>#N/A</v>
      </c>
      <c r="E126" s="680" t="e">
        <f t="array" ref="E126">LOOKUP(1,0/(('5.21出货明细'!V:V=$H$107)*('5.21出货明细'!A:A=A126)),'5.21出货明细'!J:J)</f>
        <v>#N/A</v>
      </c>
      <c r="F126" s="686" t="e">
        <f t="array" ref="F126">LOOKUP(1,0/(('5.21出货明细'!V:V=$H$107)*('5.21出货明细'!A:A=A126)),'5.21出货明细'!Z:Z)</f>
        <v>#N/A</v>
      </c>
      <c r="G126" s="683" t="e">
        <f>F126*D126</f>
        <v>#N/A</v>
      </c>
      <c r="H126" s="734"/>
    </row>
    <row r="127" customFormat="1" ht="50" customHeight="1" spans="1:8">
      <c r="A127" s="429">
        <v>31</v>
      </c>
      <c r="B127" s="738" t="e">
        <f t="array" ref="B127">LOOKUP(1,0/(('5.21出货明细'!V:V=$H$107)*('5.21出货明细'!A:A=A127)),'5.21出货明细'!D:D)</f>
        <v>#N/A</v>
      </c>
      <c r="C127" s="738" t="e">
        <f t="array" ref="C127">LOOKUP(1,0/(('5.21出货明细'!V:V=$H$107)*('5.21出货明细'!A:A=A127)),'5.21出货明细'!G:G&amp;'5.21出货明细'!F:F)</f>
        <v>#N/A</v>
      </c>
      <c r="D127" s="738" t="e">
        <f t="array" ref="D127">LOOKUP(1,0/(('5.21出货明细'!V:V=$H$107)*('5.21出货明细'!A:A=A127)),'5.21出货明细'!K:K)</f>
        <v>#N/A</v>
      </c>
      <c r="E127" s="680" t="e">
        <f t="array" ref="E127">LOOKUP(1,0/(('5.21出货明细'!V:V=$H$107)*('5.21出货明细'!A:A=A127)),'5.21出货明细'!J:J)</f>
        <v>#N/A</v>
      </c>
      <c r="F127" s="686" t="e">
        <f t="array" ref="F127">LOOKUP(1,0/(('5.21出货明细'!V:V=$H$107)*('5.21出货明细'!A:A=A127)),'5.21出货明细'!Z:Z)</f>
        <v>#N/A</v>
      </c>
      <c r="G127" s="683" t="e">
        <f t="shared" ref="G127:G137" si="2">F127*D127</f>
        <v>#N/A</v>
      </c>
      <c r="H127" s="734"/>
    </row>
    <row r="128" customFormat="1" ht="50" customHeight="1" spans="1:8">
      <c r="A128" s="429">
        <v>32</v>
      </c>
      <c r="B128" s="738" t="e">
        <f t="array" ref="B128">LOOKUP(1,0/(('5.21出货明细'!V:V=$H$107)*('5.21出货明细'!A:A=A128)),'5.21出货明细'!D:D)</f>
        <v>#N/A</v>
      </c>
      <c r="C128" s="738" t="e">
        <f t="array" ref="C128">LOOKUP(1,0/(('5.21出货明细'!V:V=$H$107)*('5.21出货明细'!A:A=A128)),'5.21出货明细'!G:G&amp;'5.21出货明细'!F:F)</f>
        <v>#N/A</v>
      </c>
      <c r="D128" s="738" t="e">
        <f t="array" ref="D128">LOOKUP(1,0/(('5.21出货明细'!V:V=$H$107)*('5.21出货明细'!A:A=A128)),'5.21出货明细'!K:K)</f>
        <v>#N/A</v>
      </c>
      <c r="E128" s="680" t="e">
        <f t="array" ref="E128">LOOKUP(1,0/(('5.21出货明细'!V:V=$H$107)*('5.21出货明细'!A:A=A128)),'5.21出货明细'!J:J)</f>
        <v>#N/A</v>
      </c>
      <c r="F128" s="686" t="e">
        <f t="array" ref="F128">LOOKUP(1,0/(('5.21出货明细'!V:V=$H$107)*('5.21出货明细'!A:A=A128)),'5.21出货明细'!Z:Z)</f>
        <v>#N/A</v>
      </c>
      <c r="G128" s="683" t="e">
        <f t="shared" si="2"/>
        <v>#N/A</v>
      </c>
      <c r="H128" s="734"/>
    </row>
    <row r="129" customFormat="1" ht="50" customHeight="1" spans="1:8">
      <c r="A129" s="429">
        <v>33</v>
      </c>
      <c r="B129" s="738" t="e">
        <f t="array" ref="B129">LOOKUP(1,0/(('5.21出货明细'!V:V=$H$107)*('5.21出货明细'!A:A=A129)),'5.21出货明细'!D:D)</f>
        <v>#N/A</v>
      </c>
      <c r="C129" s="738" t="e">
        <f t="array" ref="C129">LOOKUP(1,0/(('5.21出货明细'!V:V=$H$107)*('5.21出货明细'!A:A=A129)),'5.21出货明细'!G:G&amp;'5.21出货明细'!F:F)</f>
        <v>#N/A</v>
      </c>
      <c r="D129" s="738" t="e">
        <f t="array" ref="D129">LOOKUP(1,0/(('5.21出货明细'!V:V=$H$107)*('5.21出货明细'!A:A=A129)),'5.21出货明细'!K:K)</f>
        <v>#N/A</v>
      </c>
      <c r="E129" s="680" t="e">
        <f t="array" ref="E129">LOOKUP(1,0/(('5.21出货明细'!V:V=$H$107)*('5.21出货明细'!A:A=A129)),'5.21出货明细'!J:J)</f>
        <v>#N/A</v>
      </c>
      <c r="F129" s="683" t="e">
        <f t="array" ref="F129">LOOKUP(1,0/(('5.21出货明细'!V:V=$H$107)*('5.21出货明细'!A:A=A129)),'5.21出货明细'!Z:Z)</f>
        <v>#N/A</v>
      </c>
      <c r="G129" s="683" t="e">
        <f t="shared" si="2"/>
        <v>#N/A</v>
      </c>
      <c r="H129" s="734"/>
    </row>
    <row r="130" customFormat="1" ht="50" customHeight="1" spans="1:8">
      <c r="A130" s="429">
        <v>34</v>
      </c>
      <c r="B130" s="738" t="e">
        <f t="array" ref="B130">LOOKUP(1,0/(('5.21出货明细'!V:V=$H$107)*('5.21出货明细'!A:A=A130)),'5.21出货明细'!D:D)</f>
        <v>#N/A</v>
      </c>
      <c r="C130" s="738" t="e">
        <f t="array" ref="C130">LOOKUP(1,0/(('5.21出货明细'!V:V=$H$107)*('5.21出货明细'!A:A=A130)),'5.21出货明细'!G:G&amp;'5.21出货明细'!F:F)</f>
        <v>#N/A</v>
      </c>
      <c r="D130" s="738" t="e">
        <f t="array" ref="D130">LOOKUP(1,0/(('5.21出货明细'!V:V=$H$107)*('5.21出货明细'!A:A=A130)),'5.21出货明细'!K:K)</f>
        <v>#N/A</v>
      </c>
      <c r="E130" s="680" t="e">
        <f t="array" ref="E130">LOOKUP(1,0/(('5.21出货明细'!V:V=$H$107)*('5.21出货明细'!A:A=A130)),'5.21出货明细'!J:J)</f>
        <v>#N/A</v>
      </c>
      <c r="F130" s="685" t="e">
        <f t="array" ref="F130">LOOKUP(1,0/(('5.21出货明细'!V:V=$H$107)*('5.21出货明细'!A:A=A130)),'5.21出货明细'!Z:Z)</f>
        <v>#N/A</v>
      </c>
      <c r="G130" s="683" t="e">
        <f t="shared" si="2"/>
        <v>#N/A</v>
      </c>
      <c r="H130" s="734"/>
    </row>
    <row r="131" customFormat="1" ht="50" customHeight="1" spans="1:8">
      <c r="A131" s="429">
        <v>35</v>
      </c>
      <c r="B131" s="738" t="e">
        <f t="array" ref="B131">LOOKUP(1,0/(('5.21出货明细'!V:V=$H$107)*('5.21出货明细'!A:A=A131)),'5.21出货明细'!D:D)</f>
        <v>#N/A</v>
      </c>
      <c r="C131" s="738" t="e">
        <f t="array" ref="C131">LOOKUP(1,0/(('5.21出货明细'!V:V=$H$107)*('5.21出货明细'!A:A=A131)),'5.21出货明细'!G:G&amp;'5.21出货明细'!F:F)</f>
        <v>#N/A</v>
      </c>
      <c r="D131" s="738" t="e">
        <f t="array" ref="D131">LOOKUP(1,0/(('5.21出货明细'!V:V=$H$107)*('5.21出货明细'!A:A=A131)),'5.21出货明细'!K:K)</f>
        <v>#N/A</v>
      </c>
      <c r="E131" s="680" t="e">
        <f t="array" ref="E131">LOOKUP(1,0/(('5.21出货明细'!V:V=$H$107)*('5.21出货明细'!A:A=A131)),'5.21出货明细'!J:J)</f>
        <v>#N/A</v>
      </c>
      <c r="F131" s="685" t="e">
        <f t="array" ref="F131">LOOKUP(1,0/(('5.21出货明细'!V:V=$H$107)*('5.21出货明细'!A:A=A131)),'5.21出货明细'!Z:Z)</f>
        <v>#N/A</v>
      </c>
      <c r="G131" s="683" t="e">
        <f t="shared" si="2"/>
        <v>#N/A</v>
      </c>
      <c r="H131" s="734"/>
    </row>
    <row r="132" customFormat="1" ht="50" customHeight="1" spans="1:8">
      <c r="A132" s="429">
        <v>36</v>
      </c>
      <c r="B132" s="738" t="e">
        <f t="array" ref="B132">LOOKUP(1,0/(('5.21出货明细'!V:V=$H$107)*('5.21出货明细'!A:A=A132)),'5.21出货明细'!D:D)</f>
        <v>#N/A</v>
      </c>
      <c r="C132" s="738" t="e">
        <f t="array" ref="C132">LOOKUP(1,0/(('5.21出货明细'!V:V=$H$107)*('5.21出货明细'!A:A=A132)),'5.21出货明细'!G:G&amp;'5.21出货明细'!F:F)</f>
        <v>#N/A</v>
      </c>
      <c r="D132" s="738" t="e">
        <f t="array" ref="D132">LOOKUP(1,0/(('5.21出货明细'!V:V=$H$107)*('5.21出货明细'!A:A=A132)),'5.21出货明细'!K:K)</f>
        <v>#N/A</v>
      </c>
      <c r="E132" s="680" t="e">
        <f t="array" ref="E132">LOOKUP(1,0/(('5.21出货明细'!V:V=$H$107)*('5.21出货明细'!A:A=A132)),'5.21出货明细'!J:J)</f>
        <v>#N/A</v>
      </c>
      <c r="F132" s="685" t="e">
        <f t="array" ref="F132">LOOKUP(1,0/(('5.21出货明细'!V:V=$H$107)*('5.21出货明细'!A:A=A132)),'5.21出货明细'!Z:Z)</f>
        <v>#N/A</v>
      </c>
      <c r="G132" s="683" t="e">
        <f t="shared" si="2"/>
        <v>#N/A</v>
      </c>
      <c r="H132" s="734"/>
    </row>
    <row r="133" customFormat="1" ht="50" customHeight="1" spans="1:8">
      <c r="A133" s="429">
        <v>37</v>
      </c>
      <c r="B133" s="738" t="e">
        <f t="array" ref="B133">LOOKUP(1,0/(('5.21出货明细'!V:V=$H$107)*('5.21出货明细'!A:A=A133)),'5.21出货明细'!D:D)</f>
        <v>#N/A</v>
      </c>
      <c r="C133" s="738" t="e">
        <f t="array" ref="C133">LOOKUP(1,0/(('5.21出货明细'!V:V=$H$107)*('5.21出货明细'!A:A=A133)),'5.21出货明细'!G:G&amp;'5.21出货明细'!F:F)</f>
        <v>#N/A</v>
      </c>
      <c r="D133" s="738" t="e">
        <f t="array" ref="D133">LOOKUP(1,0/(('5.21出货明细'!V:V=$H$107)*('5.21出货明细'!A:A=A133)),'5.21出货明细'!K:K)</f>
        <v>#N/A</v>
      </c>
      <c r="E133" s="680" t="e">
        <f t="array" ref="E133">LOOKUP(1,0/(('5.21出货明细'!V:V=$H$107)*('5.21出货明细'!A:A=A133)),'5.21出货明细'!J:J)</f>
        <v>#N/A</v>
      </c>
      <c r="F133" s="683" t="e">
        <f t="array" ref="F133">LOOKUP(1,0/(('5.21出货明细'!V:V=$H$107)*('5.21出货明细'!A:A=A133)),'5.21出货明细'!Z:Z)</f>
        <v>#N/A</v>
      </c>
      <c r="G133" s="683" t="e">
        <f t="shared" si="2"/>
        <v>#N/A</v>
      </c>
      <c r="H133" s="734"/>
    </row>
    <row r="134" customFormat="1" ht="50" customHeight="1" spans="1:8">
      <c r="A134" s="429">
        <v>38</v>
      </c>
      <c r="B134" s="738" t="e">
        <f t="array" ref="B134">LOOKUP(1,0/(('5.21出货明细'!V:V=$H$107)*('5.21出货明细'!A:A=A134)),'5.21出货明细'!D:D)</f>
        <v>#N/A</v>
      </c>
      <c r="C134" s="738" t="e">
        <f t="array" ref="C134">LOOKUP(1,0/(('5.21出货明细'!V:V=$H$107)*('5.21出货明细'!A:A=A134)),'5.21出货明细'!G:G&amp;'5.21出货明细'!F:F)</f>
        <v>#N/A</v>
      </c>
      <c r="D134" s="738" t="e">
        <f t="array" ref="D134">LOOKUP(1,0/(('5.21出货明细'!V:V=$H$107)*('5.21出货明细'!A:A=A134)),'5.21出货明细'!K:K)</f>
        <v>#N/A</v>
      </c>
      <c r="E134" s="680" t="e">
        <f t="array" ref="E134">LOOKUP(1,0/(('5.21出货明细'!V:V=$H$107)*('5.21出货明细'!A:A=A134)),'5.21出货明细'!J:J)</f>
        <v>#N/A</v>
      </c>
      <c r="F134" s="685" t="e">
        <f t="array" ref="F134">LOOKUP(1,0/(('5.21出货明细'!V:V=$H$107)*('5.21出货明细'!A:A=A134)),'5.21出货明细'!Z:Z)</f>
        <v>#N/A</v>
      </c>
      <c r="G134" s="683" t="e">
        <f t="shared" si="2"/>
        <v>#N/A</v>
      </c>
      <c r="H134" s="734"/>
    </row>
    <row r="135" customFormat="1" ht="50" customHeight="1" spans="1:8">
      <c r="A135" s="429">
        <v>39</v>
      </c>
      <c r="B135" s="738" t="e">
        <f t="array" ref="B135">LOOKUP(1,0/(('5.21出货明细'!V:V=$H$107)*('5.21出货明细'!A:A=A135)),'5.21出货明细'!D:D)</f>
        <v>#N/A</v>
      </c>
      <c r="C135" s="738" t="e">
        <f t="array" ref="C135">LOOKUP(1,0/(('5.21出货明细'!V:V=$H$107)*('5.21出货明细'!A:A=A135)),'5.21出货明细'!G:G&amp;'5.21出货明细'!F:F)</f>
        <v>#N/A</v>
      </c>
      <c r="D135" s="738" t="e">
        <f t="array" ref="D135">LOOKUP(1,0/(('5.21出货明细'!V:V=$H$107)*('5.21出货明细'!A:A=A135)),'5.21出货明细'!K:K)</f>
        <v>#N/A</v>
      </c>
      <c r="E135" s="680" t="e">
        <f t="array" ref="E135">LOOKUP(1,0/(('5.21出货明细'!V:V=$H$107)*('5.21出货明细'!A:A=A135)),'5.21出货明细'!J:J)</f>
        <v>#N/A</v>
      </c>
      <c r="F135" s="685" t="e">
        <f t="array" ref="F135">LOOKUP(1,0/(('5.21出货明细'!V:V=$H$107)*('5.21出货明细'!A:A=A135)),'5.21出货明细'!Z:Z)</f>
        <v>#N/A</v>
      </c>
      <c r="G135" s="683" t="e">
        <f t="shared" si="2"/>
        <v>#N/A</v>
      </c>
      <c r="H135" s="734"/>
    </row>
    <row r="136" customFormat="1" ht="50" customHeight="1" spans="1:8">
      <c r="A136" s="429">
        <v>40</v>
      </c>
      <c r="B136" s="738" t="e">
        <f t="array" ref="B136">LOOKUP(1,0/(('5.21出货明细'!V:V=$H$107)*('5.21出货明细'!A:A=A136)),'5.21出货明细'!D:D)</f>
        <v>#N/A</v>
      </c>
      <c r="C136" s="738" t="e">
        <f t="array" ref="C136">LOOKUP(1,0/(('5.21出货明细'!V:V=$H$107)*('5.21出货明细'!A:A=A136)),'5.21出货明细'!G:G&amp;'5.21出货明细'!F:F)</f>
        <v>#N/A</v>
      </c>
      <c r="D136" s="738" t="e">
        <f t="array" ref="D136">LOOKUP(1,0/(('5.21出货明细'!V:V=$H$107)*('5.21出货明细'!A:A=A136)),'5.21出货明细'!K:K)</f>
        <v>#N/A</v>
      </c>
      <c r="E136" s="680" t="e">
        <f t="array" ref="E136">LOOKUP(1,0/(('5.21出货明细'!V:V=$H$107)*('5.21出货明细'!A:A=A136)),'5.21出货明细'!J:J)</f>
        <v>#N/A</v>
      </c>
      <c r="F136" s="685" t="e">
        <f t="array" ref="F136">LOOKUP(1,0/(('5.21出货明细'!V:V=$H$107)*('5.21出货明细'!A:A=A136)),'5.21出货明细'!Z:Z)</f>
        <v>#N/A</v>
      </c>
      <c r="G136" s="683" t="e">
        <f t="shared" si="2"/>
        <v>#N/A</v>
      </c>
      <c r="H136" s="734"/>
    </row>
    <row r="137" customFormat="1" ht="50" customHeight="1" spans="1:8">
      <c r="A137" s="429">
        <v>41</v>
      </c>
      <c r="B137" s="738" t="e">
        <f t="array" ref="B137">LOOKUP(1,0/(('5.21出货明细'!V:V=$H$107)*('5.21出货明细'!A:A=A137)),'5.21出货明细'!D:D)</f>
        <v>#N/A</v>
      </c>
      <c r="C137" s="738" t="e">
        <f t="array" ref="C137">LOOKUP(1,0/(('5.21出货明细'!V:V=$H$107)*('5.21出货明细'!A:A=A137)),'5.21出货明细'!G:G&amp;'5.21出货明细'!F:F)</f>
        <v>#N/A</v>
      </c>
      <c r="D137" s="738" t="e">
        <f t="array" ref="D137">LOOKUP(1,0/(('5.21出货明细'!V:V=$H$107)*('5.21出货明细'!A:A=A137)),'5.21出货明细'!K:K)</f>
        <v>#N/A</v>
      </c>
      <c r="E137" s="680" t="e">
        <f t="array" ref="E137">LOOKUP(1,0/(('5.21出货明细'!V:V=$H$107)*('5.21出货明细'!A:A=A137)),'5.21出货明细'!J:J)</f>
        <v>#N/A</v>
      </c>
      <c r="F137" s="686" t="e">
        <f t="array" ref="F137">LOOKUP(1,0/(('5.21出货明细'!V:V=$H$107)*('5.21出货明细'!A:A=A137)),'5.21出货明细'!Z:Z)</f>
        <v>#N/A</v>
      </c>
      <c r="G137" s="683" t="e">
        <f t="shared" si="2"/>
        <v>#N/A</v>
      </c>
      <c r="H137" s="734"/>
    </row>
    <row r="138" customFormat="1" ht="27" customHeight="1" spans="1:8">
      <c r="B138" s="739"/>
      <c r="C138" s="740"/>
      <c r="D138" s="741"/>
      <c r="E138" s="740"/>
      <c r="F138" s="683"/>
      <c r="G138" s="742" t="e">
        <f>SUM(G126:G137)</f>
        <v>#N/A</v>
      </c>
      <c r="H138" s="740"/>
    </row>
    <row r="139" customFormat="1" ht="4" customHeight="1" spans="1:8">
      <c r="B139" s="705"/>
      <c r="C139" s="743"/>
      <c r="D139" s="706"/>
      <c r="E139" s="732"/>
      <c r="F139" s="744"/>
      <c r="G139" s="745"/>
      <c r="H139" s="732"/>
    </row>
    <row r="140" customFormat="1" ht="16.5" spans="1:8">
      <c r="B140" s="746" t="s">
        <v>1572</v>
      </c>
      <c r="C140" s="747" t="s">
        <v>1573</v>
      </c>
      <c r="D140" s="748"/>
      <c r="E140" s="748"/>
      <c r="F140" s="748"/>
      <c r="G140" s="749"/>
      <c r="H140" s="706"/>
    </row>
    <row r="141" customFormat="1" ht="16.5" spans="1:8">
      <c r="B141" s="750" t="s">
        <v>1574</v>
      </c>
      <c r="C141" s="751" t="s">
        <v>1595</v>
      </c>
      <c r="D141" s="751"/>
      <c r="E141" s="752"/>
      <c r="F141" s="752"/>
      <c r="G141" s="752"/>
      <c r="H141" s="743"/>
    </row>
    <row r="142" customFormat="1" ht="16.5" spans="1:8">
      <c r="B142" s="753" t="s">
        <v>1575</v>
      </c>
      <c r="C142" s="751" t="s">
        <v>1576</v>
      </c>
      <c r="D142" s="751"/>
      <c r="E142" s="751"/>
      <c r="F142" s="754"/>
      <c r="G142" s="754"/>
      <c r="H142" s="755"/>
    </row>
    <row r="143" customFormat="1" ht="33" spans="1:8">
      <c r="B143" s="750" t="s">
        <v>1577</v>
      </c>
      <c r="C143" s="751" t="s">
        <v>1578</v>
      </c>
      <c r="D143" s="754"/>
      <c r="E143" s="756" t="s">
        <v>1579</v>
      </c>
      <c r="F143" s="756"/>
      <c r="G143" s="757" t="s">
        <v>1580</v>
      </c>
      <c r="H143" s="755"/>
    </row>
    <row r="144" customFormat="1" ht="33" spans="1:8">
      <c r="B144" s="758" t="s">
        <v>1581</v>
      </c>
      <c r="C144" s="751" t="s">
        <v>1582</v>
      </c>
      <c r="D144" s="754"/>
      <c r="E144" s="754"/>
      <c r="F144" s="754"/>
      <c r="G144" s="754"/>
      <c r="H144" s="755"/>
    </row>
    <row r="145" customFormat="1" ht="16.5" spans="2:8">
      <c r="B145" s="754" t="s">
        <v>1583</v>
      </c>
      <c r="C145" s="754"/>
      <c r="D145" s="754"/>
      <c r="E145" s="754"/>
      <c r="F145" s="754"/>
      <c r="G145" s="754"/>
      <c r="H145" s="755"/>
    </row>
    <row r="146" customFormat="1" ht="16.5" spans="2:8">
      <c r="B146" s="754" t="s">
        <v>1584</v>
      </c>
      <c r="C146" s="754"/>
      <c r="D146" s="754"/>
      <c r="E146" s="754"/>
      <c r="F146" s="754"/>
      <c r="G146" s="754"/>
      <c r="H146" s="755"/>
    </row>
    <row r="147" customFormat="1" ht="15.75" spans="2:8">
      <c r="B147" s="759"/>
      <c r="C147" s="759"/>
      <c r="D147" s="759"/>
      <c r="E147" s="759"/>
      <c r="F147" s="759"/>
      <c r="G147" s="759"/>
      <c r="H147" s="759"/>
    </row>
    <row r="148" customFormat="1" ht="31.5" spans="2:8">
      <c r="B148" s="760" t="s">
        <v>1585</v>
      </c>
      <c r="C148" s="761" t="s">
        <v>1586</v>
      </c>
      <c r="D148" s="762" t="s">
        <v>1587</v>
      </c>
      <c r="E148" s="763" t="s">
        <v>1600</v>
      </c>
      <c r="F148" s="764"/>
      <c r="G148" s="764"/>
      <c r="H148" s="764"/>
    </row>
    <row r="149" customFormat="1" ht="28.5" spans="2:8">
      <c r="B149" s="760" t="s">
        <v>1589</v>
      </c>
      <c r="C149" s="765"/>
      <c r="D149" s="766" t="s">
        <v>1590</v>
      </c>
      <c r="E149" s="766"/>
      <c r="F149" s="767"/>
      <c r="G149" s="768"/>
      <c r="H149" s="768"/>
    </row>
    <row r="151" customFormat="1" ht="30" spans="2:8">
      <c r="B151" s="701" t="s">
        <v>1540</v>
      </c>
      <c r="C151" s="701"/>
      <c r="D151" s="701"/>
      <c r="E151" s="701"/>
      <c r="F151" s="701"/>
      <c r="G151" s="701"/>
      <c r="H151" s="701"/>
    </row>
    <row r="152" customFormat="1" ht="18" spans="2:8">
      <c r="B152" s="702" t="s">
        <v>1541</v>
      </c>
      <c r="C152" s="702"/>
      <c r="D152" s="702"/>
      <c r="E152" s="702"/>
      <c r="F152" s="702"/>
      <c r="G152" s="702"/>
      <c r="H152" s="702"/>
    </row>
    <row r="153" customFormat="1" ht="42" customHeight="1" spans="2:8">
      <c r="B153" s="703" t="s">
        <v>1542</v>
      </c>
      <c r="C153" s="703"/>
      <c r="D153" s="703"/>
      <c r="E153" s="703"/>
      <c r="F153" s="703"/>
      <c r="G153" s="703"/>
      <c r="H153" s="703"/>
    </row>
    <row r="154" customFormat="1" ht="18" spans="2:8">
      <c r="B154" s="704"/>
      <c r="C154" s="705"/>
      <c r="D154" s="705"/>
      <c r="E154" s="706"/>
      <c r="F154" s="707"/>
      <c r="G154" s="708"/>
      <c r="H154" s="654"/>
    </row>
    <row r="155" customFormat="1" ht="18.75" spans="2:8">
      <c r="B155" s="709" t="s">
        <v>1543</v>
      </c>
      <c r="C155" s="710" t="s">
        <v>1540</v>
      </c>
      <c r="D155" s="710"/>
      <c r="E155" s="710"/>
      <c r="F155" s="711"/>
      <c r="G155" s="712" t="s">
        <v>1544</v>
      </c>
      <c r="H155" s="642" t="s">
        <v>1601</v>
      </c>
    </row>
    <row r="156" customFormat="1" ht="18.75" spans="2:8">
      <c r="B156" s="709"/>
      <c r="C156" s="710" t="s">
        <v>1546</v>
      </c>
      <c r="D156" s="710"/>
      <c r="E156" s="710"/>
      <c r="F156" s="711"/>
      <c r="G156" s="712"/>
      <c r="H156" s="645"/>
    </row>
    <row r="157" customFormat="1" ht="18.75" spans="2:8">
      <c r="B157" s="713"/>
      <c r="C157" s="654" t="s">
        <v>1547</v>
      </c>
      <c r="D157" s="714"/>
      <c r="E157" s="710"/>
      <c r="F157" s="711"/>
      <c r="G157" s="715"/>
      <c r="H157" s="716"/>
    </row>
    <row r="158" customFormat="1" ht="18.75" spans="2:8">
      <c r="B158" s="654"/>
      <c r="C158" s="640" t="s">
        <v>1548</v>
      </c>
      <c r="D158" s="640"/>
      <c r="E158" s="640"/>
      <c r="F158" s="640"/>
      <c r="G158" s="717"/>
      <c r="H158" s="718"/>
    </row>
    <row r="159" customFormat="1" ht="18.75" spans="2:8">
      <c r="B159" s="711"/>
      <c r="C159" s="640"/>
      <c r="D159" s="640"/>
      <c r="E159" s="640"/>
      <c r="F159" s="640"/>
      <c r="G159" s="719" t="s">
        <v>1549</v>
      </c>
      <c r="H159" s="720">
        <f>H9</f>
        <v>46076</v>
      </c>
    </row>
    <row r="160" customFormat="1" ht="35" customHeight="1" spans="2:8">
      <c r="B160" s="709"/>
      <c r="C160" s="640"/>
      <c r="D160" s="640"/>
      <c r="E160" s="640"/>
      <c r="F160" s="640"/>
      <c r="G160" s="719"/>
      <c r="H160" s="721"/>
    </row>
    <row r="161" customFormat="1" ht="18.75" spans="1:8">
      <c r="B161" s="652" t="s">
        <v>1550</v>
      </c>
      <c r="C161" s="654" t="s">
        <v>124</v>
      </c>
      <c r="D161" s="654"/>
      <c r="E161" s="654"/>
      <c r="F161" s="711"/>
      <c r="G161" s="722"/>
      <c r="H161" s="716"/>
    </row>
    <row r="162" customFormat="1" ht="18.75" spans="1:8">
      <c r="B162" s="652"/>
      <c r="C162" s="653" t="s">
        <v>1602</v>
      </c>
      <c r="D162" s="653"/>
      <c r="E162" s="653"/>
      <c r="F162" s="711"/>
      <c r="G162" s="722"/>
      <c r="H162" s="716"/>
    </row>
    <row r="163" customFormat="1" ht="30" customHeight="1" spans="1:8">
      <c r="B163" s="654" t="s">
        <v>1553</v>
      </c>
      <c r="C163" s="637" t="s">
        <v>1603</v>
      </c>
      <c r="D163" s="637"/>
      <c r="E163" s="637"/>
      <c r="F163" s="637"/>
      <c r="G163" s="719" t="s">
        <v>1555</v>
      </c>
      <c r="H163" s="642" t="s">
        <v>1604</v>
      </c>
    </row>
    <row r="164" customFormat="1" ht="26" customHeight="1" spans="1:8">
      <c r="B164" s="723"/>
      <c r="C164" s="637"/>
      <c r="D164" s="637"/>
      <c r="E164" s="637"/>
      <c r="F164" s="637"/>
      <c r="G164" s="719"/>
      <c r="H164" s="724"/>
    </row>
    <row r="165" customFormat="1" ht="18" spans="1:8">
      <c r="B165" s="725" t="s">
        <v>1557</v>
      </c>
      <c r="C165" s="654" t="s">
        <v>1558</v>
      </c>
      <c r="D165" s="654"/>
      <c r="E165" s="654"/>
      <c r="F165" s="726"/>
      <c r="G165" s="727"/>
      <c r="H165" s="706"/>
    </row>
    <row r="166" customFormat="1" ht="40" customHeight="1" spans="1:8">
      <c r="B166" s="725"/>
      <c r="C166" s="637" t="s">
        <v>1559</v>
      </c>
      <c r="D166" s="637"/>
      <c r="E166" s="637"/>
      <c r="F166" s="637"/>
      <c r="G166" s="727"/>
      <c r="H166" s="706"/>
    </row>
    <row r="167" customFormat="1" ht="18" spans="1:8">
      <c r="B167" s="725"/>
      <c r="C167" s="654" t="s">
        <v>1560</v>
      </c>
      <c r="D167" s="654"/>
      <c r="E167" s="654"/>
      <c r="F167" s="726"/>
      <c r="G167" s="727"/>
      <c r="H167" s="706"/>
    </row>
    <row r="168" customFormat="1" ht="18" spans="1:8">
      <c r="B168" s="725"/>
      <c r="C168" s="654" t="s">
        <v>1561</v>
      </c>
      <c r="D168" s="654"/>
      <c r="E168" s="654"/>
      <c r="F168" s="726"/>
      <c r="G168" s="706"/>
      <c r="H168" s="706"/>
    </row>
    <row r="169" customFormat="1" ht="15.75" spans="1:8">
      <c r="B169" s="728" t="s">
        <v>1562</v>
      </c>
      <c r="C169" s="729"/>
      <c r="D169" s="729"/>
      <c r="E169" s="729"/>
      <c r="F169" s="704"/>
      <c r="G169" s="706"/>
      <c r="H169" s="706"/>
    </row>
    <row r="170" customFormat="1" ht="15" spans="1:8">
      <c r="B170" s="730" t="s">
        <v>1563</v>
      </c>
      <c r="C170" s="730"/>
      <c r="D170" s="730"/>
      <c r="E170" s="730"/>
      <c r="F170" s="730"/>
      <c r="G170" s="730"/>
      <c r="H170" s="730"/>
    </row>
    <row r="171" customFormat="1" ht="6" customHeight="1" spans="1:8">
      <c r="B171" s="731"/>
      <c r="C171" s="732"/>
      <c r="D171" s="733"/>
      <c r="E171" s="732"/>
      <c r="F171" s="732"/>
      <c r="G171" s="732"/>
      <c r="H171" s="706"/>
    </row>
    <row r="172" customFormat="1" ht="36" spans="1:8">
      <c r="B172" s="734" t="s">
        <v>1564</v>
      </c>
      <c r="C172" s="734" t="s">
        <v>1565</v>
      </c>
      <c r="D172" s="734" t="s">
        <v>1566</v>
      </c>
      <c r="E172" s="735" t="s">
        <v>1567</v>
      </c>
      <c r="F172" s="736" t="s">
        <v>1568</v>
      </c>
      <c r="G172" s="734" t="s">
        <v>1569</v>
      </c>
      <c r="H172" s="734" t="s">
        <v>1570</v>
      </c>
    </row>
    <row r="173" customFormat="1" ht="18" spans="1:8">
      <c r="B173" s="734"/>
      <c r="C173" s="734"/>
      <c r="D173" s="734"/>
      <c r="E173" s="735"/>
      <c r="F173" s="737" t="s">
        <v>1595</v>
      </c>
      <c r="G173" s="737"/>
      <c r="H173" s="734"/>
    </row>
    <row r="174" customFormat="1" ht="51" customHeight="1" spans="1:8">
      <c r="A174" s="429">
        <v>42</v>
      </c>
      <c r="B174" s="738" t="e">
        <f t="array" ref="B174">LOOKUP(1,0/(('5.21出货明细'!V:V=$H$155)*('5.21出货明细'!A:A=A174)),'5.21出货明细'!D:D)</f>
        <v>#N/A</v>
      </c>
      <c r="C174" s="738" t="e">
        <f t="array" ref="C174">LOOKUP(1,0/(('5.21出货明细'!V:V=$H$155)*('5.21出货明细'!A:A=A174)),'5.21出货明细'!G:G&amp;'5.21出货明细'!F:F)</f>
        <v>#N/A</v>
      </c>
      <c r="D174" s="738" t="e">
        <f t="array" ref="D174">LOOKUP(1,0/(('5.21出货明细'!V:V=$H$155)*('5.21出货明细'!A:A=A174)),'5.21出货明细'!K:K)</f>
        <v>#N/A</v>
      </c>
      <c r="E174" s="680" t="e">
        <f t="array" ref="E174">LOOKUP(1,0/(('5.21出货明细'!V:V=$H$155)*('5.21出货明细'!A:A=A174)),'5.21出货明细'!J:J)</f>
        <v>#N/A</v>
      </c>
      <c r="F174" s="683" t="e">
        <f t="array" ref="F174">LOOKUP(1,0/(('5.21出货明细'!V:V=$H$155)*('5.21出货明细'!A:A=A174)),'5.21出货明细'!Z:Z)</f>
        <v>#N/A</v>
      </c>
      <c r="G174" s="683" t="e">
        <f t="shared" ref="G174:G181" si="3">F174*D174</f>
        <v>#N/A</v>
      </c>
      <c r="H174" s="734"/>
    </row>
    <row r="175" customFormat="1" ht="48" customHeight="1" spans="1:8">
      <c r="A175" s="429">
        <v>43</v>
      </c>
      <c r="B175" s="738" t="e">
        <f t="array" ref="B175">LOOKUP(1,0/(('5.21出货明细'!V:V=$H$155)*('5.21出货明细'!A:A=A175)),'5.21出货明细'!D:D)</f>
        <v>#N/A</v>
      </c>
      <c r="C175" s="738" t="e">
        <f t="array" ref="C175">LOOKUP(1,0/(('5.21出货明细'!V:V=$H$155)*('5.21出货明细'!A:A=A175)),'5.21出货明细'!G:G&amp;'5.21出货明细'!F:F)</f>
        <v>#N/A</v>
      </c>
      <c r="D175" s="738" t="e">
        <f t="array" ref="D175">LOOKUP(1,0/(('5.21出货明细'!V:V=$H$155)*('5.21出货明细'!A:A=A175)),'5.21出货明细'!K:K)</f>
        <v>#N/A</v>
      </c>
      <c r="E175" s="680" t="e">
        <f t="array" ref="E175">LOOKUP(1,0/(('5.21出货明细'!V:V=$H$155)*('5.21出货明细'!A:A=A175)),'5.21出货明细'!J:J)</f>
        <v>#N/A</v>
      </c>
      <c r="F175" s="683" t="e">
        <f t="array" ref="F175">LOOKUP(1,0/(('5.21出货明细'!V:V=$H$155)*('5.21出货明细'!A:A=A175)),'5.21出货明细'!Z:Z)</f>
        <v>#N/A</v>
      </c>
      <c r="G175" s="683" t="e">
        <f t="shared" si="3"/>
        <v>#N/A</v>
      </c>
      <c r="H175" s="734"/>
    </row>
    <row r="176" customFormat="1" ht="48" customHeight="1" spans="1:8">
      <c r="A176" s="429">
        <v>44</v>
      </c>
      <c r="B176" s="738" t="e">
        <f t="array" ref="B176">LOOKUP(1,0/(('5.21出货明细'!V:V=$H$155)*('5.21出货明细'!A:A=A176)),'5.21出货明细'!D:D)</f>
        <v>#N/A</v>
      </c>
      <c r="C176" s="738" t="e">
        <f t="array" ref="C176">LOOKUP(1,0/(('5.21出货明细'!V:V=$H$155)*('5.21出货明细'!A:A=A176)),'5.21出货明细'!G:G&amp;'5.21出货明细'!F:F)</f>
        <v>#N/A</v>
      </c>
      <c r="D176" s="738" t="e">
        <f t="array" ref="D176">LOOKUP(1,0/(('5.21出货明细'!V:V=$H$155)*('5.21出货明细'!A:A=A176)),'5.21出货明细'!K:K)</f>
        <v>#N/A</v>
      </c>
      <c r="E176" s="680" t="e">
        <f t="array" ref="E176">LOOKUP(1,0/(('5.21出货明细'!V:V=$H$155)*('5.21出货明细'!A:A=A176)),'5.21出货明细'!J:J)</f>
        <v>#N/A</v>
      </c>
      <c r="F176" s="683" t="e">
        <f t="array" ref="F176">LOOKUP(1,0/(('5.21出货明细'!V:V=$H$155)*('5.21出货明细'!A:A=A176)),'5.21出货明细'!Z:Z)</f>
        <v>#N/A</v>
      </c>
      <c r="G176" s="683" t="e">
        <f t="shared" si="3"/>
        <v>#N/A</v>
      </c>
      <c r="H176" s="734"/>
    </row>
    <row r="177" customFormat="1" ht="48" customHeight="1" spans="1:8">
      <c r="A177" s="429">
        <v>45</v>
      </c>
      <c r="B177" s="738" t="e">
        <f t="array" ref="B177">LOOKUP(1,0/(('5.21出货明细'!V:V=$H$155)*('5.21出货明细'!A:A=A177)),'5.21出货明细'!D:D)</f>
        <v>#N/A</v>
      </c>
      <c r="C177" s="738" t="e">
        <f t="array" ref="C177">LOOKUP(1,0/(('5.21出货明细'!V:V=$H$155)*('5.21出货明细'!A:A=A177)),'5.21出货明细'!G:G&amp;'5.21出货明细'!F:F)</f>
        <v>#N/A</v>
      </c>
      <c r="D177" s="738" t="e">
        <f t="array" ref="D177">LOOKUP(1,0/(('5.21出货明细'!V:V=$H$155)*('5.21出货明细'!A:A=A177)),'5.21出货明细'!K:K)</f>
        <v>#N/A</v>
      </c>
      <c r="E177" s="680" t="e">
        <f t="array" ref="E177">LOOKUP(1,0/(('5.21出货明细'!V:V=$H$155)*('5.21出货明细'!A:A=A177)),'5.21出货明细'!J:J)</f>
        <v>#N/A</v>
      </c>
      <c r="F177" s="683" t="e">
        <f t="array" ref="F177">LOOKUP(1,0/(('5.21出货明细'!V:V=$H$155)*('5.21出货明细'!A:A=A177)),'5.21出货明细'!Z:Z)</f>
        <v>#N/A</v>
      </c>
      <c r="G177" s="683" t="e">
        <f t="shared" si="3"/>
        <v>#N/A</v>
      </c>
      <c r="H177" s="734"/>
    </row>
    <row r="178" customFormat="1" ht="48" customHeight="1" spans="1:8">
      <c r="A178" s="429">
        <v>46</v>
      </c>
      <c r="B178" s="738" t="e">
        <f t="array" ref="B178">LOOKUP(1,0/(('5.21出货明细'!V:V=$H$155)*('5.21出货明细'!A:A=A178)),'5.21出货明细'!D:D)</f>
        <v>#N/A</v>
      </c>
      <c r="C178" s="738" t="e">
        <f t="array" ref="C178">LOOKUP(1,0/(('5.21出货明细'!V:V=$H$155)*('5.21出货明细'!A:A=A178)),'5.21出货明细'!G:G&amp;'5.21出货明细'!F:F)</f>
        <v>#N/A</v>
      </c>
      <c r="D178" s="738" t="e">
        <f t="array" ref="D178">LOOKUP(1,0/(('5.21出货明细'!V:V=$H$155)*('5.21出货明细'!A:A=A178)),'5.21出货明细'!K:K)</f>
        <v>#N/A</v>
      </c>
      <c r="E178" s="680" t="e">
        <f t="array" ref="E178">LOOKUP(1,0/(('5.21出货明细'!V:V=$H$155)*('5.21出货明细'!A:A=A178)),'5.21出货明细'!J:J)</f>
        <v>#N/A</v>
      </c>
      <c r="F178" s="683" t="e">
        <f t="array" ref="F178">LOOKUP(1,0/(('5.21出货明细'!V:V=$H$155)*('5.21出货明细'!A:A=A178)),'5.21出货明细'!Z:Z)</f>
        <v>#N/A</v>
      </c>
      <c r="G178" s="683" t="e">
        <f t="shared" si="3"/>
        <v>#N/A</v>
      </c>
      <c r="H178" s="734"/>
    </row>
    <row r="179" customFormat="1" ht="48" customHeight="1" spans="1:8">
      <c r="A179" s="429">
        <v>47</v>
      </c>
      <c r="B179" s="738" t="e">
        <f t="array" ref="B179">LOOKUP(1,0/(('5.21出货明细'!V:V=$H$155)*('5.21出货明细'!A:A=A179)),'5.21出货明细'!D:D)</f>
        <v>#N/A</v>
      </c>
      <c r="C179" s="738" t="e">
        <f t="array" ref="C179">LOOKUP(1,0/(('5.21出货明细'!V:V=$H$155)*('5.21出货明细'!A:A=A179)),'5.21出货明细'!G:G&amp;'5.21出货明细'!F:F)</f>
        <v>#N/A</v>
      </c>
      <c r="D179" s="738" t="e">
        <f t="array" ref="D179">LOOKUP(1,0/(('5.21出货明细'!V:V=$H$155)*('5.21出货明细'!A:A=A179)),'5.21出货明细'!K:K)</f>
        <v>#N/A</v>
      </c>
      <c r="E179" s="680" t="e">
        <f t="array" ref="E179">LOOKUP(1,0/(('5.21出货明细'!V:V=$H$155)*('5.21出货明细'!A:A=A179)),'5.21出货明细'!J:J)</f>
        <v>#N/A</v>
      </c>
      <c r="F179" s="683" t="e">
        <f t="array" ref="F179">LOOKUP(1,0/(('5.21出货明细'!V:V=$H$155)*('5.21出货明细'!A:A=A179)),'5.21出货明细'!Z:Z)</f>
        <v>#N/A</v>
      </c>
      <c r="G179" s="683" t="e">
        <f t="shared" si="3"/>
        <v>#N/A</v>
      </c>
      <c r="H179" s="734"/>
    </row>
    <row r="180" customFormat="1" ht="48" customHeight="1" spans="1:8">
      <c r="A180" s="429">
        <v>48</v>
      </c>
      <c r="B180" s="738" t="e">
        <f t="array" ref="B180">LOOKUP(1,0/(('5.21出货明细'!V:V=$H$155)*('5.21出货明细'!A:A=A180)),'5.21出货明细'!D:D)</f>
        <v>#N/A</v>
      </c>
      <c r="C180" s="738" t="e">
        <f t="array" ref="C180">LOOKUP(1,0/(('5.21出货明细'!V:V=$H$155)*('5.21出货明细'!A:A=A180)),'5.21出货明细'!G:G&amp;'5.21出货明细'!F:F)</f>
        <v>#N/A</v>
      </c>
      <c r="D180" s="738" t="e">
        <f t="array" ref="D180">LOOKUP(1,0/(('5.21出货明细'!V:V=$H$155)*('5.21出货明细'!A:A=A180)),'5.21出货明细'!K:K)</f>
        <v>#N/A</v>
      </c>
      <c r="E180" s="680" t="e">
        <f t="array" ref="E180">LOOKUP(1,0/(('5.21出货明细'!V:V=$H$155)*('5.21出货明细'!A:A=A180)),'5.21出货明细'!J:J)</f>
        <v>#N/A</v>
      </c>
      <c r="F180" s="683" t="e">
        <f t="array" ref="F180">LOOKUP(1,0/(('5.21出货明细'!V:V=$H$155)*('5.21出货明细'!A:A=A180)),'5.21出货明细'!Z:Z)</f>
        <v>#N/A</v>
      </c>
      <c r="G180" s="683" t="e">
        <f t="shared" si="3"/>
        <v>#N/A</v>
      </c>
      <c r="H180" s="734"/>
    </row>
    <row r="181" customFormat="1" ht="48" customHeight="1" spans="1:8">
      <c r="A181" s="429">
        <v>49</v>
      </c>
      <c r="B181" s="738" t="e">
        <f t="array" ref="B181">LOOKUP(1,0/(('5.21出货明细'!V:V=$H$155)*('5.21出货明细'!A:A=A181)),'5.21出货明细'!D:D)</f>
        <v>#N/A</v>
      </c>
      <c r="C181" s="738" t="e">
        <f t="array" ref="C181">LOOKUP(1,0/(('5.21出货明细'!V:V=$H$155)*('5.21出货明细'!A:A=A181)),'5.21出货明细'!G:G&amp;'5.21出货明细'!F:F)</f>
        <v>#N/A</v>
      </c>
      <c r="D181" s="738" t="e">
        <f t="array" ref="D181">LOOKUP(1,0/(('5.21出货明细'!V:V=$H$155)*('5.21出货明细'!A:A=A181)),'5.21出货明细'!K:K)</f>
        <v>#N/A</v>
      </c>
      <c r="E181" s="680" t="e">
        <f t="array" ref="E181">LOOKUP(1,0/(('5.21出货明细'!V:V=$H$155)*('5.21出货明细'!A:A=A181)),'5.21出货明细'!J:J)</f>
        <v>#N/A</v>
      </c>
      <c r="F181" s="683" t="e">
        <f t="array" ref="F181">LOOKUP(1,0/(('5.21出货明细'!V:V=$H$155)*('5.21出货明细'!A:A=A181)),'5.21出货明细'!Z:Z)</f>
        <v>#N/A</v>
      </c>
      <c r="G181" s="683" t="e">
        <f t="shared" si="3"/>
        <v>#N/A</v>
      </c>
      <c r="H181" s="734"/>
    </row>
    <row r="182" customFormat="1" ht="48" customHeight="1" spans="1:8">
      <c r="A182" s="429">
        <v>50</v>
      </c>
      <c r="B182" s="738" t="e">
        <f t="array" ref="B182">LOOKUP(1,0/(('5.21出货明细'!V:V=$H$155)*('5.21出货明细'!A:A=A182)),'5.21出货明细'!D:D)</f>
        <v>#N/A</v>
      </c>
      <c r="C182" s="738" t="e">
        <f t="array" ref="C182">LOOKUP(1,0/(('5.21出货明细'!V:V=$H$155)*('5.21出货明细'!A:A=A182)),'5.21出货明细'!G:G&amp;'5.21出货明细'!F:F)</f>
        <v>#N/A</v>
      </c>
      <c r="D182" s="738" t="e">
        <f t="array" ref="D182">LOOKUP(1,0/(('5.21出货明细'!V:V=$H$155)*('5.21出货明细'!A:A=A182)),'5.21出货明细'!K:K)</f>
        <v>#N/A</v>
      </c>
      <c r="E182" s="680" t="e">
        <f t="array" ref="E182">LOOKUP(1,0/(('5.21出货明细'!V:V=$H$155)*('5.21出货明细'!A:A=A182)),'5.21出货明细'!J:J)</f>
        <v>#N/A</v>
      </c>
      <c r="F182" s="683" t="e">
        <f t="array" ref="F182">LOOKUP(1,0/(('5.21出货明细'!V:V=$H$155)*('5.21出货明细'!A:A=A182)),'5.21出货明细'!Z:Z)</f>
        <v>#N/A</v>
      </c>
      <c r="G182" s="683" t="e">
        <f t="shared" ref="G182:G190" si="4">F182*D182</f>
        <v>#N/A</v>
      </c>
      <c r="H182" s="734"/>
    </row>
    <row r="183" customFormat="1" ht="48" customHeight="1" spans="1:8">
      <c r="A183" s="429">
        <v>51</v>
      </c>
      <c r="B183" s="738" t="e">
        <f t="array" ref="B183">LOOKUP(1,0/(('5.21出货明细'!V:V=$H$155)*('5.21出货明细'!A:A=A183)),'5.21出货明细'!D:D)</f>
        <v>#N/A</v>
      </c>
      <c r="C183" s="738" t="e">
        <f t="array" ref="C183">LOOKUP(1,0/(('5.21出货明细'!V:V=$H$155)*('5.21出货明细'!A:A=A183)),'5.21出货明细'!G:G&amp;'5.21出货明细'!F:F)</f>
        <v>#N/A</v>
      </c>
      <c r="D183" s="738" t="e">
        <f t="array" ref="D183">LOOKUP(1,0/(('5.21出货明细'!V:V=$H$155)*('5.21出货明细'!A:A=A183)),'5.21出货明细'!K:K)</f>
        <v>#N/A</v>
      </c>
      <c r="E183" s="680" t="e">
        <f t="array" ref="E183">LOOKUP(1,0/(('5.21出货明细'!V:V=$H$155)*('5.21出货明细'!A:A=A183)),'5.21出货明细'!J:J)</f>
        <v>#N/A</v>
      </c>
      <c r="F183" s="683" t="e">
        <f t="array" ref="F183">LOOKUP(1,0/(('5.21出货明细'!V:V=$H$155)*('5.21出货明细'!A:A=A183)),'5.21出货明细'!Z:Z)</f>
        <v>#N/A</v>
      </c>
      <c r="G183" s="683" t="e">
        <f t="shared" si="4"/>
        <v>#N/A</v>
      </c>
      <c r="H183" s="734"/>
    </row>
    <row r="184" customFormat="1" ht="48" customHeight="1" spans="1:8">
      <c r="A184" s="429">
        <v>52</v>
      </c>
      <c r="B184" s="738" t="e">
        <f t="array" ref="B184">LOOKUP(1,0/(('5.21出货明细'!V:V=$H$155)*('5.21出货明细'!A:A=A184)),'5.21出货明细'!D:D)</f>
        <v>#N/A</v>
      </c>
      <c r="C184" s="738" t="e">
        <f t="array" ref="C184">LOOKUP(1,0/(('5.21出货明细'!V:V=$H$155)*('5.21出货明细'!A:A=A184)),'5.21出货明细'!G:G&amp;'5.21出货明细'!F:F)</f>
        <v>#N/A</v>
      </c>
      <c r="D184" s="738" t="e">
        <f t="array" ref="D184">LOOKUP(1,0/(('5.21出货明细'!V:V=$H$155)*('5.21出货明细'!A:A=A184)),'5.21出货明细'!K:K)</f>
        <v>#N/A</v>
      </c>
      <c r="E184" s="680" t="e">
        <f t="array" ref="E184">LOOKUP(1,0/(('5.21出货明细'!V:V=$H$155)*('5.21出货明细'!A:A=A184)),'5.21出货明细'!J:J)</f>
        <v>#N/A</v>
      </c>
      <c r="F184" s="683" t="e">
        <f t="array" ref="F184">LOOKUP(1,0/(('5.21出货明细'!V:V=$H$155)*('5.21出货明细'!A:A=A184)),'5.21出货明细'!Z:Z)</f>
        <v>#N/A</v>
      </c>
      <c r="G184" s="683" t="e">
        <f t="shared" si="4"/>
        <v>#N/A</v>
      </c>
      <c r="H184" s="734"/>
    </row>
    <row r="185" customFormat="1" ht="48" customHeight="1" spans="1:8">
      <c r="A185" s="429">
        <v>53</v>
      </c>
      <c r="B185" s="738" t="e">
        <f t="array" ref="B185">LOOKUP(1,0/(('5.21出货明细'!V:V=$H$155)*('5.21出货明细'!A:A=A185)),'5.21出货明细'!D:D)</f>
        <v>#N/A</v>
      </c>
      <c r="C185" s="738" t="e">
        <f t="array" ref="C185">LOOKUP(1,0/(('5.21出货明细'!V:V=$H$155)*('5.21出货明细'!A:A=A185)),'5.21出货明细'!G:G&amp;'5.21出货明细'!F:F)</f>
        <v>#N/A</v>
      </c>
      <c r="D185" s="738" t="e">
        <f t="array" ref="D185">LOOKUP(1,0/(('5.21出货明细'!V:V=$H$155)*('5.21出货明细'!A:A=A185)),'5.21出货明细'!K:K)</f>
        <v>#N/A</v>
      </c>
      <c r="E185" s="680" t="e">
        <f t="array" ref="E185">LOOKUP(1,0/(('5.21出货明细'!V:V=$H$155)*('5.21出货明细'!A:A=A185)),'5.21出货明细'!J:J)</f>
        <v>#N/A</v>
      </c>
      <c r="F185" s="685" t="e">
        <f t="array" ref="F185">LOOKUP(1,0/(('5.21出货明细'!V:V=$H$155)*('5.21出货明细'!A:A=A185)),'5.21出货明细'!Z:Z)</f>
        <v>#N/A</v>
      </c>
      <c r="G185" s="683" t="e">
        <f t="shared" si="4"/>
        <v>#N/A</v>
      </c>
      <c r="H185" s="734"/>
    </row>
    <row r="186" customFormat="1" ht="48" customHeight="1" spans="1:8">
      <c r="A186" s="429">
        <v>54</v>
      </c>
      <c r="B186" s="738" t="e">
        <f t="array" ref="B186">LOOKUP(1,0/(('5.21出货明细'!V:V=$H$155)*('5.21出货明细'!A:A=A186)),'5.21出货明细'!D:D)</f>
        <v>#N/A</v>
      </c>
      <c r="C186" s="738" t="e">
        <f t="array" ref="C186">LOOKUP(1,0/(('5.21出货明细'!V:V=$H$155)*('5.21出货明细'!A:A=A186)),'5.21出货明细'!G:G&amp;'5.21出货明细'!F:F)</f>
        <v>#N/A</v>
      </c>
      <c r="D186" s="738" t="e">
        <f t="array" ref="D186">LOOKUP(1,0/(('5.21出货明细'!V:V=$H$155)*('5.21出货明细'!A:A=A186)),'5.21出货明细'!K:K)</f>
        <v>#N/A</v>
      </c>
      <c r="E186" s="680" t="e">
        <f t="array" ref="E186">LOOKUP(1,0/(('5.21出货明细'!V:V=$H$155)*('5.21出货明细'!A:A=A186)),'5.21出货明细'!J:J)</f>
        <v>#N/A</v>
      </c>
      <c r="F186" s="683" t="e">
        <f t="array" ref="F186">LOOKUP(1,0/(('5.21出货明细'!V:V=$H$155)*('5.21出货明细'!A:A=A186)),'5.21出货明细'!Z:Z)</f>
        <v>#N/A</v>
      </c>
      <c r="G186" s="683" t="e">
        <f t="shared" si="4"/>
        <v>#N/A</v>
      </c>
      <c r="H186" s="734"/>
    </row>
    <row r="187" customFormat="1" ht="48" customHeight="1" spans="1:8">
      <c r="A187" s="429">
        <v>55</v>
      </c>
      <c r="B187" s="738" t="e">
        <f t="array" ref="B187">LOOKUP(1,0/(('5.21出货明细'!V:V=$H$155)*('5.21出货明细'!A:A=A187)),'5.21出货明细'!D:D)</f>
        <v>#N/A</v>
      </c>
      <c r="C187" s="738" t="e">
        <f t="array" ref="C187">LOOKUP(1,0/(('5.21出货明细'!V:V=$H$155)*('5.21出货明细'!A:A=A187)),'5.21出货明细'!G:G&amp;'5.21出货明细'!F:F)</f>
        <v>#N/A</v>
      </c>
      <c r="D187" s="738" t="e">
        <f t="array" ref="D187">LOOKUP(1,0/(('5.21出货明细'!V:V=$H$155)*('5.21出货明细'!A:A=A187)),'5.21出货明细'!K:K)</f>
        <v>#N/A</v>
      </c>
      <c r="E187" s="680" t="e">
        <f t="array" ref="E187">LOOKUP(1,0/(('5.21出货明细'!V:V=$H$155)*('5.21出货明细'!A:A=A187)),'5.21出货明细'!J:J)</f>
        <v>#N/A</v>
      </c>
      <c r="F187" s="683" t="e">
        <f t="array" ref="F187">LOOKUP(1,0/(('5.21出货明细'!V:V=$H$155)*('5.21出货明细'!A:A=A187)),'5.21出货明细'!Z:Z)</f>
        <v>#N/A</v>
      </c>
      <c r="G187" s="683" t="e">
        <f t="shared" si="4"/>
        <v>#N/A</v>
      </c>
      <c r="H187" s="734"/>
    </row>
    <row r="188" customFormat="1" ht="48" customHeight="1" spans="1:8">
      <c r="A188" s="429">
        <v>56</v>
      </c>
      <c r="B188" s="738" t="e">
        <f t="array" ref="B188">LOOKUP(1,0/(('5.21出货明细'!V:V=$H$155)*('5.21出货明细'!A:A=A188)),'5.21出货明细'!D:D)</f>
        <v>#N/A</v>
      </c>
      <c r="C188" s="738" t="e">
        <f t="array" ref="C188">LOOKUP(1,0/(('5.21出货明细'!V:V=$H$155)*('5.21出货明细'!A:A=A188)),'5.21出货明细'!G:G&amp;'5.21出货明细'!F:F)</f>
        <v>#N/A</v>
      </c>
      <c r="D188" s="738" t="e">
        <f t="array" ref="D188">LOOKUP(1,0/(('5.21出货明细'!V:V=$H$155)*('5.21出货明细'!A:A=A188)),'5.21出货明细'!K:K)</f>
        <v>#N/A</v>
      </c>
      <c r="E188" s="680" t="e">
        <f t="array" ref="E188">LOOKUP(1,0/(('5.21出货明细'!V:V=$H$155)*('5.21出货明细'!A:A=A188)),'5.21出货明细'!J:J)</f>
        <v>#N/A</v>
      </c>
      <c r="F188" s="683" t="e">
        <f t="array" ref="F188">LOOKUP(1,0/(('5.21出货明细'!V:V=$H$155)*('5.21出货明细'!A:A=A188)),'5.21出货明细'!Z:Z)</f>
        <v>#N/A</v>
      </c>
      <c r="G188" s="683" t="e">
        <f t="shared" si="4"/>
        <v>#N/A</v>
      </c>
      <c r="H188" s="734"/>
    </row>
    <row r="189" customFormat="1" ht="48" customHeight="1" spans="1:8">
      <c r="A189" s="429">
        <v>57</v>
      </c>
      <c r="B189" s="738" t="e">
        <f t="array" ref="B189">LOOKUP(1,0/(('5.21出货明细'!V:V=$H$155)*('5.21出货明细'!A:A=A189)),'5.21出货明细'!D:D)</f>
        <v>#N/A</v>
      </c>
      <c r="C189" s="738" t="e">
        <f t="array" ref="C189">LOOKUP(1,0/(('5.21出货明细'!V:V=$H$155)*('5.21出货明细'!A:A=A189)),'5.21出货明细'!G:G&amp;'5.21出货明细'!F:F)</f>
        <v>#N/A</v>
      </c>
      <c r="D189" s="738" t="e">
        <f t="array" ref="D189">LOOKUP(1,0/(('5.21出货明细'!V:V=$H$155)*('5.21出货明细'!A:A=A189)),'5.21出货明细'!K:K)</f>
        <v>#N/A</v>
      </c>
      <c r="E189" s="680" t="e">
        <f t="array" ref="E189">LOOKUP(1,0/(('5.21出货明细'!V:V=$H$155)*('5.21出货明细'!A:A=A189)),'5.21出货明细'!J:J)</f>
        <v>#N/A</v>
      </c>
      <c r="F189" s="683" t="e">
        <f t="array" ref="F189">LOOKUP(1,0/(('5.21出货明细'!V:V=$H$155)*('5.21出货明细'!A:A=A189)),'5.21出货明细'!Z:Z)</f>
        <v>#N/A</v>
      </c>
      <c r="G189" s="683" t="e">
        <f t="shared" si="4"/>
        <v>#N/A</v>
      </c>
      <c r="H189" s="734"/>
    </row>
    <row r="190" customFormat="1" ht="48" customHeight="1" spans="1:8">
      <c r="A190" s="429">
        <v>58</v>
      </c>
      <c r="B190" s="738" t="e">
        <f t="array" ref="B190">LOOKUP(1,0/(('5.21出货明细'!V:V=$H$155)*('5.21出货明细'!A:A=A190)),'5.21出货明细'!D:D)</f>
        <v>#N/A</v>
      </c>
      <c r="C190" s="738" t="e">
        <f t="array" ref="C190">LOOKUP(1,0/(('5.21出货明细'!V:V=$H$155)*('5.21出货明细'!A:A=A190)),'5.21出货明细'!G:G&amp;'5.21出货明细'!F:F)</f>
        <v>#N/A</v>
      </c>
      <c r="D190" s="738" t="e">
        <f t="array" ref="D190">LOOKUP(1,0/(('5.21出货明细'!V:V=$H$155)*('5.21出货明细'!A:A=A190)),'5.21出货明细'!K:K)</f>
        <v>#N/A</v>
      </c>
      <c r="E190" s="680" t="e">
        <f t="array" ref="E190">LOOKUP(1,0/(('5.21出货明细'!V:V=$H$155)*('5.21出货明细'!A:A=A190)),'5.21出货明细'!J:J)</f>
        <v>#N/A</v>
      </c>
      <c r="F190" s="683" t="e">
        <f t="array" ref="F190">LOOKUP(1,0/(('5.21出货明细'!V:V=$H$155)*('5.21出货明细'!A:A=A190)),'5.21出货明细'!Z:Z)</f>
        <v>#N/A</v>
      </c>
      <c r="G190" s="683" t="e">
        <f t="shared" si="4"/>
        <v>#N/A</v>
      </c>
      <c r="H190" s="734"/>
    </row>
    <row r="191" customFormat="1" ht="32" customHeight="1" spans="1:8">
      <c r="B191" s="739"/>
      <c r="C191" s="740"/>
      <c r="D191" s="741"/>
      <c r="E191" s="740"/>
      <c r="F191" s="683"/>
      <c r="G191" s="742" t="e">
        <f>SUM(G174:G190)</f>
        <v>#N/A</v>
      </c>
      <c r="H191" s="740"/>
    </row>
    <row r="192" customFormat="1" ht="4" customHeight="1" spans="1:8">
      <c r="B192" s="705"/>
      <c r="C192" s="743"/>
      <c r="D192" s="706"/>
      <c r="E192" s="732"/>
      <c r="F192" s="744"/>
      <c r="G192" s="745"/>
      <c r="H192" s="732"/>
    </row>
    <row r="193" customFormat="1" ht="16.5" spans="2:8">
      <c r="B193" s="746" t="s">
        <v>1572</v>
      </c>
      <c r="C193" s="747" t="s">
        <v>1573</v>
      </c>
      <c r="D193" s="748"/>
      <c r="E193" s="748"/>
      <c r="F193" s="748"/>
      <c r="G193" s="749"/>
      <c r="H193" s="706"/>
    </row>
    <row r="194" customFormat="1" ht="16.5" spans="2:8">
      <c r="B194" s="750" t="s">
        <v>1574</v>
      </c>
      <c r="C194" s="751" t="s">
        <v>1595</v>
      </c>
      <c r="D194" s="751"/>
      <c r="E194" s="752"/>
      <c r="F194" s="752"/>
      <c r="G194" s="752"/>
      <c r="H194" s="743"/>
    </row>
    <row r="195" customFormat="1" ht="16.5" spans="2:8">
      <c r="B195" s="753" t="s">
        <v>1575</v>
      </c>
      <c r="C195" s="751" t="s">
        <v>1576</v>
      </c>
      <c r="D195" s="751"/>
      <c r="E195" s="751"/>
      <c r="F195" s="754"/>
      <c r="G195" s="754"/>
      <c r="H195" s="755"/>
    </row>
    <row r="196" customFormat="1" ht="33" spans="2:8">
      <c r="B196" s="750" t="s">
        <v>1577</v>
      </c>
      <c r="C196" s="751" t="s">
        <v>1578</v>
      </c>
      <c r="D196" s="754"/>
      <c r="E196" s="756" t="s">
        <v>1579</v>
      </c>
      <c r="F196" s="756"/>
      <c r="G196" s="757" t="s">
        <v>1580</v>
      </c>
      <c r="H196" s="755"/>
    </row>
    <row r="197" customFormat="1" ht="33" spans="2:8">
      <c r="B197" s="758" t="s">
        <v>1581</v>
      </c>
      <c r="C197" s="751" t="s">
        <v>1582</v>
      </c>
      <c r="D197" s="754"/>
      <c r="E197" s="754"/>
      <c r="F197" s="754"/>
      <c r="G197" s="754"/>
      <c r="H197" s="755"/>
    </row>
    <row r="198" customFormat="1" ht="16.5" spans="2:8">
      <c r="B198" s="754" t="s">
        <v>1583</v>
      </c>
      <c r="C198" s="754"/>
      <c r="D198" s="754"/>
      <c r="E198" s="754"/>
      <c r="F198" s="754"/>
      <c r="G198" s="754"/>
      <c r="H198" s="755"/>
    </row>
    <row r="199" customFormat="1" ht="16.5" spans="2:8">
      <c r="B199" s="754" t="s">
        <v>1584</v>
      </c>
      <c r="C199" s="754"/>
      <c r="D199" s="754"/>
      <c r="E199" s="754"/>
      <c r="F199" s="754"/>
      <c r="G199" s="754"/>
      <c r="H199" s="755"/>
    </row>
    <row r="200" customFormat="1" ht="15.75" spans="2:8">
      <c r="B200" s="759"/>
      <c r="C200" s="759"/>
      <c r="D200" s="759"/>
      <c r="E200" s="759"/>
      <c r="F200" s="759"/>
      <c r="G200" s="759"/>
      <c r="H200" s="759"/>
    </row>
    <row r="201" customFormat="1" ht="31.5" spans="2:8">
      <c r="B201" s="760" t="s">
        <v>1585</v>
      </c>
      <c r="C201" s="761" t="s">
        <v>1586</v>
      </c>
      <c r="D201" s="762" t="s">
        <v>1587</v>
      </c>
      <c r="E201" s="763" t="s">
        <v>1605</v>
      </c>
      <c r="F201" s="764"/>
      <c r="G201" s="764"/>
      <c r="H201" s="764"/>
    </row>
    <row r="202" customFormat="1" ht="28.5" spans="2:8">
      <c r="B202" s="760" t="s">
        <v>1589</v>
      </c>
      <c r="C202" s="765"/>
      <c r="D202" s="766" t="s">
        <v>1590</v>
      </c>
      <c r="E202" s="766"/>
      <c r="F202" s="767"/>
      <c r="G202" s="768"/>
      <c r="H202" s="768"/>
    </row>
    <row r="204" customFormat="1" ht="30" spans="2:8">
      <c r="B204" s="701" t="s">
        <v>1540</v>
      </c>
      <c r="C204" s="701"/>
      <c r="D204" s="701"/>
      <c r="E204" s="701"/>
      <c r="F204" s="701"/>
      <c r="G204" s="701"/>
      <c r="H204" s="701"/>
    </row>
    <row r="205" customFormat="1" ht="18" spans="2:8">
      <c r="B205" s="702" t="s">
        <v>1541</v>
      </c>
      <c r="C205" s="702"/>
      <c r="D205" s="702"/>
      <c r="E205" s="702"/>
      <c r="F205" s="702"/>
      <c r="G205" s="702"/>
      <c r="H205" s="702"/>
    </row>
    <row r="206" customFormat="1" ht="42" customHeight="1" spans="2:8">
      <c r="B206" s="703" t="s">
        <v>1542</v>
      </c>
      <c r="C206" s="703"/>
      <c r="D206" s="703"/>
      <c r="E206" s="703"/>
      <c r="F206" s="703"/>
      <c r="G206" s="703"/>
      <c r="H206" s="703"/>
    </row>
    <row r="207" customFormat="1" ht="18" spans="2:8">
      <c r="B207" s="704"/>
      <c r="C207" s="705"/>
      <c r="D207" s="705"/>
      <c r="E207" s="706"/>
      <c r="F207" s="707"/>
      <c r="G207" s="708"/>
      <c r="H207" s="654"/>
    </row>
    <row r="208" customFormat="1" ht="18.75" spans="2:8">
      <c r="B208" s="709" t="s">
        <v>1543</v>
      </c>
      <c r="C208" s="710" t="s">
        <v>1540</v>
      </c>
      <c r="D208" s="710"/>
      <c r="E208" s="710"/>
      <c r="F208" s="711"/>
      <c r="G208" s="712" t="s">
        <v>1544</v>
      </c>
      <c r="H208" s="642" t="s">
        <v>1606</v>
      </c>
    </row>
    <row r="209" customFormat="1" ht="18.75" spans="2:8">
      <c r="B209" s="709"/>
      <c r="C209" s="710" t="s">
        <v>1546</v>
      </c>
      <c r="D209" s="710"/>
      <c r="E209" s="710"/>
      <c r="F209" s="711"/>
      <c r="G209" s="712"/>
      <c r="H209" s="645"/>
    </row>
    <row r="210" customFormat="1" ht="18.75" spans="2:8">
      <c r="B210" s="713"/>
      <c r="C210" s="654" t="s">
        <v>1547</v>
      </c>
      <c r="D210" s="714"/>
      <c r="E210" s="710"/>
      <c r="F210" s="711"/>
      <c r="G210" s="715"/>
      <c r="H210" s="716"/>
    </row>
    <row r="211" customFormat="1" ht="18.75" spans="2:8">
      <c r="B211" s="654"/>
      <c r="C211" s="640" t="s">
        <v>1548</v>
      </c>
      <c r="D211" s="640"/>
      <c r="E211" s="640"/>
      <c r="F211" s="640"/>
      <c r="G211" s="717"/>
      <c r="H211" s="718"/>
    </row>
    <row r="212" customFormat="1" ht="18.75" spans="2:8">
      <c r="B212" s="711"/>
      <c r="C212" s="640"/>
      <c r="D212" s="640"/>
      <c r="E212" s="640"/>
      <c r="F212" s="640"/>
      <c r="G212" s="719" t="s">
        <v>1549</v>
      </c>
      <c r="H212" s="720">
        <f>H9</f>
        <v>46076</v>
      </c>
    </row>
    <row r="213" customFormat="1" ht="35" customHeight="1" spans="2:8">
      <c r="B213" s="709"/>
      <c r="C213" s="640"/>
      <c r="D213" s="640"/>
      <c r="E213" s="640"/>
      <c r="F213" s="640"/>
      <c r="G213" s="719"/>
      <c r="H213" s="721"/>
    </row>
    <row r="214" customFormat="1" ht="18.75" spans="2:8">
      <c r="B214" s="652" t="s">
        <v>1550</v>
      </c>
      <c r="C214" s="654" t="s">
        <v>124</v>
      </c>
      <c r="D214" s="654"/>
      <c r="E214" s="654"/>
      <c r="F214" s="711"/>
      <c r="G214" s="722"/>
      <c r="H214" s="716"/>
    </row>
    <row r="215" customFormat="1" ht="18.75" spans="2:8">
      <c r="B215" s="652"/>
      <c r="C215" s="653" t="s">
        <v>1602</v>
      </c>
      <c r="D215" s="653"/>
      <c r="E215" s="653"/>
      <c r="F215" s="711"/>
      <c r="G215" s="722"/>
      <c r="H215" s="716"/>
    </row>
    <row r="216" customFormat="1" ht="30" customHeight="1" spans="2:8">
      <c r="B216" s="654" t="s">
        <v>1553</v>
      </c>
      <c r="C216" s="637" t="s">
        <v>1603</v>
      </c>
      <c r="D216" s="637"/>
      <c r="E216" s="637"/>
      <c r="F216" s="637"/>
      <c r="G216" s="719" t="s">
        <v>1555</v>
      </c>
      <c r="H216" s="642" t="s">
        <v>1604</v>
      </c>
    </row>
    <row r="217" customFormat="1" ht="24" customHeight="1" spans="2:8">
      <c r="B217" s="723"/>
      <c r="C217" s="637"/>
      <c r="D217" s="637"/>
      <c r="E217" s="637"/>
      <c r="F217" s="637"/>
      <c r="G217" s="719"/>
      <c r="H217" s="724"/>
    </row>
    <row r="218" customFormat="1" ht="18" spans="2:8">
      <c r="B218" s="725" t="s">
        <v>1557</v>
      </c>
      <c r="C218" s="654" t="s">
        <v>1558</v>
      </c>
      <c r="D218" s="654"/>
      <c r="E218" s="654"/>
      <c r="F218" s="726"/>
      <c r="G218" s="727"/>
      <c r="H218" s="706"/>
    </row>
    <row r="219" customFormat="1" ht="40" customHeight="1" spans="2:8">
      <c r="B219" s="725"/>
      <c r="C219" s="637" t="s">
        <v>1559</v>
      </c>
      <c r="D219" s="637"/>
      <c r="E219" s="637"/>
      <c r="F219" s="637"/>
      <c r="G219" s="727"/>
      <c r="H219" s="706"/>
    </row>
    <row r="220" customFormat="1" ht="18" spans="2:8">
      <c r="B220" s="725"/>
      <c r="C220" s="654" t="s">
        <v>1560</v>
      </c>
      <c r="D220" s="654"/>
      <c r="E220" s="654"/>
      <c r="F220" s="726"/>
      <c r="G220" s="727"/>
      <c r="H220" s="706"/>
    </row>
    <row r="221" customFormat="1" ht="18" spans="2:8">
      <c r="B221" s="725"/>
      <c r="C221" s="654" t="s">
        <v>1561</v>
      </c>
      <c r="D221" s="654"/>
      <c r="E221" s="654"/>
      <c r="F221" s="726"/>
      <c r="G221" s="706"/>
      <c r="H221" s="706"/>
    </row>
    <row r="222" customFormat="1" ht="15.75" spans="2:8">
      <c r="B222" s="728" t="s">
        <v>1562</v>
      </c>
      <c r="C222" s="729"/>
      <c r="D222" s="729"/>
      <c r="E222" s="729"/>
      <c r="F222" s="704"/>
      <c r="G222" s="706"/>
      <c r="H222" s="706"/>
    </row>
    <row r="223" customFormat="1" ht="15" spans="2:8">
      <c r="B223" s="730" t="s">
        <v>1563</v>
      </c>
      <c r="C223" s="730"/>
      <c r="D223" s="730"/>
      <c r="E223" s="730"/>
      <c r="F223" s="730"/>
      <c r="G223" s="730"/>
      <c r="H223" s="730"/>
    </row>
    <row r="224" customFormat="1" ht="6" customHeight="1" spans="2:8">
      <c r="B224" s="731"/>
      <c r="C224" s="732"/>
      <c r="D224" s="733"/>
      <c r="E224" s="732"/>
      <c r="F224" s="732"/>
      <c r="G224" s="732"/>
      <c r="H224" s="706"/>
    </row>
    <row r="225" customFormat="1" ht="36" spans="1:8">
      <c r="B225" s="734" t="s">
        <v>1564</v>
      </c>
      <c r="C225" s="734" t="s">
        <v>1565</v>
      </c>
      <c r="D225" s="734" t="s">
        <v>1566</v>
      </c>
      <c r="E225" s="735" t="s">
        <v>1567</v>
      </c>
      <c r="F225" s="736" t="s">
        <v>1568</v>
      </c>
      <c r="G225" s="734" t="s">
        <v>1569</v>
      </c>
      <c r="H225" s="734" t="s">
        <v>1570</v>
      </c>
    </row>
    <row r="226" customFormat="1" ht="18" spans="1:8">
      <c r="B226" s="734"/>
      <c r="C226" s="734"/>
      <c r="D226" s="734"/>
      <c r="E226" s="735"/>
      <c r="F226" s="737" t="s">
        <v>1595</v>
      </c>
      <c r="G226" s="737"/>
      <c r="H226" s="734"/>
    </row>
    <row r="227" customFormat="1" ht="51" customHeight="1" spans="1:8">
      <c r="A227" s="429">
        <v>59</v>
      </c>
      <c r="B227" s="738" t="e">
        <f t="array" ref="B227">LOOKUP(1,0/(('5.21出货明细'!V:V=$H$208)*('5.21出货明细'!A:A=A227)),'5.21出货明细'!D:D)</f>
        <v>#N/A</v>
      </c>
      <c r="C227" s="738" t="e">
        <f t="array" ref="C227">LOOKUP(1,0/(('5.21出货明细'!V:V=$H$208)*('5.21出货明细'!A:A=A227)),'5.21出货明细'!G:G&amp;'5.21出货明细'!F:F)</f>
        <v>#N/A</v>
      </c>
      <c r="D227" s="738" t="e">
        <f t="array" ref="D227">LOOKUP(1,0/(('5.21出货明细'!V:V=$H$208)*('5.21出货明细'!A:A=A227)),'5.21出货明细'!K:K)</f>
        <v>#N/A</v>
      </c>
      <c r="E227" s="680" t="e">
        <f t="array" ref="E227">LOOKUP(1,0/(('5.21出货明细'!V:V=$H$208)*('5.21出货明细'!A:A=A227)),'5.21出货明细'!J:J)</f>
        <v>#N/A</v>
      </c>
      <c r="F227" s="683" t="e">
        <f t="array" ref="F227">LOOKUP(1,0/(('5.21出货明细'!V:V=$H$208)*('5.21出货明细'!A:A=A227)),'5.21出货明细'!Z:Z)</f>
        <v>#N/A</v>
      </c>
      <c r="G227" s="683" t="e">
        <f>F227*D227</f>
        <v>#N/A</v>
      </c>
      <c r="H227" s="734"/>
    </row>
    <row r="228" customFormat="1" ht="48" customHeight="1" spans="1:8">
      <c r="A228" s="429">
        <v>60</v>
      </c>
      <c r="B228" s="738" t="e">
        <f t="array" ref="B228">LOOKUP(1,0/(('5.21出货明细'!V:V=$H$208)*('5.21出货明细'!A:A=A228)),'5.21出货明细'!D:D)</f>
        <v>#N/A</v>
      </c>
      <c r="C228" s="738" t="e">
        <f t="array" ref="C228">LOOKUP(1,0/(('5.21出货明细'!V:V=$H$208)*('5.21出货明细'!A:A=A228)),'5.21出货明细'!G:G&amp;'5.21出货明细'!F:F)</f>
        <v>#N/A</v>
      </c>
      <c r="D228" s="738" t="e">
        <f t="array" ref="D228">LOOKUP(1,0/(('5.21出货明细'!V:V=$H$208)*('5.21出货明细'!A:A=A228)),'5.21出货明细'!K:K)</f>
        <v>#N/A</v>
      </c>
      <c r="E228" s="680" t="e">
        <f t="array" ref="E228">LOOKUP(1,0/(('5.21出货明细'!V:V=$H$208)*('5.21出货明细'!A:A=A228)),'5.21出货明细'!J:J)</f>
        <v>#N/A</v>
      </c>
      <c r="F228" s="683" t="e">
        <f t="array" ref="F228">LOOKUP(1,0/(('5.21出货明细'!V:V=$H$208)*('5.21出货明细'!A:A=A228)),'5.21出货明细'!Z:Z)</f>
        <v>#N/A</v>
      </c>
      <c r="G228" s="683" t="e">
        <f t="shared" ref="G228:G243" si="5">F228*D228</f>
        <v>#N/A</v>
      </c>
      <c r="H228" s="734"/>
    </row>
    <row r="229" customFormat="1" ht="48" customHeight="1" spans="1:8">
      <c r="A229" s="429">
        <v>61</v>
      </c>
      <c r="B229" s="738" t="e">
        <f t="array" ref="B229">LOOKUP(1,0/(('5.21出货明细'!V:V=$H$208)*('5.21出货明细'!A:A=A229)),'5.21出货明细'!D:D)</f>
        <v>#N/A</v>
      </c>
      <c r="C229" s="738" t="e">
        <f t="array" ref="C229">LOOKUP(1,0/(('5.21出货明细'!V:V=$H$208)*('5.21出货明细'!A:A=A229)),'5.21出货明细'!G:G&amp;'5.21出货明细'!F:F)</f>
        <v>#N/A</v>
      </c>
      <c r="D229" s="738" t="e">
        <f t="array" ref="D229">LOOKUP(1,0/(('5.21出货明细'!V:V=$H$208)*('5.21出货明细'!A:A=A229)),'5.21出货明细'!K:K)</f>
        <v>#N/A</v>
      </c>
      <c r="E229" s="680" t="e">
        <f t="array" ref="E229">LOOKUP(1,0/(('5.21出货明细'!V:V=$H$208)*('5.21出货明细'!A:A=A229)),'5.21出货明细'!J:J)</f>
        <v>#N/A</v>
      </c>
      <c r="F229" s="683" t="e">
        <f t="array" ref="F229">LOOKUP(1,0/(('5.21出货明细'!V:V=$H$208)*('5.21出货明细'!A:A=A229)),'5.21出货明细'!Z:Z)</f>
        <v>#N/A</v>
      </c>
      <c r="G229" s="683" t="e">
        <f t="shared" si="5"/>
        <v>#N/A</v>
      </c>
      <c r="H229" s="734"/>
    </row>
    <row r="230" customFormat="1" ht="48" customHeight="1" spans="1:8">
      <c r="A230" s="429">
        <v>62</v>
      </c>
      <c r="B230" s="738" t="e">
        <f t="array" ref="B230">LOOKUP(1,0/(('5.21出货明细'!V:V=$H$208)*('5.21出货明细'!A:A=A230)),'5.21出货明细'!D:D)</f>
        <v>#N/A</v>
      </c>
      <c r="C230" s="738" t="e">
        <f t="array" ref="C230">LOOKUP(1,0/(('5.21出货明细'!V:V=$H$208)*('5.21出货明细'!A:A=A230)),'5.21出货明细'!G:G&amp;'5.21出货明细'!F:F)</f>
        <v>#N/A</v>
      </c>
      <c r="D230" s="738" t="e">
        <f t="array" ref="D230">LOOKUP(1,0/(('5.21出货明细'!V:V=$H$208)*('5.21出货明细'!A:A=A230)),'5.21出货明细'!K:K)</f>
        <v>#N/A</v>
      </c>
      <c r="E230" s="680" t="e">
        <f t="array" ref="E230">LOOKUP(1,0/(('5.21出货明细'!V:V=$H$208)*('5.21出货明细'!A:A=A230)),'5.21出货明细'!J:J)</f>
        <v>#N/A</v>
      </c>
      <c r="F230" s="683" t="e">
        <f t="array" ref="F230">LOOKUP(1,0/(('5.21出货明细'!V:V=$H$208)*('5.21出货明细'!A:A=A230)),'5.21出货明细'!Z:Z)</f>
        <v>#N/A</v>
      </c>
      <c r="G230" s="683" t="e">
        <f t="shared" si="5"/>
        <v>#N/A</v>
      </c>
      <c r="H230" s="734"/>
    </row>
    <row r="231" customFormat="1" ht="48" customHeight="1" spans="1:8">
      <c r="A231" s="429">
        <v>63</v>
      </c>
      <c r="B231" s="738" t="e">
        <f t="array" ref="B231">LOOKUP(1,0/(('5.21出货明细'!V:V=$H$208)*('5.21出货明细'!A:A=A231)),'5.21出货明细'!D:D)</f>
        <v>#N/A</v>
      </c>
      <c r="C231" s="738" t="e">
        <f t="array" ref="C231">LOOKUP(1,0/(('5.21出货明细'!V:V=$H$208)*('5.21出货明细'!A:A=A231)),'5.21出货明细'!G:G&amp;'5.21出货明细'!F:F)</f>
        <v>#N/A</v>
      </c>
      <c r="D231" s="738" t="e">
        <f t="array" ref="D231">LOOKUP(1,0/(('5.21出货明细'!V:V=$H$208)*('5.21出货明细'!A:A=A231)),'5.21出货明细'!K:K)</f>
        <v>#N/A</v>
      </c>
      <c r="E231" s="680" t="e">
        <f t="array" ref="E231">LOOKUP(1,0/(('5.21出货明细'!V:V=$H$208)*('5.21出货明细'!A:A=A231)),'5.21出货明细'!J:J)</f>
        <v>#N/A</v>
      </c>
      <c r="F231" s="686" t="e">
        <f t="array" ref="F231">LOOKUP(1,0/(('5.21出货明细'!V:V=$H$208)*('5.21出货明细'!A:A=A231)),'5.21出货明细'!Z:Z)</f>
        <v>#N/A</v>
      </c>
      <c r="G231" s="683" t="e">
        <f t="shared" si="5"/>
        <v>#N/A</v>
      </c>
      <c r="H231" s="734"/>
    </row>
    <row r="232" customFormat="1" ht="48" customHeight="1" spans="1:8">
      <c r="A232" s="429">
        <v>64</v>
      </c>
      <c r="B232" s="738" t="e">
        <f t="array" ref="B232">LOOKUP(1,0/(('5.21出货明细'!V:V=$H$208)*('5.21出货明细'!A:A=A232)),'5.21出货明细'!D:D)</f>
        <v>#N/A</v>
      </c>
      <c r="C232" s="738" t="e">
        <f t="array" ref="C232">LOOKUP(1,0/(('5.21出货明细'!V:V=$H$208)*('5.21出货明细'!A:A=A232)),'5.21出货明细'!G:G&amp;'5.21出货明细'!F:F)</f>
        <v>#N/A</v>
      </c>
      <c r="D232" s="738" t="e">
        <f t="array" ref="D232">LOOKUP(1,0/(('5.21出货明细'!V:V=$H$208)*('5.21出货明细'!A:A=A232)),'5.21出货明细'!K:K)</f>
        <v>#N/A</v>
      </c>
      <c r="E232" s="680" t="e">
        <f t="array" ref="E232">LOOKUP(1,0/(('5.21出货明细'!V:V=$H$208)*('5.21出货明细'!A:A=A232)),'5.21出货明细'!J:J)</f>
        <v>#N/A</v>
      </c>
      <c r="F232" s="683" t="e">
        <f t="array" ref="F232">LOOKUP(1,0/(('5.21出货明细'!V:V=$H$208)*('5.21出货明细'!A:A=A232)),'5.21出货明细'!Z:Z)</f>
        <v>#N/A</v>
      </c>
      <c r="G232" s="683" t="e">
        <f t="shared" si="5"/>
        <v>#N/A</v>
      </c>
      <c r="H232" s="734"/>
    </row>
    <row r="233" customFormat="1" ht="48" customHeight="1" spans="1:8">
      <c r="A233" s="429">
        <v>65</v>
      </c>
      <c r="B233" s="738" t="e">
        <f t="array" ref="B233">LOOKUP(1,0/(('5.21出货明细'!V:V=$H$208)*('5.21出货明细'!A:A=A233)),'5.21出货明细'!D:D)</f>
        <v>#N/A</v>
      </c>
      <c r="C233" s="738" t="e">
        <f t="array" ref="C233">LOOKUP(1,0/(('5.21出货明细'!V:V=$H$208)*('5.21出货明细'!A:A=A233)),'5.21出货明细'!G:G&amp;'5.21出货明细'!F:F)</f>
        <v>#N/A</v>
      </c>
      <c r="D233" s="738" t="e">
        <f t="array" ref="D233">LOOKUP(1,0/(('5.21出货明细'!V:V=$H$208)*('5.21出货明细'!A:A=A233)),'5.21出货明细'!K:K)</f>
        <v>#N/A</v>
      </c>
      <c r="E233" s="680" t="e">
        <f t="array" ref="E233">LOOKUP(1,0/(('5.21出货明细'!V:V=$H$208)*('5.21出货明细'!A:A=A233)),'5.21出货明细'!J:J)</f>
        <v>#N/A</v>
      </c>
      <c r="F233" s="683" t="e">
        <f t="array" ref="F233">LOOKUP(1,0/(('5.21出货明细'!V:V=$H$208)*('5.21出货明细'!A:A=A233)),'5.21出货明细'!Z:Z)</f>
        <v>#N/A</v>
      </c>
      <c r="G233" s="683" t="e">
        <f t="shared" si="5"/>
        <v>#N/A</v>
      </c>
      <c r="H233" s="734"/>
    </row>
    <row r="234" customFormat="1" ht="48" customHeight="1" spans="1:8">
      <c r="A234" s="429">
        <v>66</v>
      </c>
      <c r="B234" s="738" t="e">
        <f t="array" ref="B234">LOOKUP(1,0/(('5.21出货明细'!V:V=$H$208)*('5.21出货明细'!A:A=A234)),'5.21出货明细'!D:D)</f>
        <v>#N/A</v>
      </c>
      <c r="C234" s="738" t="e">
        <f t="array" ref="C234">LOOKUP(1,0/(('5.21出货明细'!V:V=$H$208)*('5.21出货明细'!A:A=A234)),'5.21出货明细'!G:G&amp;'5.21出货明细'!F:F)</f>
        <v>#N/A</v>
      </c>
      <c r="D234" s="738" t="e">
        <f t="array" ref="D234">LOOKUP(1,0/(('5.21出货明细'!V:V=$H$208)*('5.21出货明细'!A:A=A234)),'5.21出货明细'!K:K)</f>
        <v>#N/A</v>
      </c>
      <c r="E234" s="680" t="e">
        <f t="array" ref="E234">LOOKUP(1,0/(('5.21出货明细'!V:V=$H$208)*('5.21出货明细'!A:A=A234)),'5.21出货明细'!J:J)</f>
        <v>#N/A</v>
      </c>
      <c r="F234" s="683" t="e">
        <f t="array" ref="F234">LOOKUP(1,0/(('5.21出货明细'!V:V=$H$208)*('5.21出货明细'!A:A=A234)),'5.21出货明细'!Z:Z)</f>
        <v>#N/A</v>
      </c>
      <c r="G234" s="683" t="e">
        <f t="shared" si="5"/>
        <v>#N/A</v>
      </c>
      <c r="H234" s="734"/>
    </row>
    <row r="235" customFormat="1" ht="48" customHeight="1" spans="1:8">
      <c r="A235" s="429">
        <v>67</v>
      </c>
      <c r="B235" s="738" t="e">
        <f t="array" ref="B235">LOOKUP(1,0/(('5.21出货明细'!V:V=$H$208)*('5.21出货明细'!A:A=A235)),'5.21出货明细'!D:D)</f>
        <v>#N/A</v>
      </c>
      <c r="C235" s="738" t="e">
        <f t="array" ref="C235">LOOKUP(1,0/(('5.21出货明细'!V:V=$H$208)*('5.21出货明细'!A:A=A235)),'5.21出货明细'!G:G&amp;'5.21出货明细'!F:F)</f>
        <v>#N/A</v>
      </c>
      <c r="D235" s="738" t="e">
        <f t="array" ref="D235">LOOKUP(1,0/(('5.21出货明细'!V:V=$H$208)*('5.21出货明细'!A:A=A235)),'5.21出货明细'!K:K)</f>
        <v>#N/A</v>
      </c>
      <c r="E235" s="680" t="e">
        <f t="array" ref="E235">LOOKUP(1,0/(('5.21出货明细'!V:V=$H$208)*('5.21出货明细'!A:A=A235)),'5.21出货明细'!J:J)</f>
        <v>#N/A</v>
      </c>
      <c r="F235" s="683" t="e">
        <f t="array" ref="F235">LOOKUP(1,0/(('5.21出货明细'!V:V=$H$208)*('5.21出货明细'!A:A=A235)),'5.21出货明细'!Z:Z)</f>
        <v>#N/A</v>
      </c>
      <c r="G235" s="683" t="e">
        <f t="shared" si="5"/>
        <v>#N/A</v>
      </c>
      <c r="H235" s="734"/>
    </row>
    <row r="236" customFormat="1" ht="48" customHeight="1" spans="1:8">
      <c r="A236" s="429">
        <v>68</v>
      </c>
      <c r="B236" s="738" t="e">
        <f t="array" ref="B236">LOOKUP(1,0/(('5.21出货明细'!V:V=$H$208)*('5.21出货明细'!A:A=A236)),'5.21出货明细'!D:D)</f>
        <v>#N/A</v>
      </c>
      <c r="C236" s="738" t="e">
        <f t="array" ref="C236">LOOKUP(1,0/(('5.21出货明细'!V:V=$H$208)*('5.21出货明细'!A:A=A236)),'5.21出货明细'!G:G&amp;'5.21出货明细'!F:F)</f>
        <v>#N/A</v>
      </c>
      <c r="D236" s="738" t="e">
        <f t="array" ref="D236">LOOKUP(1,0/(('5.21出货明细'!V:V=$H$208)*('5.21出货明细'!A:A=A236)),'5.21出货明细'!K:K)</f>
        <v>#N/A</v>
      </c>
      <c r="E236" s="680" t="e">
        <f t="array" ref="E236">LOOKUP(1,0/(('5.21出货明细'!V:V=$H$208)*('5.21出货明细'!A:A=A236)),'5.21出货明细'!J:J)</f>
        <v>#N/A</v>
      </c>
      <c r="F236" s="683" t="e">
        <f t="array" ref="F236">LOOKUP(1,0/(('5.21出货明细'!V:V=$H$208)*('5.21出货明细'!A:A=A236)),'5.21出货明细'!Z:Z)</f>
        <v>#N/A</v>
      </c>
      <c r="G236" s="683" t="e">
        <f t="shared" si="5"/>
        <v>#N/A</v>
      </c>
      <c r="H236" s="734"/>
    </row>
    <row r="237" customFormat="1" ht="48" customHeight="1" spans="1:8">
      <c r="A237" s="429">
        <v>69</v>
      </c>
      <c r="B237" s="738" t="e">
        <f t="array" ref="B237">LOOKUP(1,0/(('5.21出货明细'!V:V=$H$208)*('5.21出货明细'!A:A=A237)),'5.21出货明细'!D:D)</f>
        <v>#N/A</v>
      </c>
      <c r="C237" s="738" t="e">
        <f t="array" ref="C237">LOOKUP(1,0/(('5.21出货明细'!V:V=$H$208)*('5.21出货明细'!A:A=A237)),'5.21出货明细'!G:G&amp;'5.21出货明细'!F:F)</f>
        <v>#N/A</v>
      </c>
      <c r="D237" s="738" t="e">
        <f t="array" ref="D237">LOOKUP(1,0/(('5.21出货明细'!V:V=$H$208)*('5.21出货明细'!A:A=A237)),'5.21出货明细'!K:K)</f>
        <v>#N/A</v>
      </c>
      <c r="E237" s="680" t="e">
        <f t="array" ref="E237">LOOKUP(1,0/(('5.21出货明细'!V:V=$H$208)*('5.21出货明细'!A:A=A237)),'5.21出货明细'!J:J)</f>
        <v>#N/A</v>
      </c>
      <c r="F237" s="683" t="e">
        <f t="array" ref="F237">LOOKUP(1,0/(('5.21出货明细'!V:V=$H$208)*('5.21出货明细'!A:A=A237)),'5.21出货明细'!Z:Z)</f>
        <v>#N/A</v>
      </c>
      <c r="G237" s="683" t="e">
        <f t="shared" si="5"/>
        <v>#N/A</v>
      </c>
      <c r="H237" s="734"/>
    </row>
    <row r="238" customFormat="1" ht="48" customHeight="1" spans="1:8">
      <c r="A238" s="429">
        <v>70</v>
      </c>
      <c r="B238" s="738" t="e">
        <f t="array" ref="B238">LOOKUP(1,0/(('5.21出货明细'!V:V=$H$208)*('5.21出货明细'!A:A=A238)),'5.21出货明细'!D:D)</f>
        <v>#N/A</v>
      </c>
      <c r="C238" s="738" t="e">
        <f t="array" ref="C238">LOOKUP(1,0/(('5.21出货明细'!V:V=$H$208)*('5.21出货明细'!A:A=A238)),'5.21出货明细'!G:G&amp;'5.21出货明细'!F:F)</f>
        <v>#N/A</v>
      </c>
      <c r="D238" s="738" t="e">
        <f t="array" ref="D238">LOOKUP(1,0/(('5.21出货明细'!V:V=$H$208)*('5.21出货明细'!A:A=A238)),'5.21出货明细'!K:K)</f>
        <v>#N/A</v>
      </c>
      <c r="E238" s="680" t="e">
        <f t="array" ref="E238">LOOKUP(1,0/(('5.21出货明细'!V:V=$H$208)*('5.21出货明细'!A:A=A238)),'5.21出货明细'!J:J)</f>
        <v>#N/A</v>
      </c>
      <c r="F238" s="683" t="e">
        <f t="array" ref="F238">LOOKUP(1,0/(('5.21出货明细'!V:V=$H$208)*('5.21出货明细'!A:A=A238)),'5.21出货明细'!Z:Z)</f>
        <v>#N/A</v>
      </c>
      <c r="G238" s="683" t="e">
        <f t="shared" si="5"/>
        <v>#N/A</v>
      </c>
      <c r="H238" s="734"/>
    </row>
    <row r="239" customFormat="1" ht="48" customHeight="1" spans="1:8">
      <c r="A239" s="429">
        <v>71</v>
      </c>
      <c r="B239" s="738" t="e">
        <f t="array" ref="B239">LOOKUP(1,0/(('5.21出货明细'!V:V=$H$208)*('5.21出货明细'!A:A=A239)),'5.21出货明细'!D:D)</f>
        <v>#N/A</v>
      </c>
      <c r="C239" s="738" t="e">
        <f t="array" ref="C239">LOOKUP(1,0/(('5.21出货明细'!V:V=$H$208)*('5.21出货明细'!A:A=A239)),'5.21出货明细'!G:G&amp;'5.21出货明细'!F:F)</f>
        <v>#N/A</v>
      </c>
      <c r="D239" s="738" t="e">
        <f t="array" ref="D239">LOOKUP(1,0/(('5.21出货明细'!V:V=$H$208)*('5.21出货明细'!A:A=A239)),'5.21出货明细'!K:K)</f>
        <v>#N/A</v>
      </c>
      <c r="E239" s="680" t="e">
        <f t="array" ref="E239">LOOKUP(1,0/(('5.21出货明细'!V:V=$H$208)*('5.21出货明细'!A:A=A239)),'5.21出货明细'!J:J)</f>
        <v>#N/A</v>
      </c>
      <c r="F239" s="683" t="e">
        <f t="array" ref="F239">LOOKUP(1,0/(('5.21出货明细'!V:V=$H$208)*('5.21出货明细'!A:A=A239)),'5.21出货明细'!Z:Z)</f>
        <v>#N/A</v>
      </c>
      <c r="G239" s="683" t="e">
        <f t="shared" si="5"/>
        <v>#N/A</v>
      </c>
      <c r="H239" s="734"/>
    </row>
    <row r="240" customFormat="1" ht="48" customHeight="1" spans="1:8">
      <c r="A240" s="429">
        <v>72</v>
      </c>
      <c r="B240" s="738" t="e">
        <f t="array" ref="B240">LOOKUP(1,0/(('5.21出货明细'!V:V=$H$208)*('5.21出货明细'!A:A=A240)),'5.21出货明细'!D:D)</f>
        <v>#N/A</v>
      </c>
      <c r="C240" s="738" t="e">
        <f t="array" ref="C240">LOOKUP(1,0/(('5.21出货明细'!V:V=$H$208)*('5.21出货明细'!A:A=A240)),'5.21出货明细'!G:G&amp;'5.21出货明细'!F:F)</f>
        <v>#N/A</v>
      </c>
      <c r="D240" s="738" t="e">
        <f t="array" ref="D240">LOOKUP(1,0/(('5.21出货明细'!V:V=$H$208)*('5.21出货明细'!A:A=A240)),'5.21出货明细'!K:K)</f>
        <v>#N/A</v>
      </c>
      <c r="E240" s="680" t="e">
        <f t="array" ref="E240">LOOKUP(1,0/(('5.21出货明细'!V:V=$H$208)*('5.21出货明细'!A:A=A240)),'5.21出货明细'!J:J)</f>
        <v>#N/A</v>
      </c>
      <c r="F240" s="683" t="e">
        <f t="array" ref="F240">LOOKUP(1,0/(('5.21出货明细'!V:V=$H$208)*('5.21出货明细'!A:A=A240)),'5.21出货明细'!Z:Z)</f>
        <v>#N/A</v>
      </c>
      <c r="G240" s="683" t="e">
        <f t="shared" si="5"/>
        <v>#N/A</v>
      </c>
      <c r="H240" s="734"/>
    </row>
    <row r="241" customFormat="1" ht="48" customHeight="1" spans="1:8">
      <c r="A241" s="429">
        <v>73</v>
      </c>
      <c r="B241" s="738" t="e">
        <f t="array" ref="B241">LOOKUP(1,0/(('5.21出货明细'!V:V=$H$208)*('5.21出货明细'!A:A=A241)),'5.21出货明细'!D:D)</f>
        <v>#N/A</v>
      </c>
      <c r="C241" s="738" t="e">
        <f t="array" ref="C241">LOOKUP(1,0/(('5.21出货明细'!V:V=$H$208)*('5.21出货明细'!A:A=A241)),'5.21出货明细'!G:G&amp;'5.21出货明细'!F:F)</f>
        <v>#N/A</v>
      </c>
      <c r="D241" s="738" t="e">
        <f t="array" ref="D241">LOOKUP(1,0/(('5.21出货明细'!V:V=$H$208)*('5.21出货明细'!A:A=A241)),'5.21出货明细'!K:K)</f>
        <v>#N/A</v>
      </c>
      <c r="E241" s="680" t="e">
        <f t="array" ref="E241">LOOKUP(1,0/(('5.21出货明细'!V:V=$H$208)*('5.21出货明细'!A:A=A241)),'5.21出货明细'!J:J)</f>
        <v>#N/A</v>
      </c>
      <c r="F241" s="683" t="e">
        <f t="array" ref="F241">LOOKUP(1,0/(('5.21出货明细'!V:V=$H$208)*('5.21出货明细'!A:A=A241)),'5.21出货明细'!Z:Z)</f>
        <v>#N/A</v>
      </c>
      <c r="G241" s="683" t="e">
        <f t="shared" si="5"/>
        <v>#N/A</v>
      </c>
      <c r="H241" s="734"/>
    </row>
    <row r="242" customFormat="1" ht="48" customHeight="1" spans="1:8">
      <c r="A242" s="429">
        <v>74</v>
      </c>
      <c r="B242" s="738" t="e">
        <f t="array" ref="B242">LOOKUP(1,0/(('5.21出货明细'!V:V=$H$208)*('5.21出货明细'!A:A=A242)),'5.21出货明细'!D:D)</f>
        <v>#N/A</v>
      </c>
      <c r="C242" s="738" t="e">
        <f t="array" ref="C242">LOOKUP(1,0/(('5.21出货明细'!V:V=$H$208)*('5.21出货明细'!A:A=A242)),'5.21出货明细'!G:G&amp;'5.21出货明细'!F:F)</f>
        <v>#N/A</v>
      </c>
      <c r="D242" s="738" t="e">
        <f t="array" ref="D242">LOOKUP(1,0/(('5.21出货明细'!V:V=$H$208)*('5.21出货明细'!A:A=A242)),'5.21出货明细'!K:K)</f>
        <v>#N/A</v>
      </c>
      <c r="E242" s="680" t="e">
        <f t="array" ref="E242">LOOKUP(1,0/(('5.21出货明细'!V:V=$H$208)*('5.21出货明细'!A:A=A242)),'5.21出货明细'!J:J)</f>
        <v>#N/A</v>
      </c>
      <c r="F242" s="683" t="e">
        <f t="array" ref="F242">LOOKUP(1,0/(('5.21出货明细'!V:V=$H$208)*('5.21出货明细'!A:A=A242)),'5.21出货明细'!Z:Z)</f>
        <v>#N/A</v>
      </c>
      <c r="G242" s="683" t="e">
        <f t="shared" si="5"/>
        <v>#N/A</v>
      </c>
      <c r="H242" s="734"/>
    </row>
    <row r="243" customFormat="1" ht="48" customHeight="1" spans="1:8">
      <c r="A243" s="429">
        <v>75</v>
      </c>
      <c r="B243" s="738" t="e">
        <f t="array" ref="B243">LOOKUP(1,0/(('5.21出货明细'!V:V=$H$208)*('5.21出货明细'!A:A=A243)),'5.21出货明细'!D:D)</f>
        <v>#N/A</v>
      </c>
      <c r="C243" s="738" t="e">
        <f t="array" ref="C243">LOOKUP(1,0/(('5.21出货明细'!V:V=$H$208)*('5.21出货明细'!A:A=A243)),'5.21出货明细'!G:G&amp;'5.21出货明细'!F:F)</f>
        <v>#N/A</v>
      </c>
      <c r="D243" s="738" t="e">
        <f t="array" ref="D243">LOOKUP(1,0/(('5.21出货明细'!V:V=$H$208)*('5.21出货明细'!A:A=A243)),'5.21出货明细'!K:K)</f>
        <v>#N/A</v>
      </c>
      <c r="E243" s="680" t="e">
        <f t="array" ref="E243">LOOKUP(1,0/(('5.21出货明细'!V:V=$H$208)*('5.21出货明细'!A:A=A243)),'5.21出货明细'!J:J)</f>
        <v>#N/A</v>
      </c>
      <c r="F243" s="683" t="e">
        <f t="array" ref="F243">LOOKUP(1,0/(('5.21出货明细'!V:V=$H$208)*('5.21出货明细'!A:A=A243)),'5.21出货明细'!Z:Z)</f>
        <v>#N/A</v>
      </c>
      <c r="G243" s="683" t="e">
        <f t="shared" si="5"/>
        <v>#N/A</v>
      </c>
      <c r="H243" s="734"/>
    </row>
    <row r="244" customFormat="1" ht="32" customHeight="1" spans="1:8">
      <c r="B244" s="739"/>
      <c r="C244" s="740"/>
      <c r="D244" s="741"/>
      <c r="E244" s="740"/>
      <c r="F244" s="683"/>
      <c r="G244" s="742" t="e">
        <f>SUM(G227:G243)</f>
        <v>#N/A</v>
      </c>
      <c r="H244" s="740"/>
    </row>
    <row r="245" customFormat="1" ht="4" customHeight="1" spans="1:8">
      <c r="B245" s="705"/>
      <c r="C245" s="743"/>
      <c r="D245" s="706"/>
      <c r="E245" s="732"/>
      <c r="F245" s="744"/>
      <c r="G245" s="745"/>
      <c r="H245" s="732"/>
    </row>
    <row r="246" customFormat="1" ht="16.5" spans="1:8">
      <c r="B246" s="746" t="s">
        <v>1572</v>
      </c>
      <c r="C246" s="747" t="s">
        <v>1573</v>
      </c>
      <c r="D246" s="748"/>
      <c r="E246" s="748"/>
      <c r="F246" s="748"/>
      <c r="G246" s="749"/>
      <c r="H246" s="706"/>
    </row>
    <row r="247" customFormat="1" ht="16.5" spans="1:8">
      <c r="B247" s="750" t="s">
        <v>1574</v>
      </c>
      <c r="C247" s="751" t="s">
        <v>1595</v>
      </c>
      <c r="D247" s="751"/>
      <c r="E247" s="752"/>
      <c r="F247" s="752"/>
      <c r="G247" s="752"/>
      <c r="H247" s="743"/>
    </row>
    <row r="248" customFormat="1" ht="16.5" spans="1:8">
      <c r="B248" s="753" t="s">
        <v>1575</v>
      </c>
      <c r="C248" s="751" t="s">
        <v>1576</v>
      </c>
      <c r="D248" s="751"/>
      <c r="E248" s="751"/>
      <c r="F248" s="754"/>
      <c r="G248" s="754"/>
      <c r="H248" s="755"/>
    </row>
    <row r="249" customFormat="1" ht="33" spans="1:8">
      <c r="B249" s="750" t="s">
        <v>1577</v>
      </c>
      <c r="C249" s="751" t="s">
        <v>1578</v>
      </c>
      <c r="D249" s="754"/>
      <c r="E249" s="756" t="s">
        <v>1579</v>
      </c>
      <c r="F249" s="756"/>
      <c r="G249" s="757" t="s">
        <v>1580</v>
      </c>
      <c r="H249" s="755"/>
    </row>
    <row r="250" customFormat="1" ht="33" spans="1:8">
      <c r="B250" s="758" t="s">
        <v>1581</v>
      </c>
      <c r="C250" s="751" t="s">
        <v>1582</v>
      </c>
      <c r="D250" s="754"/>
      <c r="E250" s="754"/>
      <c r="F250" s="754"/>
      <c r="G250" s="754"/>
      <c r="H250" s="755"/>
    </row>
    <row r="251" customFormat="1" ht="16.5" spans="1:8">
      <c r="B251" s="754" t="s">
        <v>1583</v>
      </c>
      <c r="C251" s="754"/>
      <c r="D251" s="754"/>
      <c r="E251" s="754"/>
      <c r="F251" s="754"/>
      <c r="G251" s="754"/>
      <c r="H251" s="755"/>
    </row>
    <row r="252" customFormat="1" ht="16.5" spans="1:8">
      <c r="B252" s="754" t="s">
        <v>1584</v>
      </c>
      <c r="C252" s="754"/>
      <c r="D252" s="754"/>
      <c r="E252" s="754"/>
      <c r="F252" s="754"/>
      <c r="G252" s="754"/>
      <c r="H252" s="755"/>
    </row>
    <row r="253" customFormat="1" ht="15.75" spans="1:8">
      <c r="B253" s="759"/>
      <c r="C253" s="759"/>
      <c r="D253" s="759"/>
      <c r="E253" s="759"/>
      <c r="F253" s="759"/>
      <c r="G253" s="759"/>
      <c r="H253" s="759"/>
    </row>
    <row r="254" customFormat="1" ht="31.5" spans="1:8">
      <c r="B254" s="760" t="s">
        <v>1585</v>
      </c>
      <c r="C254" s="761" t="s">
        <v>1586</v>
      </c>
      <c r="D254" s="762" t="s">
        <v>1587</v>
      </c>
      <c r="E254" s="763" t="s">
        <v>1605</v>
      </c>
      <c r="F254" s="764"/>
      <c r="G254" s="764"/>
      <c r="H254" s="764"/>
    </row>
    <row r="255" customFormat="1" ht="28.5" spans="1:8">
      <c r="B255" s="760" t="s">
        <v>1589</v>
      </c>
      <c r="C255" s="765"/>
      <c r="D255" s="766" t="s">
        <v>1590</v>
      </c>
      <c r="E255" s="766"/>
      <c r="F255" s="767"/>
      <c r="G255" s="768"/>
      <c r="H255" s="768"/>
    </row>
    <row r="256" customFormat="1" ht="15.75" spans="1:8">
      <c r="B256" s="760"/>
      <c r="C256" s="765"/>
      <c r="D256" s="766"/>
      <c r="E256" s="766"/>
      <c r="F256" s="767"/>
      <c r="G256" s="768"/>
      <c r="H256" s="768"/>
    </row>
    <row r="257" customFormat="1" ht="30" spans="2:8">
      <c r="B257" s="701" t="s">
        <v>1540</v>
      </c>
      <c r="C257" s="701"/>
      <c r="D257" s="701"/>
      <c r="E257" s="701"/>
      <c r="F257" s="701"/>
      <c r="G257" s="701"/>
      <c r="H257" s="701"/>
    </row>
    <row r="258" customFormat="1" ht="18" spans="2:8">
      <c r="B258" s="702" t="s">
        <v>1541</v>
      </c>
      <c r="C258" s="702"/>
      <c r="D258" s="702"/>
      <c r="E258" s="702"/>
      <c r="F258" s="702"/>
      <c r="G258" s="702"/>
      <c r="H258" s="702"/>
    </row>
    <row r="259" customFormat="1" ht="42" customHeight="1" spans="2:8">
      <c r="B259" s="703" t="s">
        <v>1542</v>
      </c>
      <c r="C259" s="703"/>
      <c r="D259" s="703"/>
      <c r="E259" s="703"/>
      <c r="F259" s="703"/>
      <c r="G259" s="703"/>
      <c r="H259" s="703"/>
    </row>
    <row r="260" customFormat="1" ht="18" spans="2:8">
      <c r="B260" s="704"/>
      <c r="C260" s="705"/>
      <c r="D260" s="705"/>
      <c r="E260" s="706"/>
      <c r="F260" s="707"/>
      <c r="G260" s="708"/>
      <c r="H260" s="654"/>
    </row>
    <row r="261" customFormat="1" ht="18.75" spans="2:8">
      <c r="B261" s="709" t="s">
        <v>1543</v>
      </c>
      <c r="C261" s="710" t="s">
        <v>1540</v>
      </c>
      <c r="D261" s="710"/>
      <c r="E261" s="710"/>
      <c r="F261" s="711"/>
      <c r="G261" s="712" t="s">
        <v>1544</v>
      </c>
      <c r="H261" s="642" t="s">
        <v>1607</v>
      </c>
    </row>
    <row r="262" customFormat="1" ht="18.75" spans="2:8">
      <c r="B262" s="709"/>
      <c r="C262" s="710" t="s">
        <v>1546</v>
      </c>
      <c r="D262" s="710"/>
      <c r="E262" s="710"/>
      <c r="F262" s="711"/>
      <c r="G262" s="712"/>
      <c r="H262" s="645"/>
    </row>
    <row r="263" customFormat="1" ht="18.75" spans="2:8">
      <c r="B263" s="713"/>
      <c r="C263" s="654" t="s">
        <v>1547</v>
      </c>
      <c r="D263" s="714"/>
      <c r="E263" s="710"/>
      <c r="F263" s="711"/>
      <c r="G263" s="715"/>
      <c r="H263" s="716"/>
    </row>
    <row r="264" customFormat="1" ht="18.75" spans="2:8">
      <c r="B264" s="654"/>
      <c r="C264" s="640" t="s">
        <v>1548</v>
      </c>
      <c r="D264" s="640"/>
      <c r="E264" s="640"/>
      <c r="F264" s="640"/>
      <c r="G264" s="717"/>
      <c r="H264" s="718"/>
    </row>
    <row r="265" customFormat="1" ht="18.75" spans="2:8">
      <c r="B265" s="711"/>
      <c r="C265" s="640"/>
      <c r="D265" s="640"/>
      <c r="E265" s="640"/>
      <c r="F265" s="640"/>
      <c r="G265" s="719" t="s">
        <v>1549</v>
      </c>
      <c r="H265" s="720">
        <f>H9</f>
        <v>46076</v>
      </c>
    </row>
    <row r="266" customFormat="1" ht="35" customHeight="1" spans="2:8">
      <c r="B266" s="709"/>
      <c r="C266" s="640"/>
      <c r="D266" s="640"/>
      <c r="E266" s="640"/>
      <c r="F266" s="640"/>
      <c r="G266" s="719"/>
      <c r="H266" s="721"/>
    </row>
    <row r="267" customFormat="1" ht="18.75" spans="2:8">
      <c r="B267" s="652" t="s">
        <v>1550</v>
      </c>
      <c r="C267" s="654" t="s">
        <v>124</v>
      </c>
      <c r="D267" s="654"/>
      <c r="E267" s="654"/>
      <c r="F267" s="711"/>
      <c r="G267" s="722"/>
      <c r="H267" s="716"/>
    </row>
    <row r="268" customFormat="1" ht="18.75" spans="2:8">
      <c r="B268" s="652"/>
      <c r="C268" s="653" t="s">
        <v>1602</v>
      </c>
      <c r="D268" s="653"/>
      <c r="E268" s="653"/>
      <c r="F268" s="711"/>
      <c r="G268" s="722"/>
      <c r="H268" s="716"/>
    </row>
    <row r="269" customFormat="1" ht="41" customHeight="1" spans="2:8">
      <c r="B269" s="654"/>
      <c r="C269" s="637" t="s">
        <v>1603</v>
      </c>
      <c r="D269" s="637"/>
      <c r="E269" s="637"/>
      <c r="F269" s="637"/>
      <c r="G269" s="719" t="s">
        <v>1555</v>
      </c>
      <c r="H269" s="642" t="s">
        <v>1604</v>
      </c>
    </row>
    <row r="270" customFormat="1" ht="28" customHeight="1" spans="2:8">
      <c r="B270" s="723"/>
      <c r="C270" s="637"/>
      <c r="D270" s="637"/>
      <c r="E270" s="637"/>
      <c r="F270" s="637"/>
      <c r="G270" s="719"/>
      <c r="H270" s="724"/>
    </row>
    <row r="271" customFormat="1" ht="18" spans="2:8">
      <c r="B271" s="725" t="s">
        <v>1557</v>
      </c>
      <c r="C271" s="654" t="s">
        <v>1558</v>
      </c>
      <c r="D271" s="654"/>
      <c r="E271" s="654"/>
      <c r="F271" s="726"/>
      <c r="G271" s="727"/>
      <c r="H271" s="706"/>
    </row>
    <row r="272" customFormat="1" ht="40" customHeight="1" spans="2:8">
      <c r="B272" s="725"/>
      <c r="C272" s="637" t="s">
        <v>1559</v>
      </c>
      <c r="D272" s="637"/>
      <c r="E272" s="637"/>
      <c r="F272" s="637"/>
      <c r="G272" s="727"/>
      <c r="H272" s="706"/>
    </row>
    <row r="273" customFormat="1" ht="18" spans="1:8">
      <c r="B273" s="725"/>
      <c r="C273" s="654" t="s">
        <v>1560</v>
      </c>
      <c r="D273" s="654"/>
      <c r="E273" s="654"/>
      <c r="F273" s="726"/>
      <c r="G273" s="727"/>
      <c r="H273" s="706"/>
    </row>
    <row r="274" customFormat="1" ht="18" spans="1:8">
      <c r="B274" s="725"/>
      <c r="C274" s="654" t="s">
        <v>1561</v>
      </c>
      <c r="D274" s="654"/>
      <c r="E274" s="654"/>
      <c r="F274" s="726"/>
      <c r="G274" s="706"/>
      <c r="H274" s="706"/>
    </row>
    <row r="275" customFormat="1" ht="15.75" spans="1:8">
      <c r="B275" s="728" t="s">
        <v>1562</v>
      </c>
      <c r="C275" s="729"/>
      <c r="D275" s="729"/>
      <c r="E275" s="729"/>
      <c r="F275" s="704"/>
      <c r="G275" s="706"/>
      <c r="H275" s="706"/>
    </row>
    <row r="276" customFormat="1" ht="15" spans="1:8">
      <c r="B276" s="730" t="s">
        <v>1563</v>
      </c>
      <c r="C276" s="730"/>
      <c r="D276" s="730"/>
      <c r="E276" s="730"/>
      <c r="F276" s="730"/>
      <c r="G276" s="730"/>
      <c r="H276" s="730"/>
    </row>
    <row r="277" customFormat="1" ht="2" customHeight="1" spans="1:8">
      <c r="B277" s="731"/>
      <c r="C277" s="732"/>
      <c r="D277" s="733"/>
      <c r="E277" s="732"/>
      <c r="F277" s="732"/>
      <c r="G277" s="732"/>
      <c r="H277" s="706"/>
    </row>
    <row r="278" customFormat="1" ht="36" spans="1:8">
      <c r="B278" s="734" t="s">
        <v>1564</v>
      </c>
      <c r="C278" s="734" t="s">
        <v>1565</v>
      </c>
      <c r="D278" s="734" t="s">
        <v>1566</v>
      </c>
      <c r="E278" s="735" t="s">
        <v>1567</v>
      </c>
      <c r="F278" s="736" t="s">
        <v>1568</v>
      </c>
      <c r="G278" s="734" t="s">
        <v>1569</v>
      </c>
      <c r="H278" s="734" t="s">
        <v>1570</v>
      </c>
    </row>
    <row r="279" customFormat="1" ht="18" spans="1:8">
      <c r="B279" s="734"/>
      <c r="C279" s="734"/>
      <c r="D279" s="734"/>
      <c r="E279" s="735"/>
      <c r="F279" s="737" t="s">
        <v>1595</v>
      </c>
      <c r="G279" s="737"/>
      <c r="H279" s="734"/>
    </row>
    <row r="280" customFormat="1" ht="37" customHeight="1" spans="1:8">
      <c r="A280" s="429">
        <v>76</v>
      </c>
      <c r="B280" s="738" t="e">
        <f t="array" ref="B280">LOOKUP(1,0/(('5.21出货明细'!V:V=$H$261)*('5.21出货明细'!A:A=A280)),'5.21出货明细'!D:D)</f>
        <v>#N/A</v>
      </c>
      <c r="C280" s="738" t="e">
        <f t="array" ref="C280">LOOKUP(1,0/(('5.21出货明细'!V:V=$H$261)*('5.21出货明细'!A:A=A280)),'5.21出货明细'!G:G&amp;'5.21出货明细'!F:F)</f>
        <v>#N/A</v>
      </c>
      <c r="D280" s="738" t="e">
        <f t="array" ref="D280">LOOKUP(1,0/(('5.21出货明细'!V:V=$H$261)*('5.21出货明细'!A:A=A280)),'5.21出货明细'!K:K)</f>
        <v>#N/A</v>
      </c>
      <c r="E280" s="680" t="e">
        <f t="array" ref="E280">LOOKUP(1,0/(('5.21出货明细'!V:V=$H$261)*('5.21出货明细'!A:A=A280)),'5.21出货明细'!J:J)</f>
        <v>#N/A</v>
      </c>
      <c r="F280" s="683" t="e">
        <f t="array" ref="F280">LOOKUP(1,0/(('5.21出货明细'!V:V=$H$261)*('5.21出货明细'!A:A=A280)),'5.21出货明细'!Z:Z)</f>
        <v>#N/A</v>
      </c>
      <c r="G280" s="683" t="e">
        <f>F280*D280</f>
        <v>#N/A</v>
      </c>
      <c r="H280" s="734"/>
    </row>
    <row r="281" customFormat="1" ht="37" customHeight="1" spans="1:8">
      <c r="A281" s="429">
        <v>77</v>
      </c>
      <c r="B281" s="738" t="e">
        <f t="array" ref="B281">LOOKUP(1,0/(('5.21出货明细'!V:V=$H$261)*('5.21出货明细'!A:A=A281)),'5.21出货明细'!D:D)</f>
        <v>#N/A</v>
      </c>
      <c r="C281" s="738" t="e">
        <f t="array" ref="C281">LOOKUP(1,0/(('5.21出货明细'!V:V=$H$261)*('5.21出货明细'!A:A=A281)),'5.21出货明细'!G:G&amp;'5.21出货明细'!F:F)</f>
        <v>#N/A</v>
      </c>
      <c r="D281" s="738" t="e">
        <f t="array" ref="D281">LOOKUP(1,0/(('5.21出货明细'!V:V=$H$261)*('5.21出货明细'!A:A=A281)),'5.21出货明细'!K:K)</f>
        <v>#N/A</v>
      </c>
      <c r="E281" s="680" t="e">
        <f t="array" ref="E281">LOOKUP(1,0/(('5.21出货明细'!V:V=$H$261)*('5.21出货明细'!A:A=A281)),'5.21出货明细'!J:J)</f>
        <v>#N/A</v>
      </c>
      <c r="F281" s="683" t="e">
        <f t="array" ref="F281">LOOKUP(1,0/(('5.21出货明细'!V:V=$H$261)*('5.21出货明细'!A:A=A281)),'5.21出货明细'!Z:Z)</f>
        <v>#N/A</v>
      </c>
      <c r="G281" s="683" t="e">
        <f t="shared" ref="G281:G296" si="6">F281*D281</f>
        <v>#N/A</v>
      </c>
      <c r="H281" s="734"/>
    </row>
    <row r="282" customFormat="1" ht="37" customHeight="1" spans="1:8">
      <c r="A282" s="429">
        <v>78</v>
      </c>
      <c r="B282" s="738" t="e">
        <f t="array" ref="B282">LOOKUP(1,0/(('5.21出货明细'!V:V=$H$261)*('5.21出货明细'!A:A=A282)),'5.21出货明细'!D:D)</f>
        <v>#N/A</v>
      </c>
      <c r="C282" s="738" t="e">
        <f t="array" ref="C282">LOOKUP(1,0/(('5.21出货明细'!V:V=$H$261)*('5.21出货明细'!A:A=A282)),'5.21出货明细'!G:G&amp;'5.21出货明细'!F:F)</f>
        <v>#N/A</v>
      </c>
      <c r="D282" s="738" t="e">
        <f t="array" ref="D282">LOOKUP(1,0/(('5.21出货明细'!V:V=$H$261)*('5.21出货明细'!A:A=A282)),'5.21出货明细'!K:K)</f>
        <v>#N/A</v>
      </c>
      <c r="E282" s="680" t="e">
        <f t="array" ref="E282">LOOKUP(1,0/(('5.21出货明细'!V:V=$H$261)*('5.21出货明细'!A:A=A282)),'5.21出货明细'!J:J)</f>
        <v>#N/A</v>
      </c>
      <c r="F282" s="683" t="e">
        <f t="array" ref="F282">LOOKUP(1,0/(('5.21出货明细'!V:V=$H$261)*('5.21出货明细'!A:A=A282)),'5.21出货明细'!Z:Z)</f>
        <v>#N/A</v>
      </c>
      <c r="G282" s="683" t="e">
        <f t="shared" si="6"/>
        <v>#N/A</v>
      </c>
      <c r="H282" s="734"/>
    </row>
    <row r="283" customFormat="1" ht="37" customHeight="1" spans="1:8">
      <c r="A283" s="429">
        <v>79</v>
      </c>
      <c r="B283" s="738" t="e">
        <f t="array" ref="B283">LOOKUP(1,0/(('5.21出货明细'!V:V=$H$261)*('5.21出货明细'!A:A=A283)),'5.21出货明细'!D:D)</f>
        <v>#N/A</v>
      </c>
      <c r="C283" s="738" t="e">
        <f t="array" ref="C283">LOOKUP(1,0/(('5.21出货明细'!V:V=$H$261)*('5.21出货明细'!A:A=A283)),'5.21出货明细'!G:G&amp;'5.21出货明细'!F:F)</f>
        <v>#N/A</v>
      </c>
      <c r="D283" s="738" t="e">
        <f t="array" ref="D283">LOOKUP(1,0/(('5.21出货明细'!V:V=$H$261)*('5.21出货明细'!A:A=A283)),'5.21出货明细'!K:K)</f>
        <v>#N/A</v>
      </c>
      <c r="E283" s="680" t="e">
        <f t="array" ref="E283">LOOKUP(1,0/(('5.21出货明细'!V:V=$H$261)*('5.21出货明细'!A:A=A283)),'5.21出货明细'!J:J)</f>
        <v>#N/A</v>
      </c>
      <c r="F283" s="683" t="e">
        <f t="array" ref="F283">LOOKUP(1,0/(('5.21出货明细'!V:V=$H$261)*('5.21出货明细'!A:A=A283)),'5.21出货明细'!Z:Z)</f>
        <v>#N/A</v>
      </c>
      <c r="G283" s="683" t="e">
        <f t="shared" si="6"/>
        <v>#N/A</v>
      </c>
      <c r="H283" s="734"/>
    </row>
    <row r="284" customFormat="1" ht="37" customHeight="1" spans="1:8">
      <c r="A284" s="429">
        <v>80</v>
      </c>
      <c r="B284" s="738" t="e">
        <f t="array" ref="B284">LOOKUP(1,0/(('5.21出货明细'!V:V=$H$261)*('5.21出货明细'!A:A=A284)),'5.21出货明细'!D:D)</f>
        <v>#N/A</v>
      </c>
      <c r="C284" s="738" t="e">
        <f t="array" ref="C284">LOOKUP(1,0/(('5.21出货明细'!V:V=$H$261)*('5.21出货明细'!A:A=A284)),'5.21出货明细'!G:G&amp;'5.21出货明细'!F:F)</f>
        <v>#N/A</v>
      </c>
      <c r="D284" s="738" t="e">
        <f t="array" ref="D284">LOOKUP(1,0/(('5.21出货明细'!V:V=$H$261)*('5.21出货明细'!A:A=A284)),'5.21出货明细'!K:K)</f>
        <v>#N/A</v>
      </c>
      <c r="E284" s="680" t="e">
        <f t="array" ref="E284">LOOKUP(1,0/(('5.21出货明细'!V:V=$H$261)*('5.21出货明细'!A:A=A284)),'5.21出货明细'!J:J)</f>
        <v>#N/A</v>
      </c>
      <c r="F284" s="683" t="e">
        <f t="array" ref="F284">LOOKUP(1,0/(('5.21出货明细'!V:V=$H$261)*('5.21出货明细'!A:A=A284)),'5.21出货明细'!Z:Z)</f>
        <v>#N/A</v>
      </c>
      <c r="G284" s="683" t="e">
        <f t="shared" si="6"/>
        <v>#N/A</v>
      </c>
      <c r="H284" s="734"/>
    </row>
    <row r="285" customFormat="1" ht="37" customHeight="1" spans="1:8">
      <c r="A285" s="429">
        <v>81</v>
      </c>
      <c r="B285" s="738" t="e">
        <f t="array" ref="B285">LOOKUP(1,0/(('5.21出货明细'!V:V=$H$261)*('5.21出货明细'!A:A=A285)),'5.21出货明细'!D:D)</f>
        <v>#N/A</v>
      </c>
      <c r="C285" s="738" t="e">
        <f t="array" ref="C285">LOOKUP(1,0/(('5.21出货明细'!V:V=$H$261)*('5.21出货明细'!A:A=A285)),'5.21出货明细'!G:G&amp;'5.21出货明细'!F:F)</f>
        <v>#N/A</v>
      </c>
      <c r="D285" s="738" t="e">
        <f t="array" ref="D285">LOOKUP(1,0/(('5.21出货明细'!V:V=$H$261)*('5.21出货明细'!A:A=A285)),'5.21出货明细'!K:K)</f>
        <v>#N/A</v>
      </c>
      <c r="E285" s="680" t="e">
        <f t="array" ref="E285">LOOKUP(1,0/(('5.21出货明细'!V:V=$H$261)*('5.21出货明细'!A:A=A285)),'5.21出货明细'!J:J)</f>
        <v>#N/A</v>
      </c>
      <c r="F285" s="683" t="e">
        <f t="array" ref="F285">LOOKUP(1,0/(('5.21出货明细'!V:V=$H$261)*('5.21出货明细'!A:A=A285)),'5.21出货明细'!Z:Z)</f>
        <v>#N/A</v>
      </c>
      <c r="G285" s="683" t="e">
        <f t="shared" si="6"/>
        <v>#N/A</v>
      </c>
      <c r="H285" s="734"/>
    </row>
    <row r="286" customFormat="1" ht="37" customHeight="1" spans="1:8">
      <c r="A286" s="429">
        <v>82</v>
      </c>
      <c r="B286" s="738" t="e">
        <f t="array" ref="B286">LOOKUP(1,0/(('5.21出货明细'!V:V=$H$261)*('5.21出货明细'!A:A=A286)),'5.21出货明细'!D:D)</f>
        <v>#N/A</v>
      </c>
      <c r="C286" s="738" t="e">
        <f t="array" ref="C286">LOOKUP(1,0/(('5.21出货明细'!V:V=$H$261)*('5.21出货明细'!A:A=A286)),'5.21出货明细'!G:G&amp;'5.21出货明细'!F:F)</f>
        <v>#N/A</v>
      </c>
      <c r="D286" s="738" t="e">
        <f t="array" ref="D286">LOOKUP(1,0/(('5.21出货明细'!V:V=$H$261)*('5.21出货明细'!A:A=A286)),'5.21出货明细'!K:K)</f>
        <v>#N/A</v>
      </c>
      <c r="E286" s="680" t="e">
        <f t="array" ref="E286">LOOKUP(1,0/(('5.21出货明细'!V:V=$H$261)*('5.21出货明细'!A:A=A286)),'5.21出货明细'!J:J)</f>
        <v>#N/A</v>
      </c>
      <c r="F286" s="683" t="e">
        <f t="array" ref="F286">LOOKUP(1,0/(('5.21出货明细'!V:V=$H$261)*('5.21出货明细'!A:A=A286)),'5.21出货明细'!Z:Z)</f>
        <v>#N/A</v>
      </c>
      <c r="G286" s="683" t="e">
        <f t="shared" si="6"/>
        <v>#N/A</v>
      </c>
      <c r="H286" s="734"/>
    </row>
    <row r="287" customFormat="1" ht="37" customHeight="1" spans="1:8">
      <c r="A287" s="429">
        <v>83</v>
      </c>
      <c r="B287" s="738" t="e">
        <f t="array" ref="B287">LOOKUP(1,0/(('5.21出货明细'!V:V=$H$261)*('5.21出货明细'!A:A=A287)),'5.21出货明细'!D:D)</f>
        <v>#N/A</v>
      </c>
      <c r="C287" s="738" t="e">
        <f t="array" ref="C287">LOOKUP(1,0/(('5.21出货明细'!V:V=$H$261)*('5.21出货明细'!A:A=A287)),'5.21出货明细'!G:G&amp;'5.21出货明细'!F:F)</f>
        <v>#N/A</v>
      </c>
      <c r="D287" s="738" t="e">
        <f t="array" ref="D287">LOOKUP(1,0/(('5.21出货明细'!V:V=$H$261)*('5.21出货明细'!A:A=A287)),'5.21出货明细'!K:K)</f>
        <v>#N/A</v>
      </c>
      <c r="E287" s="680" t="e">
        <f t="array" ref="E287">LOOKUP(1,0/(('5.21出货明细'!V:V=$H$261)*('5.21出货明细'!A:A=A287)),'5.21出货明细'!J:J)</f>
        <v>#N/A</v>
      </c>
      <c r="F287" s="683" t="e">
        <f t="array" ref="F287">LOOKUP(1,0/(('5.21出货明细'!V:V=$H$261)*('5.21出货明细'!A:A=A287)),'5.21出货明细'!Z:Z)</f>
        <v>#N/A</v>
      </c>
      <c r="G287" s="683" t="e">
        <f t="shared" si="6"/>
        <v>#N/A</v>
      </c>
      <c r="H287" s="734"/>
    </row>
    <row r="288" customFormat="1" ht="37" customHeight="1" spans="1:8">
      <c r="A288" s="429">
        <v>84</v>
      </c>
      <c r="B288" s="738" t="e">
        <f t="array" ref="B288">LOOKUP(1,0/(('5.21出货明细'!V:V=$H$261)*('5.21出货明细'!A:A=A288)),'5.21出货明细'!D:D)</f>
        <v>#N/A</v>
      </c>
      <c r="C288" s="738" t="e">
        <f t="array" ref="C288">LOOKUP(1,0/(('5.21出货明细'!V:V=$H$261)*('5.21出货明细'!A:A=A288)),'5.21出货明细'!G:G&amp;'5.21出货明细'!F:F)</f>
        <v>#N/A</v>
      </c>
      <c r="D288" s="738" t="e">
        <f t="array" ref="D288">LOOKUP(1,0/(('5.21出货明细'!V:V=$H$261)*('5.21出货明细'!A:A=A288)),'5.21出货明细'!K:K)</f>
        <v>#N/A</v>
      </c>
      <c r="E288" s="680" t="e">
        <f t="array" ref="E288">LOOKUP(1,0/(('5.21出货明细'!V:V=$H$261)*('5.21出货明细'!A:A=A288)),'5.21出货明细'!J:J)</f>
        <v>#N/A</v>
      </c>
      <c r="F288" s="683" t="e">
        <f t="array" ref="F288">LOOKUP(1,0/(('5.21出货明细'!V:V=$H$261)*('5.21出货明细'!A:A=A288)),'5.21出货明细'!Z:Z)</f>
        <v>#N/A</v>
      </c>
      <c r="G288" s="683" t="e">
        <f t="shared" si="6"/>
        <v>#N/A</v>
      </c>
      <c r="H288" s="734"/>
    </row>
    <row r="289" customFormat="1" ht="37" customHeight="1" spans="1:8">
      <c r="A289" s="429">
        <v>85</v>
      </c>
      <c r="B289" s="738" t="e">
        <f t="array" ref="B289">LOOKUP(1,0/(('5.21出货明细'!V:V=$H$261)*('5.21出货明细'!A:A=A289)),'5.21出货明细'!D:D)</f>
        <v>#N/A</v>
      </c>
      <c r="C289" s="738" t="e">
        <f t="array" ref="C289">LOOKUP(1,0/(('5.21出货明细'!V:V=$H$261)*('5.21出货明细'!A:A=A289)),'5.21出货明细'!G:G&amp;'5.21出货明细'!F:F)</f>
        <v>#N/A</v>
      </c>
      <c r="D289" s="738" t="e">
        <f t="array" ref="D289">LOOKUP(1,0/(('5.21出货明细'!V:V=$H$261)*('5.21出货明细'!A:A=A289)),'5.21出货明细'!K:K)</f>
        <v>#N/A</v>
      </c>
      <c r="E289" s="680" t="e">
        <f t="array" ref="E289">LOOKUP(1,0/(('5.21出货明细'!V:V=$H$261)*('5.21出货明细'!A:A=A289)),'5.21出货明细'!J:J)</f>
        <v>#N/A</v>
      </c>
      <c r="F289" s="685" t="e">
        <f t="array" ref="F289">LOOKUP(1,0/(('5.21出货明细'!V:V=$H$261)*('5.21出货明细'!A:A=A289)),'5.21出货明细'!Z:Z)</f>
        <v>#N/A</v>
      </c>
      <c r="G289" s="683" t="e">
        <f t="shared" si="6"/>
        <v>#N/A</v>
      </c>
      <c r="H289" s="734"/>
    </row>
    <row r="290" customFormat="1" ht="37" customHeight="1" spans="1:8">
      <c r="A290" s="429">
        <v>86</v>
      </c>
      <c r="B290" s="738" t="e">
        <f t="array" ref="B290">LOOKUP(1,0/(('5.21出货明细'!V:V=$H$261)*('5.21出货明细'!A:A=A290)),'5.21出货明细'!D:D)</f>
        <v>#N/A</v>
      </c>
      <c r="C290" s="738" t="e">
        <f t="array" ref="C290">LOOKUP(1,0/(('5.21出货明细'!V:V=$H$261)*('5.21出货明细'!A:A=A290)),'5.21出货明细'!G:G&amp;'5.21出货明细'!F:F)</f>
        <v>#N/A</v>
      </c>
      <c r="D290" s="738" t="e">
        <f t="array" ref="D290">LOOKUP(1,0/(('5.21出货明细'!V:V=$H$261)*('5.21出货明细'!A:A=A290)),'5.21出货明细'!K:K)</f>
        <v>#N/A</v>
      </c>
      <c r="E290" s="680" t="e">
        <f t="array" ref="E290">LOOKUP(1,0/(('5.21出货明细'!V:V=$H$261)*('5.21出货明细'!A:A=A290)),'5.21出货明细'!J:J)</f>
        <v>#N/A</v>
      </c>
      <c r="F290" s="683" t="e">
        <f t="array" ref="F290">LOOKUP(1,0/(('5.21出货明细'!V:V=$H$261)*('5.21出货明细'!A:A=A290)),'5.21出货明细'!Z:Z)</f>
        <v>#N/A</v>
      </c>
      <c r="G290" s="683" t="e">
        <f t="shared" si="6"/>
        <v>#N/A</v>
      </c>
      <c r="H290" s="734"/>
    </row>
    <row r="291" customFormat="1" ht="37" customHeight="1" spans="1:8">
      <c r="A291" s="429">
        <v>87</v>
      </c>
      <c r="B291" s="738" t="e">
        <f t="array" ref="B291">LOOKUP(1,0/(('5.21出货明细'!V:V=$H$261)*('5.21出货明细'!A:A=A291)),'5.21出货明细'!D:D)</f>
        <v>#N/A</v>
      </c>
      <c r="C291" s="738" t="e">
        <f t="array" ref="C291">LOOKUP(1,0/(('5.21出货明细'!V:V=$H$261)*('5.21出货明细'!A:A=A291)),'5.21出货明细'!G:G&amp;'5.21出货明细'!F:F)</f>
        <v>#N/A</v>
      </c>
      <c r="D291" s="738" t="e">
        <f t="array" ref="D291">LOOKUP(1,0/(('5.21出货明细'!V:V=$H$261)*('5.21出货明细'!A:A=A291)),'5.21出货明细'!K:K)</f>
        <v>#N/A</v>
      </c>
      <c r="E291" s="680" t="e">
        <f t="array" ref="E291">LOOKUP(1,0/(('5.21出货明细'!V:V=$H$261)*('5.21出货明细'!A:A=A291)),'5.21出货明细'!J:J)</f>
        <v>#N/A</v>
      </c>
      <c r="F291" s="683" t="e">
        <f t="array" ref="F291">LOOKUP(1,0/(('5.21出货明细'!V:V=$H$261)*('5.21出货明细'!A:A=A291)),'5.21出货明细'!Z:Z)</f>
        <v>#N/A</v>
      </c>
      <c r="G291" s="683" t="e">
        <f t="shared" si="6"/>
        <v>#N/A</v>
      </c>
      <c r="H291" s="734"/>
    </row>
    <row r="292" customFormat="1" ht="37" customHeight="1" spans="1:8">
      <c r="A292" s="429">
        <v>88</v>
      </c>
      <c r="B292" s="738" t="e">
        <f t="array" ref="B292">LOOKUP(1,0/(('5.21出货明细'!V:V=$H$261)*('5.21出货明细'!A:A=A292)),'5.21出货明细'!D:D)</f>
        <v>#N/A</v>
      </c>
      <c r="C292" s="738" t="e">
        <f t="array" ref="C292">LOOKUP(1,0/(('5.21出货明细'!V:V=$H$261)*('5.21出货明细'!A:A=A292)),'5.21出货明细'!G:G&amp;'5.21出货明细'!F:F)</f>
        <v>#N/A</v>
      </c>
      <c r="D292" s="738" t="e">
        <f t="array" ref="D292">LOOKUP(1,0/(('5.21出货明细'!V:V=$H$261)*('5.21出货明细'!A:A=A292)),'5.21出货明细'!K:K)</f>
        <v>#N/A</v>
      </c>
      <c r="E292" s="680" t="e">
        <f t="array" ref="E292">LOOKUP(1,0/(('5.21出货明细'!V:V=$H$261)*('5.21出货明细'!A:A=A292)),'5.21出货明细'!J:J)</f>
        <v>#N/A</v>
      </c>
      <c r="F292" s="683" t="e">
        <f t="array" ref="F292">LOOKUP(1,0/(('5.21出货明细'!V:V=$H$261)*('5.21出货明细'!A:A=A292)),'5.21出货明细'!Z:Z)</f>
        <v>#N/A</v>
      </c>
      <c r="G292" s="683" t="e">
        <f t="shared" si="6"/>
        <v>#N/A</v>
      </c>
      <c r="H292" s="734"/>
    </row>
    <row r="293" customFormat="1" ht="37" customHeight="1" spans="1:8">
      <c r="A293" s="429">
        <v>89</v>
      </c>
      <c r="B293" s="738" t="e">
        <f t="array" ref="B293">LOOKUP(1,0/(('5.21出货明细'!V:V=$H$261)*('5.21出货明细'!A:A=A293)),'5.21出货明细'!D:D)</f>
        <v>#N/A</v>
      </c>
      <c r="C293" s="738" t="e">
        <f t="array" ref="C293">LOOKUP(1,0/(('5.21出货明细'!V:V=$H$261)*('5.21出货明细'!A:A=A293)),'5.21出货明细'!G:G&amp;'5.21出货明细'!F:F)</f>
        <v>#N/A</v>
      </c>
      <c r="D293" s="738" t="e">
        <f t="array" ref="D293">LOOKUP(1,0/(('5.21出货明细'!V:V=$H$261)*('5.21出货明细'!A:A=A293)),'5.21出货明细'!K:K)</f>
        <v>#N/A</v>
      </c>
      <c r="E293" s="680" t="e">
        <f t="array" ref="E293">LOOKUP(1,0/(('5.21出货明细'!V:V=$H$261)*('5.21出货明细'!A:A=A293)),'5.21出货明细'!J:J)</f>
        <v>#N/A</v>
      </c>
      <c r="F293" s="683" t="e">
        <f t="array" ref="F293">LOOKUP(1,0/(('5.21出货明细'!V:V=$H$261)*('5.21出货明细'!A:A=A293)),'5.21出货明细'!Z:Z)</f>
        <v>#N/A</v>
      </c>
      <c r="G293" s="683" t="e">
        <f t="shared" si="6"/>
        <v>#N/A</v>
      </c>
      <c r="H293" s="734"/>
    </row>
    <row r="294" customFormat="1" ht="37" customHeight="1" spans="1:8">
      <c r="A294" s="429">
        <v>90</v>
      </c>
      <c r="B294" s="738" t="e">
        <f t="array" ref="B294">LOOKUP(1,0/(('5.21出货明细'!V:V=$H$261)*('5.21出货明细'!A:A=A294)),'5.21出货明细'!D:D)</f>
        <v>#N/A</v>
      </c>
      <c r="C294" s="738" t="e">
        <f t="array" ref="C294">LOOKUP(1,0/(('5.21出货明细'!V:V=$H$261)*('5.21出货明细'!A:A=A294)),'5.21出货明细'!G:G&amp;'5.21出货明细'!F:F)</f>
        <v>#N/A</v>
      </c>
      <c r="D294" s="738" t="e">
        <f t="array" ref="D294">LOOKUP(1,0/(('5.21出货明细'!V:V=$H$261)*('5.21出货明细'!A:A=A294)),'5.21出货明细'!K:K)</f>
        <v>#N/A</v>
      </c>
      <c r="E294" s="680" t="e">
        <f t="array" ref="E294">LOOKUP(1,0/(('5.21出货明细'!V:V=$H$261)*('5.21出货明细'!A:A=A294)),'5.21出货明细'!J:J)</f>
        <v>#N/A</v>
      </c>
      <c r="F294" s="683" t="e">
        <f t="array" ref="F294">LOOKUP(1,0/(('5.21出货明细'!V:V=$H$261)*('5.21出货明细'!A:A=A294)),'5.21出货明细'!Z:Z)</f>
        <v>#N/A</v>
      </c>
      <c r="G294" s="683" t="e">
        <f t="shared" si="6"/>
        <v>#N/A</v>
      </c>
      <c r="H294" s="734"/>
    </row>
    <row r="295" customFormat="1" ht="37" customHeight="1" spans="1:8">
      <c r="A295" s="429">
        <v>91</v>
      </c>
      <c r="B295" s="738" t="e">
        <f t="array" ref="B295">LOOKUP(1,0/(('5.21出货明细'!V:V=$H$261)*('5.21出货明细'!A:A=A295)),'5.21出货明细'!D:D)</f>
        <v>#N/A</v>
      </c>
      <c r="C295" s="738" t="e">
        <f t="array" ref="C295">LOOKUP(1,0/(('5.21出货明细'!V:V=$H$261)*('5.21出货明细'!A:A=A295)),'5.21出货明细'!G:G&amp;'5.21出货明细'!F:F)</f>
        <v>#N/A</v>
      </c>
      <c r="D295" s="738" t="e">
        <f t="array" ref="D295">LOOKUP(1,0/(('5.21出货明细'!V:V=$H$261)*('5.21出货明细'!A:A=A295)),'5.21出货明细'!K:K)</f>
        <v>#N/A</v>
      </c>
      <c r="E295" s="680" t="e">
        <f t="array" ref="E295">LOOKUP(1,0/(('5.21出货明细'!V:V=$H$261)*('5.21出货明细'!A:A=A295)),'5.21出货明细'!J:J)</f>
        <v>#N/A</v>
      </c>
      <c r="F295" s="683" t="e">
        <f t="array" ref="F295">LOOKUP(1,0/(('5.21出货明细'!V:V=$H$261)*('5.21出货明细'!A:A=A295)),'5.21出货明细'!Z:Z)</f>
        <v>#N/A</v>
      </c>
      <c r="G295" s="683" t="e">
        <f t="shared" si="6"/>
        <v>#N/A</v>
      </c>
      <c r="H295" s="734"/>
    </row>
    <row r="296" customFormat="1" ht="37" customHeight="1" spans="1:8">
      <c r="A296" s="429">
        <v>92</v>
      </c>
      <c r="B296" s="738" t="e">
        <f t="array" ref="B296">LOOKUP(1,0/(('5.21出货明细'!V:V=$H$261)*('5.21出货明细'!A:A=A296)),'5.21出货明细'!D:D)</f>
        <v>#N/A</v>
      </c>
      <c r="C296" s="738" t="e">
        <f t="array" ref="C296">LOOKUP(1,0/(('5.21出货明细'!V:V=$H$261)*('5.21出货明细'!A:A=A296)),'5.21出货明细'!G:G&amp;'5.21出货明细'!F:F)</f>
        <v>#N/A</v>
      </c>
      <c r="D296" s="738" t="e">
        <f t="array" ref="D296">LOOKUP(1,0/(('5.21出货明细'!V:V=$H$261)*('5.21出货明细'!A:A=A296)),'5.21出货明细'!K:K)</f>
        <v>#N/A</v>
      </c>
      <c r="E296" s="680" t="e">
        <f t="array" ref="E296">LOOKUP(1,0/(('5.21出货明细'!V:V=$H$261)*('5.21出货明细'!A:A=A296)),'5.21出货明细'!J:J)</f>
        <v>#N/A</v>
      </c>
      <c r="F296" s="683" t="e">
        <f t="array" ref="F296">LOOKUP(1,0/(('5.21出货明细'!V:V=$H$261)*('5.21出货明细'!A:A=A296)),'5.21出货明细'!Z:Z)</f>
        <v>#N/A</v>
      </c>
      <c r="G296" s="683" t="e">
        <f t="shared" si="6"/>
        <v>#N/A</v>
      </c>
      <c r="H296" s="734"/>
    </row>
    <row r="297" customFormat="1" ht="28" customHeight="1" spans="1:8">
      <c r="B297" s="739"/>
      <c r="C297" s="740"/>
      <c r="D297" s="741"/>
      <c r="E297" s="740"/>
      <c r="F297" s="683"/>
      <c r="G297" s="742" t="e">
        <f>SUM(G280:G296)</f>
        <v>#N/A</v>
      </c>
      <c r="H297" s="740"/>
    </row>
    <row r="298" customFormat="1" ht="2" customHeight="1" spans="1:8">
      <c r="B298" s="705"/>
      <c r="C298" s="743"/>
      <c r="D298" s="706"/>
      <c r="E298" s="732"/>
      <c r="F298" s="744"/>
      <c r="G298" s="745"/>
      <c r="H298" s="732"/>
    </row>
    <row r="299" customFormat="1" ht="16.5" spans="1:8">
      <c r="B299" s="746" t="s">
        <v>1572</v>
      </c>
      <c r="C299" s="747" t="s">
        <v>1573</v>
      </c>
      <c r="D299" s="748"/>
      <c r="E299" s="748"/>
      <c r="F299" s="748"/>
      <c r="G299" s="749"/>
      <c r="H299" s="706"/>
    </row>
    <row r="300" customFormat="1" ht="16.5" spans="1:8">
      <c r="B300" s="750" t="s">
        <v>1574</v>
      </c>
      <c r="C300" s="751" t="s">
        <v>1595</v>
      </c>
      <c r="D300" s="751"/>
      <c r="E300" s="752"/>
      <c r="F300" s="752"/>
      <c r="G300" s="752"/>
      <c r="H300" s="743"/>
    </row>
    <row r="301" customFormat="1" ht="16.5" spans="1:8">
      <c r="B301" s="753" t="s">
        <v>1575</v>
      </c>
      <c r="C301" s="751" t="s">
        <v>1576</v>
      </c>
      <c r="D301" s="751"/>
      <c r="E301" s="751"/>
      <c r="F301" s="754"/>
      <c r="G301" s="754"/>
      <c r="H301" s="755"/>
    </row>
    <row r="302" customFormat="1" ht="33" spans="1:8">
      <c r="B302" s="750" t="s">
        <v>1577</v>
      </c>
      <c r="C302" s="751" t="s">
        <v>1578</v>
      </c>
      <c r="D302" s="754"/>
      <c r="E302" s="756" t="s">
        <v>1579</v>
      </c>
      <c r="F302" s="756"/>
      <c r="G302" s="757" t="s">
        <v>1580</v>
      </c>
      <c r="H302" s="755"/>
    </row>
    <row r="303" customFormat="1" ht="33" spans="1:8">
      <c r="B303" s="758" t="s">
        <v>1581</v>
      </c>
      <c r="C303" s="751" t="s">
        <v>1582</v>
      </c>
      <c r="D303" s="754"/>
      <c r="E303" s="754"/>
      <c r="F303" s="754"/>
      <c r="G303" s="754"/>
      <c r="H303" s="755"/>
    </row>
    <row r="304" customFormat="1" ht="16.5" spans="1:8">
      <c r="B304" s="754" t="s">
        <v>1583</v>
      </c>
      <c r="C304" s="754"/>
      <c r="D304" s="754"/>
      <c r="E304" s="754"/>
      <c r="F304" s="754"/>
      <c r="G304" s="754"/>
      <c r="H304" s="755"/>
    </row>
    <row r="305" customFormat="1" ht="16.5" spans="2:8">
      <c r="B305" s="754" t="s">
        <v>1584</v>
      </c>
      <c r="C305" s="754"/>
      <c r="D305" s="754"/>
      <c r="E305" s="754"/>
      <c r="F305" s="754"/>
      <c r="G305" s="754"/>
      <c r="H305" s="755"/>
    </row>
    <row r="306" customFormat="1" ht="2" customHeight="1" spans="2:8">
      <c r="B306" s="759"/>
      <c r="C306" s="759"/>
      <c r="D306" s="759"/>
      <c r="E306" s="759"/>
      <c r="F306" s="759"/>
      <c r="G306" s="759"/>
      <c r="H306" s="759"/>
    </row>
    <row r="307" customFormat="1" ht="31.5" spans="2:8">
      <c r="B307" s="760" t="s">
        <v>1585</v>
      </c>
      <c r="C307" s="761" t="s">
        <v>1586</v>
      </c>
      <c r="D307" s="762" t="s">
        <v>1587</v>
      </c>
      <c r="E307" s="763" t="s">
        <v>1605</v>
      </c>
      <c r="F307" s="764"/>
      <c r="G307" s="764"/>
      <c r="H307" s="764"/>
    </row>
    <row r="308" customFormat="1" ht="28.5" spans="2:8">
      <c r="B308" s="760" t="s">
        <v>1589</v>
      </c>
      <c r="C308" s="765"/>
      <c r="D308" s="766" t="s">
        <v>1590</v>
      </c>
      <c r="E308" s="766"/>
      <c r="F308" s="767"/>
      <c r="G308" s="768"/>
      <c r="H308" s="768"/>
    </row>
    <row r="309" customFormat="1" ht="15.75" spans="2:8">
      <c r="B309" s="760"/>
      <c r="C309" s="765"/>
      <c r="D309" s="766"/>
      <c r="E309" s="766"/>
      <c r="F309" s="767"/>
      <c r="G309" s="768"/>
      <c r="H309" s="768"/>
    </row>
    <row r="310" customFormat="1" ht="30" spans="2:8">
      <c r="B310" s="701" t="s">
        <v>1540</v>
      </c>
      <c r="C310" s="701"/>
      <c r="D310" s="701"/>
      <c r="E310" s="701"/>
      <c r="F310" s="701"/>
      <c r="G310" s="701"/>
      <c r="H310" s="701"/>
    </row>
    <row r="311" customFormat="1" ht="18" spans="2:8">
      <c r="B311" s="702" t="s">
        <v>1541</v>
      </c>
      <c r="C311" s="702"/>
      <c r="D311" s="702"/>
      <c r="E311" s="702"/>
      <c r="F311" s="702"/>
      <c r="G311" s="702"/>
      <c r="H311" s="702"/>
    </row>
    <row r="312" customFormat="1" ht="42" customHeight="1" spans="2:8">
      <c r="B312" s="703" t="s">
        <v>1542</v>
      </c>
      <c r="C312" s="703"/>
      <c r="D312" s="703"/>
      <c r="E312" s="703"/>
      <c r="F312" s="703"/>
      <c r="G312" s="703"/>
      <c r="H312" s="703"/>
    </row>
    <row r="313" customFormat="1" ht="18" spans="2:8">
      <c r="B313" s="704"/>
      <c r="C313" s="705"/>
      <c r="D313" s="705"/>
      <c r="E313" s="706"/>
      <c r="F313" s="707"/>
      <c r="G313" s="708"/>
      <c r="H313" s="654"/>
    </row>
    <row r="314" customFormat="1" ht="18.75" spans="2:8">
      <c r="B314" s="709" t="s">
        <v>1543</v>
      </c>
      <c r="C314" s="710" t="s">
        <v>1540</v>
      </c>
      <c r="D314" s="710"/>
      <c r="E314" s="710"/>
      <c r="F314" s="711"/>
      <c r="G314" s="712" t="s">
        <v>1544</v>
      </c>
      <c r="H314" s="642" t="s">
        <v>1608</v>
      </c>
    </row>
    <row r="315" customFormat="1" ht="18.75" spans="2:8">
      <c r="B315" s="709"/>
      <c r="C315" s="710" t="s">
        <v>1546</v>
      </c>
      <c r="D315" s="710"/>
      <c r="E315" s="710"/>
      <c r="F315" s="711"/>
      <c r="G315" s="712"/>
      <c r="H315" s="645"/>
    </row>
    <row r="316" customFormat="1" ht="18.75" spans="2:8">
      <c r="B316" s="713"/>
      <c r="C316" s="654" t="s">
        <v>1547</v>
      </c>
      <c r="D316" s="714"/>
      <c r="E316" s="710"/>
      <c r="F316" s="711"/>
      <c r="G316" s="715"/>
      <c r="H316" s="716"/>
    </row>
    <row r="317" customFormat="1" ht="18.75" spans="2:8">
      <c r="B317" s="654"/>
      <c r="C317" s="640" t="s">
        <v>1548</v>
      </c>
      <c r="D317" s="640"/>
      <c r="E317" s="640"/>
      <c r="F317" s="640"/>
      <c r="G317" s="717"/>
      <c r="H317" s="718"/>
    </row>
    <row r="318" customFormat="1" ht="18.75" spans="2:8">
      <c r="B318" s="711"/>
      <c r="C318" s="640"/>
      <c r="D318" s="640"/>
      <c r="E318" s="640"/>
      <c r="F318" s="640"/>
      <c r="G318" s="719" t="s">
        <v>1549</v>
      </c>
      <c r="H318" s="720" t="str">
        <f>H68</f>
        <v>DONGGUAN</v>
      </c>
    </row>
    <row r="319" customFormat="1" ht="35" customHeight="1" spans="2:8">
      <c r="B319" s="709"/>
      <c r="C319" s="640"/>
      <c r="D319" s="640"/>
      <c r="E319" s="640"/>
      <c r="F319" s="640"/>
      <c r="G319" s="719"/>
      <c r="H319" s="721"/>
    </row>
    <row r="320" customFormat="1" ht="18.75" spans="2:8">
      <c r="B320" s="652" t="s">
        <v>1550</v>
      </c>
      <c r="C320" s="654" t="s">
        <v>124</v>
      </c>
      <c r="D320" s="654"/>
      <c r="E320" s="654"/>
      <c r="F320" s="711"/>
      <c r="G320" s="722"/>
      <c r="H320" s="716"/>
    </row>
    <row r="321" customFormat="1" ht="18.75" spans="1:8">
      <c r="B321" s="652"/>
      <c r="C321" s="653" t="s">
        <v>1602</v>
      </c>
      <c r="D321" s="653"/>
      <c r="E321" s="653"/>
      <c r="F321" s="711"/>
      <c r="G321" s="722"/>
      <c r="H321" s="716"/>
    </row>
    <row r="322" customFormat="1" ht="41" customHeight="1" spans="1:8">
      <c r="B322" s="654"/>
      <c r="C322" s="637" t="s">
        <v>1603</v>
      </c>
      <c r="D322" s="637"/>
      <c r="E322" s="637"/>
      <c r="F322" s="637"/>
      <c r="G322" s="719" t="s">
        <v>1555</v>
      </c>
      <c r="H322" s="642" t="s">
        <v>1604</v>
      </c>
    </row>
    <row r="323" customFormat="1" ht="28" customHeight="1" spans="1:8">
      <c r="B323" s="723"/>
      <c r="C323" s="637"/>
      <c r="D323" s="637"/>
      <c r="E323" s="637"/>
      <c r="F323" s="637"/>
      <c r="G323" s="719"/>
      <c r="H323" s="724"/>
    </row>
    <row r="324" customFormat="1" ht="18" spans="1:8">
      <c r="B324" s="725" t="s">
        <v>1557</v>
      </c>
      <c r="C324" s="654" t="s">
        <v>1558</v>
      </c>
      <c r="D324" s="654"/>
      <c r="E324" s="654"/>
      <c r="F324" s="726"/>
      <c r="G324" s="727"/>
      <c r="H324" s="706"/>
    </row>
    <row r="325" customFormat="1" ht="40" customHeight="1" spans="1:8">
      <c r="B325" s="725"/>
      <c r="C325" s="637" t="s">
        <v>1559</v>
      </c>
      <c r="D325" s="637"/>
      <c r="E325" s="637"/>
      <c r="F325" s="637"/>
      <c r="G325" s="727"/>
      <c r="H325" s="706"/>
    </row>
    <row r="326" customFormat="1" ht="18" spans="1:8">
      <c r="B326" s="725"/>
      <c r="C326" s="654" t="s">
        <v>1560</v>
      </c>
      <c r="D326" s="654"/>
      <c r="E326" s="654"/>
      <c r="F326" s="726"/>
      <c r="G326" s="727"/>
      <c r="H326" s="706"/>
    </row>
    <row r="327" customFormat="1" ht="18" spans="1:8">
      <c r="B327" s="725"/>
      <c r="C327" s="654" t="s">
        <v>1561</v>
      </c>
      <c r="D327" s="654"/>
      <c r="E327" s="654"/>
      <c r="F327" s="726"/>
      <c r="G327" s="706"/>
      <c r="H327" s="706"/>
    </row>
    <row r="328" customFormat="1" ht="15.75" spans="1:8">
      <c r="B328" s="728" t="s">
        <v>1562</v>
      </c>
      <c r="C328" s="729"/>
      <c r="D328" s="729"/>
      <c r="E328" s="729"/>
      <c r="F328" s="704"/>
      <c r="G328" s="706"/>
      <c r="H328" s="706"/>
    </row>
    <row r="329" customFormat="1" ht="15" spans="1:8">
      <c r="B329" s="730" t="s">
        <v>1563</v>
      </c>
      <c r="C329" s="730"/>
      <c r="D329" s="730"/>
      <c r="E329" s="730"/>
      <c r="F329" s="730"/>
      <c r="G329" s="730"/>
      <c r="H329" s="730"/>
    </row>
    <row r="330" customFormat="1" ht="2" customHeight="1" spans="1:8">
      <c r="B330" s="731"/>
      <c r="C330" s="732"/>
      <c r="D330" s="733"/>
      <c r="E330" s="732"/>
      <c r="F330" s="732"/>
      <c r="G330" s="732"/>
      <c r="H330" s="706"/>
    </row>
    <row r="331" customFormat="1" ht="36" spans="1:8">
      <c r="B331" s="734" t="s">
        <v>1564</v>
      </c>
      <c r="C331" s="734" t="s">
        <v>1565</v>
      </c>
      <c r="D331" s="734" t="s">
        <v>1566</v>
      </c>
      <c r="E331" s="735" t="s">
        <v>1567</v>
      </c>
      <c r="F331" s="736" t="s">
        <v>1568</v>
      </c>
      <c r="G331" s="734" t="s">
        <v>1569</v>
      </c>
      <c r="H331" s="734" t="s">
        <v>1570</v>
      </c>
    </row>
    <row r="332" customFormat="1" ht="18" spans="1:8">
      <c r="B332" s="734"/>
      <c r="C332" s="734"/>
      <c r="D332" s="734"/>
      <c r="E332" s="735"/>
      <c r="F332" s="737" t="s">
        <v>1595</v>
      </c>
      <c r="G332" s="737"/>
      <c r="H332" s="734"/>
    </row>
    <row r="333" customFormat="1" ht="37" customHeight="1" spans="1:8">
      <c r="A333" s="429">
        <v>93</v>
      </c>
      <c r="B333" s="738" t="e">
        <f t="array" ref="B333">LOOKUP(1,0/(('5.21出货明细'!V:V=$H$314)*('5.21出货明细'!A:A=A333)),'5.21出货明细'!D:D)</f>
        <v>#N/A</v>
      </c>
      <c r="C333" s="738" t="e">
        <f t="array" ref="C333">LOOKUP(1,0/(('5.21出货明细'!V:V=$H$314)*('5.21出货明细'!A:A=A333)),'5.21出货明细'!G:G&amp;'5.21出货明细'!F:F)</f>
        <v>#N/A</v>
      </c>
      <c r="D333" s="738" t="e">
        <f t="array" ref="D333">LOOKUP(1,0/(('5.21出货明细'!V:V=$H$314)*('5.21出货明细'!A:A=A333)),'5.21出货明细'!K:K)</f>
        <v>#N/A</v>
      </c>
      <c r="E333" s="680" t="e">
        <f t="array" ref="E333">LOOKUP(1,0/(('5.21出货明细'!V:V=$H$314)*('5.21出货明细'!A:A=A333)),'5.21出货明细'!J:J)</f>
        <v>#N/A</v>
      </c>
      <c r="F333" s="683" t="e">
        <f t="array" ref="F333">LOOKUP(1,0/(('5.21出货明细'!V:V=$H$314)*('5.21出货明细'!A:A=A333)),'5.21出货明细'!Z:Z)</f>
        <v>#N/A</v>
      </c>
      <c r="G333" s="683" t="e">
        <f>F333*D333</f>
        <v>#N/A</v>
      </c>
      <c r="H333" s="734"/>
    </row>
    <row r="334" customFormat="1" ht="37" customHeight="1" spans="1:8">
      <c r="A334" s="429">
        <v>94</v>
      </c>
      <c r="B334" s="738" t="e">
        <f t="array" ref="B334">LOOKUP(1,0/(('5.21出货明细'!V:V=$H$314)*('5.21出货明细'!A:A=A334)),'5.21出货明细'!D:D)</f>
        <v>#N/A</v>
      </c>
      <c r="C334" s="738" t="e">
        <f t="array" ref="C334">LOOKUP(1,0/(('5.21出货明细'!V:V=$H$314)*('5.21出货明细'!A:A=A334)),'5.21出货明细'!G:G&amp;'5.21出货明细'!F:F)</f>
        <v>#N/A</v>
      </c>
      <c r="D334" s="738" t="e">
        <f t="array" ref="D334">LOOKUP(1,0/(('5.21出货明细'!V:V=$H$314)*('5.21出货明细'!A:A=A334)),'5.21出货明细'!K:K)</f>
        <v>#N/A</v>
      </c>
      <c r="E334" s="680" t="e">
        <f t="array" ref="E334">LOOKUP(1,0/(('5.21出货明细'!V:V=$H$314)*('5.21出货明细'!A:A=A334)),'5.21出货明细'!J:J)</f>
        <v>#N/A</v>
      </c>
      <c r="F334" s="683" t="e">
        <f t="array" ref="F334">LOOKUP(1,0/(('5.21出货明细'!V:V=$H$314)*('5.21出货明细'!A:A=A334)),'5.21出货明细'!Z:Z)</f>
        <v>#N/A</v>
      </c>
      <c r="G334" s="683" t="e">
        <f t="shared" ref="G334:G349" si="7">F334*D334</f>
        <v>#N/A</v>
      </c>
      <c r="H334" s="734"/>
    </row>
    <row r="335" customFormat="1" ht="37" customHeight="1" spans="1:8">
      <c r="A335" s="429">
        <v>95</v>
      </c>
      <c r="B335" s="738" t="e">
        <f t="array" ref="B335">LOOKUP(1,0/(('5.21出货明细'!V:V=$H$314)*('5.21出货明细'!A:A=A335)),'5.21出货明细'!D:D)</f>
        <v>#N/A</v>
      </c>
      <c r="C335" s="738" t="e">
        <f t="array" ref="C335">LOOKUP(1,0/(('5.21出货明细'!V:V=$H$314)*('5.21出货明细'!A:A=A335)),'5.21出货明细'!G:G&amp;'5.21出货明细'!F:F)</f>
        <v>#N/A</v>
      </c>
      <c r="D335" s="738" t="e">
        <f t="array" ref="D335">LOOKUP(1,0/(('5.21出货明细'!V:V=$H$314)*('5.21出货明细'!A:A=A335)),'5.21出货明细'!K:K)</f>
        <v>#N/A</v>
      </c>
      <c r="E335" s="680" t="e">
        <f t="array" ref="E335">LOOKUP(1,0/(('5.21出货明细'!V:V=$H$314)*('5.21出货明细'!A:A=A335)),'5.21出货明细'!J:J)</f>
        <v>#N/A</v>
      </c>
      <c r="F335" s="683" t="e">
        <f t="array" ref="F335">LOOKUP(1,0/(('5.21出货明细'!V:V=$H$314)*('5.21出货明细'!A:A=A335)),'5.21出货明细'!Z:Z)</f>
        <v>#N/A</v>
      </c>
      <c r="G335" s="683" t="e">
        <f t="shared" si="7"/>
        <v>#N/A</v>
      </c>
      <c r="H335" s="734"/>
    </row>
    <row r="336" customFormat="1" ht="37" customHeight="1" spans="1:8">
      <c r="A336" s="429">
        <v>96</v>
      </c>
      <c r="B336" s="738" t="e">
        <f t="array" ref="B336">LOOKUP(1,0/(('5.21出货明细'!V:V=$H$314)*('5.21出货明细'!A:A=A336)),'5.21出货明细'!D:D)</f>
        <v>#N/A</v>
      </c>
      <c r="C336" s="738" t="e">
        <f t="array" ref="C336">LOOKUP(1,0/(('5.21出货明细'!V:V=$H$314)*('5.21出货明细'!A:A=A336)),'5.21出货明细'!G:G&amp;'5.21出货明细'!F:F)</f>
        <v>#N/A</v>
      </c>
      <c r="D336" s="738" t="e">
        <f t="array" ref="D336">LOOKUP(1,0/(('5.21出货明细'!V:V=$H$314)*('5.21出货明细'!A:A=A336)),'5.21出货明细'!K:K)</f>
        <v>#N/A</v>
      </c>
      <c r="E336" s="680" t="e">
        <f t="array" ref="E336">LOOKUP(1,0/(('5.21出货明细'!V:V=$H$314)*('5.21出货明细'!A:A=A336)),'5.21出货明细'!J:J)</f>
        <v>#N/A</v>
      </c>
      <c r="F336" s="683" t="e">
        <f t="array" ref="F336">LOOKUP(1,0/(('5.21出货明细'!V:V=$H$314)*('5.21出货明细'!A:A=A336)),'5.21出货明细'!Z:Z)</f>
        <v>#N/A</v>
      </c>
      <c r="G336" s="683" t="e">
        <f t="shared" si="7"/>
        <v>#N/A</v>
      </c>
      <c r="H336" s="734"/>
    </row>
    <row r="337" customFormat="1" ht="37" customHeight="1" spans="1:8">
      <c r="A337" s="429">
        <v>97</v>
      </c>
      <c r="B337" s="738" t="e">
        <f t="array" ref="B337">LOOKUP(1,0/(('5.21出货明细'!V:V=$H$314)*('5.21出货明细'!A:A=A337)),'5.21出货明细'!D:D)</f>
        <v>#N/A</v>
      </c>
      <c r="C337" s="738" t="e">
        <f t="array" ref="C337">LOOKUP(1,0/(('5.21出货明细'!V:V=$H$314)*('5.21出货明细'!A:A=A337)),'5.21出货明细'!G:G&amp;'5.21出货明细'!F:F)</f>
        <v>#N/A</v>
      </c>
      <c r="D337" s="738" t="e">
        <f t="array" ref="D337">LOOKUP(1,0/(('5.21出货明细'!V:V=$H$314)*('5.21出货明细'!A:A=A337)),'5.21出货明细'!K:K)</f>
        <v>#N/A</v>
      </c>
      <c r="E337" s="680" t="e">
        <f t="array" ref="E337">LOOKUP(1,0/(('5.21出货明细'!V:V=$H$314)*('5.21出货明细'!A:A=A337)),'5.21出货明细'!J:J)</f>
        <v>#N/A</v>
      </c>
      <c r="F337" s="683" t="e">
        <f t="array" ref="F337">LOOKUP(1,0/(('5.21出货明细'!V:V=$H$314)*('5.21出货明细'!A:A=A337)),'5.21出货明细'!Z:Z)</f>
        <v>#N/A</v>
      </c>
      <c r="G337" s="683" t="e">
        <f t="shared" si="7"/>
        <v>#N/A</v>
      </c>
      <c r="H337" s="734"/>
    </row>
    <row r="338" customFormat="1" ht="37" customHeight="1" spans="1:8">
      <c r="A338" s="429">
        <v>98</v>
      </c>
      <c r="B338" s="738" t="e">
        <f t="array" ref="B338">LOOKUP(1,0/(('5.21出货明细'!V:V=$H$314)*('5.21出货明细'!A:A=A338)),'5.21出货明细'!D:D)</f>
        <v>#N/A</v>
      </c>
      <c r="C338" s="738" t="e">
        <f t="array" ref="C338">LOOKUP(1,0/(('5.21出货明细'!V:V=$H$314)*('5.21出货明细'!A:A=A338)),'5.21出货明细'!G:G&amp;'5.21出货明细'!F:F)</f>
        <v>#N/A</v>
      </c>
      <c r="D338" s="738" t="e">
        <f t="array" ref="D338">LOOKUP(1,0/(('5.21出货明细'!V:V=$H$314)*('5.21出货明细'!A:A=A338)),'5.21出货明细'!K:K)</f>
        <v>#N/A</v>
      </c>
      <c r="E338" s="680" t="e">
        <f t="array" ref="E338">LOOKUP(1,0/(('5.21出货明细'!V:V=$H$314)*('5.21出货明细'!A:A=A338)),'5.21出货明细'!J:J)</f>
        <v>#N/A</v>
      </c>
      <c r="F338" s="683" t="e">
        <f t="array" ref="F338">LOOKUP(1,0/(('5.21出货明细'!V:V=$H$314)*('5.21出货明细'!A:A=A338)),'5.21出货明细'!Z:Z)</f>
        <v>#N/A</v>
      </c>
      <c r="G338" s="683" t="e">
        <f t="shared" si="7"/>
        <v>#N/A</v>
      </c>
      <c r="H338" s="734"/>
    </row>
    <row r="339" customFormat="1" ht="37" customHeight="1" spans="1:8">
      <c r="A339" s="429">
        <v>99</v>
      </c>
      <c r="B339" s="738" t="e">
        <f t="array" ref="B339">LOOKUP(1,0/(('5.21出货明细'!V:V=$H$314)*('5.21出货明细'!A:A=A339)),'5.21出货明细'!D:D)</f>
        <v>#N/A</v>
      </c>
      <c r="C339" s="738" t="e">
        <f t="array" ref="C339">LOOKUP(1,0/(('5.21出货明细'!V:V=$H$314)*('5.21出货明细'!A:A=A339)),'5.21出货明细'!G:G&amp;'5.21出货明细'!F:F)</f>
        <v>#N/A</v>
      </c>
      <c r="D339" s="738" t="e">
        <f t="array" ref="D339">LOOKUP(1,0/(('5.21出货明细'!V:V=$H$314)*('5.21出货明细'!A:A=A339)),'5.21出货明细'!K:K)</f>
        <v>#N/A</v>
      </c>
      <c r="E339" s="680" t="e">
        <f t="array" ref="E339">LOOKUP(1,0/(('5.21出货明细'!V:V=$H$314)*('5.21出货明细'!A:A=A339)),'5.21出货明细'!J:J)</f>
        <v>#N/A</v>
      </c>
      <c r="F339" s="683" t="e">
        <f t="array" ref="F339">LOOKUP(1,0/(('5.21出货明细'!V:V=$H$314)*('5.21出货明细'!A:A=A339)),'5.21出货明细'!Z:Z)</f>
        <v>#N/A</v>
      </c>
      <c r="G339" s="683" t="e">
        <f t="shared" si="7"/>
        <v>#N/A</v>
      </c>
      <c r="H339" s="734"/>
    </row>
    <row r="340" customFormat="1" ht="37" customHeight="1" spans="1:8">
      <c r="A340" s="429">
        <v>100</v>
      </c>
      <c r="B340" s="738" t="e">
        <f t="array" ref="B340">LOOKUP(1,0/(('5.21出货明细'!V:V=$H$314)*('5.21出货明细'!A:A=A340)),'5.21出货明细'!D:D)</f>
        <v>#N/A</v>
      </c>
      <c r="C340" s="738" t="e">
        <f t="array" ref="C340">LOOKUP(1,0/(('5.21出货明细'!V:V=$H$314)*('5.21出货明细'!A:A=A340)),'5.21出货明细'!G:G&amp;'5.21出货明细'!F:F)</f>
        <v>#N/A</v>
      </c>
      <c r="D340" s="738" t="e">
        <f t="array" ref="D340">LOOKUP(1,0/(('5.21出货明细'!V:V=$H$314)*('5.21出货明细'!A:A=A340)),'5.21出货明细'!K:K)</f>
        <v>#N/A</v>
      </c>
      <c r="E340" s="680" t="e">
        <f t="array" ref="E340">LOOKUP(1,0/(('5.21出货明细'!V:V=$H$314)*('5.21出货明细'!A:A=A340)),'5.21出货明细'!J:J)</f>
        <v>#N/A</v>
      </c>
      <c r="F340" s="683" t="e">
        <f t="array" ref="F340">LOOKUP(1,0/(('5.21出货明细'!V:V=$H$314)*('5.21出货明细'!A:A=A340)),'5.21出货明细'!Z:Z)</f>
        <v>#N/A</v>
      </c>
      <c r="G340" s="683" t="e">
        <f t="shared" si="7"/>
        <v>#N/A</v>
      </c>
      <c r="H340" s="734"/>
    </row>
    <row r="341" customFormat="1" ht="37" customHeight="1" spans="1:8">
      <c r="A341" s="429">
        <v>101</v>
      </c>
      <c r="B341" s="738" t="e">
        <f t="array" ref="B341">LOOKUP(1,0/(('5.21出货明细'!V:V=$H$314)*('5.21出货明细'!A:A=A341)),'5.21出货明细'!D:D)</f>
        <v>#N/A</v>
      </c>
      <c r="C341" s="738" t="e">
        <f t="array" ref="C341">LOOKUP(1,0/(('5.21出货明细'!V:V=$H$314)*('5.21出货明细'!A:A=A341)),'5.21出货明细'!G:G&amp;'5.21出货明细'!F:F)</f>
        <v>#N/A</v>
      </c>
      <c r="D341" s="738" t="e">
        <f t="array" ref="D341">LOOKUP(1,0/(('5.21出货明细'!V:V=$H$314)*('5.21出货明细'!A:A=A341)),'5.21出货明细'!K:K)</f>
        <v>#N/A</v>
      </c>
      <c r="E341" s="680" t="e">
        <f t="array" ref="E341">LOOKUP(1,0/(('5.21出货明细'!V:V=$H$314)*('5.21出货明细'!A:A=A341)),'5.21出货明细'!J:J)</f>
        <v>#N/A</v>
      </c>
      <c r="F341" s="683" t="e">
        <f t="array" ref="F341">LOOKUP(1,0/(('5.21出货明细'!V:V=$H$314)*('5.21出货明细'!A:A=A341)),'5.21出货明细'!Z:Z)</f>
        <v>#N/A</v>
      </c>
      <c r="G341" s="683" t="e">
        <f t="shared" si="7"/>
        <v>#N/A</v>
      </c>
      <c r="H341" s="734"/>
    </row>
    <row r="342" customFormat="1" ht="37" customHeight="1" spans="1:8">
      <c r="A342" s="429">
        <v>102</v>
      </c>
      <c r="B342" s="738" t="e">
        <f t="array" ref="B342">LOOKUP(1,0/(('5.21出货明细'!V:V=$H$314)*('5.21出货明细'!A:A=A342)),'5.21出货明细'!D:D)</f>
        <v>#N/A</v>
      </c>
      <c r="C342" s="738" t="e">
        <f t="array" ref="C342">LOOKUP(1,0/(('5.21出货明细'!V:V=$H$314)*('5.21出货明细'!A:A=A342)),'5.21出货明细'!G:G&amp;'5.21出货明细'!F:F)</f>
        <v>#N/A</v>
      </c>
      <c r="D342" s="738" t="e">
        <f t="array" ref="D342">LOOKUP(1,0/(('5.21出货明细'!V:V=$H$314)*('5.21出货明细'!A:A=A342)),'5.21出货明细'!K:K)</f>
        <v>#N/A</v>
      </c>
      <c r="E342" s="680" t="e">
        <f t="array" ref="E342">LOOKUP(1,0/(('5.21出货明细'!V:V=$H$314)*('5.21出货明细'!A:A=A342)),'5.21出货明细'!J:J)</f>
        <v>#N/A</v>
      </c>
      <c r="F342" s="683" t="e">
        <f t="array" ref="F342">LOOKUP(1,0/(('5.21出货明细'!V:V=$H$314)*('5.21出货明细'!A:A=A342)),'5.21出货明细'!Z:Z)</f>
        <v>#N/A</v>
      </c>
      <c r="G342" s="683" t="e">
        <f t="shared" si="7"/>
        <v>#N/A</v>
      </c>
      <c r="H342" s="734"/>
    </row>
    <row r="343" customFormat="1" ht="37" customHeight="1" spans="1:8">
      <c r="A343" s="429">
        <v>103</v>
      </c>
      <c r="B343" s="738" t="e">
        <f t="array" ref="B343">LOOKUP(1,0/(('5.21出货明细'!V:V=$H$314)*('5.21出货明细'!A:A=A343)),'5.21出货明细'!D:D)</f>
        <v>#N/A</v>
      </c>
      <c r="C343" s="738" t="e">
        <f t="array" ref="C343">LOOKUP(1,0/(('5.21出货明细'!V:V=$H$314)*('5.21出货明细'!A:A=A343)),'5.21出货明细'!G:G&amp;'5.21出货明细'!F:F)</f>
        <v>#N/A</v>
      </c>
      <c r="D343" s="738" t="e">
        <f t="array" ref="D343">LOOKUP(1,0/(('5.21出货明细'!V:V=$H$314)*('5.21出货明细'!A:A=A343)),'5.21出货明细'!K:K)</f>
        <v>#N/A</v>
      </c>
      <c r="E343" s="680" t="e">
        <f t="array" ref="E343">LOOKUP(1,0/(('5.21出货明细'!V:V=$H$314)*('5.21出货明细'!A:A=A343)),'5.21出货明细'!J:J)</f>
        <v>#N/A</v>
      </c>
      <c r="F343" s="683" t="e">
        <f t="array" ref="F343">LOOKUP(1,0/(('5.21出货明细'!V:V=$H$314)*('5.21出货明细'!A:A=A343)),'5.21出货明细'!Z:Z)</f>
        <v>#N/A</v>
      </c>
      <c r="G343" s="683" t="e">
        <f t="shared" si="7"/>
        <v>#N/A</v>
      </c>
      <c r="H343" s="734"/>
    </row>
    <row r="344" customFormat="1" ht="37" customHeight="1" spans="1:8">
      <c r="A344" s="429">
        <v>104</v>
      </c>
      <c r="B344" s="738" t="e">
        <f t="array" ref="B344">LOOKUP(1,0/(('5.21出货明细'!V:V=$H$314)*('5.21出货明细'!A:A=A344)),'5.21出货明细'!D:D)</f>
        <v>#N/A</v>
      </c>
      <c r="C344" s="738" t="e">
        <f t="array" ref="C344">LOOKUP(1,0/(('5.21出货明细'!V:V=$H$314)*('5.21出货明细'!A:A=A344)),'5.21出货明细'!G:G&amp;'5.21出货明细'!F:F)</f>
        <v>#N/A</v>
      </c>
      <c r="D344" s="738" t="e">
        <f t="array" ref="D344">LOOKUP(1,0/(('5.21出货明细'!V:V=$H$314)*('5.21出货明细'!A:A=A344)),'5.21出货明细'!K:K)</f>
        <v>#N/A</v>
      </c>
      <c r="E344" s="680" t="e">
        <f t="array" ref="E344">LOOKUP(1,0/(('5.21出货明细'!V:V=$H$314)*('5.21出货明细'!A:A=A344)),'5.21出货明细'!J:J)</f>
        <v>#N/A</v>
      </c>
      <c r="F344" s="683" t="e">
        <f t="array" ref="F344">LOOKUP(1,0/(('5.21出货明细'!V:V=$H$314)*('5.21出货明细'!A:A=A344)),'5.21出货明细'!Z:Z)</f>
        <v>#N/A</v>
      </c>
      <c r="G344" s="683" t="e">
        <f t="shared" si="7"/>
        <v>#N/A</v>
      </c>
      <c r="H344" s="734"/>
    </row>
    <row r="345" customFormat="1" ht="37" customHeight="1" spans="1:8">
      <c r="A345" s="429">
        <v>105</v>
      </c>
      <c r="B345" s="738" t="e">
        <f t="array" ref="B345">LOOKUP(1,0/(('5.21出货明细'!V:V=$H$314)*('5.21出货明细'!A:A=A345)),'5.21出货明细'!D:D)</f>
        <v>#N/A</v>
      </c>
      <c r="C345" s="738" t="e">
        <f t="array" ref="C345">LOOKUP(1,0/(('5.21出货明细'!V:V=$H$314)*('5.21出货明细'!A:A=A345)),'5.21出货明细'!G:G&amp;'5.21出货明细'!F:F)</f>
        <v>#N/A</v>
      </c>
      <c r="D345" s="738" t="e">
        <f t="array" ref="D345">LOOKUP(1,0/(('5.21出货明细'!V:V=$H$314)*('5.21出货明细'!A:A=A345)),'5.21出货明细'!K:K)</f>
        <v>#N/A</v>
      </c>
      <c r="E345" s="680" t="e">
        <f t="array" ref="E345">LOOKUP(1,0/(('5.21出货明细'!V:V=$H$314)*('5.21出货明细'!A:A=A345)),'5.21出货明细'!J:J)</f>
        <v>#N/A</v>
      </c>
      <c r="F345" s="683" t="e">
        <f t="array" ref="F345">LOOKUP(1,0/(('5.21出货明细'!V:V=$H$314)*('5.21出货明细'!A:A=A345)),'5.21出货明细'!Z:Z)</f>
        <v>#N/A</v>
      </c>
      <c r="G345" s="683" t="e">
        <f t="shared" si="7"/>
        <v>#N/A</v>
      </c>
      <c r="H345" s="734"/>
    </row>
    <row r="346" customFormat="1" ht="37" customHeight="1" spans="1:8">
      <c r="A346" s="429">
        <v>106</v>
      </c>
      <c r="B346" s="738" t="e">
        <f t="array" ref="B346">LOOKUP(1,0/(('5.21出货明细'!V:V=$H$314)*('5.21出货明细'!A:A=A346)),'5.21出货明细'!D:D)</f>
        <v>#N/A</v>
      </c>
      <c r="C346" s="738" t="e">
        <f t="array" ref="C346">LOOKUP(1,0/(('5.21出货明细'!V:V=$H$314)*('5.21出货明细'!A:A=A346)),'5.21出货明细'!G:G&amp;'5.21出货明细'!F:F)</f>
        <v>#N/A</v>
      </c>
      <c r="D346" s="738" t="e">
        <f t="array" ref="D346">LOOKUP(1,0/(('5.21出货明细'!V:V=$H$314)*('5.21出货明细'!A:A=A346)),'5.21出货明细'!K:K)</f>
        <v>#N/A</v>
      </c>
      <c r="E346" s="680" t="e">
        <f t="array" ref="E346">LOOKUP(1,0/(('5.21出货明细'!V:V=$H$314)*('5.21出货明细'!A:A=A346)),'5.21出货明细'!J:J)</f>
        <v>#N/A</v>
      </c>
      <c r="F346" s="683" t="e">
        <f t="array" ref="F346">LOOKUP(1,0/(('5.21出货明细'!V:V=$H$314)*('5.21出货明细'!A:A=A346)),'5.21出货明细'!Z:Z)</f>
        <v>#N/A</v>
      </c>
      <c r="G346" s="683" t="e">
        <f t="shared" si="7"/>
        <v>#N/A</v>
      </c>
      <c r="H346" s="734"/>
    </row>
    <row r="347" customFormat="1" ht="37" customHeight="1" spans="1:8">
      <c r="A347" s="429">
        <v>107</v>
      </c>
      <c r="B347" s="738" t="e">
        <f t="array" ref="B347">LOOKUP(1,0/(('5.21出货明细'!V:V=$H$314)*('5.21出货明细'!A:A=A347)),'5.21出货明细'!D:D)</f>
        <v>#N/A</v>
      </c>
      <c r="C347" s="738" t="e">
        <f t="array" ref="C347">LOOKUP(1,0/(('5.21出货明细'!V:V=$H$314)*('5.21出货明细'!A:A=A347)),'5.21出货明细'!G:G&amp;'5.21出货明细'!F:F)</f>
        <v>#N/A</v>
      </c>
      <c r="D347" s="738" t="e">
        <f t="array" ref="D347">LOOKUP(1,0/(('5.21出货明细'!V:V=$H$314)*('5.21出货明细'!A:A=A347)),'5.21出货明细'!K:K)</f>
        <v>#N/A</v>
      </c>
      <c r="E347" s="680" t="e">
        <f t="array" ref="E347">LOOKUP(1,0/(('5.21出货明细'!V:V=$H$314)*('5.21出货明细'!A:A=A347)),'5.21出货明细'!J:J)</f>
        <v>#N/A</v>
      </c>
      <c r="F347" s="683" t="e">
        <f t="array" ref="F347">LOOKUP(1,0/(('5.21出货明细'!V:V=$H$314)*('5.21出货明细'!A:A=A347)),'5.21出货明细'!Z:Z)</f>
        <v>#N/A</v>
      </c>
      <c r="G347" s="683" t="e">
        <f t="shared" si="7"/>
        <v>#N/A</v>
      </c>
      <c r="H347" s="734"/>
    </row>
    <row r="348" customFormat="1" ht="37" customHeight="1" spans="1:8">
      <c r="A348" s="429">
        <v>108</v>
      </c>
      <c r="B348" s="738" t="e">
        <f t="array" ref="B348">LOOKUP(1,0/(('5.21出货明细'!V:V=$H$314)*('5.21出货明细'!A:A=A348)),'5.21出货明细'!D:D)</f>
        <v>#N/A</v>
      </c>
      <c r="C348" s="738" t="e">
        <f t="array" ref="C348">LOOKUP(1,0/(('5.21出货明细'!V:V=$H$314)*('5.21出货明细'!A:A=A348)),'5.21出货明细'!G:G&amp;'5.21出货明细'!F:F)</f>
        <v>#N/A</v>
      </c>
      <c r="D348" s="738" t="e">
        <f t="array" ref="D348">LOOKUP(1,0/(('5.21出货明细'!V:V=$H$314)*('5.21出货明细'!A:A=A348)),'5.21出货明细'!K:K)</f>
        <v>#N/A</v>
      </c>
      <c r="E348" s="680" t="e">
        <f t="array" ref="E348">LOOKUP(1,0/(('5.21出货明细'!V:V=$H$314)*('5.21出货明细'!A:A=A348)),'5.21出货明细'!J:J)</f>
        <v>#N/A</v>
      </c>
      <c r="F348" s="683" t="e">
        <f t="array" ref="F348">LOOKUP(1,0/(('5.21出货明细'!V:V=$H$314)*('5.21出货明细'!A:A=A348)),'5.21出货明细'!Z:Z)</f>
        <v>#N/A</v>
      </c>
      <c r="G348" s="683" t="e">
        <f t="shared" si="7"/>
        <v>#N/A</v>
      </c>
      <c r="H348" s="734"/>
    </row>
    <row r="349" customFormat="1" ht="37" customHeight="1" spans="1:8">
      <c r="A349" s="429">
        <v>109</v>
      </c>
      <c r="B349" s="738" t="e">
        <f t="array" ref="B349">LOOKUP(1,0/(('5.21出货明细'!V:V=$H$314)*('5.21出货明细'!A:A=A349)),'5.21出货明细'!D:D)</f>
        <v>#N/A</v>
      </c>
      <c r="C349" s="738" t="e">
        <f t="array" ref="C349">LOOKUP(1,0/(('5.21出货明细'!V:V=$H$314)*('5.21出货明细'!A:A=A349)),'5.21出货明细'!G:G&amp;'5.21出货明细'!F:F)</f>
        <v>#N/A</v>
      </c>
      <c r="D349" s="738" t="e">
        <f t="array" ref="D349">LOOKUP(1,0/(('5.21出货明细'!V:V=$H$314)*('5.21出货明细'!A:A=A349)),'5.21出货明细'!K:K)</f>
        <v>#N/A</v>
      </c>
      <c r="E349" s="680" t="e">
        <f t="array" ref="E349">LOOKUP(1,0/(('5.21出货明细'!V:V=$H$314)*('5.21出货明细'!A:A=A349)),'5.21出货明细'!J:J)</f>
        <v>#N/A</v>
      </c>
      <c r="F349" s="683" t="e">
        <f t="array" ref="F349">LOOKUP(1,0/(('5.21出货明细'!V:V=$H$314)*('5.21出货明细'!A:A=A349)),'5.21出货明细'!Z:Z)</f>
        <v>#N/A</v>
      </c>
      <c r="G349" s="683" t="e">
        <f t="shared" si="7"/>
        <v>#N/A</v>
      </c>
      <c r="H349" s="734"/>
    </row>
    <row r="350" customFormat="1" ht="28" customHeight="1" spans="1:8">
      <c r="B350" s="739"/>
      <c r="C350" s="740"/>
      <c r="D350" s="741"/>
      <c r="E350" s="740"/>
      <c r="F350" s="683"/>
      <c r="G350" s="742" t="e">
        <f>SUM(G333:G349)</f>
        <v>#N/A</v>
      </c>
      <c r="H350" s="740"/>
    </row>
    <row r="351" customFormat="1" ht="2" customHeight="1" spans="1:8">
      <c r="B351" s="705"/>
      <c r="C351" s="743"/>
      <c r="D351" s="706"/>
      <c r="E351" s="732"/>
      <c r="F351" s="744"/>
      <c r="G351" s="745"/>
      <c r="H351" s="732"/>
    </row>
    <row r="352" customFormat="1" ht="16.5" spans="1:8">
      <c r="B352" s="746" t="s">
        <v>1572</v>
      </c>
      <c r="C352" s="747" t="s">
        <v>1573</v>
      </c>
      <c r="D352" s="748"/>
      <c r="E352" s="748"/>
      <c r="F352" s="748"/>
      <c r="G352" s="749"/>
      <c r="H352" s="706"/>
    </row>
    <row r="353" customFormat="1" ht="16.5" spans="2:8">
      <c r="B353" s="750" t="s">
        <v>1574</v>
      </c>
      <c r="C353" s="751" t="s">
        <v>1595</v>
      </c>
      <c r="D353" s="751"/>
      <c r="E353" s="752"/>
      <c r="F353" s="752"/>
      <c r="G353" s="752"/>
      <c r="H353" s="743"/>
    </row>
    <row r="354" customFormat="1" ht="16.5" spans="2:8">
      <c r="B354" s="753" t="s">
        <v>1575</v>
      </c>
      <c r="C354" s="751" t="s">
        <v>1576</v>
      </c>
      <c r="D354" s="751"/>
      <c r="E354" s="751"/>
      <c r="F354" s="754"/>
      <c r="G354" s="754"/>
      <c r="H354" s="755"/>
    </row>
    <row r="355" customFormat="1" ht="33" spans="2:8">
      <c r="B355" s="750" t="s">
        <v>1577</v>
      </c>
      <c r="C355" s="751" t="s">
        <v>1578</v>
      </c>
      <c r="D355" s="754"/>
      <c r="E355" s="756" t="s">
        <v>1579</v>
      </c>
      <c r="F355" s="756"/>
      <c r="G355" s="757" t="s">
        <v>1580</v>
      </c>
      <c r="H355" s="755"/>
    </row>
    <row r="356" customFormat="1" ht="33" spans="2:8">
      <c r="B356" s="758" t="s">
        <v>1581</v>
      </c>
      <c r="C356" s="751" t="s">
        <v>1582</v>
      </c>
      <c r="D356" s="754"/>
      <c r="E356" s="754"/>
      <c r="F356" s="754"/>
      <c r="G356" s="754"/>
      <c r="H356" s="755"/>
    </row>
    <row r="357" customFormat="1" ht="16.5" spans="2:8">
      <c r="B357" s="754" t="s">
        <v>1583</v>
      </c>
      <c r="C357" s="754"/>
      <c r="D357" s="754"/>
      <c r="E357" s="754"/>
      <c r="F357" s="754"/>
      <c r="G357" s="754"/>
      <c r="H357" s="755"/>
    </row>
    <row r="358" customFormat="1" ht="16.5" spans="2:8">
      <c r="B358" s="754" t="s">
        <v>1584</v>
      </c>
      <c r="C358" s="754"/>
      <c r="D358" s="754"/>
      <c r="E358" s="754"/>
      <c r="F358" s="754"/>
      <c r="G358" s="754"/>
      <c r="H358" s="755"/>
    </row>
    <row r="359" customFormat="1" ht="2" customHeight="1" spans="2:8">
      <c r="B359" s="759"/>
      <c r="C359" s="759"/>
      <c r="D359" s="759"/>
      <c r="E359" s="759"/>
      <c r="F359" s="759"/>
      <c r="G359" s="759"/>
      <c r="H359" s="759"/>
    </row>
    <row r="360" customFormat="1" ht="31.5" spans="2:8">
      <c r="B360" s="760" t="s">
        <v>1585</v>
      </c>
      <c r="C360" s="761" t="s">
        <v>1586</v>
      </c>
      <c r="D360" s="762" t="s">
        <v>1587</v>
      </c>
      <c r="E360" s="763" t="s">
        <v>1605</v>
      </c>
      <c r="F360" s="764"/>
      <c r="G360" s="764"/>
      <c r="H360" s="764"/>
    </row>
    <row r="361" customFormat="1" ht="28.5" spans="2:8">
      <c r="B361" s="760" t="s">
        <v>1589</v>
      </c>
      <c r="C361" s="765"/>
      <c r="D361" s="766" t="s">
        <v>1590</v>
      </c>
      <c r="E361" s="766"/>
      <c r="F361" s="767"/>
      <c r="G361" s="768"/>
      <c r="H361" s="768"/>
    </row>
    <row r="362" customFormat="1" ht="15.75" spans="2:8">
      <c r="B362" s="760"/>
      <c r="C362" s="765"/>
      <c r="D362" s="766"/>
      <c r="E362" s="766"/>
      <c r="F362" s="767"/>
      <c r="G362" s="768"/>
      <c r="H362" s="768"/>
    </row>
    <row r="363" customFormat="1" ht="30" spans="2:8">
      <c r="B363" s="701" t="s">
        <v>1540</v>
      </c>
      <c r="C363" s="701"/>
      <c r="D363" s="701"/>
      <c r="E363" s="701"/>
      <c r="F363" s="701"/>
      <c r="G363" s="701"/>
      <c r="H363" s="701"/>
    </row>
    <row r="364" customFormat="1" ht="18" spans="2:8">
      <c r="B364" s="702" t="s">
        <v>1541</v>
      </c>
      <c r="C364" s="702"/>
      <c r="D364" s="702"/>
      <c r="E364" s="702"/>
      <c r="F364" s="702"/>
      <c r="G364" s="702"/>
      <c r="H364" s="702"/>
    </row>
    <row r="365" customFormat="1" ht="42" customHeight="1" spans="2:8">
      <c r="B365" s="703" t="s">
        <v>1542</v>
      </c>
      <c r="C365" s="703"/>
      <c r="D365" s="703"/>
      <c r="E365" s="703"/>
      <c r="F365" s="703"/>
      <c r="G365" s="703"/>
      <c r="H365" s="703"/>
    </row>
    <row r="366" customFormat="1" ht="18" spans="2:8">
      <c r="B366" s="704"/>
      <c r="C366" s="705"/>
      <c r="D366" s="705"/>
      <c r="E366" s="706"/>
      <c r="F366" s="707"/>
      <c r="G366" s="708"/>
      <c r="H366" s="654"/>
    </row>
    <row r="367" customFormat="1" ht="18.75" spans="2:8">
      <c r="B367" s="709" t="s">
        <v>1543</v>
      </c>
      <c r="C367" s="710" t="s">
        <v>1540</v>
      </c>
      <c r="D367" s="710"/>
      <c r="E367" s="710"/>
      <c r="F367" s="711"/>
      <c r="G367" s="712" t="s">
        <v>1544</v>
      </c>
      <c r="H367" s="642" t="s">
        <v>1609</v>
      </c>
    </row>
    <row r="368" customFormat="1" ht="18.75" spans="2:8">
      <c r="B368" s="709"/>
      <c r="C368" s="710" t="s">
        <v>1546</v>
      </c>
      <c r="D368" s="710"/>
      <c r="E368" s="710"/>
      <c r="F368" s="711"/>
      <c r="G368" s="712"/>
      <c r="H368" s="645"/>
    </row>
    <row r="369" customFormat="1" ht="18.75" spans="2:8">
      <c r="B369" s="713"/>
      <c r="C369" s="654" t="s">
        <v>1547</v>
      </c>
      <c r="D369" s="714"/>
      <c r="E369" s="710"/>
      <c r="F369" s="711"/>
      <c r="G369" s="715"/>
      <c r="H369" s="716"/>
    </row>
    <row r="370" customFormat="1" ht="18.75" spans="2:8">
      <c r="B370" s="654"/>
      <c r="C370" s="640" t="s">
        <v>1548</v>
      </c>
      <c r="D370" s="640"/>
      <c r="E370" s="640"/>
      <c r="F370" s="640"/>
      <c r="G370" s="717"/>
      <c r="H370" s="718"/>
    </row>
    <row r="371" customFormat="1" ht="18.75" spans="2:8">
      <c r="B371" s="711"/>
      <c r="C371" s="640"/>
      <c r="D371" s="640"/>
      <c r="E371" s="640"/>
      <c r="F371" s="640"/>
      <c r="G371" s="719" t="s">
        <v>1549</v>
      </c>
      <c r="H371" s="720">
        <f>H9</f>
        <v>46076</v>
      </c>
    </row>
    <row r="372" customFormat="1" ht="35" customHeight="1" spans="2:8">
      <c r="B372" s="709"/>
      <c r="C372" s="640"/>
      <c r="D372" s="640"/>
      <c r="E372" s="640"/>
      <c r="F372" s="640"/>
      <c r="G372" s="719"/>
      <c r="H372" s="721"/>
    </row>
    <row r="373" customFormat="1" ht="18.75" spans="2:8">
      <c r="B373" s="652" t="s">
        <v>1550</v>
      </c>
      <c r="C373" s="654" t="s">
        <v>124</v>
      </c>
      <c r="D373" s="654"/>
      <c r="E373" s="654"/>
      <c r="F373" s="711"/>
      <c r="G373" s="722"/>
      <c r="H373" s="716"/>
    </row>
    <row r="374" customFormat="1" ht="18.75" spans="2:8">
      <c r="B374" s="652"/>
      <c r="C374" s="653" t="s">
        <v>1602</v>
      </c>
      <c r="D374" s="653"/>
      <c r="E374" s="653"/>
      <c r="F374" s="711"/>
      <c r="G374" s="722"/>
      <c r="H374" s="716"/>
    </row>
    <row r="375" customFormat="1" ht="41" customHeight="1" spans="2:8">
      <c r="B375" s="654"/>
      <c r="C375" s="637" t="s">
        <v>1603</v>
      </c>
      <c r="D375" s="637"/>
      <c r="E375" s="637"/>
      <c r="F375" s="637"/>
      <c r="G375" s="719" t="s">
        <v>1555</v>
      </c>
      <c r="H375" s="642" t="s">
        <v>1604</v>
      </c>
    </row>
    <row r="376" customFormat="1" ht="28" customHeight="1" spans="2:8">
      <c r="B376" s="723"/>
      <c r="C376" s="637"/>
      <c r="D376" s="637"/>
      <c r="E376" s="637"/>
      <c r="F376" s="637"/>
      <c r="G376" s="719"/>
      <c r="H376" s="724"/>
    </row>
    <row r="377" customFormat="1" ht="18" spans="2:8">
      <c r="B377" s="725" t="s">
        <v>1557</v>
      </c>
      <c r="C377" s="654" t="s">
        <v>1558</v>
      </c>
      <c r="D377" s="654"/>
      <c r="E377" s="654"/>
      <c r="F377" s="726"/>
      <c r="G377" s="727"/>
      <c r="H377" s="706"/>
    </row>
    <row r="378" customFormat="1" ht="40" customHeight="1" spans="2:8">
      <c r="B378" s="725"/>
      <c r="C378" s="637" t="s">
        <v>1559</v>
      </c>
      <c r="D378" s="637"/>
      <c r="E378" s="637"/>
      <c r="F378" s="637"/>
      <c r="G378" s="727"/>
      <c r="H378" s="706"/>
    </row>
    <row r="379" customFormat="1" ht="18" spans="2:8">
      <c r="B379" s="725"/>
      <c r="C379" s="654" t="s">
        <v>1560</v>
      </c>
      <c r="D379" s="654"/>
      <c r="E379" s="654"/>
      <c r="F379" s="726"/>
      <c r="G379" s="727"/>
      <c r="H379" s="706"/>
    </row>
    <row r="380" customFormat="1" ht="18" spans="2:8">
      <c r="B380" s="725"/>
      <c r="C380" s="654" t="s">
        <v>1561</v>
      </c>
      <c r="D380" s="654"/>
      <c r="E380" s="654"/>
      <c r="F380" s="726"/>
      <c r="G380" s="706"/>
      <c r="H380" s="706"/>
    </row>
    <row r="381" customFormat="1" ht="15.75" spans="2:8">
      <c r="B381" s="728" t="s">
        <v>1562</v>
      </c>
      <c r="C381" s="729"/>
      <c r="D381" s="729"/>
      <c r="E381" s="729"/>
      <c r="F381" s="704"/>
      <c r="G381" s="706"/>
      <c r="H381" s="706"/>
    </row>
    <row r="382" customFormat="1" ht="15" spans="2:8">
      <c r="B382" s="730" t="s">
        <v>1563</v>
      </c>
      <c r="C382" s="730"/>
      <c r="D382" s="730"/>
      <c r="E382" s="730"/>
      <c r="F382" s="730"/>
      <c r="G382" s="730"/>
      <c r="H382" s="730"/>
    </row>
    <row r="383" customFormat="1" ht="2" customHeight="1" spans="2:8">
      <c r="B383" s="731"/>
      <c r="C383" s="732"/>
      <c r="D383" s="733"/>
      <c r="E383" s="732"/>
      <c r="F383" s="732"/>
      <c r="G383" s="732"/>
      <c r="H383" s="706"/>
    </row>
    <row r="384" customFormat="1" ht="36" spans="2:8">
      <c r="B384" s="734" t="s">
        <v>1564</v>
      </c>
      <c r="C384" s="734" t="s">
        <v>1565</v>
      </c>
      <c r="D384" s="734" t="s">
        <v>1566</v>
      </c>
      <c r="E384" s="735" t="s">
        <v>1567</v>
      </c>
      <c r="F384" s="736" t="s">
        <v>1568</v>
      </c>
      <c r="G384" s="734" t="s">
        <v>1569</v>
      </c>
      <c r="H384" s="734" t="s">
        <v>1570</v>
      </c>
    </row>
    <row r="385" customFormat="1" ht="18" spans="1:8">
      <c r="B385" s="734"/>
      <c r="C385" s="734"/>
      <c r="D385" s="734"/>
      <c r="E385" s="735"/>
      <c r="F385" s="737" t="s">
        <v>1595</v>
      </c>
      <c r="G385" s="737"/>
      <c r="H385" s="734"/>
    </row>
    <row r="386" customFormat="1" ht="37" customHeight="1" spans="1:8">
      <c r="A386" s="429">
        <v>110</v>
      </c>
      <c r="B386" s="738" t="e">
        <f t="array" ref="B386">LOOKUP(1,0/(('5.21出货明细'!V:V=$H$367)*('5.21出货明细'!A:A=A386)),'5.21出货明细'!D:D)</f>
        <v>#N/A</v>
      </c>
      <c r="C386" s="738" t="e">
        <f t="array" ref="C386">LOOKUP(1,0/(('5.21出货明细'!V:V=$H$367)*('5.21出货明细'!A:A=A386)),'5.21出货明细'!G:G&amp;'5.21出货明细'!F:F)</f>
        <v>#N/A</v>
      </c>
      <c r="D386" s="738" t="e">
        <f t="array" ref="D386">LOOKUP(1,0/(('5.21出货明细'!V:V=$H$367)*('5.21出货明细'!A:A=A386)),'5.21出货明细'!K:K)</f>
        <v>#N/A</v>
      </c>
      <c r="E386" s="680" t="e">
        <f t="array" ref="E386">LOOKUP(1,0/(('5.21出货明细'!V:V=$H$367)*('5.21出货明细'!A:A=A386)),'5.21出货明细'!J:J)</f>
        <v>#N/A</v>
      </c>
      <c r="F386" s="683" t="e">
        <f t="array" ref="F386">LOOKUP(1,0/(('5.21出货明细'!V:V=$H$367)*('5.21出货明细'!A:A=A386)),'5.21出货明细'!Z:Z)</f>
        <v>#N/A</v>
      </c>
      <c r="G386" s="683" t="e">
        <f>F386*D386</f>
        <v>#N/A</v>
      </c>
      <c r="H386" s="734"/>
    </row>
    <row r="387" customFormat="1" ht="37" customHeight="1" spans="1:8">
      <c r="A387" s="429">
        <v>111</v>
      </c>
      <c r="B387" s="738" t="e">
        <f t="array" ref="B387">LOOKUP(1,0/(('5.21出货明细'!V:V=$H$367)*('5.21出货明细'!A:A=A387)),'5.21出货明细'!D:D)</f>
        <v>#N/A</v>
      </c>
      <c r="C387" s="738" t="e">
        <f t="array" ref="C387">LOOKUP(1,0/(('5.21出货明细'!V:V=$H$367)*('5.21出货明细'!A:A=A387)),'5.21出货明细'!G:G&amp;'5.21出货明细'!F:F)</f>
        <v>#N/A</v>
      </c>
      <c r="D387" s="738" t="e">
        <f t="array" ref="D387">LOOKUP(1,0/(('5.21出货明细'!V:V=$H$367)*('5.21出货明细'!A:A=A387)),'5.21出货明细'!K:K)</f>
        <v>#N/A</v>
      </c>
      <c r="E387" s="680" t="e">
        <f t="array" ref="E387">LOOKUP(1,0/(('5.21出货明细'!V:V=$H$367)*('5.21出货明细'!A:A=A387)),'5.21出货明细'!J:J)</f>
        <v>#N/A</v>
      </c>
      <c r="F387" s="683" t="e">
        <f t="array" ref="F387">LOOKUP(1,0/(('5.21出货明细'!V:V=$H$367)*('5.21出货明细'!A:A=A387)),'5.21出货明细'!Z:Z)</f>
        <v>#N/A</v>
      </c>
      <c r="G387" s="683" t="e">
        <f t="shared" ref="G387:G400" si="8">F387*D387</f>
        <v>#N/A</v>
      </c>
      <c r="H387" s="734"/>
    </row>
    <row r="388" customFormat="1" ht="37" customHeight="1" spans="1:8">
      <c r="A388" s="429">
        <v>112</v>
      </c>
      <c r="B388" s="738" t="e">
        <f t="array" ref="B388">LOOKUP(1,0/(('5.21出货明细'!V:V=$H$367)*('5.21出货明细'!A:A=A388)),'5.21出货明细'!D:D)</f>
        <v>#N/A</v>
      </c>
      <c r="C388" s="738" t="e">
        <f t="array" ref="C388">LOOKUP(1,0/(('5.21出货明细'!V:V=$H$367)*('5.21出货明细'!A:A=A388)),'5.21出货明细'!G:G&amp;'5.21出货明细'!F:F)</f>
        <v>#N/A</v>
      </c>
      <c r="D388" s="738" t="e">
        <f t="array" ref="D388">LOOKUP(1,0/(('5.21出货明细'!V:V=$H$367)*('5.21出货明细'!A:A=A388)),'5.21出货明细'!K:K)</f>
        <v>#N/A</v>
      </c>
      <c r="E388" s="680" t="e">
        <f t="array" ref="E388">LOOKUP(1,0/(('5.21出货明细'!V:V=$H$367)*('5.21出货明细'!A:A=A388)),'5.21出货明细'!J:J)</f>
        <v>#N/A</v>
      </c>
      <c r="F388" s="683" t="e">
        <f t="array" ref="F388">LOOKUP(1,0/(('5.21出货明细'!V:V=$H$367)*('5.21出货明细'!A:A=A388)),'5.21出货明细'!Z:Z)</f>
        <v>#N/A</v>
      </c>
      <c r="G388" s="683" t="e">
        <f t="shared" si="8"/>
        <v>#N/A</v>
      </c>
      <c r="H388" s="734"/>
    </row>
    <row r="389" customFormat="1" ht="37" customHeight="1" spans="1:8">
      <c r="A389" s="429">
        <v>113</v>
      </c>
      <c r="B389" s="738" t="e">
        <f t="array" ref="B389">LOOKUP(1,0/(('5.21出货明细'!V:V=$H$367)*('5.21出货明细'!A:A=A389)),'5.21出货明细'!D:D)</f>
        <v>#N/A</v>
      </c>
      <c r="C389" s="738" t="e">
        <f t="array" ref="C389">LOOKUP(1,0/(('5.21出货明细'!V:V=$H$367)*('5.21出货明细'!A:A=A389)),'5.21出货明细'!G:G&amp;'5.21出货明细'!F:F)</f>
        <v>#N/A</v>
      </c>
      <c r="D389" s="738" t="e">
        <f t="array" ref="D389">LOOKUP(1,0/(('5.21出货明细'!V:V=$H$367)*('5.21出货明细'!A:A=A389)),'5.21出货明细'!K:K)</f>
        <v>#N/A</v>
      </c>
      <c r="E389" s="680" t="e">
        <f t="array" ref="E389">LOOKUP(1,0/(('5.21出货明细'!V:V=$H$367)*('5.21出货明细'!A:A=A389)),'5.21出货明细'!J:J)</f>
        <v>#N/A</v>
      </c>
      <c r="F389" s="683" t="e">
        <f t="array" ref="F389">LOOKUP(1,0/(('5.21出货明细'!V:V=$H$367)*('5.21出货明细'!A:A=A389)),'5.21出货明细'!Z:Z)</f>
        <v>#N/A</v>
      </c>
      <c r="G389" s="683" t="e">
        <f t="shared" si="8"/>
        <v>#N/A</v>
      </c>
      <c r="H389" s="734"/>
    </row>
    <row r="390" customFormat="1" ht="37" customHeight="1" spans="1:8">
      <c r="A390" s="429">
        <v>114</v>
      </c>
      <c r="B390" s="738" t="e">
        <f t="array" ref="B390">LOOKUP(1,0/(('5.21出货明细'!V:V=$H$367)*('5.21出货明细'!A:A=A390)),'5.21出货明细'!D:D)</f>
        <v>#N/A</v>
      </c>
      <c r="C390" s="738" t="e">
        <f t="array" ref="C390">LOOKUP(1,0/(('5.21出货明细'!V:V=$H$367)*('5.21出货明细'!A:A=A390)),'5.21出货明细'!G:G&amp;'5.21出货明细'!F:F)</f>
        <v>#N/A</v>
      </c>
      <c r="D390" s="738" t="e">
        <f t="array" ref="D390">LOOKUP(1,0/(('5.21出货明细'!V:V=$H$367)*('5.21出货明细'!A:A=A390)),'5.21出货明细'!K:K)</f>
        <v>#N/A</v>
      </c>
      <c r="E390" s="680" t="e">
        <f t="array" ref="E390">LOOKUP(1,0/(('5.21出货明细'!V:V=$H$367)*('5.21出货明细'!A:A=A390)),'5.21出货明细'!J:J)</f>
        <v>#N/A</v>
      </c>
      <c r="F390" s="685" t="e">
        <f t="array" ref="F390">LOOKUP(1,0/(('5.21出货明细'!V:V=$H$367)*('5.21出货明细'!A:A=A390)),'5.21出货明细'!Z:Z)</f>
        <v>#N/A</v>
      </c>
      <c r="G390" s="683" t="e">
        <f t="shared" si="8"/>
        <v>#N/A</v>
      </c>
      <c r="H390" s="734"/>
    </row>
    <row r="391" customFormat="1" ht="37" customHeight="1" spans="1:8">
      <c r="A391" s="429">
        <v>115</v>
      </c>
      <c r="B391" s="738" t="e">
        <f t="array" ref="B391">LOOKUP(1,0/(('5.21出货明细'!V:V=$H$367)*('5.21出货明细'!A:A=A391)),'5.21出货明细'!D:D)</f>
        <v>#N/A</v>
      </c>
      <c r="C391" s="738" t="e">
        <f t="array" ref="C391">LOOKUP(1,0/(('5.21出货明细'!V:V=$H$367)*('5.21出货明细'!A:A=A391)),'5.21出货明细'!G:G&amp;'5.21出货明细'!F:F)</f>
        <v>#N/A</v>
      </c>
      <c r="D391" s="738" t="e">
        <f t="array" ref="D391">LOOKUP(1,0/(('5.21出货明细'!V:V=$H$367)*('5.21出货明细'!A:A=A391)),'5.21出货明细'!K:K)</f>
        <v>#N/A</v>
      </c>
      <c r="E391" s="680" t="e">
        <f t="array" ref="E391">LOOKUP(1,0/(('5.21出货明细'!V:V=$H$367)*('5.21出货明细'!A:A=A391)),'5.21出货明细'!J:J)</f>
        <v>#N/A</v>
      </c>
      <c r="F391" s="683" t="e">
        <f t="array" ref="F391">LOOKUP(1,0/(('5.21出货明细'!V:V=$H$367)*('5.21出货明细'!A:A=A391)),'5.21出货明细'!Z:Z)</f>
        <v>#N/A</v>
      </c>
      <c r="G391" s="683" t="e">
        <f t="shared" si="8"/>
        <v>#N/A</v>
      </c>
      <c r="H391" s="734"/>
    </row>
    <row r="392" customFormat="1" ht="37" customHeight="1" spans="1:8">
      <c r="A392" s="429">
        <v>116</v>
      </c>
      <c r="B392" s="738" t="e">
        <f t="array" ref="B392">LOOKUP(1,0/(('5.21出货明细'!V:V=$H$367)*('5.21出货明细'!A:A=A392)),'5.21出货明细'!D:D)</f>
        <v>#N/A</v>
      </c>
      <c r="C392" s="738" t="e">
        <f t="array" ref="C392">LOOKUP(1,0/(('5.21出货明细'!V:V=$H$367)*('5.21出货明细'!A:A=A392)),'5.21出货明细'!G:G&amp;'5.21出货明细'!F:F)</f>
        <v>#N/A</v>
      </c>
      <c r="D392" s="738" t="e">
        <f t="array" ref="D392">LOOKUP(1,0/(('5.21出货明细'!V:V=$H$367)*('5.21出货明细'!A:A=A392)),'5.21出货明细'!K:K)</f>
        <v>#N/A</v>
      </c>
      <c r="E392" s="680" t="e">
        <f t="array" ref="E392">LOOKUP(1,0/(('5.21出货明细'!V:V=$H$367)*('5.21出货明细'!A:A=A392)),'5.21出货明细'!J:J)</f>
        <v>#N/A</v>
      </c>
      <c r="F392" s="685" t="e">
        <f t="array" ref="F392">LOOKUP(1,0/(('5.21出货明细'!V:V=$H$367)*('5.21出货明细'!A:A=A392)),'5.21出货明细'!Z:Z)</f>
        <v>#N/A</v>
      </c>
      <c r="G392" s="683" t="e">
        <f t="shared" si="8"/>
        <v>#N/A</v>
      </c>
      <c r="H392" s="734"/>
    </row>
    <row r="393" customFormat="1" ht="37" customHeight="1" spans="1:8">
      <c r="A393" s="429">
        <v>117</v>
      </c>
      <c r="B393" s="738" t="e">
        <f t="array" ref="B393">LOOKUP(1,0/(('5.21出货明细'!V:V=$H$367)*('5.21出货明细'!A:A=A393)),'5.21出货明细'!D:D)</f>
        <v>#N/A</v>
      </c>
      <c r="C393" s="738" t="e">
        <f t="array" ref="C393">LOOKUP(1,0/(('5.21出货明细'!V:V=$H$367)*('5.21出货明细'!A:A=A393)),'5.21出货明细'!G:G&amp;'5.21出货明细'!F:F)</f>
        <v>#N/A</v>
      </c>
      <c r="D393" s="738" t="e">
        <f t="array" ref="D393">LOOKUP(1,0/(('5.21出货明细'!V:V=$H$367)*('5.21出货明细'!A:A=A393)),'5.21出货明细'!K:K)</f>
        <v>#N/A</v>
      </c>
      <c r="E393" s="680" t="e">
        <f t="array" ref="E393">LOOKUP(1,0/(('5.21出货明细'!V:V=$H$367)*('5.21出货明细'!A:A=A393)),'5.21出货明细'!J:J)</f>
        <v>#N/A</v>
      </c>
      <c r="F393" s="683" t="e">
        <f t="array" ref="F393">LOOKUP(1,0/(('5.21出货明细'!V:V=$H$367)*('5.21出货明细'!A:A=A393)),'5.21出货明细'!Z:Z)</f>
        <v>#N/A</v>
      </c>
      <c r="G393" s="683" t="e">
        <f t="shared" si="8"/>
        <v>#N/A</v>
      </c>
      <c r="H393" s="734"/>
    </row>
    <row r="394" customFormat="1" ht="37" customHeight="1" spans="1:8">
      <c r="A394" s="429"/>
      <c r="B394" s="738"/>
      <c r="C394" s="738"/>
      <c r="D394" s="738"/>
      <c r="E394" s="680"/>
      <c r="F394" s="683"/>
      <c r="G394" s="683"/>
      <c r="H394" s="734"/>
    </row>
    <row r="395" customFormat="1" ht="37" customHeight="1" spans="1:8">
      <c r="A395" s="429"/>
      <c r="B395" s="738"/>
      <c r="C395" s="738"/>
      <c r="D395" s="738"/>
      <c r="E395" s="680"/>
      <c r="F395" s="683"/>
      <c r="G395" s="683"/>
      <c r="H395" s="734"/>
    </row>
    <row r="396" customFormat="1" ht="37" customHeight="1" spans="1:8">
      <c r="A396" s="429"/>
      <c r="B396" s="738"/>
      <c r="C396" s="738"/>
      <c r="D396" s="738"/>
      <c r="E396" s="680"/>
      <c r="F396" s="683"/>
      <c r="G396" s="683"/>
      <c r="H396" s="734"/>
    </row>
    <row r="397" customFormat="1" ht="37" customHeight="1" spans="1:8">
      <c r="A397" s="429"/>
      <c r="B397" s="738"/>
      <c r="C397" s="738"/>
      <c r="D397" s="738"/>
      <c r="E397" s="680"/>
      <c r="F397" s="683"/>
      <c r="G397" s="683"/>
      <c r="H397" s="734"/>
    </row>
    <row r="398" customFormat="1" ht="28" customHeight="1" spans="1:8">
      <c r="B398" s="739"/>
      <c r="C398" s="740"/>
      <c r="D398" s="741"/>
      <c r="E398" s="740"/>
      <c r="F398" s="683"/>
      <c r="G398" s="742" t="e">
        <f>SUM(G386:G397)</f>
        <v>#N/A</v>
      </c>
      <c r="H398" s="740"/>
    </row>
    <row r="399" customFormat="1" ht="2" customHeight="1" spans="1:8">
      <c r="B399" s="705"/>
      <c r="C399" s="743"/>
      <c r="D399" s="706"/>
      <c r="E399" s="732"/>
      <c r="F399" s="744"/>
      <c r="G399" s="745"/>
      <c r="H399" s="732"/>
    </row>
    <row r="400" customFormat="1" ht="16.5" spans="1:8">
      <c r="B400" s="746" t="s">
        <v>1572</v>
      </c>
      <c r="C400" s="747" t="s">
        <v>1573</v>
      </c>
      <c r="D400" s="748"/>
      <c r="E400" s="748"/>
      <c r="F400" s="748"/>
      <c r="G400" s="749"/>
      <c r="H400" s="706"/>
    </row>
    <row r="401" customFormat="1" ht="16.5" spans="2:8">
      <c r="B401" s="750" t="s">
        <v>1574</v>
      </c>
      <c r="C401" s="751" t="s">
        <v>1595</v>
      </c>
      <c r="D401" s="751"/>
      <c r="E401" s="752"/>
      <c r="F401" s="752"/>
      <c r="G401" s="752"/>
      <c r="H401" s="743"/>
    </row>
    <row r="402" customFormat="1" ht="16.5" spans="2:8">
      <c r="B402" s="753" t="s">
        <v>1575</v>
      </c>
      <c r="C402" s="751" t="s">
        <v>1576</v>
      </c>
      <c r="D402" s="751"/>
      <c r="E402" s="751"/>
      <c r="F402" s="754"/>
      <c r="G402" s="754"/>
      <c r="H402" s="755"/>
    </row>
    <row r="403" customFormat="1" ht="33" spans="2:8">
      <c r="B403" s="750" t="s">
        <v>1577</v>
      </c>
      <c r="C403" s="751" t="s">
        <v>1578</v>
      </c>
      <c r="D403" s="754"/>
      <c r="E403" s="756" t="s">
        <v>1579</v>
      </c>
      <c r="F403" s="756"/>
      <c r="G403" s="757" t="s">
        <v>1580</v>
      </c>
      <c r="H403" s="755"/>
    </row>
    <row r="404" customFormat="1" ht="33" spans="2:8">
      <c r="B404" s="758" t="s">
        <v>1581</v>
      </c>
      <c r="C404" s="751" t="s">
        <v>1582</v>
      </c>
      <c r="D404" s="754"/>
      <c r="E404" s="754"/>
      <c r="F404" s="754"/>
      <c r="G404" s="754"/>
      <c r="H404" s="755"/>
    </row>
    <row r="405" customFormat="1" ht="16.5" spans="2:8">
      <c r="B405" s="754" t="s">
        <v>1583</v>
      </c>
      <c r="C405" s="754"/>
      <c r="D405" s="754"/>
      <c r="E405" s="754"/>
      <c r="F405" s="754"/>
      <c r="G405" s="754"/>
      <c r="H405" s="755"/>
    </row>
    <row r="406" customFormat="1" ht="16.5" spans="2:8">
      <c r="B406" s="754" t="s">
        <v>1584</v>
      </c>
      <c r="C406" s="754"/>
      <c r="D406" s="754"/>
      <c r="E406" s="754"/>
      <c r="F406" s="754"/>
      <c r="G406" s="754"/>
      <c r="H406" s="755"/>
    </row>
    <row r="407" customFormat="1" ht="2" customHeight="1" spans="2:8">
      <c r="B407" s="759"/>
      <c r="C407" s="759"/>
      <c r="D407" s="759"/>
      <c r="E407" s="759"/>
      <c r="F407" s="759"/>
      <c r="G407" s="759"/>
      <c r="H407" s="759"/>
    </row>
    <row r="408" customFormat="1" ht="31.5" spans="2:8">
      <c r="B408" s="760" t="s">
        <v>1585</v>
      </c>
      <c r="C408" s="761" t="s">
        <v>1586</v>
      </c>
      <c r="D408" s="762" t="s">
        <v>1587</v>
      </c>
      <c r="E408" s="763" t="s">
        <v>1605</v>
      </c>
      <c r="F408" s="764"/>
      <c r="G408" s="764"/>
      <c r="H408" s="764"/>
    </row>
    <row r="409" customFormat="1" ht="28.5" spans="2:8">
      <c r="B409" s="760" t="s">
        <v>1589</v>
      </c>
      <c r="C409" s="765"/>
      <c r="D409" s="766" t="s">
        <v>1590</v>
      </c>
      <c r="E409" s="766"/>
      <c r="F409" s="767"/>
      <c r="G409" s="768"/>
      <c r="H409" s="768"/>
    </row>
    <row r="411" customFormat="1" ht="30" spans="2:8">
      <c r="B411" s="701" t="s">
        <v>1540</v>
      </c>
      <c r="C411" s="701"/>
      <c r="D411" s="701"/>
      <c r="E411" s="701"/>
      <c r="F411" s="701"/>
      <c r="G411" s="701"/>
      <c r="H411" s="701"/>
    </row>
    <row r="412" customFormat="1" ht="18" spans="2:8">
      <c r="B412" s="702" t="s">
        <v>1541</v>
      </c>
      <c r="C412" s="702"/>
      <c r="D412" s="702"/>
      <c r="E412" s="702"/>
      <c r="F412" s="702"/>
      <c r="G412" s="702"/>
      <c r="H412" s="702"/>
    </row>
    <row r="413" customFormat="1" ht="42" customHeight="1" spans="2:8">
      <c r="B413" s="703" t="s">
        <v>1542</v>
      </c>
      <c r="C413" s="703"/>
      <c r="D413" s="703"/>
      <c r="E413" s="703"/>
      <c r="F413" s="703"/>
      <c r="G413" s="703"/>
      <c r="H413" s="703"/>
    </row>
    <row r="414" customFormat="1" ht="18" spans="2:8">
      <c r="B414" s="704"/>
      <c r="C414" s="705"/>
      <c r="D414" s="705"/>
      <c r="E414" s="706"/>
      <c r="F414" s="707"/>
      <c r="G414" s="708"/>
      <c r="H414" s="654"/>
    </row>
    <row r="415" customFormat="1" ht="18.75" spans="2:8">
      <c r="B415" s="709" t="s">
        <v>1543</v>
      </c>
      <c r="C415" s="710" t="s">
        <v>1540</v>
      </c>
      <c r="D415" s="710"/>
      <c r="E415" s="710"/>
      <c r="F415" s="711"/>
      <c r="G415" s="712" t="s">
        <v>1544</v>
      </c>
      <c r="H415" s="642" t="s">
        <v>1610</v>
      </c>
    </row>
    <row r="416" customFormat="1" ht="18.75" spans="2:8">
      <c r="B416" s="709"/>
      <c r="C416" s="710" t="s">
        <v>1546</v>
      </c>
      <c r="D416" s="710"/>
      <c r="E416" s="710"/>
      <c r="F416" s="711"/>
      <c r="G416" s="712"/>
      <c r="H416" s="645"/>
    </row>
    <row r="417" customFormat="1" ht="18.75" spans="2:8">
      <c r="B417" s="713"/>
      <c r="C417" s="654" t="s">
        <v>1547</v>
      </c>
      <c r="D417" s="714"/>
      <c r="E417" s="710"/>
      <c r="F417" s="711"/>
      <c r="G417" s="715"/>
      <c r="H417" s="716"/>
    </row>
    <row r="418" customFormat="1" ht="18.75" spans="2:8">
      <c r="B418" s="654"/>
      <c r="C418" s="640" t="s">
        <v>1548</v>
      </c>
      <c r="D418" s="640"/>
      <c r="E418" s="640"/>
      <c r="F418" s="640"/>
      <c r="G418" s="717"/>
      <c r="H418" s="718"/>
    </row>
    <row r="419" customFormat="1" ht="18.75" spans="2:8">
      <c r="B419" s="711"/>
      <c r="C419" s="640"/>
      <c r="D419" s="640"/>
      <c r="E419" s="640"/>
      <c r="F419" s="640"/>
      <c r="G419" s="719" t="s">
        <v>1549</v>
      </c>
      <c r="H419" s="720">
        <f>H9</f>
        <v>46076</v>
      </c>
    </row>
    <row r="420" customFormat="1" ht="35" customHeight="1" spans="2:8">
      <c r="B420" s="709"/>
      <c r="C420" s="640"/>
      <c r="D420" s="640"/>
      <c r="E420" s="640"/>
      <c r="F420" s="640"/>
      <c r="G420" s="719"/>
      <c r="H420" s="721"/>
    </row>
    <row r="421" customFormat="1" ht="18.75" spans="2:8">
      <c r="B421" s="652" t="s">
        <v>1550</v>
      </c>
      <c r="C421" s="654" t="s">
        <v>337</v>
      </c>
      <c r="D421" s="654"/>
      <c r="E421" s="654"/>
      <c r="F421" s="711"/>
      <c r="G421" s="722"/>
      <c r="H421" s="716"/>
    </row>
    <row r="422" customFormat="1" ht="18.75" spans="2:8">
      <c r="B422" s="652"/>
      <c r="C422" s="653" t="s">
        <v>1611</v>
      </c>
      <c r="D422" s="653"/>
      <c r="E422" s="653"/>
      <c r="F422" s="711"/>
      <c r="G422" s="722"/>
      <c r="H422" s="716"/>
    </row>
    <row r="423" customFormat="1" ht="41" customHeight="1" spans="2:8">
      <c r="B423" s="654"/>
      <c r="C423" s="637" t="s">
        <v>1612</v>
      </c>
      <c r="D423" s="637"/>
      <c r="E423" s="637"/>
      <c r="F423" s="637"/>
      <c r="G423" s="719" t="s">
        <v>1555</v>
      </c>
      <c r="H423" s="642" t="s">
        <v>1594</v>
      </c>
    </row>
    <row r="424" customFormat="1" ht="35" customHeight="1" spans="2:8">
      <c r="B424" s="723"/>
      <c r="C424" s="637"/>
      <c r="D424" s="637"/>
      <c r="E424" s="637"/>
      <c r="F424" s="637"/>
      <c r="G424" s="719"/>
      <c r="H424" s="724"/>
    </row>
    <row r="425" customFormat="1" ht="18" spans="2:8">
      <c r="B425" s="725" t="s">
        <v>1557</v>
      </c>
      <c r="C425" s="654" t="s">
        <v>1558</v>
      </c>
      <c r="D425" s="654"/>
      <c r="E425" s="654"/>
      <c r="F425" s="726"/>
      <c r="G425" s="727"/>
      <c r="H425" s="706"/>
    </row>
    <row r="426" customFormat="1" ht="40" customHeight="1" spans="2:8">
      <c r="B426" s="725"/>
      <c r="C426" s="637" t="s">
        <v>1559</v>
      </c>
      <c r="D426" s="637"/>
      <c r="E426" s="637"/>
      <c r="F426" s="637"/>
      <c r="G426" s="727"/>
      <c r="H426" s="706"/>
    </row>
    <row r="427" customFormat="1" ht="18" spans="2:8">
      <c r="B427" s="725"/>
      <c r="C427" s="654" t="s">
        <v>1560</v>
      </c>
      <c r="D427" s="654"/>
      <c r="E427" s="654"/>
      <c r="F427" s="726"/>
      <c r="G427" s="727"/>
      <c r="H427" s="706"/>
    </row>
    <row r="428" customFormat="1" ht="18" spans="2:8">
      <c r="B428" s="725"/>
      <c r="C428" s="654" t="s">
        <v>1561</v>
      </c>
      <c r="D428" s="654"/>
      <c r="E428" s="654"/>
      <c r="F428" s="726"/>
      <c r="G428" s="706"/>
      <c r="H428" s="706"/>
    </row>
    <row r="429" customFormat="1" ht="15.75" spans="2:8">
      <c r="B429" s="728" t="s">
        <v>1562</v>
      </c>
      <c r="C429" s="729"/>
      <c r="D429" s="729"/>
      <c r="E429" s="729"/>
      <c r="F429" s="704"/>
      <c r="G429" s="706"/>
      <c r="H429" s="706"/>
    </row>
    <row r="430" customFormat="1" ht="15" spans="2:8">
      <c r="B430" s="730" t="s">
        <v>1563</v>
      </c>
      <c r="C430" s="730"/>
      <c r="D430" s="730"/>
      <c r="E430" s="730"/>
      <c r="F430" s="730"/>
      <c r="G430" s="730"/>
      <c r="H430" s="730"/>
    </row>
    <row r="431" customFormat="1" ht="15.75" spans="2:8">
      <c r="B431" s="731"/>
      <c r="C431" s="732"/>
      <c r="D431" s="733"/>
      <c r="E431" s="732"/>
      <c r="F431" s="732"/>
      <c r="G431" s="732"/>
      <c r="H431" s="706"/>
    </row>
    <row r="432" customFormat="1" ht="36" spans="2:8">
      <c r="B432" s="734" t="s">
        <v>1564</v>
      </c>
      <c r="C432" s="734" t="s">
        <v>1565</v>
      </c>
      <c r="D432" s="734" t="s">
        <v>1566</v>
      </c>
      <c r="E432" s="735" t="s">
        <v>1567</v>
      </c>
      <c r="F432" s="736" t="s">
        <v>1568</v>
      </c>
      <c r="G432" s="734" t="s">
        <v>1569</v>
      </c>
      <c r="H432" s="734" t="s">
        <v>1570</v>
      </c>
    </row>
    <row r="433" customFormat="1" ht="18" spans="1:8">
      <c r="B433" s="734"/>
      <c r="C433" s="734"/>
      <c r="D433" s="734"/>
      <c r="E433" s="735"/>
      <c r="F433" s="737" t="s">
        <v>1595</v>
      </c>
      <c r="G433" s="737"/>
      <c r="H433" s="734"/>
    </row>
    <row r="434" customFormat="1" ht="44" customHeight="1" spans="1:8">
      <c r="A434" s="429">
        <v>118</v>
      </c>
      <c r="B434" s="738" t="e">
        <f t="array" ref="B434">LOOKUP(1,0/(('5.21出货明细'!V:V=$H$415)*('5.21出货明细'!A:A=A434)),'5.21出货明细'!D:D)</f>
        <v>#N/A</v>
      </c>
      <c r="C434" s="738" t="e">
        <f t="array" ref="C434">LOOKUP(1,0/(('5.21出货明细'!V:V=$H$415)*('5.21出货明细'!A:A=A434)),'5.21出货明细'!G:G&amp;'5.21出货明细'!F:F)</f>
        <v>#N/A</v>
      </c>
      <c r="D434" s="738" t="e">
        <f t="array" ref="D434">LOOKUP(1,0/(('5.21出货明细'!V:V=$H$415)*('5.21出货明细'!A:A=A434)),'5.21出货明细'!K:K)</f>
        <v>#N/A</v>
      </c>
      <c r="E434" s="680" t="e">
        <f t="array" ref="E434">LOOKUP(1,0/(('5.21出货明细'!V:V=$H$415)*('5.21出货明细'!A:A=A434)),'5.21出货明细'!J:J)</f>
        <v>#N/A</v>
      </c>
      <c r="F434" s="683" t="e">
        <f t="array" ref="F434">LOOKUP(1,0/(('5.21出货明细'!V:V=$H$415)*('5.21出货明细'!A:A=A434)),'5.21出货明细'!Z:Z)</f>
        <v>#N/A</v>
      </c>
      <c r="G434" s="683" t="e">
        <f t="shared" ref="G434:G441" si="9">F434*D434</f>
        <v>#N/A</v>
      </c>
      <c r="H434" s="734"/>
    </row>
    <row r="435" customFormat="1" ht="44" customHeight="1" spans="1:8">
      <c r="A435" s="429">
        <v>119</v>
      </c>
      <c r="B435" s="738" t="e">
        <f t="array" ref="B435">LOOKUP(1,0/(('5.21出货明细'!V:V=$H$415)*('5.21出货明细'!A:A=A435)),'5.21出货明细'!D:D)</f>
        <v>#N/A</v>
      </c>
      <c r="C435" s="738" t="e">
        <f t="array" ref="C435">LOOKUP(1,0/(('5.21出货明细'!V:V=$H$415)*('5.21出货明细'!A:A=A435)),'5.21出货明细'!G:G&amp;'5.21出货明细'!F:F)</f>
        <v>#N/A</v>
      </c>
      <c r="D435" s="738" t="e">
        <f t="array" ref="D435">LOOKUP(1,0/(('5.21出货明细'!V:V=$H$415)*('5.21出货明细'!A:A=A435)),'5.21出货明细'!K:K)</f>
        <v>#N/A</v>
      </c>
      <c r="E435" s="680" t="e">
        <f t="array" ref="E435">LOOKUP(1,0/(('5.21出货明细'!V:V=$H$415)*('5.21出货明细'!A:A=A435)),'5.21出货明细'!J:J)</f>
        <v>#N/A</v>
      </c>
      <c r="F435" s="683" t="e">
        <f t="array" ref="F435">LOOKUP(1,0/(('5.21出货明细'!V:V=$H$415)*('5.21出货明细'!A:A=A435)),'5.21出货明细'!Z:Z)</f>
        <v>#N/A</v>
      </c>
      <c r="G435" s="683" t="e">
        <f t="shared" si="9"/>
        <v>#N/A</v>
      </c>
      <c r="H435" s="734"/>
    </row>
    <row r="436" customFormat="1" ht="44" customHeight="1" spans="1:8">
      <c r="A436" s="429">
        <v>120</v>
      </c>
      <c r="B436" s="738" t="e">
        <f t="array" ref="B436">LOOKUP(1,0/(('5.21出货明细'!V:V=$H$415)*('5.21出货明细'!A:A=A436)),'5.21出货明细'!D:D)</f>
        <v>#N/A</v>
      </c>
      <c r="C436" s="738" t="e">
        <f t="array" ref="C436">LOOKUP(1,0/(('5.21出货明细'!V:V=$H$415)*('5.21出货明细'!A:A=A436)),'5.21出货明细'!G:G&amp;'5.21出货明细'!F:F)</f>
        <v>#N/A</v>
      </c>
      <c r="D436" s="738" t="e">
        <f t="array" ref="D436">LOOKUP(1,0/(('5.21出货明细'!V:V=$H$415)*('5.21出货明细'!A:A=A436)),'5.21出货明细'!K:K)</f>
        <v>#N/A</v>
      </c>
      <c r="E436" s="680" t="e">
        <f t="array" ref="E436">LOOKUP(1,0/(('5.21出货明细'!V:V=$H$415)*('5.21出货明细'!A:A=A436)),'5.21出货明细'!J:J)</f>
        <v>#N/A</v>
      </c>
      <c r="F436" s="683" t="e">
        <f t="array" ref="F436">LOOKUP(1,0/(('5.21出货明细'!V:V=$H$415)*('5.21出货明细'!A:A=A436)),'5.21出货明细'!Z:Z)</f>
        <v>#N/A</v>
      </c>
      <c r="G436" s="683" t="e">
        <f t="shared" si="9"/>
        <v>#N/A</v>
      </c>
      <c r="H436" s="734"/>
    </row>
    <row r="437" customFormat="1" ht="44" customHeight="1" spans="1:8">
      <c r="A437" s="429">
        <v>121</v>
      </c>
      <c r="B437" s="738" t="e">
        <f t="array" ref="B437">LOOKUP(1,0/(('5.21出货明细'!V:V=$H$415)*('5.21出货明细'!A:A=A437)),'5.21出货明细'!D:D)</f>
        <v>#N/A</v>
      </c>
      <c r="C437" s="738" t="e">
        <f t="array" ref="C437">LOOKUP(1,0/(('5.21出货明细'!V:V=$H$415)*('5.21出货明细'!A:A=A437)),'5.21出货明细'!G:G&amp;'5.21出货明细'!F:F)</f>
        <v>#N/A</v>
      </c>
      <c r="D437" s="738" t="e">
        <f t="array" ref="D437">LOOKUP(1,0/(('5.21出货明细'!V:V=$H$415)*('5.21出货明细'!A:A=A437)),'5.21出货明细'!K:K)</f>
        <v>#N/A</v>
      </c>
      <c r="E437" s="680" t="e">
        <f t="array" ref="E437">LOOKUP(1,0/(('5.21出货明细'!V:V=$H$415)*('5.21出货明细'!A:A=A437)),'5.21出货明细'!J:J)</f>
        <v>#N/A</v>
      </c>
      <c r="F437" s="683" t="e">
        <f t="array" ref="F437">LOOKUP(1,0/(('5.21出货明细'!V:V=$H$415)*('5.21出货明细'!A:A=A437)),'5.21出货明细'!Z:Z)</f>
        <v>#N/A</v>
      </c>
      <c r="G437" s="683" t="e">
        <f t="shared" si="9"/>
        <v>#N/A</v>
      </c>
      <c r="H437" s="734"/>
    </row>
    <row r="438" customFormat="1" ht="40" customHeight="1" spans="1:8">
      <c r="A438" s="429">
        <v>122</v>
      </c>
      <c r="B438" s="738" t="e">
        <f t="array" ref="B438">LOOKUP(1,0/(('5.21出货明细'!V:V=$H$415)*('5.21出货明细'!A:A=A438)),'5.21出货明细'!D:D)</f>
        <v>#N/A</v>
      </c>
      <c r="C438" s="738" t="e">
        <f t="array" ref="C438">LOOKUP(1,0/(('5.21出货明细'!V:V=$H$415)*('5.21出货明细'!A:A=A438)),'5.21出货明细'!G:G&amp;'5.21出货明细'!F:F)</f>
        <v>#N/A</v>
      </c>
      <c r="D438" s="738" t="e">
        <f t="array" ref="D438">LOOKUP(1,0/(('5.21出货明细'!V:V=$H$415)*('5.21出货明细'!A:A=A438)),'5.21出货明细'!K:K)</f>
        <v>#N/A</v>
      </c>
      <c r="E438" s="680" t="e">
        <f t="array" ref="E438">LOOKUP(1,0/(('5.21出货明细'!V:V=$H$415)*('5.21出货明细'!A:A=A438)),'5.21出货明细'!J:J)</f>
        <v>#N/A</v>
      </c>
      <c r="F438" s="685" t="e">
        <f t="array" ref="F438">LOOKUP(1,0/(('5.21出货明细'!V:V=$H$415)*('5.21出货明细'!A:A=A438)),'5.21出货明细'!Z:Z)</f>
        <v>#N/A</v>
      </c>
      <c r="G438" s="683" t="e">
        <f t="shared" si="9"/>
        <v>#N/A</v>
      </c>
      <c r="H438" s="734"/>
    </row>
    <row r="439" customFormat="1" ht="40" customHeight="1" spans="1:8">
      <c r="A439" s="429"/>
      <c r="B439" s="738"/>
      <c r="C439" s="738"/>
      <c r="D439" s="738"/>
      <c r="E439" s="680"/>
      <c r="F439" s="686"/>
      <c r="G439" s="683"/>
      <c r="H439" s="734"/>
    </row>
    <row r="440" customFormat="1" ht="40" customHeight="1" spans="1:8">
      <c r="A440" s="429"/>
      <c r="B440" s="738"/>
      <c r="C440" s="738"/>
      <c r="D440" s="738"/>
      <c r="E440" s="680"/>
      <c r="F440" s="686"/>
      <c r="G440" s="683"/>
      <c r="H440" s="734"/>
    </row>
    <row r="441" customFormat="1" ht="40" customHeight="1" spans="1:8">
      <c r="A441" s="429"/>
      <c r="B441" s="738"/>
      <c r="C441" s="738"/>
      <c r="D441" s="738"/>
      <c r="E441" s="680"/>
      <c r="F441" s="686"/>
      <c r="G441" s="683"/>
      <c r="H441" s="734"/>
    </row>
    <row r="442" customFormat="1" ht="40" customHeight="1" spans="1:8">
      <c r="B442" s="739"/>
      <c r="C442" s="740"/>
      <c r="D442" s="741"/>
      <c r="E442" s="740"/>
      <c r="F442" s="683"/>
      <c r="G442" s="742" t="e">
        <f>SUM(G434:G441)</f>
        <v>#N/A</v>
      </c>
      <c r="H442" s="740"/>
    </row>
    <row r="443" customFormat="1" ht="15.75" spans="1:8">
      <c r="B443" s="705"/>
      <c r="C443" s="743"/>
      <c r="D443" s="706"/>
      <c r="E443" s="732"/>
      <c r="F443" s="744"/>
      <c r="G443" s="745"/>
      <c r="H443" s="732"/>
    </row>
    <row r="444" customFormat="1" ht="16.5" spans="1:8">
      <c r="B444" s="746" t="s">
        <v>1572</v>
      </c>
      <c r="C444" s="747" t="s">
        <v>1573</v>
      </c>
      <c r="D444" s="748"/>
      <c r="E444" s="748"/>
      <c r="F444" s="748"/>
      <c r="G444" s="749"/>
      <c r="H444" s="706"/>
    </row>
    <row r="445" customFormat="1" ht="16.5" spans="1:8">
      <c r="B445" s="750" t="s">
        <v>1574</v>
      </c>
      <c r="C445" s="751" t="s">
        <v>1595</v>
      </c>
      <c r="D445" s="751"/>
      <c r="E445" s="752"/>
      <c r="F445" s="752"/>
      <c r="G445" s="752"/>
      <c r="H445" s="743"/>
    </row>
    <row r="446" customFormat="1" ht="16.5" spans="1:8">
      <c r="B446" s="753" t="s">
        <v>1575</v>
      </c>
      <c r="C446" s="751" t="s">
        <v>1576</v>
      </c>
      <c r="D446" s="751"/>
      <c r="E446" s="751"/>
      <c r="F446" s="754"/>
      <c r="G446" s="754"/>
      <c r="H446" s="755"/>
    </row>
    <row r="447" customFormat="1" ht="33" spans="1:8">
      <c r="B447" s="750" t="s">
        <v>1577</v>
      </c>
      <c r="C447" s="751" t="s">
        <v>1578</v>
      </c>
      <c r="D447" s="754"/>
      <c r="E447" s="756" t="s">
        <v>1579</v>
      </c>
      <c r="F447" s="756"/>
      <c r="G447" s="757" t="s">
        <v>1580</v>
      </c>
      <c r="H447" s="755"/>
    </row>
    <row r="448" customFormat="1" ht="33" spans="1:8">
      <c r="B448" s="758" t="s">
        <v>1581</v>
      </c>
      <c r="C448" s="751" t="s">
        <v>1582</v>
      </c>
      <c r="D448" s="754"/>
      <c r="E448" s="754"/>
      <c r="F448" s="754"/>
      <c r="G448" s="754"/>
      <c r="H448" s="755"/>
    </row>
    <row r="449" customFormat="1" ht="16.5" spans="2:8">
      <c r="B449" s="754" t="s">
        <v>1583</v>
      </c>
      <c r="C449" s="754"/>
      <c r="D449" s="754"/>
      <c r="E449" s="754"/>
      <c r="F449" s="754"/>
      <c r="G449" s="754"/>
      <c r="H449" s="755"/>
    </row>
    <row r="450" customFormat="1" ht="16.5" spans="2:8">
      <c r="B450" s="754" t="s">
        <v>1584</v>
      </c>
      <c r="C450" s="754"/>
      <c r="D450" s="754"/>
      <c r="E450" s="754"/>
      <c r="F450" s="754"/>
      <c r="G450" s="754"/>
      <c r="H450" s="755"/>
    </row>
    <row r="451" customFormat="1" ht="15.75" spans="2:8">
      <c r="B451" s="759"/>
      <c r="C451" s="759"/>
      <c r="D451" s="759"/>
      <c r="E451" s="759"/>
      <c r="F451" s="759"/>
      <c r="G451" s="759"/>
      <c r="H451" s="759"/>
    </row>
    <row r="452" customFormat="1" ht="31.5" spans="2:8">
      <c r="B452" s="760" t="s">
        <v>1585</v>
      </c>
      <c r="C452" s="761" t="s">
        <v>1586</v>
      </c>
      <c r="D452" s="762" t="s">
        <v>1587</v>
      </c>
      <c r="E452" s="769" t="s">
        <v>1613</v>
      </c>
      <c r="F452" s="770"/>
      <c r="G452" s="770"/>
      <c r="H452" s="770"/>
    </row>
    <row r="453" customFormat="1" ht="28.5" spans="2:8">
      <c r="B453" s="760" t="s">
        <v>1589</v>
      </c>
      <c r="C453" s="765"/>
      <c r="D453" s="766" t="s">
        <v>1590</v>
      </c>
      <c r="E453" s="766"/>
      <c r="F453" s="767"/>
      <c r="G453" s="768"/>
      <c r="H453" s="768"/>
    </row>
    <row r="454" customFormat="1"/>
    <row r="455" customFormat="1" ht="30" spans="2:8">
      <c r="B455" s="701" t="s">
        <v>1540</v>
      </c>
      <c r="C455" s="701"/>
      <c r="D455" s="701"/>
      <c r="E455" s="701"/>
      <c r="F455" s="701"/>
      <c r="G455" s="701"/>
      <c r="H455" s="701"/>
    </row>
    <row r="456" customFormat="1" ht="18" spans="2:8">
      <c r="B456" s="702" t="s">
        <v>1541</v>
      </c>
      <c r="C456" s="702"/>
      <c r="D456" s="702"/>
      <c r="E456" s="702"/>
      <c r="F456" s="702"/>
      <c r="G456" s="702"/>
      <c r="H456" s="702"/>
    </row>
    <row r="457" customFormat="1" ht="42" customHeight="1" spans="2:8">
      <c r="B457" s="703" t="s">
        <v>1542</v>
      </c>
      <c r="C457" s="703"/>
      <c r="D457" s="703"/>
      <c r="E457" s="703"/>
      <c r="F457" s="703"/>
      <c r="G457" s="703"/>
      <c r="H457" s="703"/>
    </row>
    <row r="458" customFormat="1" ht="18" spans="2:8">
      <c r="B458" s="704"/>
      <c r="C458" s="705"/>
      <c r="D458" s="705"/>
      <c r="E458" s="706"/>
      <c r="F458" s="707"/>
      <c r="G458" s="708"/>
      <c r="H458" s="654"/>
    </row>
    <row r="459" customFormat="1" ht="18.75" spans="2:8">
      <c r="B459" s="709" t="s">
        <v>1543</v>
      </c>
      <c r="C459" s="710" t="s">
        <v>1540</v>
      </c>
      <c r="D459" s="710"/>
      <c r="E459" s="710"/>
      <c r="F459" s="711"/>
      <c r="G459" s="712" t="s">
        <v>1544</v>
      </c>
      <c r="H459" s="642" t="s">
        <v>1614</v>
      </c>
    </row>
    <row r="460" customFormat="1" ht="18.75" spans="2:8">
      <c r="B460" s="709"/>
      <c r="C460" s="710" t="s">
        <v>1546</v>
      </c>
      <c r="D460" s="710"/>
      <c r="E460" s="710"/>
      <c r="F460" s="711"/>
      <c r="G460" s="712"/>
      <c r="H460" s="645"/>
    </row>
    <row r="461" customFormat="1" ht="18.75" spans="2:8">
      <c r="B461" s="713"/>
      <c r="C461" s="654" t="s">
        <v>1547</v>
      </c>
      <c r="D461" s="714"/>
      <c r="E461" s="710"/>
      <c r="F461" s="711"/>
      <c r="G461" s="715"/>
      <c r="H461" s="716"/>
    </row>
    <row r="462" customFormat="1" ht="18.75" spans="2:8">
      <c r="B462" s="654"/>
      <c r="C462" s="640" t="s">
        <v>1548</v>
      </c>
      <c r="D462" s="640"/>
      <c r="E462" s="640"/>
      <c r="F462" s="640"/>
      <c r="G462" s="717"/>
      <c r="H462" s="718"/>
    </row>
    <row r="463" customFormat="1" ht="18.75" spans="2:8">
      <c r="B463" s="711"/>
      <c r="C463" s="640"/>
      <c r="D463" s="640"/>
      <c r="E463" s="640"/>
      <c r="F463" s="640"/>
      <c r="G463" s="719" t="s">
        <v>1549</v>
      </c>
      <c r="H463" s="720">
        <f>H9</f>
        <v>46076</v>
      </c>
    </row>
    <row r="464" customFormat="1" ht="35" customHeight="1" spans="2:8">
      <c r="B464" s="709"/>
      <c r="C464" s="640"/>
      <c r="D464" s="640"/>
      <c r="E464" s="640"/>
      <c r="F464" s="640"/>
      <c r="G464" s="719"/>
      <c r="H464" s="721"/>
    </row>
    <row r="465" customFormat="1" ht="18.75" spans="1:8">
      <c r="B465" s="652" t="s">
        <v>1550</v>
      </c>
      <c r="C465" s="654" t="s">
        <v>1615</v>
      </c>
      <c r="D465" s="654"/>
      <c r="E465" s="654"/>
      <c r="F465" s="711"/>
      <c r="G465" s="722"/>
      <c r="H465" s="716"/>
    </row>
    <row r="466" customFormat="1" ht="18.75" spans="1:8">
      <c r="B466" s="652"/>
      <c r="C466" s="653" t="s">
        <v>1616</v>
      </c>
      <c r="D466" s="653"/>
      <c r="E466" s="653"/>
      <c r="F466" s="711"/>
      <c r="G466" s="722"/>
      <c r="H466" s="716"/>
    </row>
    <row r="467" customFormat="1" ht="28" customHeight="1" spans="1:8">
      <c r="B467" s="654"/>
      <c r="C467" s="637" t="s">
        <v>1617</v>
      </c>
      <c r="D467" s="637"/>
      <c r="E467" s="637"/>
      <c r="F467" s="637"/>
      <c r="G467" s="719" t="s">
        <v>1555</v>
      </c>
      <c r="H467" s="642" t="s">
        <v>1594</v>
      </c>
    </row>
    <row r="468" customFormat="1" ht="28" customHeight="1" spans="1:8">
      <c r="B468" s="723"/>
      <c r="C468" s="637"/>
      <c r="D468" s="637"/>
      <c r="E468" s="637"/>
      <c r="F468" s="637"/>
      <c r="G468" s="719"/>
      <c r="H468" s="724"/>
    </row>
    <row r="469" customFormat="1" ht="18" spans="1:8">
      <c r="B469" s="725" t="s">
        <v>1557</v>
      </c>
      <c r="C469" s="654" t="s">
        <v>1558</v>
      </c>
      <c r="D469" s="654"/>
      <c r="E469" s="654"/>
      <c r="F469" s="726"/>
      <c r="G469" s="727"/>
      <c r="H469" s="706"/>
    </row>
    <row r="470" customFormat="1" ht="40" customHeight="1" spans="1:8">
      <c r="B470" s="725"/>
      <c r="C470" s="637" t="s">
        <v>1559</v>
      </c>
      <c r="D470" s="637"/>
      <c r="E470" s="637"/>
      <c r="F470" s="637"/>
      <c r="G470" s="727"/>
      <c r="H470" s="706"/>
    </row>
    <row r="471" customFormat="1" ht="18" spans="1:8">
      <c r="B471" s="725"/>
      <c r="C471" s="654" t="s">
        <v>1560</v>
      </c>
      <c r="D471" s="654"/>
      <c r="E471" s="654"/>
      <c r="F471" s="726"/>
      <c r="G471" s="727"/>
      <c r="H471" s="706"/>
    </row>
    <row r="472" customFormat="1" ht="18" spans="1:8">
      <c r="B472" s="725"/>
      <c r="C472" s="654" t="s">
        <v>1561</v>
      </c>
      <c r="D472" s="654"/>
      <c r="E472" s="654"/>
      <c r="F472" s="726"/>
      <c r="G472" s="706"/>
      <c r="H472" s="706"/>
    </row>
    <row r="473" customFormat="1" ht="15.75" spans="1:8">
      <c r="B473" s="728" t="s">
        <v>1562</v>
      </c>
      <c r="C473" s="729"/>
      <c r="D473" s="729"/>
      <c r="E473" s="729"/>
      <c r="F473" s="704"/>
      <c r="G473" s="706"/>
      <c r="H473" s="706"/>
    </row>
    <row r="474" customFormat="1" ht="15" spans="1:8">
      <c r="B474" s="730" t="s">
        <v>1563</v>
      </c>
      <c r="C474" s="730"/>
      <c r="D474" s="730"/>
      <c r="E474" s="730"/>
      <c r="F474" s="730"/>
      <c r="G474" s="730"/>
      <c r="H474" s="730"/>
    </row>
    <row r="475" customFormat="1" ht="15.75" spans="1:8">
      <c r="B475" s="731"/>
      <c r="C475" s="732"/>
      <c r="D475" s="733"/>
      <c r="E475" s="732"/>
      <c r="F475" s="732"/>
      <c r="G475" s="732"/>
      <c r="H475" s="706"/>
    </row>
    <row r="476" customFormat="1" ht="36" spans="1:8">
      <c r="B476" s="734" t="s">
        <v>1564</v>
      </c>
      <c r="C476" s="734" t="s">
        <v>1565</v>
      </c>
      <c r="D476" s="734" t="s">
        <v>1566</v>
      </c>
      <c r="E476" s="735" t="s">
        <v>1567</v>
      </c>
      <c r="F476" s="736" t="s">
        <v>1568</v>
      </c>
      <c r="G476" s="734" t="s">
        <v>1569</v>
      </c>
      <c r="H476" s="734" t="s">
        <v>1570</v>
      </c>
    </row>
    <row r="477" customFormat="1" ht="18" spans="1:8">
      <c r="B477" s="734"/>
      <c r="C477" s="734"/>
      <c r="D477" s="734"/>
      <c r="E477" s="735"/>
      <c r="F477" s="737" t="s">
        <v>1595</v>
      </c>
      <c r="G477" s="737"/>
      <c r="H477" s="734"/>
    </row>
    <row r="478" customFormat="1" ht="44" customHeight="1" spans="1:8">
      <c r="A478" s="429">
        <v>123</v>
      </c>
      <c r="B478" s="738" t="e">
        <f t="array" ref="B478">LOOKUP(1,0/(('5.21出货明细'!V:V=$H$459)*('5.21出货明细'!A:A=A478)),'5.21出货明细'!D:D)</f>
        <v>#N/A</v>
      </c>
      <c r="C478" s="738" t="e">
        <f t="array" ref="C478">LOOKUP(1,0/(('5.21出货明细'!V:V=$H$459)*('5.21出货明细'!A:A=A478)),'5.21出货明细'!G:G&amp;'5.21出货明细'!F:F)</f>
        <v>#N/A</v>
      </c>
      <c r="D478" s="738" t="e">
        <f t="array" ref="D478">LOOKUP(1,0/(('5.21出货明细'!V:V=$H$459)*('5.21出货明细'!A:A=A478)),'5.21出货明细'!K:K)</f>
        <v>#N/A</v>
      </c>
      <c r="E478" s="680" t="e">
        <f t="array" ref="E478">LOOKUP(1,0/(('5.21出货明细'!V:V=$H$459)*('5.21出货明细'!A:A=A478)),'5.21出货明细'!J:J)</f>
        <v>#N/A</v>
      </c>
      <c r="F478" s="683" t="e">
        <f t="array" ref="F478">LOOKUP(1,0/(('5.21出货明细'!V:V=$H$459)*('5.21出货明细'!A:A=A478)),'5.21出货明细'!Z:Z)</f>
        <v>#N/A</v>
      </c>
      <c r="G478" s="683" t="e">
        <f>F478*D478</f>
        <v>#N/A</v>
      </c>
      <c r="H478" s="734"/>
    </row>
    <row r="479" customFormat="1" ht="44" customHeight="1" spans="1:8">
      <c r="A479" s="429">
        <v>124</v>
      </c>
      <c r="B479" s="738" t="e">
        <f t="array" ref="B479">LOOKUP(1,0/(('5.21出货明细'!V:V=$H$459)*('5.21出货明细'!A:A=A479)),'5.21出货明细'!D:D)</f>
        <v>#N/A</v>
      </c>
      <c r="C479" s="738" t="e">
        <f t="array" ref="C479">LOOKUP(1,0/(('5.21出货明细'!V:V=$H$459)*('5.21出货明细'!A:A=A479)),'5.21出货明细'!G:G&amp;'5.21出货明细'!F:F)</f>
        <v>#N/A</v>
      </c>
      <c r="D479" s="738" t="e">
        <f t="array" ref="D479">LOOKUP(1,0/(('5.21出货明细'!V:V=$H$459)*('5.21出货明细'!A:A=A479)),'5.21出货明细'!K:K)</f>
        <v>#N/A</v>
      </c>
      <c r="E479" s="680" t="e">
        <f t="array" ref="E479">LOOKUP(1,0/(('5.21出货明细'!V:V=$H$459)*('5.21出货明细'!A:A=A479)),'5.21出货明细'!J:J)</f>
        <v>#N/A</v>
      </c>
      <c r="F479" s="683" t="e">
        <f t="array" ref="F479">LOOKUP(1,0/(('5.21出货明细'!V:V=$H$459)*('5.21出货明细'!A:A=A479)),'5.21出货明细'!Z:Z)</f>
        <v>#N/A</v>
      </c>
      <c r="G479" s="683" t="e">
        <f t="shared" ref="G479:G485" si="10">F479*D479</f>
        <v>#N/A</v>
      </c>
      <c r="H479" s="734"/>
    </row>
    <row r="480" customFormat="1" ht="44" customHeight="1" spans="1:8">
      <c r="A480" s="429">
        <v>125</v>
      </c>
      <c r="B480" s="738" t="e">
        <f t="array" ref="B480">LOOKUP(1,0/(('5.21出货明细'!V:V=$H$459)*('5.21出货明细'!A:A=A480)),'5.21出货明细'!D:D)</f>
        <v>#N/A</v>
      </c>
      <c r="C480" s="738" t="e">
        <f t="array" ref="C480">LOOKUP(1,0/(('5.21出货明细'!V:V=$H$459)*('5.21出货明细'!A:A=A480)),'5.21出货明细'!G:G&amp;'5.21出货明细'!F:F)</f>
        <v>#N/A</v>
      </c>
      <c r="D480" s="738" t="e">
        <f t="array" ref="D480">LOOKUP(1,0/(('5.21出货明细'!V:V=$H$459)*('5.21出货明细'!A:A=A480)),'5.21出货明细'!K:K)</f>
        <v>#N/A</v>
      </c>
      <c r="E480" s="680" t="e">
        <f t="array" ref="E480">LOOKUP(1,0/(('5.21出货明细'!V:V=$H$459)*('5.21出货明细'!A:A=A480)),'5.21出货明细'!J:J)</f>
        <v>#N/A</v>
      </c>
      <c r="F480" s="683" t="e">
        <f t="array" ref="F480">LOOKUP(1,0/(('5.21出货明细'!V:V=$H$459)*('5.21出货明细'!A:A=A480)),'5.21出货明细'!Z:Z)</f>
        <v>#N/A</v>
      </c>
      <c r="G480" s="683" t="e">
        <f t="shared" si="10"/>
        <v>#N/A</v>
      </c>
      <c r="H480" s="734"/>
    </row>
    <row r="481" customFormat="1" ht="44" customHeight="1" spans="1:8">
      <c r="A481" s="429">
        <v>126</v>
      </c>
      <c r="B481" s="738" t="e">
        <f t="array" ref="B481">LOOKUP(1,0/(('5.21出货明细'!V:V=$H$459)*('5.21出货明细'!A:A=A481)),'5.21出货明细'!D:D)</f>
        <v>#N/A</v>
      </c>
      <c r="C481" s="738" t="e">
        <f t="array" ref="C481">LOOKUP(1,0/(('5.21出货明细'!V:V=$H$459)*('5.21出货明细'!A:A=A481)),'5.21出货明细'!G:G&amp;'5.21出货明细'!F:F)</f>
        <v>#N/A</v>
      </c>
      <c r="D481" s="738" t="e">
        <f t="array" ref="D481">LOOKUP(1,0/(('5.21出货明细'!V:V=$H$459)*('5.21出货明细'!A:A=A481)),'5.21出货明细'!K:K)</f>
        <v>#N/A</v>
      </c>
      <c r="E481" s="680" t="e">
        <f t="array" ref="E481">LOOKUP(1,0/(('5.21出货明细'!V:V=$H$459)*('5.21出货明细'!A:A=A481)),'5.21出货明细'!J:J)</f>
        <v>#N/A</v>
      </c>
      <c r="F481" s="683" t="e">
        <f t="array" ref="F481">LOOKUP(1,0/(('5.21出货明细'!V:V=$H$459)*('5.21出货明细'!A:A=A481)),'5.21出货明细'!Z:Z)</f>
        <v>#N/A</v>
      </c>
      <c r="G481" s="683" t="e">
        <f t="shared" si="10"/>
        <v>#N/A</v>
      </c>
      <c r="H481" s="734"/>
    </row>
    <row r="482" customFormat="1" ht="40" customHeight="1" spans="1:8">
      <c r="A482" s="429">
        <v>127</v>
      </c>
      <c r="B482" s="738" t="e">
        <f t="array" ref="B482">LOOKUP(1,0/(('5.21出货明细'!V:V=$H$459)*('5.21出货明细'!A:A=A482)),'5.21出货明细'!D:D)</f>
        <v>#N/A</v>
      </c>
      <c r="C482" s="738" t="e">
        <f t="array" ref="C482">LOOKUP(1,0/(('5.21出货明细'!V:V=$H$459)*('5.21出货明细'!A:A=A482)),'5.21出货明细'!G:G&amp;'5.21出货明细'!F:F)</f>
        <v>#N/A</v>
      </c>
      <c r="D482" s="738" t="e">
        <f t="array" ref="D482">LOOKUP(1,0/(('5.21出货明细'!V:V=$H$459)*('5.21出货明细'!A:A=A482)),'5.21出货明细'!K:K)</f>
        <v>#N/A</v>
      </c>
      <c r="E482" s="680" t="e">
        <f t="array" ref="E482">LOOKUP(1,0/(('5.21出货明细'!V:V=$H$459)*('5.21出货明细'!A:A=A482)),'5.21出货明细'!J:J)</f>
        <v>#N/A</v>
      </c>
      <c r="F482" s="683" t="e">
        <f t="array" ref="F482">LOOKUP(1,0/(('5.21出货明细'!V:V=$H$459)*('5.21出货明细'!A:A=A482)),'5.21出货明细'!Z:Z)</f>
        <v>#N/A</v>
      </c>
      <c r="G482" s="683" t="e">
        <f t="shared" si="10"/>
        <v>#N/A</v>
      </c>
      <c r="H482" s="734"/>
    </row>
    <row r="483" customFormat="1" ht="40" customHeight="1" spans="1:8">
      <c r="A483" s="429">
        <v>128</v>
      </c>
      <c r="B483" s="738" t="e">
        <f t="array" ref="B483">LOOKUP(1,0/(('5.21出货明细'!V:V=$H$459)*('5.21出货明细'!A:A=A483)),'5.21出货明细'!D:D)</f>
        <v>#N/A</v>
      </c>
      <c r="C483" s="738" t="e">
        <f t="array" ref="C483">LOOKUP(1,0/(('5.21出货明细'!V:V=$H$459)*('5.21出货明细'!A:A=A483)),'5.21出货明细'!G:G&amp;'5.21出货明细'!F:F)</f>
        <v>#N/A</v>
      </c>
      <c r="D483" s="738" t="e">
        <f t="array" ref="D483">LOOKUP(1,0/(('5.21出货明细'!V:V=$H$459)*('5.21出货明细'!A:A=A483)),'5.21出货明细'!K:K)</f>
        <v>#N/A</v>
      </c>
      <c r="E483" s="680" t="e">
        <f t="array" ref="E483">LOOKUP(1,0/(('5.21出货明细'!V:V=$H$459)*('5.21出货明细'!A:A=A483)),'5.21出货明细'!J:J)</f>
        <v>#N/A</v>
      </c>
      <c r="F483" s="683" t="e">
        <f t="array" ref="F483">LOOKUP(1,0/(('5.21出货明细'!V:V=$H$459)*('5.21出货明细'!A:A=A483)),'5.21出货明细'!Z:Z)</f>
        <v>#N/A</v>
      </c>
      <c r="G483" s="683" t="e">
        <f t="shared" si="10"/>
        <v>#N/A</v>
      </c>
      <c r="H483" s="734"/>
    </row>
    <row r="484" customFormat="1" ht="40" customHeight="1" spans="1:8">
      <c r="A484" s="429">
        <v>129</v>
      </c>
      <c r="B484" s="738" t="e">
        <f t="array" ref="B484">LOOKUP(1,0/(('5.21出货明细'!V:V=$H$459)*('5.21出货明细'!A:A=A484)),'5.21出货明细'!D:D)</f>
        <v>#N/A</v>
      </c>
      <c r="C484" s="738" t="e">
        <f t="array" ref="C484">LOOKUP(1,0/(('5.21出货明细'!V:V=$H$459)*('5.21出货明细'!A:A=A484)),'5.21出货明细'!G:G&amp;'5.21出货明细'!F:F)</f>
        <v>#N/A</v>
      </c>
      <c r="D484" s="738" t="e">
        <f t="array" ref="D484">LOOKUP(1,0/(('5.21出货明细'!V:V=$H$459)*('5.21出货明细'!A:A=A484)),'5.21出货明细'!K:K)</f>
        <v>#N/A</v>
      </c>
      <c r="E484" s="680" t="e">
        <f t="array" ref="E484">LOOKUP(1,0/(('5.21出货明细'!V:V=$H$459)*('5.21出货明细'!A:A=A484)),'5.21出货明细'!J:J)</f>
        <v>#N/A</v>
      </c>
      <c r="F484" s="683" t="e">
        <f t="array" ref="F484">LOOKUP(1,0/(('5.21出货明细'!V:V=$H$459)*('5.21出货明细'!A:A=A484)),'5.21出货明细'!Z:Z)</f>
        <v>#N/A</v>
      </c>
      <c r="G484" s="683" t="e">
        <f t="shared" si="10"/>
        <v>#N/A</v>
      </c>
      <c r="H484" s="734"/>
    </row>
    <row r="485" customFormat="1" ht="40" customHeight="1" spans="1:8">
      <c r="A485" s="429"/>
      <c r="B485" s="738"/>
      <c r="C485" s="738"/>
      <c r="D485" s="738"/>
      <c r="E485" s="680"/>
      <c r="F485" s="686"/>
      <c r="G485" s="683"/>
      <c r="H485" s="734"/>
    </row>
    <row r="486" customFormat="1" ht="40" customHeight="1" spans="1:8">
      <c r="B486" s="739"/>
      <c r="C486" s="740"/>
      <c r="D486" s="741"/>
      <c r="E486" s="740"/>
      <c r="F486" s="683"/>
      <c r="G486" s="742" t="e">
        <f>SUM(G478:G485)</f>
        <v>#N/A</v>
      </c>
      <c r="H486" s="740"/>
    </row>
    <row r="487" customFormat="1" ht="15.75" spans="1:8">
      <c r="B487" s="705"/>
      <c r="C487" s="743"/>
      <c r="D487" s="706"/>
      <c r="E487" s="732"/>
      <c r="F487" s="744"/>
      <c r="G487" s="745"/>
      <c r="H487" s="732"/>
    </row>
    <row r="488" customFormat="1" ht="16.5" spans="1:8">
      <c r="B488" s="746" t="s">
        <v>1572</v>
      </c>
      <c r="C488" s="747" t="s">
        <v>1573</v>
      </c>
      <c r="D488" s="748"/>
      <c r="E488" s="748"/>
      <c r="F488" s="748"/>
      <c r="G488" s="749"/>
      <c r="H488" s="706"/>
    </row>
    <row r="489" customFormat="1" ht="16.5" spans="1:8">
      <c r="B489" s="750" t="s">
        <v>1574</v>
      </c>
      <c r="C489" s="751" t="s">
        <v>1595</v>
      </c>
      <c r="D489" s="751"/>
      <c r="E489" s="752"/>
      <c r="F489" s="752"/>
      <c r="G489" s="752"/>
      <c r="H489" s="743"/>
    </row>
    <row r="490" customFormat="1" ht="16.5" spans="1:8">
      <c r="B490" s="753" t="s">
        <v>1575</v>
      </c>
      <c r="C490" s="751" t="s">
        <v>1576</v>
      </c>
      <c r="D490" s="751"/>
      <c r="E490" s="751"/>
      <c r="F490" s="754"/>
      <c r="G490" s="754"/>
      <c r="H490" s="755"/>
    </row>
    <row r="491" customFormat="1" ht="33" spans="1:8">
      <c r="B491" s="750" t="s">
        <v>1577</v>
      </c>
      <c r="C491" s="751" t="s">
        <v>1578</v>
      </c>
      <c r="D491" s="754"/>
      <c r="E491" s="756" t="s">
        <v>1579</v>
      </c>
      <c r="F491" s="756"/>
      <c r="G491" s="757" t="s">
        <v>1580</v>
      </c>
      <c r="H491" s="755"/>
    </row>
    <row r="492" customFormat="1" ht="33" spans="1:8">
      <c r="B492" s="758" t="s">
        <v>1581</v>
      </c>
      <c r="C492" s="751" t="s">
        <v>1582</v>
      </c>
      <c r="D492" s="754"/>
      <c r="E492" s="754"/>
      <c r="F492" s="754"/>
      <c r="G492" s="754"/>
      <c r="H492" s="755"/>
    </row>
    <row r="493" customFormat="1" ht="16.5" spans="1:8">
      <c r="B493" s="754" t="s">
        <v>1583</v>
      </c>
      <c r="C493" s="754"/>
      <c r="D493" s="754"/>
      <c r="E493" s="754"/>
      <c r="F493" s="754"/>
      <c r="G493" s="754"/>
      <c r="H493" s="755"/>
    </row>
    <row r="494" customFormat="1" ht="16.5" spans="1:8">
      <c r="B494" s="754" t="s">
        <v>1584</v>
      </c>
      <c r="C494" s="754"/>
      <c r="D494" s="754"/>
      <c r="E494" s="754"/>
      <c r="F494" s="754"/>
      <c r="G494" s="754"/>
      <c r="H494" s="755"/>
    </row>
    <row r="495" customFormat="1" ht="15.75" spans="1:8">
      <c r="B495" s="759"/>
      <c r="C495" s="759"/>
      <c r="D495" s="759"/>
      <c r="E495" s="759"/>
      <c r="F495" s="759"/>
      <c r="G495" s="759"/>
      <c r="H495" s="759"/>
    </row>
    <row r="496" customFormat="1" ht="31.5" spans="1:8">
      <c r="B496" s="760" t="s">
        <v>1585</v>
      </c>
      <c r="C496" s="761" t="s">
        <v>1586</v>
      </c>
      <c r="D496" s="762" t="s">
        <v>1587</v>
      </c>
      <c r="E496" s="763" t="s">
        <v>1618</v>
      </c>
      <c r="F496" s="764"/>
      <c r="G496" s="764"/>
      <c r="H496" s="764"/>
    </row>
    <row r="497" customFormat="1" ht="28.5" spans="2:8">
      <c r="B497" s="760" t="s">
        <v>1589</v>
      </c>
      <c r="C497" s="765"/>
      <c r="D497" s="766" t="s">
        <v>1590</v>
      </c>
      <c r="E497" s="766"/>
      <c r="F497" s="767"/>
      <c r="G497" s="768"/>
      <c r="H497" s="768"/>
    </row>
  </sheetData>
  <mergeCells count="210">
    <mergeCell ref="B1:H1"/>
    <mergeCell ref="B2:H2"/>
    <mergeCell ref="B3:H3"/>
    <mergeCell ref="C4:D4"/>
    <mergeCell ref="C16:F16"/>
    <mergeCell ref="B20:H20"/>
    <mergeCell ref="F23:G23"/>
    <mergeCell ref="C45:D45"/>
    <mergeCell ref="E47:F47"/>
    <mergeCell ref="E52:H52"/>
    <mergeCell ref="D53:E53"/>
    <mergeCell ref="G53:H53"/>
    <mergeCell ref="B56:H56"/>
    <mergeCell ref="B57:H57"/>
    <mergeCell ref="B58:H58"/>
    <mergeCell ref="C59:D59"/>
    <mergeCell ref="C71:F71"/>
    <mergeCell ref="B75:H75"/>
    <mergeCell ref="F78:G78"/>
    <mergeCell ref="C93:D93"/>
    <mergeCell ref="E95:F95"/>
    <mergeCell ref="E100:H100"/>
    <mergeCell ref="D101:E101"/>
    <mergeCell ref="G101:H101"/>
    <mergeCell ref="B103:H103"/>
    <mergeCell ref="B104:H104"/>
    <mergeCell ref="B105:H105"/>
    <mergeCell ref="C106:D106"/>
    <mergeCell ref="C118:F118"/>
    <mergeCell ref="B122:H122"/>
    <mergeCell ref="F125:G125"/>
    <mergeCell ref="C141:D141"/>
    <mergeCell ref="E143:F143"/>
    <mergeCell ref="E148:H148"/>
    <mergeCell ref="D149:E149"/>
    <mergeCell ref="G149:H149"/>
    <mergeCell ref="B151:H151"/>
    <mergeCell ref="B152:H152"/>
    <mergeCell ref="B153:H153"/>
    <mergeCell ref="C154:D154"/>
    <mergeCell ref="C166:F166"/>
    <mergeCell ref="B170:H170"/>
    <mergeCell ref="F173:G173"/>
    <mergeCell ref="C194:D194"/>
    <mergeCell ref="E196:F196"/>
    <mergeCell ref="E201:H201"/>
    <mergeCell ref="D202:E202"/>
    <mergeCell ref="G202:H202"/>
    <mergeCell ref="B204:H204"/>
    <mergeCell ref="B205:H205"/>
    <mergeCell ref="B206:H206"/>
    <mergeCell ref="C207:D207"/>
    <mergeCell ref="C219:F219"/>
    <mergeCell ref="B223:H223"/>
    <mergeCell ref="F226:G226"/>
    <mergeCell ref="C247:D247"/>
    <mergeCell ref="E249:F249"/>
    <mergeCell ref="E254:H254"/>
    <mergeCell ref="D255:E255"/>
    <mergeCell ref="G255:H255"/>
    <mergeCell ref="B257:H257"/>
    <mergeCell ref="B258:H258"/>
    <mergeCell ref="B259:H259"/>
    <mergeCell ref="C260:D260"/>
    <mergeCell ref="C272:F272"/>
    <mergeCell ref="B276:H276"/>
    <mergeCell ref="F279:G279"/>
    <mergeCell ref="C300:D300"/>
    <mergeCell ref="E302:F302"/>
    <mergeCell ref="E307:H307"/>
    <mergeCell ref="D308:E308"/>
    <mergeCell ref="G308:H308"/>
    <mergeCell ref="B310:H310"/>
    <mergeCell ref="B311:H311"/>
    <mergeCell ref="B312:H312"/>
    <mergeCell ref="C313:D313"/>
    <mergeCell ref="C325:F325"/>
    <mergeCell ref="B329:H329"/>
    <mergeCell ref="F332:G332"/>
    <mergeCell ref="C353:D353"/>
    <mergeCell ref="E355:F355"/>
    <mergeCell ref="E360:H360"/>
    <mergeCell ref="D361:E361"/>
    <mergeCell ref="G361:H361"/>
    <mergeCell ref="B363:H363"/>
    <mergeCell ref="B364:H364"/>
    <mergeCell ref="B365:H365"/>
    <mergeCell ref="C366:D366"/>
    <mergeCell ref="C378:F378"/>
    <mergeCell ref="B382:H382"/>
    <mergeCell ref="F385:G385"/>
    <mergeCell ref="C401:D401"/>
    <mergeCell ref="E403:F403"/>
    <mergeCell ref="E408:H408"/>
    <mergeCell ref="D409:E409"/>
    <mergeCell ref="G409:H409"/>
    <mergeCell ref="B411:H411"/>
    <mergeCell ref="B412:H412"/>
    <mergeCell ref="B413:H413"/>
    <mergeCell ref="C414:D414"/>
    <mergeCell ref="C426:F426"/>
    <mergeCell ref="B430:H430"/>
    <mergeCell ref="F433:G433"/>
    <mergeCell ref="C445:D445"/>
    <mergeCell ref="E447:F447"/>
    <mergeCell ref="E452:H452"/>
    <mergeCell ref="D453:E453"/>
    <mergeCell ref="G453:H453"/>
    <mergeCell ref="B455:H455"/>
    <mergeCell ref="B456:H456"/>
    <mergeCell ref="B457:H457"/>
    <mergeCell ref="C458:D458"/>
    <mergeCell ref="C470:F470"/>
    <mergeCell ref="B474:H474"/>
    <mergeCell ref="F477:G477"/>
    <mergeCell ref="C489:D489"/>
    <mergeCell ref="E491:F491"/>
    <mergeCell ref="E496:H496"/>
    <mergeCell ref="D497:E497"/>
    <mergeCell ref="G497:H497"/>
    <mergeCell ref="B5:B6"/>
    <mergeCell ref="B11:B12"/>
    <mergeCell ref="B60:B61"/>
    <mergeCell ref="B66:B67"/>
    <mergeCell ref="B107:B108"/>
    <mergeCell ref="B113:B114"/>
    <mergeCell ref="B155:B156"/>
    <mergeCell ref="B161:B162"/>
    <mergeCell ref="B208:B209"/>
    <mergeCell ref="B214:B215"/>
    <mergeCell ref="B261:B262"/>
    <mergeCell ref="B267:B268"/>
    <mergeCell ref="B314:B315"/>
    <mergeCell ref="B320:B321"/>
    <mergeCell ref="B367:B368"/>
    <mergeCell ref="B373:B374"/>
    <mergeCell ref="B415:B416"/>
    <mergeCell ref="B421:B422"/>
    <mergeCell ref="B459:B460"/>
    <mergeCell ref="B465:B466"/>
    <mergeCell ref="G5:G6"/>
    <mergeCell ref="G9:G10"/>
    <mergeCell ref="G13:G14"/>
    <mergeCell ref="G60:G61"/>
    <mergeCell ref="G64:G65"/>
    <mergeCell ref="G68:G69"/>
    <mergeCell ref="G107:G108"/>
    <mergeCell ref="G111:G112"/>
    <mergeCell ref="G115:G116"/>
    <mergeCell ref="G155:G156"/>
    <mergeCell ref="G159:G160"/>
    <mergeCell ref="G163:G164"/>
    <mergeCell ref="G208:G209"/>
    <mergeCell ref="G212:G213"/>
    <mergeCell ref="G216:G217"/>
    <mergeCell ref="G261:G262"/>
    <mergeCell ref="G265:G266"/>
    <mergeCell ref="G269:G270"/>
    <mergeCell ref="G314:G315"/>
    <mergeCell ref="G318:G319"/>
    <mergeCell ref="G322:G323"/>
    <mergeCell ref="G367:G368"/>
    <mergeCell ref="G371:G372"/>
    <mergeCell ref="G375:G376"/>
    <mergeCell ref="G415:G416"/>
    <mergeCell ref="G419:G420"/>
    <mergeCell ref="G423:G424"/>
    <mergeCell ref="G459:G460"/>
    <mergeCell ref="G463:G464"/>
    <mergeCell ref="G467:G468"/>
    <mergeCell ref="H9:H10"/>
    <mergeCell ref="H13:H14"/>
    <mergeCell ref="H64:H65"/>
    <mergeCell ref="H68:H69"/>
    <mergeCell ref="H111:H112"/>
    <mergeCell ref="H115:H116"/>
    <mergeCell ref="H159:H160"/>
    <mergeCell ref="H163:H164"/>
    <mergeCell ref="H212:H213"/>
    <mergeCell ref="H216:H217"/>
    <mergeCell ref="H265:H266"/>
    <mergeCell ref="H269:H270"/>
    <mergeCell ref="H318:H319"/>
    <mergeCell ref="H322:H323"/>
    <mergeCell ref="H371:H372"/>
    <mergeCell ref="H375:H376"/>
    <mergeCell ref="H419:H420"/>
    <mergeCell ref="H423:H424"/>
    <mergeCell ref="H463:H464"/>
    <mergeCell ref="H467:H468"/>
    <mergeCell ref="C8:F10"/>
    <mergeCell ref="C13:F14"/>
    <mergeCell ref="C63:F65"/>
    <mergeCell ref="C68:F69"/>
    <mergeCell ref="C158:F160"/>
    <mergeCell ref="C110:F112"/>
    <mergeCell ref="C115:F116"/>
    <mergeCell ref="C163:F164"/>
    <mergeCell ref="C211:F213"/>
    <mergeCell ref="C216:F217"/>
    <mergeCell ref="C264:F266"/>
    <mergeCell ref="C269:F270"/>
    <mergeCell ref="C317:F319"/>
    <mergeCell ref="C322:F323"/>
    <mergeCell ref="C370:F372"/>
    <mergeCell ref="C375:F376"/>
    <mergeCell ref="C462:F464"/>
    <mergeCell ref="C467:F468"/>
    <mergeCell ref="C418:F420"/>
    <mergeCell ref="C423:F424"/>
  </mergeCells>
  <pageMargins left="0.236111111111111" right="0.118055555555556" top="0.156944444444444" bottom="0.196527777777778" header="0.118055555555556" footer="0.0388888888888889"/>
  <pageSetup paperSize="9" scale="1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56"/>
  <sheetViews>
    <sheetView zoomScale="80" zoomScaleNormal="80" topLeftCell="A86" workbookViewId="0">
      <selection activeCell="B38" sqref="B38"/>
    </sheetView>
  </sheetViews>
  <sheetFormatPr defaultColWidth="8.61666666666667" defaultRowHeight="13.5"/>
  <cols>
    <col min="1" max="1" width="6.88333333333333" customWidth="1"/>
    <col min="2" max="2" width="24.7333333333333" customWidth="1"/>
    <col min="3" max="3" width="60.2166666666667" style="623" customWidth="1"/>
    <col min="4" max="5" width="13.2" customWidth="1"/>
    <col min="6" max="6" width="15.3583333333333" customWidth="1"/>
    <col min="7" max="7" width="19.2333333333333" customWidth="1"/>
    <col min="8" max="8" width="19.4666666666667" customWidth="1"/>
  </cols>
  <sheetData>
    <row r="1" ht="30" spans="1:8">
      <c r="A1" s="624"/>
      <c r="B1" s="625" t="s">
        <v>1540</v>
      </c>
      <c r="C1" s="625"/>
      <c r="D1" s="625"/>
      <c r="E1" s="625"/>
      <c r="F1" s="625"/>
      <c r="G1" s="625"/>
      <c r="H1" s="625"/>
    </row>
    <row r="2" ht="24" customHeight="1" spans="1:8">
      <c r="A2" s="626"/>
      <c r="B2" s="627" t="s">
        <v>1546</v>
      </c>
      <c r="C2" s="627"/>
      <c r="D2" s="627"/>
      <c r="E2" s="627"/>
      <c r="F2" s="627"/>
      <c r="G2" s="627"/>
      <c r="H2" s="627"/>
    </row>
    <row r="3" ht="35" customHeight="1" spans="1:8">
      <c r="A3" s="628"/>
      <c r="B3" s="629" t="s">
        <v>1619</v>
      </c>
      <c r="C3" s="629"/>
      <c r="D3" s="629"/>
      <c r="E3" s="629"/>
      <c r="F3" s="629"/>
      <c r="G3" s="629"/>
      <c r="H3" s="629"/>
    </row>
    <row r="4" ht="18" spans="1:8">
      <c r="A4" s="628"/>
      <c r="B4" s="629" t="s">
        <v>1620</v>
      </c>
      <c r="C4" s="629"/>
      <c r="D4" s="629"/>
      <c r="E4" s="629"/>
      <c r="F4" s="629"/>
      <c r="G4" s="629"/>
      <c r="H4" s="629"/>
    </row>
    <row r="5" ht="25.5" spans="1:8">
      <c r="A5" s="630"/>
      <c r="B5" s="631" t="s">
        <v>1621</v>
      </c>
      <c r="C5" s="631"/>
      <c r="D5" s="631"/>
      <c r="E5" s="631"/>
      <c r="F5" s="631"/>
      <c r="G5" s="631"/>
      <c r="H5" s="631"/>
    </row>
    <row r="6" ht="21.75" spans="1:8">
      <c r="A6" s="632"/>
      <c r="B6" s="633" t="s">
        <v>1622</v>
      </c>
      <c r="C6" s="633"/>
      <c r="D6" s="633"/>
      <c r="E6" s="633"/>
      <c r="F6" s="633"/>
      <c r="G6" s="633"/>
      <c r="H6" s="633"/>
    </row>
    <row r="7" ht="18" spans="1:8">
      <c r="A7" s="634"/>
      <c r="B7" s="635"/>
      <c r="C7" s="635"/>
      <c r="D7" s="635"/>
      <c r="E7" s="635"/>
      <c r="F7" s="635"/>
      <c r="G7" s="635"/>
      <c r="H7" s="635"/>
    </row>
    <row r="8" ht="18" spans="1:8">
      <c r="A8" s="636"/>
      <c r="B8" s="637" t="s">
        <v>1623</v>
      </c>
      <c r="C8" s="637"/>
      <c r="D8" s="637"/>
      <c r="E8" s="637"/>
      <c r="F8" s="637"/>
      <c r="G8" s="638"/>
      <c r="H8" s="638"/>
    </row>
    <row r="9" ht="33" spans="1:8">
      <c r="A9" s="639"/>
      <c r="B9" s="640" t="s">
        <v>1624</v>
      </c>
      <c r="C9" s="640"/>
      <c r="D9" s="640"/>
      <c r="E9" s="640"/>
      <c r="F9" s="640"/>
      <c r="G9" s="641" t="s">
        <v>1625</v>
      </c>
      <c r="H9" s="642" t="s">
        <v>1626</v>
      </c>
    </row>
    <row r="10" ht="18" spans="1:8">
      <c r="A10" s="643"/>
      <c r="B10" s="644" t="s">
        <v>1540</v>
      </c>
      <c r="C10" s="644"/>
      <c r="D10" s="644"/>
      <c r="E10" s="644"/>
      <c r="F10" s="644"/>
      <c r="G10" s="641"/>
      <c r="H10" s="645"/>
    </row>
    <row r="11" ht="42" customHeight="1" spans="1:8">
      <c r="A11" s="636"/>
      <c r="B11" s="637" t="s">
        <v>1627</v>
      </c>
      <c r="C11" s="637"/>
      <c r="D11" s="637"/>
      <c r="E11" s="637"/>
      <c r="F11" s="636"/>
      <c r="G11" s="646" t="s">
        <v>1628</v>
      </c>
      <c r="H11" s="647">
        <f>实业合同!H9</f>
        <v>46076</v>
      </c>
    </row>
    <row r="12" ht="28" customHeight="1" spans="1:8">
      <c r="A12" s="636"/>
      <c r="B12" s="637"/>
      <c r="C12" s="637"/>
      <c r="D12" s="637"/>
      <c r="E12" s="637"/>
      <c r="F12" s="636"/>
      <c r="G12" s="646"/>
      <c r="H12" s="648"/>
    </row>
    <row r="13" ht="33" spans="1:8">
      <c r="A13" s="639"/>
      <c r="B13" s="640" t="s">
        <v>1629</v>
      </c>
      <c r="C13" s="640"/>
      <c r="D13" s="640"/>
      <c r="E13" s="640"/>
      <c r="F13" s="640"/>
      <c r="G13" s="649" t="s">
        <v>1630</v>
      </c>
      <c r="H13" s="642" t="str">
        <f>实业合同!H5</f>
        <v>RPIRRI260276</v>
      </c>
    </row>
    <row r="14" ht="18" spans="1:8">
      <c r="A14" s="636"/>
      <c r="B14" s="637" t="s">
        <v>1558</v>
      </c>
      <c r="C14" s="637"/>
      <c r="D14" s="636"/>
      <c r="E14" s="636"/>
      <c r="F14" s="636"/>
      <c r="G14" s="649"/>
      <c r="H14" s="645"/>
    </row>
    <row r="15" ht="25" customHeight="1" spans="1:8">
      <c r="A15" s="639"/>
      <c r="B15" s="640" t="s">
        <v>1631</v>
      </c>
      <c r="C15" s="640"/>
      <c r="D15" s="640"/>
      <c r="E15" s="640"/>
      <c r="F15" s="640"/>
      <c r="G15" s="650"/>
      <c r="H15" s="651"/>
    </row>
    <row r="16" ht="18" spans="1:8">
      <c r="A16" s="639"/>
      <c r="B16" s="640"/>
      <c r="C16" s="640"/>
      <c r="D16" s="640"/>
      <c r="E16" s="640"/>
      <c r="F16" s="640"/>
      <c r="G16" s="646" t="s">
        <v>1632</v>
      </c>
      <c r="H16" s="652" t="s">
        <v>1633</v>
      </c>
    </row>
    <row r="17" ht="18" spans="1:8">
      <c r="A17" s="653"/>
      <c r="B17" s="654" t="s">
        <v>1560</v>
      </c>
      <c r="C17" s="653"/>
      <c r="D17" s="653"/>
      <c r="E17" s="655"/>
      <c r="F17" s="656"/>
      <c r="G17" s="646"/>
      <c r="H17" s="657"/>
    </row>
    <row r="18" ht="18" spans="1:8">
      <c r="A18" s="653"/>
      <c r="B18" s="654" t="s">
        <v>1561</v>
      </c>
      <c r="C18" s="653"/>
      <c r="D18" s="658"/>
      <c r="E18" s="655"/>
      <c r="F18" s="656"/>
      <c r="G18" s="659"/>
      <c r="H18" s="660"/>
    </row>
    <row r="19" ht="18" spans="1:8">
      <c r="A19" s="639"/>
      <c r="B19" s="640" t="s">
        <v>1634</v>
      </c>
      <c r="C19" s="640"/>
      <c r="D19" s="640"/>
      <c r="E19" s="640"/>
      <c r="F19" s="640"/>
      <c r="G19" s="659"/>
      <c r="H19" s="660"/>
    </row>
    <row r="20" ht="18" spans="1:8">
      <c r="A20" s="661"/>
      <c r="B20" s="661" t="s">
        <v>1635</v>
      </c>
      <c r="C20" s="661"/>
      <c r="D20" s="661"/>
      <c r="E20" s="661"/>
      <c r="F20" s="661"/>
      <c r="G20" s="659"/>
      <c r="H20" s="660"/>
    </row>
    <row r="21" ht="18" spans="1:8">
      <c r="A21" s="653"/>
      <c r="B21" s="654" t="s">
        <v>1551</v>
      </c>
      <c r="C21" s="658"/>
      <c r="D21" s="662"/>
      <c r="E21" s="662"/>
      <c r="F21" s="663"/>
      <c r="G21" s="659"/>
      <c r="H21" s="660"/>
    </row>
    <row r="22" ht="18" spans="1:8">
      <c r="A22" s="653"/>
      <c r="B22" s="653" t="s">
        <v>1552</v>
      </c>
      <c r="C22" s="653"/>
      <c r="D22" s="658"/>
      <c r="E22" s="662"/>
      <c r="F22" s="663"/>
      <c r="G22" s="659"/>
      <c r="H22" s="660"/>
    </row>
    <row r="23" s="621" customFormat="1" ht="26" customHeight="1" spans="1:8">
      <c r="A23" s="636"/>
      <c r="B23" s="637" t="s">
        <v>1636</v>
      </c>
      <c r="C23" s="637"/>
      <c r="D23" s="637"/>
      <c r="E23" s="637"/>
      <c r="F23" s="637"/>
      <c r="G23" s="664"/>
      <c r="H23" s="664"/>
    </row>
    <row r="24" s="621" customFormat="1" ht="26" customHeight="1" spans="1:8">
      <c r="A24" s="636"/>
      <c r="B24" s="637"/>
      <c r="C24" s="637"/>
      <c r="D24" s="637"/>
      <c r="E24" s="637"/>
      <c r="F24" s="637"/>
      <c r="G24" s="664"/>
      <c r="H24" s="664"/>
    </row>
    <row r="25" s="621" customFormat="1" ht="17" customHeight="1" spans="1:8">
      <c r="A25" s="636"/>
      <c r="B25" s="637"/>
      <c r="C25" s="637"/>
      <c r="D25" s="637"/>
      <c r="E25" s="637"/>
      <c r="F25" s="637"/>
      <c r="G25" s="664"/>
      <c r="H25" s="664"/>
    </row>
    <row r="26" customFormat="1" ht="6" customHeight="1" spans="1:8">
      <c r="B26" s="665"/>
      <c r="C26" s="666"/>
      <c r="D26" s="665"/>
      <c r="E26" s="665"/>
      <c r="F26" s="667"/>
      <c r="G26" s="665"/>
      <c r="H26" s="665"/>
    </row>
    <row r="27" customFormat="1" ht="31.5" spans="1:8">
      <c r="B27" s="668" t="s">
        <v>1637</v>
      </c>
      <c r="C27" s="669" t="s">
        <v>1638</v>
      </c>
      <c r="D27" s="670"/>
      <c r="E27" s="671"/>
      <c r="F27" s="672" t="s">
        <v>1639</v>
      </c>
      <c r="G27" s="673" t="s">
        <v>1640</v>
      </c>
      <c r="H27" s="674"/>
    </row>
    <row r="28" customFormat="1" ht="31.5" spans="1:8">
      <c r="B28" s="668" t="s">
        <v>1641</v>
      </c>
      <c r="C28" s="668" t="s">
        <v>1642</v>
      </c>
      <c r="D28" s="668" t="s">
        <v>8</v>
      </c>
      <c r="E28" s="362" t="s">
        <v>1643</v>
      </c>
      <c r="F28" s="672" t="s">
        <v>1644</v>
      </c>
      <c r="G28" s="668" t="s">
        <v>1645</v>
      </c>
      <c r="H28" s="668" t="s">
        <v>1646</v>
      </c>
    </row>
    <row r="29" customFormat="1" ht="18" spans="1:8">
      <c r="B29" s="675"/>
      <c r="C29" s="676"/>
      <c r="D29" s="675"/>
      <c r="E29" s="675"/>
      <c r="F29" s="675"/>
      <c r="G29" s="677" t="s">
        <v>1571</v>
      </c>
      <c r="H29" s="678"/>
    </row>
    <row r="30" ht="41" customHeight="1" spans="1:8">
      <c r="A30">
        <v>1</v>
      </c>
      <c r="B30" s="679" t="e">
        <f t="array" ref="B30">LOOKUP(1,0/(('5.21出货明细'!V:V=$H$13)*('5.21出货明细'!X:X=$H$9)*('5.21出货明细'!A:A=A30)),'5.21出货明细'!D:D)</f>
        <v>#N/A</v>
      </c>
      <c r="C30" s="679" t="e">
        <f t="array" ref="C30">LOOKUP(1,0/(('5.21出货明细'!V:V=$H$13)*('5.21出货明细'!X:X=$H$9)*('5.21出货明细'!A:A=A30)),'5.21出货明细'!G:G&amp;'5.21出货明细'!F:F)</f>
        <v>#N/A</v>
      </c>
      <c r="D30" s="680" t="e">
        <f t="array" ref="D30">LOOKUP(1,0/(('5.21出货明细'!D:D=B30)*('5.21出货明细'!G:G&amp;'5.21出货明细'!F:F=C30)),'5.21出货明细'!J:J)</f>
        <v>#N/A</v>
      </c>
      <c r="E30" s="681" t="e">
        <f t="array" ref="E30">LOOKUP(1,0/(('5.21出货明细'!D:D=B30)*('5.21出货明细'!G:G&amp;'5.21出货明细'!F:F=C30)),'5.21出货明细'!C:C)</f>
        <v>#N/A</v>
      </c>
      <c r="F30" s="682" t="e">
        <f t="array" ref="F30">LOOKUP(1,0/(('5.21出货明细'!D:D=B30)*('5.21出货明细'!G:G&amp;'5.21出货明细'!F:F=C30)),'5.21出货明细'!K:K)</f>
        <v>#N/A</v>
      </c>
      <c r="G30" s="683" t="e">
        <f t="array" ref="G30">LOOKUP(1,0/(('5.21出货明细'!D:D=B30)*('5.21出货明细'!G:G&amp;'5.21出货明细'!F:F=C30)),'5.21出货明细'!Z:Z)</f>
        <v>#N/A</v>
      </c>
      <c r="H30" s="684" t="e">
        <f t="shared" ref="H30:H47" si="0">G30*F30</f>
        <v>#N/A</v>
      </c>
    </row>
    <row r="31" ht="41" customHeight="1" spans="1:8">
      <c r="A31">
        <v>2</v>
      </c>
      <c r="B31" s="679" t="e">
        <f t="array" ref="B31">LOOKUP(1,0/(('5.21出货明细'!V:V=$H$13)*('5.21出货明细'!X:X=$H$9)*('5.21出货明细'!A:A=A31)),'5.21出货明细'!D:D)</f>
        <v>#N/A</v>
      </c>
      <c r="C31" s="679" t="e">
        <f t="array" ref="C31">LOOKUP(1,0/(('5.21出货明细'!V:V=$H$13)*('5.21出货明细'!X:X=$H$9)*('5.21出货明细'!A:A=A31)),'5.21出货明细'!G:G&amp;'5.21出货明细'!F:F)</f>
        <v>#N/A</v>
      </c>
      <c r="D31" s="680" t="e">
        <f t="array" ref="D31">LOOKUP(1,0/(('5.21出货明细'!D:D=B31)*('5.21出货明细'!G:G&amp;'5.21出货明细'!F:F=C31)),'5.21出货明细'!J:J)</f>
        <v>#N/A</v>
      </c>
      <c r="E31" s="681" t="e">
        <f t="array" ref="E31">LOOKUP(1,0/(('5.21出货明细'!D:D=B31)*('5.21出货明细'!G:G&amp;'5.21出货明细'!F:F=C31)),'5.21出货明细'!C:C)</f>
        <v>#N/A</v>
      </c>
      <c r="F31" s="682" t="e">
        <f t="array" ref="F31">LOOKUP(1,0/(('5.21出货明细'!D:D=B31)*('5.21出货明细'!G:G&amp;'5.21出货明细'!F:F=C31)),'5.21出货明细'!K:K)</f>
        <v>#N/A</v>
      </c>
      <c r="G31" s="685" t="e">
        <f t="array" ref="G31">LOOKUP(1,0/(('5.21出货明细'!D:D=B31)*('5.21出货明细'!G:G&amp;'5.21出货明细'!F:F=C31)),'5.21出货明细'!Z:Z)</f>
        <v>#N/A</v>
      </c>
      <c r="H31" s="684" t="e">
        <f t="shared" si="0"/>
        <v>#N/A</v>
      </c>
    </row>
    <row r="32" ht="41" customHeight="1" spans="1:8">
      <c r="A32">
        <v>3</v>
      </c>
      <c r="B32" s="679" t="e">
        <f t="array" ref="B32">LOOKUP(1,0/(('5.21出货明细'!V:V=$H$13)*('5.21出货明细'!X:X=$H$9)*('5.21出货明细'!A:A=A32)),'5.21出货明细'!D:D)</f>
        <v>#N/A</v>
      </c>
      <c r="C32" s="679" t="e">
        <f t="array" ref="C32">LOOKUP(1,0/(('5.21出货明细'!V:V=$H$13)*('5.21出货明细'!X:X=$H$9)*('5.21出货明细'!A:A=A32)),'5.21出货明细'!G:G&amp;'5.21出货明细'!F:F)</f>
        <v>#N/A</v>
      </c>
      <c r="D32" s="680" t="e">
        <f t="array" ref="D32">LOOKUP(1,0/(('5.21出货明细'!D:D=B32)*('5.21出货明细'!G:G&amp;'5.21出货明细'!F:F=C32)),'5.21出货明细'!J:J)</f>
        <v>#N/A</v>
      </c>
      <c r="E32" s="681" t="e">
        <f t="array" ref="E32">LOOKUP(1,0/(('5.21出货明细'!D:D=B32)*('5.21出货明细'!G:G&amp;'5.21出货明细'!F:F=C32)),'5.21出货明细'!C:C)</f>
        <v>#N/A</v>
      </c>
      <c r="F32" s="682" t="e">
        <f t="array" ref="F32">LOOKUP(1,0/(('5.21出货明细'!D:D=B32)*('5.21出货明细'!G:G&amp;'5.21出货明细'!F:F=C32)),'5.21出货明细'!K:K)</f>
        <v>#N/A</v>
      </c>
      <c r="G32" s="683" t="e">
        <f t="array" ref="G32">LOOKUP(1,0/(('5.21出货明细'!D:D=B32)*('5.21出货明细'!G:G&amp;'5.21出货明细'!F:F=C32)),'5.21出货明细'!Z:Z)</f>
        <v>#N/A</v>
      </c>
      <c r="H32" s="684" t="e">
        <f t="shared" si="0"/>
        <v>#N/A</v>
      </c>
    </row>
    <row r="33" ht="41" customHeight="1" spans="1:8">
      <c r="A33">
        <v>4</v>
      </c>
      <c r="B33" s="679" t="e">
        <f t="array" ref="B33">LOOKUP(1,0/(('5.21出货明细'!V:V=$H$13)*('5.21出货明细'!X:X=$H$9)*('5.21出货明细'!A:A=A33)),'5.21出货明细'!D:D)</f>
        <v>#N/A</v>
      </c>
      <c r="C33" s="679" t="e">
        <f t="array" ref="C33">LOOKUP(1,0/(('5.21出货明细'!V:V=$H$13)*('5.21出货明细'!X:X=$H$9)*('5.21出货明细'!A:A=A33)),'5.21出货明细'!G:G&amp;'5.21出货明细'!F:F)</f>
        <v>#N/A</v>
      </c>
      <c r="D33" s="680" t="e">
        <f t="array" ref="D33">LOOKUP(1,0/(('5.21出货明细'!D:D=B33)*('5.21出货明细'!G:G&amp;'5.21出货明细'!F:F=C33)),'5.21出货明细'!J:J)</f>
        <v>#N/A</v>
      </c>
      <c r="E33" s="681" t="e">
        <f t="array" ref="E33">LOOKUP(1,0/(('5.21出货明细'!D:D=B33)*('5.21出货明细'!G:G&amp;'5.21出货明细'!F:F=C33)),'5.21出货明细'!C:C)</f>
        <v>#N/A</v>
      </c>
      <c r="F33" s="682" t="e">
        <f t="array" ref="F33">LOOKUP(1,0/(('5.21出货明细'!D:D=B33)*('5.21出货明细'!G:G&amp;'5.21出货明细'!F:F=C33)),'5.21出货明细'!K:K)</f>
        <v>#N/A</v>
      </c>
      <c r="G33" s="683" t="e">
        <f t="array" ref="G33">LOOKUP(1,0/(('5.21出货明细'!D:D=B33)*('5.21出货明细'!G:G&amp;'5.21出货明细'!F:F=C33)),'5.21出货明细'!Z:Z)</f>
        <v>#N/A</v>
      </c>
      <c r="H33" s="684" t="e">
        <f t="shared" si="0"/>
        <v>#N/A</v>
      </c>
    </row>
    <row r="34" ht="40" customHeight="1" spans="1:8">
      <c r="A34">
        <v>5</v>
      </c>
      <c r="B34" s="679" t="e">
        <f t="array" ref="B34">LOOKUP(1,0/(('5.21出货明细'!V:V=$H$13)*('5.21出货明细'!X:X=$H$9)*('5.21出货明细'!A:A=A34)),'5.21出货明细'!D:D)</f>
        <v>#N/A</v>
      </c>
      <c r="C34" s="679" t="e">
        <f t="array" ref="C34">LOOKUP(1,0/(('5.21出货明细'!V:V=$H$13)*('5.21出货明细'!X:X=$H$9)*('5.21出货明细'!A:A=A34)),'5.21出货明细'!G:G&amp;'5.21出货明细'!F:F)</f>
        <v>#N/A</v>
      </c>
      <c r="D34" s="680" t="e">
        <f t="array" ref="D34">LOOKUP(1,0/(('5.21出货明细'!D:D=B34)*('5.21出货明细'!G:G&amp;'5.21出货明细'!F:F=C34)),'5.21出货明细'!J:J)</f>
        <v>#N/A</v>
      </c>
      <c r="E34" s="681" t="e">
        <f t="array" ref="E34">LOOKUP(1,0/(('5.21出货明细'!D:D=B34)*('5.21出货明细'!G:G&amp;'5.21出货明细'!F:F=C34)),'5.21出货明细'!C:C)</f>
        <v>#N/A</v>
      </c>
      <c r="F34" s="682" t="e">
        <f t="array" ref="F34">LOOKUP(1,0/(('5.21出货明细'!D:D=B34)*('5.21出货明细'!G:G&amp;'5.21出货明细'!F:F=C34)),'5.21出货明细'!K:K)</f>
        <v>#N/A</v>
      </c>
      <c r="G34" s="683" t="e">
        <f t="array" ref="G34">LOOKUP(1,0/(('5.21出货明细'!D:D=B34)*('5.21出货明细'!G:G&amp;'5.21出货明细'!F:F=C34)),'5.21出货明细'!Z:Z)</f>
        <v>#N/A</v>
      </c>
      <c r="H34" s="684" t="e">
        <f t="shared" si="0"/>
        <v>#N/A</v>
      </c>
    </row>
    <row r="35" ht="40" customHeight="1" spans="1:8">
      <c r="A35">
        <v>6</v>
      </c>
      <c r="B35" s="679" t="e">
        <f t="array" ref="B35">LOOKUP(1,0/(('5.21出货明细'!V:V=$H$13)*('5.21出货明细'!X:X=$H$9)*('5.21出货明细'!A:A=A35)),'5.21出货明细'!D:D)</f>
        <v>#N/A</v>
      </c>
      <c r="C35" s="679" t="e">
        <f t="array" ref="C35">LOOKUP(1,0/(('5.21出货明细'!V:V=$H$13)*('5.21出货明细'!X:X=$H$9)*('5.21出货明细'!A:A=A35)),'5.21出货明细'!G:G&amp;'5.21出货明细'!F:F)</f>
        <v>#N/A</v>
      </c>
      <c r="D35" s="680" t="e">
        <f t="array" ref="D35">LOOKUP(1,0/(('5.21出货明细'!D:D=B35)*('5.21出货明细'!G:G&amp;'5.21出货明细'!F:F=C35)),'5.21出货明细'!J:J)</f>
        <v>#N/A</v>
      </c>
      <c r="E35" s="681" t="e">
        <f t="array" ref="E35">LOOKUP(1,0/(('5.21出货明细'!D:D=B35)*('5.21出货明细'!G:G&amp;'5.21出货明细'!F:F=C35)),'5.21出货明细'!C:C)</f>
        <v>#N/A</v>
      </c>
      <c r="F35" s="682" t="e">
        <f t="array" ref="F35">LOOKUP(1,0/(('5.21出货明细'!D:D=B35)*('5.21出货明细'!G:G&amp;'5.21出货明细'!F:F=C35)),'5.21出货明细'!K:K)</f>
        <v>#N/A</v>
      </c>
      <c r="G35" s="683" t="e">
        <f t="array" ref="G35">LOOKUP(1,0/(('5.21出货明细'!D:D=B35)*('5.21出货明细'!G:G&amp;'5.21出货明细'!F:F=C35)),'5.21出货明细'!Z:Z)</f>
        <v>#N/A</v>
      </c>
      <c r="H35" s="684" t="e">
        <f t="shared" si="0"/>
        <v>#N/A</v>
      </c>
    </row>
    <row r="36" ht="40" customHeight="1" spans="1:8">
      <c r="A36">
        <v>7</v>
      </c>
      <c r="B36" s="679" t="e">
        <f t="array" ref="B36">LOOKUP(1,0/(('5.21出货明细'!V:V=$H$13)*('5.21出货明细'!X:X=$H$9)*('5.21出货明细'!A:A=A36)),'5.21出货明细'!D:D)</f>
        <v>#N/A</v>
      </c>
      <c r="C36" s="679" t="e">
        <f t="array" ref="C36">LOOKUP(1,0/(('5.21出货明细'!V:V=$H$13)*('5.21出货明细'!X:X=$H$9)*('5.21出货明细'!A:A=A36)),'5.21出货明细'!G:G&amp;'5.21出货明细'!F:F)</f>
        <v>#N/A</v>
      </c>
      <c r="D36" s="680" t="e">
        <f t="array" ref="D36">LOOKUP(1,0/(('5.21出货明细'!D:D=B36)*('5.21出货明细'!G:G&amp;'5.21出货明细'!F:F=C36)),'5.21出货明细'!J:J)</f>
        <v>#N/A</v>
      </c>
      <c r="E36" s="681" t="e">
        <f t="array" ref="E36">LOOKUP(1,0/(('5.21出货明细'!D:D=B36)*('5.21出货明细'!G:G&amp;'5.21出货明细'!F:F=C36)),'5.21出货明细'!C:C)</f>
        <v>#N/A</v>
      </c>
      <c r="F36" s="682" t="e">
        <f t="array" ref="F36">LOOKUP(1,0/(('5.21出货明细'!D:D=B36)*('5.21出货明细'!G:G&amp;'5.21出货明细'!F:F=C36)),'5.21出货明细'!K:K)</f>
        <v>#N/A</v>
      </c>
      <c r="G36" s="683" t="e">
        <f t="array" ref="G36">LOOKUP(1,0/(('5.21出货明细'!D:D=B36)*('5.21出货明细'!G:G&amp;'5.21出货明细'!F:F=C36)),'5.21出货明细'!Z:Z)</f>
        <v>#N/A</v>
      </c>
      <c r="H36" s="684" t="e">
        <f t="shared" si="0"/>
        <v>#N/A</v>
      </c>
    </row>
    <row r="37" ht="40" customHeight="1" spans="1:8">
      <c r="A37">
        <v>8</v>
      </c>
      <c r="B37" s="679" t="e">
        <f t="array" ref="B37">LOOKUP(1,0/(('5.21出货明细'!V:V=$H$13)*('5.21出货明细'!X:X=$H$9)*('5.21出货明细'!A:A=A37)),'5.21出货明细'!D:D)</f>
        <v>#N/A</v>
      </c>
      <c r="C37" s="679" t="e">
        <f t="array" ref="C37">LOOKUP(1,0/(('5.21出货明细'!V:V=$H$13)*('5.21出货明细'!X:X=$H$9)*('5.21出货明细'!A:A=A37)),'5.21出货明细'!G:G&amp;'5.21出货明细'!F:F)</f>
        <v>#N/A</v>
      </c>
      <c r="D37" s="680" t="e">
        <f t="array" ref="D37">LOOKUP(1,0/(('5.21出货明细'!D:D=B37)*('5.21出货明细'!G:G&amp;'5.21出货明细'!F:F=C37)),'5.21出货明细'!J:J)</f>
        <v>#N/A</v>
      </c>
      <c r="E37" s="681" t="e">
        <f t="array" ref="E37">LOOKUP(1,0/(('5.21出货明细'!D:D=B37)*('5.21出货明细'!G:G&amp;'5.21出货明细'!F:F=C37)),'5.21出货明细'!C:C)</f>
        <v>#N/A</v>
      </c>
      <c r="F37" s="682" t="e">
        <f t="array" ref="F37">LOOKUP(1,0/(('5.21出货明细'!D:D=B37)*('5.21出货明细'!G:G&amp;'5.21出货明细'!F:F=C37)),'5.21出货明细'!K:K)</f>
        <v>#N/A</v>
      </c>
      <c r="G37" s="686" t="e">
        <f t="array" ref="G37">LOOKUP(1,0/(('5.21出货明细'!D:D=B37)*('5.21出货明细'!G:G&amp;'5.21出货明细'!F:F=C37)),'5.21出货明细'!Z:Z)</f>
        <v>#N/A</v>
      </c>
      <c r="H37" s="684" t="e">
        <f t="shared" si="0"/>
        <v>#N/A</v>
      </c>
    </row>
    <row r="38" ht="40" customHeight="1" spans="1:8">
      <c r="A38">
        <v>9</v>
      </c>
      <c r="B38" s="679" t="e">
        <f t="array" ref="B38">LOOKUP(1,0/(('5.21出货明细'!V:V=$H$13)*('5.21出货明细'!X:X=$H$9)*('5.21出货明细'!A:A=A38)),'5.21出货明细'!D:D)</f>
        <v>#N/A</v>
      </c>
      <c r="C38" s="679" t="e">
        <f t="array" ref="C38">LOOKUP(1,0/(('5.21出货明细'!V:V=$H$13)*('5.21出货明细'!X:X=$H$9)*('5.21出货明细'!A:A=A38)),'5.21出货明细'!G:G&amp;'5.21出货明细'!F:F)</f>
        <v>#N/A</v>
      </c>
      <c r="D38" s="680" t="e">
        <f t="array" ref="D38">LOOKUP(1,0/(('5.21出货明细'!D:D=B38)*('5.21出货明细'!G:G&amp;'5.21出货明细'!F:F=C38)),'5.21出货明细'!J:J)</f>
        <v>#N/A</v>
      </c>
      <c r="E38" s="681" t="e">
        <f t="array" ref="E38">LOOKUP(1,0/(('5.21出货明细'!D:D=B38)*('5.21出货明细'!G:G&amp;'5.21出货明细'!F:F=C38)),'5.21出货明细'!C:C)</f>
        <v>#N/A</v>
      </c>
      <c r="F38" s="682" t="e">
        <f t="array" ref="F38">LOOKUP(1,0/(('5.21出货明细'!D:D=B38)*('5.21出货明细'!G:G&amp;'5.21出货明细'!F:F=C38)),'5.21出货明细'!K:K)</f>
        <v>#N/A</v>
      </c>
      <c r="G38" s="683" t="e">
        <f t="array" ref="G38">LOOKUP(1,0/(('5.21出货明细'!D:D=B38)*('5.21出货明细'!G:G&amp;'5.21出货明细'!F:F=C38)),'5.21出货明细'!Z:Z)</f>
        <v>#N/A</v>
      </c>
      <c r="H38" s="684" t="e">
        <f t="shared" si="0"/>
        <v>#N/A</v>
      </c>
    </row>
    <row r="39" ht="40" customHeight="1" spans="1:8">
      <c r="A39">
        <v>10</v>
      </c>
      <c r="B39" s="679" t="e">
        <f t="array" ref="B39">LOOKUP(1,0/(('5.21出货明细'!V:V=$H$13)*('5.21出货明细'!X:X=$H$9)*('5.21出货明细'!A:A=A39)),'5.21出货明细'!D:D)</f>
        <v>#N/A</v>
      </c>
      <c r="C39" s="679" t="e">
        <f t="array" ref="C39">LOOKUP(1,0/(('5.21出货明细'!V:V=$H$13)*('5.21出货明细'!X:X=$H$9)*('5.21出货明细'!A:A=A39)),'5.21出货明细'!G:G&amp;'5.21出货明细'!F:F)</f>
        <v>#N/A</v>
      </c>
      <c r="D39" s="680" t="e">
        <f t="array" ref="D39">LOOKUP(1,0/(('5.21出货明细'!D:D=B39)*('5.21出货明细'!G:G&amp;'5.21出货明细'!F:F=C39)),'5.21出货明细'!J:J)</f>
        <v>#N/A</v>
      </c>
      <c r="E39" s="681" t="e">
        <f t="array" ref="E39">LOOKUP(1,0/(('5.21出货明细'!D:D=B39)*('5.21出货明细'!G:G&amp;'5.21出货明细'!F:F=C39)),'5.21出货明细'!C:C)</f>
        <v>#N/A</v>
      </c>
      <c r="F39" s="682" t="e">
        <f t="array" ref="F39">LOOKUP(1,0/(('5.21出货明细'!D:D=B39)*('5.21出货明细'!G:G&amp;'5.21出货明细'!F:F=C39)),'5.21出货明细'!K:K)</f>
        <v>#N/A</v>
      </c>
      <c r="G39" s="683" t="e">
        <f t="array" ref="G39">LOOKUP(1,0/(('5.21出货明细'!D:D=B39)*('5.21出货明细'!G:G&amp;'5.21出货明细'!F:F=C39)),'5.21出货明细'!Z:Z)</f>
        <v>#N/A</v>
      </c>
      <c r="H39" s="684" t="e">
        <f t="shared" si="0"/>
        <v>#N/A</v>
      </c>
    </row>
    <row r="40" ht="40" customHeight="1" spans="1:8">
      <c r="A40">
        <v>11</v>
      </c>
      <c r="B40" s="679" t="e">
        <f t="array" ref="B40">LOOKUP(1,0/(('5.21出货明细'!V:V=$H$13)*('5.21出货明细'!X:X=$H$9)*('5.21出货明细'!A:A=A40)),'5.21出货明细'!D:D)</f>
        <v>#N/A</v>
      </c>
      <c r="C40" s="679" t="e">
        <f t="array" ref="C40">LOOKUP(1,0/(('5.21出货明细'!V:V=$H$13)*('5.21出货明细'!X:X=$H$9)*('5.21出货明细'!A:A=A40)),'5.21出货明细'!G:G&amp;'5.21出货明细'!F:F)</f>
        <v>#N/A</v>
      </c>
      <c r="D40" s="680" t="e">
        <f t="array" ref="D40">LOOKUP(1,0/(('5.21出货明细'!D:D=B40)*('5.21出货明细'!G:G&amp;'5.21出货明细'!F:F=C40)),'5.21出货明细'!J:J)</f>
        <v>#N/A</v>
      </c>
      <c r="E40" s="681" t="e">
        <f t="array" ref="E40">LOOKUP(1,0/(('5.21出货明细'!D:D=B40)*('5.21出货明细'!G:G&amp;'5.21出货明细'!F:F=C40)),'5.21出货明细'!C:C)</f>
        <v>#N/A</v>
      </c>
      <c r="F40" s="682" t="e">
        <f t="array" ref="F40">LOOKUP(1,0/(('5.21出货明细'!D:D=B40)*('5.21出货明细'!G:G&amp;'5.21出货明细'!F:F=C40)),'5.21出货明细'!K:K)</f>
        <v>#N/A</v>
      </c>
      <c r="G40" s="683" t="e">
        <f t="array" ref="G40">LOOKUP(1,0/(('5.21出货明细'!D:D=B40)*('5.21出货明细'!G:G&amp;'5.21出货明细'!F:F=C40)),'5.21出货明细'!Z:Z)</f>
        <v>#N/A</v>
      </c>
      <c r="H40" s="684" t="e">
        <f t="shared" si="0"/>
        <v>#N/A</v>
      </c>
    </row>
    <row r="41" ht="40" customHeight="1" spans="1:8">
      <c r="A41">
        <v>12</v>
      </c>
      <c r="B41" s="679" t="e">
        <f t="array" ref="B41">LOOKUP(1,0/(('5.21出货明细'!V:V=$H$13)*('5.21出货明细'!X:X=$H$9)*('5.21出货明细'!A:A=A41)),'5.21出货明细'!D:D)</f>
        <v>#N/A</v>
      </c>
      <c r="C41" s="679" t="e">
        <f t="array" ref="C41">LOOKUP(1,0/(('5.21出货明细'!V:V=$H$13)*('5.21出货明细'!X:X=$H$9)*('5.21出货明细'!A:A=A41)),'5.21出货明细'!G:G&amp;'5.21出货明细'!F:F)</f>
        <v>#N/A</v>
      </c>
      <c r="D41" s="680" t="e">
        <f t="array" ref="D41">LOOKUP(1,0/(('5.21出货明细'!D:D=B41)*('5.21出货明细'!G:G&amp;'5.21出货明细'!F:F=C41)),'5.21出货明细'!J:J)</f>
        <v>#N/A</v>
      </c>
      <c r="E41" s="681" t="e">
        <f t="array" ref="E41">LOOKUP(1,0/(('5.21出货明细'!D:D=B41)*('5.21出货明细'!G:G&amp;'5.21出货明细'!F:F=C41)),'5.21出货明细'!C:C)</f>
        <v>#N/A</v>
      </c>
      <c r="F41" s="682" t="e">
        <f t="array" ref="F41">LOOKUP(1,0/(('5.21出货明细'!D:D=B41)*('5.21出货明细'!G:G&amp;'5.21出货明细'!F:F=C41)),'5.21出货明细'!K:K)</f>
        <v>#N/A</v>
      </c>
      <c r="G41" s="685" t="e">
        <f t="array" ref="G41">LOOKUP(1,0/(('5.21出货明细'!D:D=B41)*('5.21出货明细'!G:G&amp;'5.21出货明细'!F:F=C41)),'5.21出货明细'!Z:Z)</f>
        <v>#N/A</v>
      </c>
      <c r="H41" s="684" t="e">
        <f t="shared" si="0"/>
        <v>#N/A</v>
      </c>
    </row>
    <row r="42" ht="40" customHeight="1" spans="1:8">
      <c r="A42">
        <v>13</v>
      </c>
      <c r="B42" s="679" t="e">
        <f t="array" ref="B42">LOOKUP(1,0/(('5.21出货明细'!V:V=$H$13)*('5.21出货明细'!X:X=$H$9)*('5.21出货明细'!A:A=A42)),'5.21出货明细'!D:D)</f>
        <v>#N/A</v>
      </c>
      <c r="C42" s="679" t="e">
        <f t="array" ref="C42">LOOKUP(1,0/(('5.21出货明细'!V:V=$H$13)*('5.21出货明细'!X:X=$H$9)*('5.21出货明细'!A:A=A42)),'5.21出货明细'!G:G&amp;'5.21出货明细'!F:F)</f>
        <v>#N/A</v>
      </c>
      <c r="D42" s="680" t="e">
        <f t="array" ref="D42">LOOKUP(1,0/(('5.21出货明细'!D:D=B42)*('5.21出货明细'!G:G&amp;'5.21出货明细'!F:F=C42)),'5.21出货明细'!J:J)</f>
        <v>#N/A</v>
      </c>
      <c r="E42" s="681" t="e">
        <f t="array" ref="E42">LOOKUP(1,0/(('5.21出货明细'!D:D=B42)*('5.21出货明细'!G:G&amp;'5.21出货明细'!F:F=C42)),'5.21出货明细'!C:C)</f>
        <v>#N/A</v>
      </c>
      <c r="F42" s="682" t="e">
        <f t="array" ref="F42">LOOKUP(1,0/(('5.21出货明细'!D:D=B42)*('5.21出货明细'!G:G&amp;'5.21出货明细'!F:F=C42)),'5.21出货明细'!K:K)</f>
        <v>#N/A</v>
      </c>
      <c r="G42" s="683" t="e">
        <f t="array" ref="G42">LOOKUP(1,0/(('5.21出货明细'!D:D=B42)*('5.21出货明细'!G:G&amp;'5.21出货明细'!F:F=C42)),'5.21出货明细'!Z:Z)</f>
        <v>#N/A</v>
      </c>
      <c r="H42" s="684" t="e">
        <f t="shared" si="0"/>
        <v>#N/A</v>
      </c>
    </row>
    <row r="43" ht="40" customHeight="1" spans="1:8">
      <c r="A43">
        <v>14</v>
      </c>
      <c r="B43" s="679" t="e">
        <f t="array" ref="B43">LOOKUP(1,0/(('5.21出货明细'!V:V=$H$13)*('5.21出货明细'!X:X=$H$9)*('5.21出货明细'!A:A=A43)),'5.21出货明细'!D:D)</f>
        <v>#N/A</v>
      </c>
      <c r="C43" s="679" t="e">
        <f t="array" ref="C43">LOOKUP(1,0/(('5.21出货明细'!V:V=$H$13)*('5.21出货明细'!X:X=$H$9)*('5.21出货明细'!A:A=A43)),'5.21出货明细'!G:G&amp;'5.21出货明细'!F:F)</f>
        <v>#N/A</v>
      </c>
      <c r="D43" s="680" t="e">
        <f t="array" ref="D43">LOOKUP(1,0/(('5.21出货明细'!D:D=B43)*('5.21出货明细'!G:G&amp;'5.21出货明细'!F:F=C43)),'5.21出货明细'!J:J)</f>
        <v>#N/A</v>
      </c>
      <c r="E43" s="681" t="e">
        <f t="array" ref="E43">LOOKUP(1,0/(('5.21出货明细'!D:D=B43)*('5.21出货明细'!G:G&amp;'5.21出货明细'!F:F=C43)),'5.21出货明细'!C:C)</f>
        <v>#N/A</v>
      </c>
      <c r="F43" s="682" t="e">
        <f t="array" ref="F43">LOOKUP(1,0/(('5.21出货明细'!D:D=B43)*('5.21出货明细'!G:G&amp;'5.21出货明细'!F:F=C43)),'5.21出货明细'!K:K)</f>
        <v>#N/A</v>
      </c>
      <c r="G43" s="685" t="e">
        <f t="array" ref="G43">LOOKUP(1,0/(('5.21出货明细'!D:D=B43)*('5.21出货明细'!G:G&amp;'5.21出货明细'!F:F=C43)),'5.21出货明细'!Z:Z)</f>
        <v>#N/A</v>
      </c>
      <c r="H43" s="684" t="e">
        <f t="shared" si="0"/>
        <v>#N/A</v>
      </c>
    </row>
    <row r="44" ht="40" customHeight="1" spans="1:8">
      <c r="A44">
        <v>15</v>
      </c>
      <c r="B44" s="679" t="e">
        <f t="array" ref="B44">LOOKUP(1,0/(('5.21出货明细'!V:V=$H$13)*('5.21出货明细'!X:X=$H$9)*('5.21出货明细'!A:A=A44)),'5.21出货明细'!D:D)</f>
        <v>#N/A</v>
      </c>
      <c r="C44" s="679" t="e">
        <f t="array" ref="C44">LOOKUP(1,0/(('5.21出货明细'!V:V=$H$13)*('5.21出货明细'!X:X=$H$9)*('5.21出货明细'!A:A=A44)),'5.21出货明细'!G:G&amp;'5.21出货明细'!F:F)</f>
        <v>#N/A</v>
      </c>
      <c r="D44" s="680" t="e">
        <f t="array" ref="D44">LOOKUP(1,0/(('5.21出货明细'!D:D=B44)*('5.21出货明细'!G:G&amp;'5.21出货明细'!F:F=C44)),'5.21出货明细'!J:J)</f>
        <v>#N/A</v>
      </c>
      <c r="E44" s="681" t="e">
        <f t="array" ref="E44">LOOKUP(1,0/(('5.21出货明细'!D:D=B44)*('5.21出货明细'!G:G&amp;'5.21出货明细'!F:F=C44)),'5.21出货明细'!C:C)</f>
        <v>#N/A</v>
      </c>
      <c r="F44" s="682" t="e">
        <f t="array" ref="F44">LOOKUP(1,0/(('5.21出货明细'!D:D=B44)*('5.21出货明细'!G:G&amp;'5.21出货明细'!F:F=C44)),'5.21出货明细'!K:K)</f>
        <v>#N/A</v>
      </c>
      <c r="G44" s="683" t="e">
        <f t="array" ref="G44">LOOKUP(1,0/(('5.21出货明细'!D:D=B44)*('5.21出货明细'!G:G&amp;'5.21出货明细'!F:F=C44)),'5.21出货明细'!Z:Z)</f>
        <v>#N/A</v>
      </c>
      <c r="H44" s="684" t="e">
        <f t="shared" si="0"/>
        <v>#N/A</v>
      </c>
    </row>
    <row r="45" ht="40" customHeight="1" spans="1:8">
      <c r="A45">
        <v>16</v>
      </c>
      <c r="B45" s="679" t="e">
        <f t="array" ref="B45">LOOKUP(1,0/(('5.21出货明细'!V:V=$H$13)*('5.21出货明细'!X:X=$H$9)*('5.21出货明细'!A:A=A45)),'5.21出货明细'!D:D)</f>
        <v>#N/A</v>
      </c>
      <c r="C45" s="679" t="e">
        <f t="array" ref="C45">LOOKUP(1,0/(('5.21出货明细'!V:V=$H$13)*('5.21出货明细'!X:X=$H$9)*('5.21出货明细'!A:A=A45)),'5.21出货明细'!G:G&amp;'5.21出货明细'!F:F)</f>
        <v>#N/A</v>
      </c>
      <c r="D45" s="680" t="e">
        <f t="array" ref="D45">LOOKUP(1,0/(('5.21出货明细'!D:D=B45)*('5.21出货明细'!G:G&amp;'5.21出货明细'!F:F=C45)),'5.21出货明细'!J:J)</f>
        <v>#N/A</v>
      </c>
      <c r="E45" s="681" t="e">
        <f t="array" ref="E45">LOOKUP(1,0/(('5.21出货明细'!D:D=B45)*('5.21出货明细'!G:G&amp;'5.21出货明细'!F:F=C45)),'5.21出货明细'!C:C)</f>
        <v>#N/A</v>
      </c>
      <c r="F45" s="682" t="e">
        <f t="array" ref="F45">LOOKUP(1,0/(('5.21出货明细'!D:D=B45)*('5.21出货明细'!G:G&amp;'5.21出货明细'!F:F=C45)),'5.21出货明细'!K:K)</f>
        <v>#N/A</v>
      </c>
      <c r="G45" s="683" t="e">
        <f t="array" ref="G45">LOOKUP(1,0/(('5.21出货明细'!D:D=B45)*('5.21出货明细'!G:G&amp;'5.21出货明细'!F:F=C45)),'5.21出货明细'!Z:Z)</f>
        <v>#N/A</v>
      </c>
      <c r="H45" s="684" t="e">
        <f t="shared" si="0"/>
        <v>#N/A</v>
      </c>
    </row>
    <row r="46" ht="40" customHeight="1" spans="1:8">
      <c r="A46">
        <v>17</v>
      </c>
      <c r="B46" s="679" t="e">
        <f t="array" ref="B46">LOOKUP(1,0/(('5.21出货明细'!V:V=$H$13)*('5.21出货明细'!X:X=$H$9)*('5.21出货明细'!A:A=A46)),'5.21出货明细'!D:D)</f>
        <v>#N/A</v>
      </c>
      <c r="C46" s="679" t="e">
        <f t="array" ref="C46">LOOKUP(1,0/(('5.21出货明细'!V:V=$H$13)*('5.21出货明细'!X:X=$H$9)*('5.21出货明细'!A:A=A46)),'5.21出货明细'!G:G&amp;'5.21出货明细'!F:F)</f>
        <v>#N/A</v>
      </c>
      <c r="D46" s="680" t="e">
        <f t="array" ref="D46">LOOKUP(1,0/(('5.21出货明细'!D:D=B46)*('5.21出货明细'!G:G&amp;'5.21出货明细'!F:F=C46)),'5.21出货明细'!J:J)</f>
        <v>#N/A</v>
      </c>
      <c r="E46" s="681" t="e">
        <f t="array" ref="E46">LOOKUP(1,0/(('5.21出货明细'!D:D=B46)*('5.21出货明细'!G:G&amp;'5.21出货明细'!F:F=C46)),'5.21出货明细'!C:C)</f>
        <v>#N/A</v>
      </c>
      <c r="F46" s="682" t="e">
        <f t="array" ref="F46">LOOKUP(1,0/(('5.21出货明细'!D:D=B46)*('5.21出货明细'!G:G&amp;'5.21出货明细'!F:F=C46)),'5.21出货明细'!K:K)</f>
        <v>#N/A</v>
      </c>
      <c r="G46" s="683" t="e">
        <f t="array" ref="G46">LOOKUP(1,0/(('5.21出货明细'!D:D=B46)*('5.21出货明细'!G:G&amp;'5.21出货明细'!F:F=C46)),'5.21出货明细'!Z:Z)</f>
        <v>#N/A</v>
      </c>
      <c r="H46" s="684" t="e">
        <f t="shared" si="0"/>
        <v>#N/A</v>
      </c>
    </row>
    <row r="47" ht="40" customHeight="1" spans="1:8">
      <c r="A47">
        <v>18</v>
      </c>
      <c r="B47" s="679" t="e">
        <f t="array" ref="B47">LOOKUP(1,0/(('5.21出货明细'!V:V=$H$13)*('5.21出货明细'!X:X=$H$9)*('5.21出货明细'!A:A=A47)),'5.21出货明细'!D:D)</f>
        <v>#N/A</v>
      </c>
      <c r="C47" s="679" t="e">
        <f t="array" ref="C47">LOOKUP(1,0/(('5.21出货明细'!V:V=$H$13)*('5.21出货明细'!X:X=$H$9)*('5.21出货明细'!A:A=A47)),'5.21出货明细'!G:G&amp;'5.21出货明细'!F:F)</f>
        <v>#N/A</v>
      </c>
      <c r="D47" s="680" t="e">
        <f t="array" ref="D47">LOOKUP(1,0/(('5.21出货明细'!D:D=B47)*('5.21出货明细'!G:G&amp;'5.21出货明细'!F:F=C47)),'5.21出货明细'!J:J)</f>
        <v>#N/A</v>
      </c>
      <c r="E47" s="681" t="e">
        <f t="array" ref="E47">LOOKUP(1,0/(('5.21出货明细'!D:D=B47)*('5.21出货明细'!G:G&amp;'5.21出货明细'!F:F=C47)),'5.21出货明细'!C:C)</f>
        <v>#N/A</v>
      </c>
      <c r="F47" s="682" t="e">
        <f t="array" ref="F47">LOOKUP(1,0/(('5.21出货明细'!D:D=B47)*('5.21出货明细'!G:G&amp;'5.21出货明细'!F:F=C47)),'5.21出货明细'!K:K)</f>
        <v>#N/A</v>
      </c>
      <c r="G47" s="683" t="e">
        <f t="array" ref="G47">LOOKUP(1,0/(('5.21出货明细'!D:D=B47)*('5.21出货明细'!G:G&amp;'5.21出货明细'!F:F=C47)),'5.21出货明细'!Z:Z)</f>
        <v>#N/A</v>
      </c>
      <c r="H47" s="684" t="e">
        <f t="shared" si="0"/>
        <v>#N/A</v>
      </c>
    </row>
    <row r="48" customFormat="1" ht="26" customHeight="1" spans="1:8">
      <c r="B48" s="687"/>
      <c r="C48" s="688"/>
      <c r="D48" s="687"/>
      <c r="E48" s="687"/>
      <c r="F48" s="679" t="s">
        <v>1647</v>
      </c>
      <c r="G48" s="689" t="e">
        <f>SUM(H30:H47)</f>
        <v>#N/A</v>
      </c>
      <c r="H48" s="690"/>
    </row>
    <row r="49" customFormat="1" ht="36" spans="1:8">
      <c r="B49" s="691" t="s">
        <v>1648</v>
      </c>
      <c r="C49" s="692" t="e">
        <f>G48</f>
        <v>#N/A</v>
      </c>
      <c r="D49" s="693"/>
      <c r="E49" s="694"/>
      <c r="F49" s="695"/>
      <c r="G49" s="695"/>
      <c r="H49" s="695"/>
    </row>
    <row r="50" s="622" customFormat="1" ht="16.5" spans="1:8">
      <c r="A50" s="696"/>
      <c r="B50" s="697" t="s">
        <v>1649</v>
      </c>
      <c r="C50" s="697"/>
      <c r="D50" s="697"/>
      <c r="E50" s="696"/>
      <c r="F50" s="698" t="s">
        <v>1650</v>
      </c>
      <c r="G50" s="698"/>
      <c r="H50" s="698"/>
    </row>
    <row r="51" s="622" customFormat="1" ht="16.5" spans="1:8">
      <c r="A51" s="696"/>
      <c r="B51" s="697"/>
      <c r="C51" s="697"/>
      <c r="D51" s="697"/>
      <c r="E51" s="696"/>
      <c r="F51" s="698"/>
      <c r="G51" s="698"/>
      <c r="H51" s="698"/>
    </row>
    <row r="52" s="622" customFormat="1" ht="16.5" spans="1:8">
      <c r="A52" s="696"/>
      <c r="B52" s="697"/>
      <c r="C52" s="697"/>
      <c r="D52" s="697"/>
      <c r="E52" s="696"/>
      <c r="F52" s="699" t="s">
        <v>1651</v>
      </c>
      <c r="G52" s="699"/>
      <c r="H52" s="699"/>
    </row>
    <row r="53" s="622" customFormat="1" ht="65" customHeight="1" spans="1:8">
      <c r="A53" s="696"/>
      <c r="B53" s="697"/>
      <c r="C53" s="697"/>
      <c r="D53" s="697"/>
      <c r="E53" s="696"/>
      <c r="F53" s="699"/>
      <c r="G53" s="699"/>
      <c r="H53" s="699"/>
    </row>
    <row r="54" s="622" customFormat="1" ht="16.5" spans="1:8">
      <c r="A54" s="696"/>
      <c r="B54" s="697"/>
      <c r="C54" s="697"/>
      <c r="D54" s="697"/>
      <c r="E54" s="696"/>
      <c r="F54" s="699"/>
      <c r="G54" s="699"/>
      <c r="H54" s="699"/>
    </row>
    <row r="55" ht="30" spans="1:8">
      <c r="A55" s="624"/>
      <c r="B55" s="625" t="s">
        <v>1540</v>
      </c>
      <c r="C55" s="625"/>
      <c r="D55" s="625"/>
      <c r="E55" s="625"/>
      <c r="F55" s="625"/>
      <c r="G55" s="625"/>
      <c r="H55" s="625"/>
    </row>
    <row r="56" ht="24" customHeight="1" spans="1:8">
      <c r="A56" s="626"/>
      <c r="B56" s="627" t="s">
        <v>1546</v>
      </c>
      <c r="C56" s="627"/>
      <c r="D56" s="627"/>
      <c r="E56" s="627"/>
      <c r="F56" s="627"/>
      <c r="G56" s="627"/>
      <c r="H56" s="627"/>
    </row>
    <row r="57" ht="36" customHeight="1" spans="1:8">
      <c r="A57" s="628"/>
      <c r="B57" s="629" t="s">
        <v>1619</v>
      </c>
      <c r="C57" s="629"/>
      <c r="D57" s="629"/>
      <c r="E57" s="629"/>
      <c r="F57" s="629"/>
      <c r="G57" s="629"/>
      <c r="H57" s="629"/>
    </row>
    <row r="58" ht="18" spans="1:8">
      <c r="A58" s="628"/>
      <c r="B58" s="629" t="s">
        <v>1620</v>
      </c>
      <c r="C58" s="629"/>
      <c r="D58" s="629"/>
      <c r="E58" s="629"/>
      <c r="F58" s="629"/>
      <c r="G58" s="629"/>
      <c r="H58" s="629"/>
    </row>
    <row r="59" ht="25.5" spans="1:8">
      <c r="A59" s="630"/>
      <c r="B59" s="631" t="s">
        <v>1621</v>
      </c>
      <c r="C59" s="631"/>
      <c r="D59" s="631"/>
      <c r="E59" s="631"/>
      <c r="F59" s="631"/>
      <c r="G59" s="631"/>
      <c r="H59" s="631"/>
    </row>
    <row r="60" ht="21.75" spans="1:8">
      <c r="A60" s="632"/>
      <c r="B60" s="633" t="s">
        <v>1622</v>
      </c>
      <c r="C60" s="633"/>
      <c r="D60" s="633"/>
      <c r="E60" s="633"/>
      <c r="F60" s="633"/>
      <c r="G60" s="633"/>
      <c r="H60" s="633"/>
    </row>
    <row r="61" ht="18" spans="1:8">
      <c r="A61" s="634"/>
      <c r="B61" s="635"/>
      <c r="C61" s="635"/>
      <c r="D61" s="635"/>
      <c r="E61" s="635"/>
      <c r="F61" s="635"/>
      <c r="G61" s="635"/>
      <c r="H61" s="635"/>
    </row>
    <row r="62" ht="18" spans="1:8">
      <c r="A62" s="636"/>
      <c r="B62" s="637" t="s">
        <v>1623</v>
      </c>
      <c r="C62" s="637"/>
      <c r="D62" s="637"/>
      <c r="E62" s="637"/>
      <c r="F62" s="637"/>
      <c r="G62" s="638"/>
      <c r="H62" s="638"/>
    </row>
    <row r="63" ht="33" spans="1:8">
      <c r="A63" s="639"/>
      <c r="B63" s="640" t="s">
        <v>1624</v>
      </c>
      <c r="C63" s="640"/>
      <c r="D63" s="640"/>
      <c r="E63" s="640"/>
      <c r="F63" s="640"/>
      <c r="G63" s="641" t="s">
        <v>1625</v>
      </c>
      <c r="H63" s="642" t="s">
        <v>1652</v>
      </c>
    </row>
    <row r="64" ht="18" spans="1:8">
      <c r="A64" s="643"/>
      <c r="B64" s="644" t="s">
        <v>1540</v>
      </c>
      <c r="C64" s="644"/>
      <c r="D64" s="644"/>
      <c r="E64" s="644"/>
      <c r="F64" s="644"/>
      <c r="G64" s="641"/>
      <c r="H64" s="645"/>
    </row>
    <row r="65" ht="46" customHeight="1" spans="1:8">
      <c r="A65" s="636"/>
      <c r="B65" s="637" t="s">
        <v>1627</v>
      </c>
      <c r="C65" s="637"/>
      <c r="D65" s="637"/>
      <c r="E65" s="637"/>
      <c r="F65" s="636"/>
      <c r="G65" s="646" t="s">
        <v>1628</v>
      </c>
      <c r="H65" s="647">
        <f>实业合同!H9</f>
        <v>46076</v>
      </c>
    </row>
    <row r="66" ht="28" customHeight="1" spans="1:8">
      <c r="A66" s="636"/>
      <c r="B66" s="637"/>
      <c r="C66" s="637"/>
      <c r="D66" s="637"/>
      <c r="E66" s="637"/>
      <c r="F66" s="636"/>
      <c r="G66" s="646"/>
      <c r="H66" s="648"/>
    </row>
    <row r="67" ht="33" spans="1:8">
      <c r="A67" s="639"/>
      <c r="B67" s="640" t="s">
        <v>1629</v>
      </c>
      <c r="C67" s="640"/>
      <c r="D67" s="640"/>
      <c r="E67" s="640"/>
      <c r="F67" s="640"/>
      <c r="G67" s="649" t="s">
        <v>1630</v>
      </c>
      <c r="H67" s="642" t="str">
        <f>实业合同!H60</f>
        <v>RPIRRI260277</v>
      </c>
    </row>
    <row r="68" ht="18" spans="1:8">
      <c r="A68" s="636"/>
      <c r="B68" s="637" t="s">
        <v>1558</v>
      </c>
      <c r="C68" s="637"/>
      <c r="D68" s="636"/>
      <c r="E68" s="636"/>
      <c r="F68" s="636"/>
      <c r="G68" s="649"/>
      <c r="H68" s="645"/>
    </row>
    <row r="69" ht="25" customHeight="1" spans="1:8">
      <c r="A69" s="639"/>
      <c r="B69" s="640" t="s">
        <v>1631</v>
      </c>
      <c r="C69" s="640"/>
      <c r="D69" s="640"/>
      <c r="E69" s="640"/>
      <c r="F69" s="640"/>
      <c r="G69" s="650"/>
      <c r="H69" s="651"/>
    </row>
    <row r="70" ht="18" spans="1:8">
      <c r="A70" s="639"/>
      <c r="B70" s="640"/>
      <c r="C70" s="640"/>
      <c r="D70" s="640"/>
      <c r="E70" s="640"/>
      <c r="F70" s="640"/>
      <c r="G70" s="646" t="s">
        <v>1632</v>
      </c>
      <c r="H70" s="652" t="s">
        <v>1633</v>
      </c>
    </row>
    <row r="71" ht="18" spans="1:8">
      <c r="A71" s="653"/>
      <c r="B71" s="654" t="s">
        <v>1560</v>
      </c>
      <c r="C71" s="653"/>
      <c r="D71" s="653"/>
      <c r="E71" s="655"/>
      <c r="F71" s="656"/>
      <c r="G71" s="646"/>
      <c r="H71" s="657"/>
    </row>
    <row r="72" ht="18" spans="1:8">
      <c r="A72" s="653"/>
      <c r="B72" s="654" t="s">
        <v>1561</v>
      </c>
      <c r="C72" s="653"/>
      <c r="D72" s="658"/>
      <c r="E72" s="655"/>
      <c r="F72" s="656"/>
      <c r="G72" s="659"/>
      <c r="H72" s="660"/>
    </row>
    <row r="73" ht="18" spans="1:8">
      <c r="A73" s="639"/>
      <c r="B73" s="640" t="s">
        <v>1634</v>
      </c>
      <c r="C73" s="640"/>
      <c r="D73" s="640"/>
      <c r="E73" s="640"/>
      <c r="F73" s="640"/>
      <c r="G73" s="659"/>
      <c r="H73" s="660"/>
    </row>
    <row r="74" ht="18" spans="1:8">
      <c r="A74" s="661"/>
      <c r="B74" s="661" t="s">
        <v>1635</v>
      </c>
      <c r="C74" s="661"/>
      <c r="D74" s="661"/>
      <c r="E74" s="661"/>
      <c r="F74" s="661"/>
      <c r="G74" s="659"/>
      <c r="H74" s="660"/>
    </row>
    <row r="75" ht="18" spans="1:8">
      <c r="A75" s="653"/>
      <c r="B75" s="654" t="s">
        <v>960</v>
      </c>
      <c r="C75" s="658"/>
      <c r="D75" s="662"/>
      <c r="E75" s="662"/>
      <c r="F75" s="663"/>
      <c r="G75" s="659"/>
      <c r="H75" s="660"/>
    </row>
    <row r="76" ht="18" spans="1:8">
      <c r="A76" s="653"/>
      <c r="B76" s="653" t="s">
        <v>1592</v>
      </c>
      <c r="C76" s="653"/>
      <c r="D76" s="658"/>
      <c r="E76" s="662"/>
      <c r="F76" s="663"/>
      <c r="G76" s="659"/>
      <c r="H76" s="660"/>
    </row>
    <row r="77" s="621" customFormat="1" ht="20" customHeight="1" spans="1:8">
      <c r="A77" s="636"/>
      <c r="B77" s="637" t="s">
        <v>1593</v>
      </c>
      <c r="C77" s="637"/>
      <c r="D77" s="637"/>
      <c r="E77" s="637"/>
      <c r="F77" s="637"/>
      <c r="G77" s="664"/>
      <c r="H77" s="664"/>
    </row>
    <row r="78" s="621" customFormat="1" ht="20" customHeight="1" spans="1:8">
      <c r="A78" s="636"/>
      <c r="B78" s="637"/>
      <c r="C78" s="637"/>
      <c r="D78" s="637"/>
      <c r="E78" s="637"/>
      <c r="F78" s="637"/>
      <c r="G78" s="664"/>
      <c r="H78" s="664"/>
    </row>
    <row r="79" s="621" customFormat="1" ht="16" customHeight="1" spans="1:8">
      <c r="A79" s="636"/>
      <c r="B79" s="637"/>
      <c r="C79" s="637"/>
      <c r="D79" s="637"/>
      <c r="E79" s="637"/>
      <c r="F79" s="637"/>
      <c r="G79" s="664"/>
      <c r="H79" s="664"/>
    </row>
    <row r="80" customFormat="1" ht="3" customHeight="1" spans="1:8">
      <c r="B80" s="665"/>
      <c r="C80" s="666"/>
      <c r="D80" s="665"/>
      <c r="E80" s="665"/>
      <c r="F80" s="667"/>
      <c r="G80" s="665"/>
      <c r="H80" s="665"/>
    </row>
    <row r="81" customFormat="1" ht="31.5" spans="1:8">
      <c r="B81" s="668" t="s">
        <v>1637</v>
      </c>
      <c r="C81" s="669" t="s">
        <v>1638</v>
      </c>
      <c r="D81" s="670"/>
      <c r="E81" s="671"/>
      <c r="F81" s="672" t="s">
        <v>1639</v>
      </c>
      <c r="G81" s="673" t="s">
        <v>1640</v>
      </c>
      <c r="H81" s="674"/>
    </row>
    <row r="82" customFormat="1" ht="31.5" spans="1:8">
      <c r="B82" s="668" t="s">
        <v>1641</v>
      </c>
      <c r="C82" s="668" t="s">
        <v>1642</v>
      </c>
      <c r="D82" s="668" t="s">
        <v>8</v>
      </c>
      <c r="E82" s="362" t="s">
        <v>1643</v>
      </c>
      <c r="F82" s="672" t="s">
        <v>1644</v>
      </c>
      <c r="G82" s="668" t="s">
        <v>1645</v>
      </c>
      <c r="H82" s="668" t="s">
        <v>1646</v>
      </c>
    </row>
    <row r="83" customFormat="1" ht="18" spans="1:8">
      <c r="B83" s="675"/>
      <c r="C83" s="676"/>
      <c r="D83" s="675"/>
      <c r="E83" s="675"/>
      <c r="F83" s="675"/>
      <c r="G83" s="677" t="s">
        <v>1595</v>
      </c>
      <c r="H83" s="678"/>
    </row>
    <row r="84" ht="45" customHeight="1" spans="1:8">
      <c r="A84">
        <v>19</v>
      </c>
      <c r="B84" s="679" t="e">
        <f t="array" ref="B84">LOOKUP(1,0/(('5.21出货明细'!V:V=$H$67)*('5.21出货明细'!X:X=$H$63)*('5.21出货明细'!A:A=A84)),'5.21出货明细'!D:D)</f>
        <v>#N/A</v>
      </c>
      <c r="C84" s="679" t="e">
        <f t="array" ref="C84">LOOKUP(1,0/(('5.21出货明细'!V:V=$H$67)*('5.21出货明细'!X:X=$H$63)*('5.21出货明细'!A:A=A84)),'5.21出货明细'!G:G&amp;'5.21出货明细'!F:F)</f>
        <v>#N/A</v>
      </c>
      <c r="D84" s="680" t="e">
        <f t="array" ref="D84">LOOKUP(1,0/(('5.21出货明细'!D:D=B84)*('5.21出货明细'!G:G&amp;'5.21出货明细'!F:F=C84)),'5.21出货明细'!J:J)</f>
        <v>#N/A</v>
      </c>
      <c r="E84" s="681" t="e">
        <f t="array" ref="E84">LOOKUP(1,0/(('5.21出货明细'!D:D=B84)*('5.21出货明细'!G:G&amp;'5.21出货明细'!F:F=C84)),'5.21出货明细'!C:C)</f>
        <v>#N/A</v>
      </c>
      <c r="F84" s="682" t="e">
        <f t="array" ref="F84">LOOKUP(1,0/(('5.21出货明细'!D:D=B84)*('5.21出货明细'!G:G&amp;'5.21出货明细'!F:F=C84)),'5.21出货明细'!K:K)</f>
        <v>#N/A</v>
      </c>
      <c r="G84" s="683" t="e">
        <f t="array" ref="G84">LOOKUP(1,0/(('5.21出货明细'!D:D=B84)*('5.21出货明细'!G:G&amp;'5.21出货明细'!F:F=C84)),'5.21出货明细'!Z:Z)</f>
        <v>#N/A</v>
      </c>
      <c r="H84" s="684" t="e">
        <f t="shared" ref="H84:H94" si="1">G84*F84</f>
        <v>#N/A</v>
      </c>
    </row>
    <row r="85" ht="45" customHeight="1" spans="1:8">
      <c r="A85">
        <v>20</v>
      </c>
      <c r="B85" s="679" t="e">
        <f t="array" ref="B85">LOOKUP(1,0/(('5.21出货明细'!V:V=$H$67)*('5.21出货明细'!X:X=$H$63)*('5.21出货明细'!A:A=A85)),'5.21出货明细'!D:D)</f>
        <v>#N/A</v>
      </c>
      <c r="C85" s="679" t="e">
        <f t="array" ref="C85">LOOKUP(1,0/(('5.21出货明细'!V:V=$H$67)*('5.21出货明细'!X:X=$H$63)*('5.21出货明细'!A:A=A85)),'5.21出货明细'!G:G&amp;'5.21出货明细'!F:F)</f>
        <v>#N/A</v>
      </c>
      <c r="D85" s="680" t="e">
        <f t="array" ref="D85">LOOKUP(1,0/(('5.21出货明细'!D:D=B85)*('5.21出货明细'!G:G&amp;'5.21出货明细'!F:F=C85)),'5.21出货明细'!J:J)</f>
        <v>#N/A</v>
      </c>
      <c r="E85" s="681" t="e">
        <f t="array" ref="E85">LOOKUP(1,0/(('5.21出货明细'!D:D=B85)*('5.21出货明细'!G:G&amp;'5.21出货明细'!F:F=C85)),'5.21出货明细'!C:C)</f>
        <v>#N/A</v>
      </c>
      <c r="F85" s="682" t="e">
        <f t="array" ref="F85">LOOKUP(1,0/(('5.21出货明细'!D:D=B85)*('5.21出货明细'!G:G&amp;'5.21出货明细'!F:F=C85)),'5.21出货明细'!K:K)</f>
        <v>#N/A</v>
      </c>
      <c r="G85" s="683" t="e">
        <f t="array" ref="G85">LOOKUP(1,0/(('5.21出货明细'!D:D=B85)*('5.21出货明细'!G:G&amp;'5.21出货明细'!F:F=C85)),'5.21出货明细'!Z:Z)</f>
        <v>#N/A</v>
      </c>
      <c r="H85" s="684" t="e">
        <f t="shared" si="1"/>
        <v>#N/A</v>
      </c>
    </row>
    <row r="86" ht="45" customHeight="1" spans="1:8">
      <c r="A86">
        <v>21</v>
      </c>
      <c r="B86" s="679" t="e">
        <f t="array" ref="B86">LOOKUP(1,0/(('5.21出货明细'!V:V=$H$67)*('5.21出货明细'!X:X=$H$63)*('5.21出货明细'!A:A=A86)),'5.21出货明细'!D:D)</f>
        <v>#N/A</v>
      </c>
      <c r="C86" s="679" t="e">
        <f t="array" ref="C86">LOOKUP(1,0/(('5.21出货明细'!V:V=$H$67)*('5.21出货明细'!X:X=$H$63)*('5.21出货明细'!A:A=A86)),'5.21出货明细'!G:G&amp;'5.21出货明细'!F:F)</f>
        <v>#N/A</v>
      </c>
      <c r="D86" s="680" t="e">
        <f t="array" ref="D86">LOOKUP(1,0/(('5.21出货明细'!D:D=B86)*('5.21出货明细'!G:G&amp;'5.21出货明细'!F:F=C86)),'5.21出货明细'!J:J)</f>
        <v>#N/A</v>
      </c>
      <c r="E86" s="681" t="e">
        <f t="array" ref="E86">LOOKUP(1,0/(('5.21出货明细'!D:D=B86)*('5.21出货明细'!G:G&amp;'5.21出货明细'!F:F=C86)),'5.21出货明细'!C:C)</f>
        <v>#N/A</v>
      </c>
      <c r="F86" s="682" t="e">
        <f t="array" ref="F86">LOOKUP(1,0/(('5.21出货明细'!D:D=B86)*('5.21出货明细'!G:G&amp;'5.21出货明细'!F:F=C86)),'5.21出货明细'!K:K)</f>
        <v>#N/A</v>
      </c>
      <c r="G86" s="683" t="e">
        <f t="array" ref="G86">LOOKUP(1,0/(('5.21出货明细'!D:D=B86)*('5.21出货明细'!G:G&amp;'5.21出货明细'!F:F=C86)),'5.21出货明细'!Z:Z)</f>
        <v>#N/A</v>
      </c>
      <c r="H86" s="684" t="e">
        <f t="shared" si="1"/>
        <v>#N/A</v>
      </c>
    </row>
    <row r="87" ht="41" customHeight="1" spans="1:8">
      <c r="A87">
        <v>22</v>
      </c>
      <c r="B87" s="679" t="e">
        <f t="array" ref="B87">LOOKUP(1,0/(('5.21出货明细'!V:V=$H$67)*('5.21出货明细'!X:X=$H$63)*('5.21出货明细'!A:A=A87)),'5.21出货明细'!D:D)</f>
        <v>#N/A</v>
      </c>
      <c r="C87" s="679" t="e">
        <f t="array" ref="C87">LOOKUP(1,0/(('5.21出货明细'!V:V=$H$67)*('5.21出货明细'!X:X=$H$63)*('5.21出货明细'!A:A=A87)),'5.21出货明细'!G:G&amp;'5.21出货明细'!F:F)</f>
        <v>#N/A</v>
      </c>
      <c r="D87" s="680" t="e">
        <f t="array" ref="D87">LOOKUP(1,0/(('5.21出货明细'!D:D=B87)*('5.21出货明细'!G:G&amp;'5.21出货明细'!F:F=C87)),'5.21出货明细'!J:J)</f>
        <v>#N/A</v>
      </c>
      <c r="E87" s="681" t="e">
        <f t="array" ref="E87">LOOKUP(1,0/(('5.21出货明细'!D:D=B87)*('5.21出货明细'!G:G&amp;'5.21出货明细'!F:F=C87)),'5.21出货明细'!C:C)</f>
        <v>#N/A</v>
      </c>
      <c r="F87" s="682" t="e">
        <f t="array" ref="F87">LOOKUP(1,0/(('5.21出货明细'!D:D=B87)*('5.21出货明细'!G:G&amp;'5.21出货明细'!F:F=C87)),'5.21出货明细'!K:K)</f>
        <v>#N/A</v>
      </c>
      <c r="G87" s="683" t="e">
        <f t="array" ref="G87">LOOKUP(1,0/(('5.21出货明细'!D:D=B87)*('5.21出货明细'!G:G&amp;'5.21出货明细'!F:F=C87)),'5.21出货明细'!Z:Z)</f>
        <v>#N/A</v>
      </c>
      <c r="H87" s="684" t="e">
        <f t="shared" si="1"/>
        <v>#N/A</v>
      </c>
    </row>
    <row r="88" ht="41" customHeight="1" spans="1:8">
      <c r="A88">
        <v>23</v>
      </c>
      <c r="B88" s="679" t="e">
        <f t="array" ref="B88">LOOKUP(1,0/(('5.21出货明细'!V:V=$H$67)*('5.21出货明细'!X:X=$H$63)*('5.21出货明细'!A:A=A88)),'5.21出货明细'!D:D)</f>
        <v>#N/A</v>
      </c>
      <c r="C88" s="679" t="e">
        <f t="array" ref="C88">LOOKUP(1,0/(('5.21出货明细'!V:V=$H$67)*('5.21出货明细'!X:X=$H$63)*('5.21出货明细'!A:A=A88)),'5.21出货明细'!G:G&amp;'5.21出货明细'!F:F)</f>
        <v>#N/A</v>
      </c>
      <c r="D88" s="680" t="e">
        <f t="array" ref="D88">LOOKUP(1,0/(('5.21出货明细'!D:D=B88)*('5.21出货明细'!G:G&amp;'5.21出货明细'!F:F=C88)),'5.21出货明细'!J:J)</f>
        <v>#N/A</v>
      </c>
      <c r="E88" s="681" t="e">
        <f t="array" ref="E88">LOOKUP(1,0/(('5.21出货明细'!D:D=B88)*('5.21出货明细'!G:G&amp;'5.21出货明细'!F:F=C88)),'5.21出货明细'!C:C)</f>
        <v>#N/A</v>
      </c>
      <c r="F88" s="682" t="e">
        <f t="array" ref="F88">LOOKUP(1,0/(('5.21出货明细'!D:D=B88)*('5.21出货明细'!G:G&amp;'5.21出货明细'!F:F=C88)),'5.21出货明细'!K:K)</f>
        <v>#N/A</v>
      </c>
      <c r="G88" s="683" t="e">
        <f t="array" ref="G88">LOOKUP(1,0/(('5.21出货明细'!D:D=B88)*('5.21出货明细'!G:G&amp;'5.21出货明细'!F:F=C88)),'5.21出货明细'!Z:Z)</f>
        <v>#N/A</v>
      </c>
      <c r="H88" s="684" t="e">
        <f t="shared" si="1"/>
        <v>#N/A</v>
      </c>
    </row>
    <row r="89" ht="41" customHeight="1" spans="1:8">
      <c r="A89">
        <v>24</v>
      </c>
      <c r="B89" s="679" t="e">
        <f t="array" ref="B89">LOOKUP(1,0/(('5.21出货明细'!V:V=$H$67)*('5.21出货明细'!X:X=$H$63)*('5.21出货明细'!A:A=A89)),'5.21出货明细'!D:D)</f>
        <v>#N/A</v>
      </c>
      <c r="C89" s="679" t="e">
        <f t="array" ref="C89">LOOKUP(1,0/(('5.21出货明细'!V:V=$H$67)*('5.21出货明细'!X:X=$H$63)*('5.21出货明细'!A:A=A89)),'5.21出货明细'!G:G&amp;'5.21出货明细'!F:F)</f>
        <v>#N/A</v>
      </c>
      <c r="D89" s="680" t="e">
        <f t="array" ref="D89">LOOKUP(1,0/(('5.21出货明细'!D:D=B89)*('5.21出货明细'!G:G&amp;'5.21出货明细'!F:F=C89)),'5.21出货明细'!J:J)</f>
        <v>#N/A</v>
      </c>
      <c r="E89" s="681" t="e">
        <f t="array" ref="E89">LOOKUP(1,0/(('5.21出货明细'!D:D=B89)*('5.21出货明细'!G:G&amp;'5.21出货明细'!F:F=C89)),'5.21出货明细'!C:C)</f>
        <v>#N/A</v>
      </c>
      <c r="F89" s="682" t="e">
        <f t="array" ref="F89">LOOKUP(1,0/(('5.21出货明细'!D:D=B89)*('5.21出货明细'!G:G&amp;'5.21出货明细'!F:F=C89)),'5.21出货明细'!K:K)</f>
        <v>#N/A</v>
      </c>
      <c r="G89" s="683" t="e">
        <f t="array" ref="G89">LOOKUP(1,0/(('5.21出货明细'!D:D=B89)*('5.21出货明细'!G:G&amp;'5.21出货明细'!F:F=C89)),'5.21出货明细'!Z:Z)</f>
        <v>#N/A</v>
      </c>
      <c r="H89" s="684" t="e">
        <f t="shared" si="1"/>
        <v>#N/A</v>
      </c>
    </row>
    <row r="90" ht="41" customHeight="1" spans="1:8">
      <c r="A90">
        <v>25</v>
      </c>
      <c r="B90" s="679" t="e">
        <f t="array" ref="B90">LOOKUP(1,0/(('5.21出货明细'!V:V=$H$67)*('5.21出货明细'!X:X=$H$63)*('5.21出货明细'!A:A=A90)),'5.21出货明细'!D:D)</f>
        <v>#N/A</v>
      </c>
      <c r="C90" s="679" t="e">
        <f t="array" ref="C90">LOOKUP(1,0/(('5.21出货明细'!V:V=$H$67)*('5.21出货明细'!X:X=$H$63)*('5.21出货明细'!A:A=A90)),'5.21出货明细'!G:G&amp;'5.21出货明细'!F:F)</f>
        <v>#N/A</v>
      </c>
      <c r="D90" s="680" t="e">
        <f t="array" ref="D90">LOOKUP(1,0/(('5.21出货明细'!D:D=B90)*('5.21出货明细'!G:G&amp;'5.21出货明细'!F:F=C90)),'5.21出货明细'!J:J)</f>
        <v>#N/A</v>
      </c>
      <c r="E90" s="681" t="e">
        <f t="array" ref="E90">LOOKUP(1,0/(('5.21出货明细'!D:D=B90)*('5.21出货明细'!G:G&amp;'5.21出货明细'!F:F=C90)),'5.21出货明细'!C:C)</f>
        <v>#N/A</v>
      </c>
      <c r="F90" s="682" t="e">
        <f t="array" ref="F90">LOOKUP(1,0/(('5.21出货明细'!D:D=B90)*('5.21出货明细'!G:G&amp;'5.21出货明细'!F:F=C90)),'5.21出货明细'!K:K)</f>
        <v>#N/A</v>
      </c>
      <c r="G90" s="683" t="e">
        <f t="array" ref="G90">LOOKUP(1,0/(('5.21出货明细'!D:D=B90)*('5.21出货明细'!G:G&amp;'5.21出货明细'!F:F=C90)),'5.21出货明细'!Z:Z)</f>
        <v>#N/A</v>
      </c>
      <c r="H90" s="684" t="e">
        <f t="shared" si="1"/>
        <v>#N/A</v>
      </c>
    </row>
    <row r="91" ht="41" customHeight="1" spans="1:8">
      <c r="A91">
        <v>26</v>
      </c>
      <c r="B91" s="679" t="e">
        <f t="array" ref="B91">LOOKUP(1,0/(('5.21出货明细'!V:V=$H$67)*('5.21出货明细'!X:X=$H$63)*('5.21出货明细'!A:A=A91)),'5.21出货明细'!D:D)</f>
        <v>#N/A</v>
      </c>
      <c r="C91" s="679" t="e">
        <f t="array" ref="C91">LOOKUP(1,0/(('5.21出货明细'!V:V=$H$67)*('5.21出货明细'!X:X=$H$63)*('5.21出货明细'!A:A=A91)),'5.21出货明细'!G:G&amp;'5.21出货明细'!F:F)</f>
        <v>#N/A</v>
      </c>
      <c r="D91" s="680" t="e">
        <f t="array" ref="D91">LOOKUP(1,0/(('5.21出货明细'!D:D=B91)*('5.21出货明细'!G:G&amp;'5.21出货明细'!F:F=C91)),'5.21出货明细'!J:J)</f>
        <v>#N/A</v>
      </c>
      <c r="E91" s="681" t="e">
        <f t="array" ref="E91">LOOKUP(1,0/(('5.21出货明细'!D:D=B91)*('5.21出货明细'!G:G&amp;'5.21出货明细'!F:F=C91)),'5.21出货明细'!C:C)</f>
        <v>#N/A</v>
      </c>
      <c r="F91" s="682" t="e">
        <f t="array" ref="F91">LOOKUP(1,0/(('5.21出货明细'!D:D=B91)*('5.21出货明细'!G:G&amp;'5.21出货明细'!F:F=C91)),'5.21出货明细'!K:K)</f>
        <v>#N/A</v>
      </c>
      <c r="G91" s="683" t="e">
        <f t="array" ref="G91">LOOKUP(1,0/(('5.21出货明细'!D:D=B91)*('5.21出货明细'!G:G&amp;'5.21出货明细'!F:F=C91)),'5.21出货明细'!Z:Z)</f>
        <v>#N/A</v>
      </c>
      <c r="H91" s="684" t="e">
        <f t="shared" si="1"/>
        <v>#N/A</v>
      </c>
    </row>
    <row r="92" ht="41" customHeight="1" spans="1:8">
      <c r="A92">
        <v>27</v>
      </c>
      <c r="B92" s="679" t="e">
        <f t="array" ref="B92">LOOKUP(1,0/(('5.21出货明细'!V:V=$H$67)*('5.21出货明细'!X:X=$H$63)*('5.21出货明细'!A:A=A92)),'5.21出货明细'!D:D)</f>
        <v>#N/A</v>
      </c>
      <c r="C92" s="679" t="e">
        <f t="array" ref="C92">LOOKUP(1,0/(('5.21出货明细'!V:V=$H$67)*('5.21出货明细'!X:X=$H$63)*('5.21出货明细'!A:A=A92)),'5.21出货明细'!G:G&amp;'5.21出货明细'!F:F)</f>
        <v>#N/A</v>
      </c>
      <c r="D92" s="680" t="e">
        <f t="array" ref="D92">LOOKUP(1,0/(('5.21出货明细'!D:D=B92)*('5.21出货明细'!G:G&amp;'5.21出货明细'!F:F=C92)),'5.21出货明细'!J:J)</f>
        <v>#N/A</v>
      </c>
      <c r="E92" s="681" t="e">
        <f t="array" ref="E92">LOOKUP(1,0/(('5.21出货明细'!D:D=B92)*('5.21出货明细'!G:G&amp;'5.21出货明细'!F:F=C92)),'5.21出货明细'!C:C)</f>
        <v>#N/A</v>
      </c>
      <c r="F92" s="682" t="e">
        <f t="array" ref="F92">LOOKUP(1,0/(('5.21出货明细'!D:D=B92)*('5.21出货明细'!G:G&amp;'5.21出货明细'!F:F=C92)),'5.21出货明细'!K:K)</f>
        <v>#N/A</v>
      </c>
      <c r="G92" s="683" t="e">
        <f t="array" ref="G92">LOOKUP(1,0/(('5.21出货明细'!D:D=B92)*('5.21出货明细'!G:G&amp;'5.21出货明细'!F:F=C92)),'5.21出货明细'!Z:Z)</f>
        <v>#N/A</v>
      </c>
      <c r="H92" s="684" t="e">
        <f t="shared" si="1"/>
        <v>#N/A</v>
      </c>
    </row>
    <row r="93" ht="41" customHeight="1" spans="1:8">
      <c r="A93">
        <v>28</v>
      </c>
      <c r="B93" s="679" t="e">
        <f t="array" ref="B93">LOOKUP(1,0/(('5.21出货明细'!V:V=$H$67)*('5.21出货明细'!X:X=$H$63)*('5.21出货明细'!A:A=A93)),'5.21出货明细'!D:D)</f>
        <v>#N/A</v>
      </c>
      <c r="C93" s="679" t="e">
        <f t="array" ref="C93">LOOKUP(1,0/(('5.21出货明细'!V:V=$H$67)*('5.21出货明细'!X:X=$H$63)*('5.21出货明细'!A:A=A93)),'5.21出货明细'!G:G&amp;'5.21出货明细'!F:F)</f>
        <v>#N/A</v>
      </c>
      <c r="D93" s="680" t="e">
        <f t="array" ref="D93">LOOKUP(1,0/(('5.21出货明细'!D:D=B93)*('5.21出货明细'!G:G&amp;'5.21出货明细'!F:F=C93)),'5.21出货明细'!J:J)</f>
        <v>#N/A</v>
      </c>
      <c r="E93" s="681" t="e">
        <f t="array" ref="E93">LOOKUP(1,0/(('5.21出货明细'!D:D=B93)*('5.21出货明细'!G:G&amp;'5.21出货明细'!F:F=C93)),'5.21出货明细'!C:C)</f>
        <v>#N/A</v>
      </c>
      <c r="F93" s="682" t="e">
        <f t="array" ref="F93">LOOKUP(1,0/(('5.21出货明细'!D:D=B93)*('5.21出货明细'!G:G&amp;'5.21出货明细'!F:F=C93)),'5.21出货明细'!K:K)</f>
        <v>#N/A</v>
      </c>
      <c r="G93" s="683" t="e">
        <f t="array" ref="G93">LOOKUP(1,0/(('5.21出货明细'!D:D=B93)*('5.21出货明细'!G:G&amp;'5.21出货明细'!F:F=C93)),'5.21出货明细'!Z:Z)</f>
        <v>#N/A</v>
      </c>
      <c r="H93" s="684" t="e">
        <f t="shared" si="1"/>
        <v>#N/A</v>
      </c>
    </row>
    <row r="94" ht="41" customHeight="1" spans="1:8">
      <c r="A94">
        <v>29</v>
      </c>
      <c r="B94" s="679" t="e">
        <f t="array" ref="B94">LOOKUP(1,0/(('5.21出货明细'!V:V=$H$67)*('5.21出货明细'!X:X=$H$63)*('5.21出货明细'!A:A=A94)),'5.21出货明细'!D:D)</f>
        <v>#N/A</v>
      </c>
      <c r="C94" s="679" t="e">
        <f t="array" ref="C94">LOOKUP(1,0/(('5.21出货明细'!V:V=$H$67)*('5.21出货明细'!X:X=$H$63)*('5.21出货明细'!A:A=A94)),'5.21出货明细'!G:G&amp;'5.21出货明细'!F:F)</f>
        <v>#N/A</v>
      </c>
      <c r="D94" s="680" t="e">
        <f t="array" ref="D94">LOOKUP(1,0/(('5.21出货明细'!D:D=B94)*('5.21出货明细'!G:G&amp;'5.21出货明细'!F:F=C94)),'5.21出货明细'!J:J)</f>
        <v>#N/A</v>
      </c>
      <c r="E94" s="681" t="e">
        <f t="array" ref="E94">LOOKUP(1,0/(('5.21出货明细'!D:D=B94)*('5.21出货明细'!G:G&amp;'5.21出货明细'!F:F=C94)),'5.21出货明细'!C:C)</f>
        <v>#N/A</v>
      </c>
      <c r="F94" s="682" t="e">
        <f t="array" ref="F94">LOOKUP(1,0/(('5.21出货明细'!D:D=B94)*('5.21出货明细'!G:G&amp;'5.21出货明细'!F:F=C94)),'5.21出货明细'!K:K)</f>
        <v>#N/A</v>
      </c>
      <c r="G94" s="683" t="e">
        <f t="array" ref="G94">LOOKUP(1,0/(('5.21出货明细'!D:D=B94)*('5.21出货明细'!G:G&amp;'5.21出货明细'!F:F=C94)),'5.21出货明细'!Z:Z)</f>
        <v>#N/A</v>
      </c>
      <c r="H94" s="684" t="e">
        <f t="shared" si="1"/>
        <v>#N/A</v>
      </c>
    </row>
    <row r="95" customFormat="1" ht="18" spans="1:8">
      <c r="B95" s="687"/>
      <c r="C95" s="688"/>
      <c r="D95" s="687"/>
      <c r="E95" s="687"/>
      <c r="F95" s="679" t="s">
        <v>1647</v>
      </c>
      <c r="G95" s="689" t="e">
        <f>SUM(H84:H94)</f>
        <v>#N/A</v>
      </c>
      <c r="H95" s="690"/>
    </row>
    <row r="96" customFormat="1" ht="36" spans="1:8">
      <c r="B96" s="691" t="s">
        <v>1648</v>
      </c>
      <c r="C96" s="692" t="e">
        <f>G95</f>
        <v>#N/A</v>
      </c>
      <c r="D96" s="693"/>
      <c r="E96" s="694"/>
      <c r="F96" s="695"/>
      <c r="G96" s="695"/>
      <c r="H96" s="695"/>
    </row>
    <row r="97" customFormat="1" spans="1:8">
      <c r="C97" s="623"/>
    </row>
    <row r="98" customFormat="1" ht="30" spans="1:8">
      <c r="A98" s="624"/>
      <c r="B98" s="625" t="s">
        <v>1540</v>
      </c>
      <c r="C98" s="625"/>
      <c r="D98" s="625"/>
      <c r="E98" s="625"/>
      <c r="F98" s="625"/>
      <c r="G98" s="625"/>
      <c r="H98" s="625"/>
    </row>
    <row r="99" customFormat="1" ht="24" customHeight="1" spans="1:8">
      <c r="A99" s="626"/>
      <c r="B99" s="627" t="s">
        <v>1546</v>
      </c>
      <c r="C99" s="627"/>
      <c r="D99" s="627"/>
      <c r="E99" s="627"/>
      <c r="F99" s="627"/>
      <c r="G99" s="627"/>
      <c r="H99" s="627"/>
    </row>
    <row r="100" customFormat="1" ht="35" customHeight="1" spans="1:8">
      <c r="A100" s="628"/>
      <c r="B100" s="629" t="s">
        <v>1619</v>
      </c>
      <c r="C100" s="629"/>
      <c r="D100" s="629"/>
      <c r="E100" s="629"/>
      <c r="F100" s="629"/>
      <c r="G100" s="629"/>
      <c r="H100" s="629"/>
    </row>
    <row r="101" customFormat="1" ht="18" spans="1:8">
      <c r="A101" s="628"/>
      <c r="B101" s="629" t="s">
        <v>1620</v>
      </c>
      <c r="C101" s="629"/>
      <c r="D101" s="629"/>
      <c r="E101" s="629"/>
      <c r="F101" s="629"/>
      <c r="G101" s="629"/>
      <c r="H101" s="629"/>
    </row>
    <row r="102" customFormat="1" ht="25.5" spans="1:8">
      <c r="A102" s="630"/>
      <c r="B102" s="631" t="s">
        <v>1621</v>
      </c>
      <c r="C102" s="631"/>
      <c r="D102" s="631"/>
      <c r="E102" s="631"/>
      <c r="F102" s="631"/>
      <c r="G102" s="631"/>
      <c r="H102" s="631"/>
    </row>
    <row r="103" customFormat="1" ht="21.75" spans="1:8">
      <c r="A103" s="632"/>
      <c r="B103" s="633" t="s">
        <v>1622</v>
      </c>
      <c r="C103" s="633"/>
      <c r="D103" s="633"/>
      <c r="E103" s="633"/>
      <c r="F103" s="633"/>
      <c r="G103" s="633"/>
      <c r="H103" s="633"/>
    </row>
    <row r="104" customFormat="1" ht="18" spans="1:8">
      <c r="A104" s="634"/>
      <c r="B104" s="635"/>
      <c r="C104" s="635"/>
      <c r="D104" s="635"/>
      <c r="E104" s="635"/>
      <c r="F104" s="635"/>
      <c r="G104" s="635"/>
      <c r="H104" s="635"/>
    </row>
    <row r="105" customFormat="1" ht="18" spans="1:8">
      <c r="A105" s="636"/>
      <c r="B105" s="637" t="s">
        <v>1623</v>
      </c>
      <c r="C105" s="637"/>
      <c r="D105" s="637"/>
      <c r="E105" s="637"/>
      <c r="F105" s="637"/>
      <c r="G105" s="638"/>
      <c r="H105" s="638"/>
    </row>
    <row r="106" customFormat="1" ht="33" spans="1:8">
      <c r="A106" s="639"/>
      <c r="B106" s="640" t="s">
        <v>1624</v>
      </c>
      <c r="C106" s="640"/>
      <c r="D106" s="640"/>
      <c r="E106" s="640"/>
      <c r="F106" s="640"/>
      <c r="G106" s="641" t="s">
        <v>1625</v>
      </c>
      <c r="H106" s="642" t="s">
        <v>1653</v>
      </c>
    </row>
    <row r="107" customFormat="1" ht="18" spans="1:8">
      <c r="A107" s="643"/>
      <c r="B107" s="644" t="s">
        <v>1540</v>
      </c>
      <c r="C107" s="644"/>
      <c r="D107" s="644"/>
      <c r="E107" s="644"/>
      <c r="F107" s="644"/>
      <c r="G107" s="641"/>
      <c r="H107" s="645"/>
    </row>
    <row r="108" customFormat="1" ht="46" customHeight="1" spans="1:8">
      <c r="A108" s="636"/>
      <c r="B108" s="637" t="s">
        <v>1627</v>
      </c>
      <c r="C108" s="637"/>
      <c r="D108" s="637"/>
      <c r="E108" s="637"/>
      <c r="F108" s="636"/>
      <c r="G108" s="646" t="s">
        <v>1628</v>
      </c>
      <c r="H108" s="647">
        <f>实业合同!H111</f>
        <v>46076</v>
      </c>
    </row>
    <row r="109" customFormat="1" ht="23" customHeight="1" spans="1:8">
      <c r="A109" s="636"/>
      <c r="B109" s="637"/>
      <c r="C109" s="637"/>
      <c r="D109" s="637"/>
      <c r="E109" s="637"/>
      <c r="F109" s="636"/>
      <c r="G109" s="646"/>
      <c r="H109" s="648"/>
    </row>
    <row r="110" customFormat="1" ht="33" spans="1:8">
      <c r="A110" s="639"/>
      <c r="B110" s="640" t="s">
        <v>1629</v>
      </c>
      <c r="C110" s="640"/>
      <c r="D110" s="640"/>
      <c r="E110" s="640"/>
      <c r="F110" s="640"/>
      <c r="G110" s="649" t="s">
        <v>1630</v>
      </c>
      <c r="H110" s="642" t="str">
        <f>实业合同!H107</f>
        <v>RPIRRI260278</v>
      </c>
    </row>
    <row r="111" customFormat="1" ht="18" spans="1:8">
      <c r="A111" s="636"/>
      <c r="B111" s="637" t="s">
        <v>1558</v>
      </c>
      <c r="C111" s="637"/>
      <c r="D111" s="636"/>
      <c r="E111" s="636"/>
      <c r="F111" s="636"/>
      <c r="G111" s="649"/>
      <c r="H111" s="645"/>
    </row>
    <row r="112" customFormat="1" ht="25" customHeight="1" spans="1:8">
      <c r="A112" s="639"/>
      <c r="B112" s="640" t="s">
        <v>1631</v>
      </c>
      <c r="C112" s="640"/>
      <c r="D112" s="640"/>
      <c r="E112" s="640"/>
      <c r="F112" s="640"/>
      <c r="G112" s="650"/>
      <c r="H112" s="651"/>
    </row>
    <row r="113" customFormat="1" ht="18" spans="1:8">
      <c r="A113" s="639"/>
      <c r="B113" s="640"/>
      <c r="C113" s="640"/>
      <c r="D113" s="640"/>
      <c r="E113" s="640"/>
      <c r="F113" s="640"/>
      <c r="G113" s="646" t="s">
        <v>1632</v>
      </c>
      <c r="H113" s="652" t="s">
        <v>1633</v>
      </c>
    </row>
    <row r="114" customFormat="1" ht="18" spans="1:8">
      <c r="A114" s="653"/>
      <c r="B114" s="654" t="s">
        <v>1560</v>
      </c>
      <c r="C114" s="653"/>
      <c r="D114" s="653"/>
      <c r="E114" s="655"/>
      <c r="F114" s="656"/>
      <c r="G114" s="646"/>
      <c r="H114" s="657"/>
    </row>
    <row r="115" customFormat="1" ht="18" spans="1:8">
      <c r="A115" s="653"/>
      <c r="B115" s="654" t="s">
        <v>1561</v>
      </c>
      <c r="C115" s="653"/>
      <c r="D115" s="658"/>
      <c r="E115" s="655"/>
      <c r="F115" s="656"/>
      <c r="G115" s="659"/>
      <c r="H115" s="660"/>
    </row>
    <row r="116" customFormat="1" ht="18" spans="1:8">
      <c r="A116" s="639"/>
      <c r="B116" s="640" t="s">
        <v>1634</v>
      </c>
      <c r="C116" s="640"/>
      <c r="D116" s="640"/>
      <c r="E116" s="640"/>
      <c r="F116" s="640"/>
      <c r="G116" s="659"/>
      <c r="H116" s="660"/>
    </row>
    <row r="117" customFormat="1" ht="18" spans="1:8">
      <c r="A117" s="661"/>
      <c r="B117" s="661" t="s">
        <v>1635</v>
      </c>
      <c r="C117" s="661"/>
      <c r="D117" s="661"/>
      <c r="E117" s="661"/>
      <c r="F117" s="661"/>
      <c r="G117" s="659"/>
      <c r="H117" s="660"/>
    </row>
    <row r="118" customFormat="1" ht="18" spans="1:8">
      <c r="A118" s="653"/>
      <c r="B118" s="654" t="s">
        <v>255</v>
      </c>
      <c r="C118" s="658"/>
      <c r="D118" s="662"/>
      <c r="E118" s="662"/>
      <c r="F118" s="663"/>
      <c r="G118" s="659"/>
      <c r="H118" s="660"/>
    </row>
    <row r="119" customFormat="1" ht="18" spans="1:8">
      <c r="A119" s="653"/>
      <c r="B119" s="653" t="s">
        <v>1598</v>
      </c>
      <c r="C119" s="653"/>
      <c r="D119" s="658"/>
      <c r="E119" s="662"/>
      <c r="F119" s="663"/>
      <c r="G119" s="659"/>
      <c r="H119" s="660"/>
    </row>
    <row r="120" s="621" customFormat="1" ht="28" customHeight="1" spans="1:8">
      <c r="A120" s="636"/>
      <c r="B120" s="637" t="s">
        <v>1599</v>
      </c>
      <c r="C120" s="637"/>
      <c r="D120" s="637"/>
      <c r="E120" s="637"/>
      <c r="F120" s="637"/>
      <c r="G120" s="664"/>
      <c r="H120" s="664"/>
    </row>
    <row r="121" s="621" customFormat="1" ht="42" customHeight="1" spans="1:8">
      <c r="A121" s="636"/>
      <c r="B121" s="637"/>
      <c r="C121" s="637"/>
      <c r="D121" s="637"/>
      <c r="E121" s="637"/>
      <c r="F121" s="637"/>
      <c r="G121" s="664"/>
      <c r="H121" s="664"/>
    </row>
    <row r="122" customFormat="1" ht="31.5" spans="1:8">
      <c r="B122" s="668" t="s">
        <v>1637</v>
      </c>
      <c r="C122" s="669" t="s">
        <v>1638</v>
      </c>
      <c r="D122" s="670"/>
      <c r="E122" s="671"/>
      <c r="F122" s="672" t="s">
        <v>1639</v>
      </c>
      <c r="G122" s="673" t="s">
        <v>1640</v>
      </c>
      <c r="H122" s="674"/>
    </row>
    <row r="123" customFormat="1" ht="31.5" spans="1:8">
      <c r="B123" s="668" t="s">
        <v>1641</v>
      </c>
      <c r="C123" s="668" t="s">
        <v>1642</v>
      </c>
      <c r="D123" s="668" t="s">
        <v>8</v>
      </c>
      <c r="E123" s="362" t="s">
        <v>1643</v>
      </c>
      <c r="F123" s="672" t="s">
        <v>1644</v>
      </c>
      <c r="G123" s="668" t="s">
        <v>1645</v>
      </c>
      <c r="H123" s="668" t="s">
        <v>1646</v>
      </c>
    </row>
    <row r="124" customFormat="1" ht="18" spans="1:8">
      <c r="B124" s="675"/>
      <c r="C124" s="676"/>
      <c r="D124" s="675"/>
      <c r="E124" s="675"/>
      <c r="F124" s="675"/>
      <c r="G124" s="677" t="s">
        <v>1595</v>
      </c>
      <c r="H124" s="678"/>
    </row>
    <row r="125" customFormat="1" ht="38" customHeight="1" spans="1:8">
      <c r="A125">
        <v>30</v>
      </c>
      <c r="B125" s="679" t="e">
        <f t="array" ref="B125">LOOKUP(1,0/(('5.21出货明细'!V:V=$H$110)*('5.21出货明细'!X:X=$H$106)*('5.21出货明细'!A:A=A125)),'5.21出货明细'!D:D)</f>
        <v>#N/A</v>
      </c>
      <c r="C125" s="679" t="e">
        <f t="array" ref="C125">LOOKUP(1,0/(('5.21出货明细'!V:V=$H$110)*('5.21出货明细'!X:X=$H$106)*('5.21出货明细'!A:A=A125)),'5.21出货明细'!G:G&amp;'5.21出货明细'!F:F)</f>
        <v>#N/A</v>
      </c>
      <c r="D125" s="680" t="e">
        <f t="array" ref="D125">LOOKUP(1,0/(('5.21出货明细'!D:D=B125)*('5.21出货明细'!G:G&amp;'5.21出货明细'!F:F=C125)),'5.21出货明细'!J:J)</f>
        <v>#N/A</v>
      </c>
      <c r="E125" s="681" t="e">
        <f t="array" ref="E125">LOOKUP(1,0/(('5.21出货明细'!D:D=B125)*('5.21出货明细'!G:G&amp;'5.21出货明细'!F:F=C125)),'5.21出货明细'!C:C)</f>
        <v>#N/A</v>
      </c>
      <c r="F125" s="682" t="e">
        <f t="array" ref="F125">LOOKUP(1,0/(('5.21出货明细'!D:D=B125)*('5.21出货明细'!G:G&amp;'5.21出货明细'!F:F=C125)),'5.21出货明细'!K:K)</f>
        <v>#N/A</v>
      </c>
      <c r="G125" s="686" t="e">
        <f t="array" ref="G125">LOOKUP(1,0/(('5.21出货明细'!D:D=B125)*('5.21出货明细'!G:G&amp;'5.21出货明细'!F:F=C125)),'5.21出货明细'!Z:Z)</f>
        <v>#N/A</v>
      </c>
      <c r="H125" s="684" t="e">
        <f t="shared" ref="H125:H130" si="2">G125*F125</f>
        <v>#N/A</v>
      </c>
    </row>
    <row r="126" customFormat="1" ht="38" customHeight="1" spans="1:8">
      <c r="A126">
        <v>31</v>
      </c>
      <c r="B126" s="679" t="e">
        <f t="array" ref="B126">LOOKUP(1,0/(('5.21出货明细'!V:V=$H$110)*('5.21出货明细'!X:X=$H$106)*('5.21出货明细'!A:A=A126)),'5.21出货明细'!D:D)</f>
        <v>#N/A</v>
      </c>
      <c r="C126" s="679" t="e">
        <f t="array" ref="C126">LOOKUP(1,0/(('5.21出货明细'!V:V=$H$110)*('5.21出货明细'!X:X=$H$106)*('5.21出货明细'!A:A=A126)),'5.21出货明细'!G:G&amp;'5.21出货明细'!F:F)</f>
        <v>#N/A</v>
      </c>
      <c r="D126" s="680" t="e">
        <f t="array" ref="D126">LOOKUP(1,0/(('5.21出货明细'!D:D=B126)*('5.21出货明细'!G:G&amp;'5.21出货明细'!F:F=C126)),'5.21出货明细'!J:J)</f>
        <v>#N/A</v>
      </c>
      <c r="E126" s="681" t="e">
        <f t="array" ref="E126">LOOKUP(1,0/(('5.21出货明细'!D:D=B126)*('5.21出货明细'!G:G&amp;'5.21出货明细'!F:F=C126)),'5.21出货明细'!C:C)</f>
        <v>#N/A</v>
      </c>
      <c r="F126" s="682" t="e">
        <f t="array" ref="F126">LOOKUP(1,0/(('5.21出货明细'!D:D=B126)*('5.21出货明细'!G:G&amp;'5.21出货明细'!F:F=C126)),'5.21出货明细'!K:K)</f>
        <v>#N/A</v>
      </c>
      <c r="G126" s="686" t="e">
        <f t="array" ref="G126">LOOKUP(1,0/(('5.21出货明细'!D:D=B126)*('5.21出货明细'!G:G&amp;'5.21出货明细'!F:F=C126)),'5.21出货明细'!Z:Z)</f>
        <v>#N/A</v>
      </c>
      <c r="H126" s="684" t="e">
        <f t="shared" si="2"/>
        <v>#N/A</v>
      </c>
    </row>
    <row r="127" customFormat="1" ht="38" customHeight="1" spans="1:8">
      <c r="A127">
        <v>32</v>
      </c>
      <c r="B127" s="679" t="e">
        <f t="array" ref="B127">LOOKUP(1,0/(('5.21出货明细'!V:V=$H$110)*('5.21出货明细'!X:X=$H$106)*('5.21出货明细'!A:A=A127)),'5.21出货明细'!D:D)</f>
        <v>#N/A</v>
      </c>
      <c r="C127" s="679" t="e">
        <f t="array" ref="C127">LOOKUP(1,0/(('5.21出货明细'!V:V=$H$110)*('5.21出货明细'!X:X=$H$106)*('5.21出货明细'!A:A=A127)),'5.21出货明细'!G:G&amp;'5.21出货明细'!F:F)</f>
        <v>#N/A</v>
      </c>
      <c r="D127" s="680" t="e">
        <f t="array" ref="D127">LOOKUP(1,0/(('5.21出货明细'!D:D=B127)*('5.21出货明细'!G:G&amp;'5.21出货明细'!F:F=C127)),'5.21出货明细'!J:J)</f>
        <v>#N/A</v>
      </c>
      <c r="E127" s="681" t="e">
        <f t="array" ref="E127">LOOKUP(1,0/(('5.21出货明细'!D:D=B127)*('5.21出货明细'!G:G&amp;'5.21出货明细'!F:F=C127)),'5.21出货明细'!C:C)</f>
        <v>#N/A</v>
      </c>
      <c r="F127" s="682" t="e">
        <f t="array" ref="F127">LOOKUP(1,0/(('5.21出货明细'!D:D=B127)*('5.21出货明细'!G:G&amp;'5.21出货明细'!F:F=C127)),'5.21出货明细'!K:K)</f>
        <v>#N/A</v>
      </c>
      <c r="G127" s="686" t="e">
        <f t="array" ref="G127">LOOKUP(1,0/(('5.21出货明细'!D:D=B127)*('5.21出货明细'!G:G&amp;'5.21出货明细'!F:F=C127)),'5.21出货明细'!Z:Z)</f>
        <v>#N/A</v>
      </c>
      <c r="H127" s="684" t="e">
        <f t="shared" si="2"/>
        <v>#N/A</v>
      </c>
    </row>
    <row r="128" customFormat="1" ht="31" customHeight="1" spans="1:8">
      <c r="A128">
        <v>33</v>
      </c>
      <c r="B128" s="679" t="e">
        <f t="array" ref="B128">LOOKUP(1,0/(('5.21出货明细'!V:V=$H$110)*('5.21出货明细'!X:X=$H$106)*('5.21出货明细'!A:A=A128)),'5.21出货明细'!D:D)</f>
        <v>#N/A</v>
      </c>
      <c r="C128" s="679" t="e">
        <f t="array" ref="C128">LOOKUP(1,0/(('5.21出货明细'!V:V=$H$110)*('5.21出货明细'!X:X=$H$106)*('5.21出货明细'!A:A=A128)),'5.21出货明细'!G:G&amp;'5.21出货明细'!F:F)</f>
        <v>#N/A</v>
      </c>
      <c r="D128" s="680" t="e">
        <f t="array" ref="D128">LOOKUP(1,0/(('5.21出货明细'!D:D=B128)*('5.21出货明细'!G:G&amp;'5.21出货明细'!F:F=C128)),'5.21出货明细'!J:J)</f>
        <v>#N/A</v>
      </c>
      <c r="E128" s="681" t="e">
        <f t="array" ref="E128">LOOKUP(1,0/(('5.21出货明细'!D:D=B128)*('5.21出货明细'!G:G&amp;'5.21出货明细'!F:F=C128)),'5.21出货明细'!C:C)</f>
        <v>#N/A</v>
      </c>
      <c r="F128" s="682" t="e">
        <f t="array" ref="F128">LOOKUP(1,0/(('5.21出货明细'!D:D=B128)*('5.21出货明细'!G:G&amp;'5.21出货明细'!F:F=C128)),'5.21出货明细'!K:K)</f>
        <v>#N/A</v>
      </c>
      <c r="G128" s="683" t="e">
        <f t="array" ref="G128">LOOKUP(1,0/(('5.21出货明细'!D:D=B128)*('5.21出货明细'!G:G&amp;'5.21出货明细'!F:F=C128)),'5.21出货明细'!Z:Z)</f>
        <v>#N/A</v>
      </c>
      <c r="H128" s="684" t="e">
        <f t="shared" si="2"/>
        <v>#N/A</v>
      </c>
    </row>
    <row r="129" customFormat="1" ht="31" customHeight="1" spans="1:8">
      <c r="A129">
        <v>34</v>
      </c>
      <c r="B129" s="679" t="e">
        <f t="array" ref="B129">LOOKUP(1,0/(('5.21出货明细'!V:V=$H$110)*('5.21出货明细'!X:X=$H$106)*('5.21出货明细'!A:A=A129)),'5.21出货明细'!D:D)</f>
        <v>#N/A</v>
      </c>
      <c r="C129" s="679" t="e">
        <f t="array" ref="C129">LOOKUP(1,0/(('5.21出货明细'!V:V=$H$110)*('5.21出货明细'!X:X=$H$106)*('5.21出货明细'!A:A=A129)),'5.21出货明细'!G:G&amp;'5.21出货明细'!F:F)</f>
        <v>#N/A</v>
      </c>
      <c r="D129" s="680" t="e">
        <f t="array" ref="D129">LOOKUP(1,0/(('5.21出货明细'!D:D=B129)*('5.21出货明细'!G:G&amp;'5.21出货明细'!F:F=C129)),'5.21出货明细'!J:J)</f>
        <v>#N/A</v>
      </c>
      <c r="E129" s="681" t="e">
        <f t="array" ref="E129">LOOKUP(1,0/(('5.21出货明细'!D:D=B129)*('5.21出货明细'!G:G&amp;'5.21出货明细'!F:F=C129)),'5.21出货明细'!C:C)</f>
        <v>#N/A</v>
      </c>
      <c r="F129" s="682" t="e">
        <f t="array" ref="F129">LOOKUP(1,0/(('5.21出货明细'!D:D=B129)*('5.21出货明细'!G:G&amp;'5.21出货明细'!F:F=C129)),'5.21出货明细'!K:K)</f>
        <v>#N/A</v>
      </c>
      <c r="G129" s="685" t="e">
        <f t="array" ref="G129">LOOKUP(1,0/(('5.21出货明细'!D:D=B129)*('5.21出货明细'!G:G&amp;'5.21出货明细'!F:F=C129)),'5.21出货明细'!Z:Z)</f>
        <v>#N/A</v>
      </c>
      <c r="H129" s="684" t="e">
        <f t="shared" si="2"/>
        <v>#N/A</v>
      </c>
    </row>
    <row r="130" customFormat="1" ht="31" customHeight="1" spans="1:8">
      <c r="A130">
        <v>35</v>
      </c>
      <c r="B130" s="679" t="e">
        <f t="array" ref="B130">LOOKUP(1,0/(('5.21出货明细'!V:V=$H$110)*('5.21出货明细'!X:X=$H$106)*('5.21出货明细'!A:A=A130)),'5.21出货明细'!D:D)</f>
        <v>#N/A</v>
      </c>
      <c r="C130" s="679" t="e">
        <f t="array" ref="C130">LOOKUP(1,0/(('5.21出货明细'!V:V=$H$110)*('5.21出货明细'!X:X=$H$106)*('5.21出货明细'!A:A=A130)),'5.21出货明细'!G:G&amp;'5.21出货明细'!F:F)</f>
        <v>#N/A</v>
      </c>
      <c r="D130" s="680" t="e">
        <f t="array" ref="D130">LOOKUP(1,0/(('5.21出货明细'!D:D=B130)*('5.21出货明细'!G:G&amp;'5.21出货明细'!F:F=C130)),'5.21出货明细'!J:J)</f>
        <v>#N/A</v>
      </c>
      <c r="E130" s="681" t="e">
        <f t="array" ref="E130">LOOKUP(1,0/(('5.21出货明细'!D:D=B130)*('5.21出货明细'!G:G&amp;'5.21出货明细'!F:F=C130)),'5.21出货明细'!C:C)</f>
        <v>#N/A</v>
      </c>
      <c r="F130" s="682" t="e">
        <f t="array" ref="F130">LOOKUP(1,0/(('5.21出货明细'!D:D=B130)*('5.21出货明细'!G:G&amp;'5.21出货明细'!F:F=C130)),'5.21出货明细'!K:K)</f>
        <v>#N/A</v>
      </c>
      <c r="G130" s="685" t="e">
        <f t="array" ref="G130">LOOKUP(1,0/(('5.21出货明细'!D:D=B130)*('5.21出货明细'!G:G&amp;'5.21出货明细'!F:F=C130)),'5.21出货明细'!Z:Z)</f>
        <v>#N/A</v>
      </c>
      <c r="H130" s="684" t="e">
        <f t="shared" si="2"/>
        <v>#N/A</v>
      </c>
    </row>
    <row r="131" customFormat="1" ht="31" customHeight="1" spans="1:8">
      <c r="A131">
        <v>36</v>
      </c>
      <c r="B131" s="679" t="e">
        <f t="array" ref="B131">LOOKUP(1,0/(('5.21出货明细'!V:V=$H$110)*('5.21出货明细'!X:X=$H$106)*('5.21出货明细'!A:A=A131)),'5.21出货明细'!D:D)</f>
        <v>#N/A</v>
      </c>
      <c r="C131" s="679" t="e">
        <f t="array" ref="C131">LOOKUP(1,0/(('5.21出货明细'!V:V=$H$110)*('5.21出货明细'!X:X=$H$106)*('5.21出货明细'!A:A=A131)),'5.21出货明细'!G:G&amp;'5.21出货明细'!F:F)</f>
        <v>#N/A</v>
      </c>
      <c r="D131" s="680" t="e">
        <f t="array" ref="D131">LOOKUP(1,0/(('5.21出货明细'!D:D=B131)*('5.21出货明细'!G:G&amp;'5.21出货明细'!F:F=C131)),'5.21出货明细'!J:J)</f>
        <v>#N/A</v>
      </c>
      <c r="E131" s="681" t="e">
        <f t="array" ref="E131">LOOKUP(1,0/(('5.21出货明细'!D:D=B131)*('5.21出货明细'!G:G&amp;'5.21出货明细'!F:F=C131)),'5.21出货明细'!C:C)</f>
        <v>#N/A</v>
      </c>
      <c r="F131" s="682" t="e">
        <f t="array" ref="F131">LOOKUP(1,0/(('5.21出货明细'!D:D=B131)*('5.21出货明细'!G:G&amp;'5.21出货明细'!F:F=C131)),'5.21出货明细'!K:K)</f>
        <v>#N/A</v>
      </c>
      <c r="G131" s="685" t="e">
        <f t="array" ref="G131">LOOKUP(1,0/(('5.21出货明细'!D:D=B131)*('5.21出货明细'!G:G&amp;'5.21出货明细'!F:F=C131)),'5.21出货明细'!Z:Z)</f>
        <v>#N/A</v>
      </c>
      <c r="H131" s="684" t="e">
        <f t="shared" ref="H131:H141" si="3">G131*F131</f>
        <v>#N/A</v>
      </c>
    </row>
    <row r="132" customFormat="1" ht="31" customHeight="1" spans="1:8">
      <c r="A132">
        <v>37</v>
      </c>
      <c r="B132" s="679" t="e">
        <f t="array" ref="B132">LOOKUP(1,0/(('5.21出货明细'!V:V=$H$110)*('5.21出货明细'!X:X=$H$106)*('5.21出货明细'!A:A=A132)),'5.21出货明细'!D:D)</f>
        <v>#N/A</v>
      </c>
      <c r="C132" s="679" t="e">
        <f t="array" ref="C132">LOOKUP(1,0/(('5.21出货明细'!V:V=$H$110)*('5.21出货明细'!X:X=$H$106)*('5.21出货明细'!A:A=A132)),'5.21出货明细'!G:G&amp;'5.21出货明细'!F:F)</f>
        <v>#N/A</v>
      </c>
      <c r="D132" s="680" t="e">
        <f t="array" ref="D132">LOOKUP(1,0/(('5.21出货明细'!D:D=B132)*('5.21出货明细'!G:G&amp;'5.21出货明细'!F:F=C132)),'5.21出货明细'!J:J)</f>
        <v>#N/A</v>
      </c>
      <c r="E132" s="681" t="e">
        <f t="array" ref="E132">LOOKUP(1,0/(('5.21出货明细'!D:D=B132)*('5.21出货明细'!G:G&amp;'5.21出货明细'!F:F=C132)),'5.21出货明细'!C:C)</f>
        <v>#N/A</v>
      </c>
      <c r="F132" s="682" t="e">
        <f t="array" ref="F132">LOOKUP(1,0/(('5.21出货明细'!D:D=B132)*('5.21出货明细'!G:G&amp;'5.21出货明细'!F:F=C132)),'5.21出货明细'!K:K)</f>
        <v>#N/A</v>
      </c>
      <c r="G132" s="685" t="e">
        <f t="array" ref="G132">LOOKUP(1,0/(('5.21出货明细'!D:D=B132)*('5.21出货明细'!G:G&amp;'5.21出货明细'!F:F=C132)),'5.21出货明细'!Z:Z)</f>
        <v>#N/A</v>
      </c>
      <c r="H132" s="684" t="e">
        <f t="shared" si="3"/>
        <v>#N/A</v>
      </c>
    </row>
    <row r="133" customFormat="1" ht="31" customHeight="1" spans="1:8">
      <c r="A133">
        <v>38</v>
      </c>
      <c r="B133" s="679" t="e">
        <f t="array" ref="B133">LOOKUP(1,0/(('5.21出货明细'!V:V=$H$110)*('5.21出货明细'!X:X=$H$106)*('5.21出货明细'!A:A=A133)),'5.21出货明细'!D:D)</f>
        <v>#N/A</v>
      </c>
      <c r="C133" s="679" t="e">
        <f t="array" ref="C133">LOOKUP(1,0/(('5.21出货明细'!V:V=$H$110)*('5.21出货明细'!X:X=$H$106)*('5.21出货明细'!A:A=A133)),'5.21出货明细'!G:G&amp;'5.21出货明细'!F:F)</f>
        <v>#N/A</v>
      </c>
      <c r="D133" s="680" t="e">
        <f t="array" ref="D133">LOOKUP(1,0/(('5.21出货明细'!D:D=B133)*('5.21出货明细'!G:G&amp;'5.21出货明细'!F:F=C133)),'5.21出货明细'!J:J)</f>
        <v>#N/A</v>
      </c>
      <c r="E133" s="681" t="e">
        <f t="array" ref="E133">LOOKUP(1,0/(('5.21出货明细'!D:D=B133)*('5.21出货明细'!G:G&amp;'5.21出货明细'!F:F=C133)),'5.21出货明细'!C:C)</f>
        <v>#N/A</v>
      </c>
      <c r="F133" s="682" t="e">
        <f t="array" ref="F133">LOOKUP(1,0/(('5.21出货明细'!D:D=B133)*('5.21出货明细'!G:G&amp;'5.21出货明细'!F:F=C133)),'5.21出货明细'!K:K)</f>
        <v>#N/A</v>
      </c>
      <c r="G133" s="685" t="e">
        <f t="array" ref="G133">LOOKUP(1,0/(('5.21出货明细'!D:D=B133)*('5.21出货明细'!G:G&amp;'5.21出货明细'!F:F=C133)),'5.21出货明细'!Z:Z)</f>
        <v>#N/A</v>
      </c>
      <c r="H133" s="684" t="e">
        <f t="shared" si="3"/>
        <v>#N/A</v>
      </c>
    </row>
    <row r="134" customFormat="1" ht="31" customHeight="1" spans="1:8">
      <c r="A134">
        <v>39</v>
      </c>
      <c r="B134" s="679" t="e">
        <f t="array" ref="B134">LOOKUP(1,0/(('5.21出货明细'!V:V=$H$110)*('5.21出货明细'!X:X=$H$106)*('5.21出货明细'!A:A=A134)),'5.21出货明细'!D:D)</f>
        <v>#N/A</v>
      </c>
      <c r="C134" s="679" t="e">
        <f t="array" ref="C134">LOOKUP(1,0/(('5.21出货明细'!V:V=$H$110)*('5.21出货明细'!X:X=$H$106)*('5.21出货明细'!A:A=A134)),'5.21出货明细'!G:G&amp;'5.21出货明细'!F:F)</f>
        <v>#N/A</v>
      </c>
      <c r="D134" s="680" t="e">
        <f t="array" ref="D134">LOOKUP(1,0/(('5.21出货明细'!D:D=B134)*('5.21出货明细'!G:G&amp;'5.21出货明细'!F:F=C134)),'5.21出货明细'!J:J)</f>
        <v>#N/A</v>
      </c>
      <c r="E134" s="681" t="e">
        <f t="array" ref="E134">LOOKUP(1,0/(('5.21出货明细'!D:D=B134)*('5.21出货明细'!G:G&amp;'5.21出货明细'!F:F=C134)),'5.21出货明细'!C:C)</f>
        <v>#N/A</v>
      </c>
      <c r="F134" s="682" t="e">
        <f t="array" ref="F134">LOOKUP(1,0/(('5.21出货明细'!D:D=B134)*('5.21出货明细'!G:G&amp;'5.21出货明细'!F:F=C134)),'5.21出货明细'!K:K)</f>
        <v>#N/A</v>
      </c>
      <c r="G134" s="685" t="e">
        <f t="array" ref="G134">LOOKUP(1,0/(('5.21出货明细'!D:D=B134)*('5.21出货明细'!G:G&amp;'5.21出货明细'!F:F=C134)),'5.21出货明细'!Z:Z)</f>
        <v>#N/A</v>
      </c>
      <c r="H134" s="684" t="e">
        <f t="shared" si="3"/>
        <v>#N/A</v>
      </c>
    </row>
    <row r="135" customFormat="1" ht="31" customHeight="1" spans="1:8">
      <c r="A135">
        <v>40</v>
      </c>
      <c r="B135" s="679" t="e">
        <f t="array" ref="B135">LOOKUP(1,0/(('5.21出货明细'!V:V=$H$110)*('5.21出货明细'!X:X=$H$106)*('5.21出货明细'!A:A=A135)),'5.21出货明细'!D:D)</f>
        <v>#N/A</v>
      </c>
      <c r="C135" s="679" t="e">
        <f t="array" ref="C135">LOOKUP(1,0/(('5.21出货明细'!V:V=$H$110)*('5.21出货明细'!X:X=$H$106)*('5.21出货明细'!A:A=A135)),'5.21出货明细'!G:G&amp;'5.21出货明细'!F:F)</f>
        <v>#N/A</v>
      </c>
      <c r="D135" s="680" t="e">
        <f t="array" ref="D135">LOOKUP(1,0/(('5.21出货明细'!D:D=B135)*('5.21出货明细'!G:G&amp;'5.21出货明细'!F:F=C135)),'5.21出货明细'!J:J)</f>
        <v>#N/A</v>
      </c>
      <c r="E135" s="681" t="e">
        <f t="array" ref="E135">LOOKUP(1,0/(('5.21出货明细'!D:D=B135)*('5.21出货明细'!G:G&amp;'5.21出货明细'!F:F=C135)),'5.21出货明细'!C:C)</f>
        <v>#N/A</v>
      </c>
      <c r="F135" s="682" t="e">
        <f t="array" ref="F135">LOOKUP(1,0/(('5.21出货明细'!D:D=B135)*('5.21出货明细'!G:G&amp;'5.21出货明细'!F:F=C135)),'5.21出货明细'!K:K)</f>
        <v>#N/A</v>
      </c>
      <c r="G135" s="685" t="e">
        <f t="array" ref="G135">LOOKUP(1,0/(('5.21出货明细'!D:D=B135)*('5.21出货明细'!G:G&amp;'5.21出货明细'!F:F=C135)),'5.21出货明细'!Z:Z)</f>
        <v>#N/A</v>
      </c>
      <c r="H135" s="684" t="e">
        <f t="shared" si="3"/>
        <v>#N/A</v>
      </c>
    </row>
    <row r="136" customFormat="1" ht="31" customHeight="1" spans="1:8">
      <c r="A136">
        <v>41</v>
      </c>
      <c r="B136" s="679" t="e">
        <f t="array" ref="B136">LOOKUP(1,0/(('5.21出货明细'!V:V=$H$110)*('5.21出货明细'!X:X=$H$106)*('5.21出货明细'!A:A=A136)),'5.21出货明细'!D:D)</f>
        <v>#N/A</v>
      </c>
      <c r="C136" s="679" t="e">
        <f t="array" ref="C136">LOOKUP(1,0/(('5.21出货明细'!V:V=$H$110)*('5.21出货明细'!X:X=$H$106)*('5.21出货明细'!A:A=A136)),'5.21出货明细'!G:G&amp;'5.21出货明细'!F:F)</f>
        <v>#N/A</v>
      </c>
      <c r="D136" s="680" t="e">
        <f t="array" ref="D136">LOOKUP(1,0/(('5.21出货明细'!D:D=B136)*('5.21出货明细'!G:G&amp;'5.21出货明细'!F:F=C136)),'5.21出货明细'!J:J)</f>
        <v>#N/A</v>
      </c>
      <c r="E136" s="681" t="e">
        <f t="array" ref="E136">LOOKUP(1,0/(('5.21出货明细'!D:D=B136)*('5.21出货明细'!G:G&amp;'5.21出货明细'!F:F=C136)),'5.21出货明细'!C:C)</f>
        <v>#N/A</v>
      </c>
      <c r="F136" s="682" t="e">
        <f t="array" ref="F136">LOOKUP(1,0/(('5.21出货明细'!D:D=B136)*('5.21出货明细'!G:G&amp;'5.21出货明细'!F:F=C136)),'5.21出货明细'!K:K)</f>
        <v>#N/A</v>
      </c>
      <c r="G136" s="686" t="e">
        <f t="array" ref="G136">LOOKUP(1,0/(('5.21出货明细'!D:D=B136)*('5.21出货明细'!G:G&amp;'5.21出货明细'!F:F=C136)),'5.21出货明细'!Z:Z)</f>
        <v>#N/A</v>
      </c>
      <c r="H136" s="684" t="e">
        <f t="shared" si="3"/>
        <v>#N/A</v>
      </c>
    </row>
    <row r="137" customFormat="1" ht="18" spans="1:8">
      <c r="A137" s="636"/>
      <c r="B137" s="687"/>
      <c r="C137" s="688"/>
      <c r="D137" s="687"/>
      <c r="E137" s="687"/>
      <c r="F137" s="679" t="s">
        <v>1647</v>
      </c>
      <c r="G137" s="689" t="e">
        <f>SUM(H125:H136)</f>
        <v>#N/A</v>
      </c>
      <c r="H137" s="690"/>
    </row>
    <row r="138" customFormat="1" ht="36" spans="1:8">
      <c r="A138" s="639"/>
      <c r="B138" s="691" t="s">
        <v>1648</v>
      </c>
      <c r="C138" s="692" t="e">
        <f>G137</f>
        <v>#N/A</v>
      </c>
      <c r="D138" s="693"/>
      <c r="E138" s="694"/>
      <c r="F138" s="695"/>
      <c r="G138" s="700"/>
      <c r="H138" s="700"/>
    </row>
    <row r="140" ht="30" spans="1:8">
      <c r="A140" s="624"/>
      <c r="B140" s="625" t="s">
        <v>1540</v>
      </c>
      <c r="C140" s="625"/>
      <c r="D140" s="625"/>
      <c r="E140" s="625"/>
      <c r="F140" s="625"/>
      <c r="G140" s="625"/>
      <c r="H140" s="625"/>
    </row>
    <row r="141" ht="24" customHeight="1" spans="1:8">
      <c r="A141" s="626"/>
      <c r="B141" s="627" t="s">
        <v>1546</v>
      </c>
      <c r="C141" s="627"/>
      <c r="D141" s="627"/>
      <c r="E141" s="627"/>
      <c r="F141" s="627"/>
      <c r="G141" s="627"/>
      <c r="H141" s="627"/>
    </row>
    <row r="142" ht="35" customHeight="1" spans="1:8">
      <c r="A142" s="628"/>
      <c r="B142" s="629" t="s">
        <v>1619</v>
      </c>
      <c r="C142" s="629"/>
      <c r="D142" s="629"/>
      <c r="E142" s="629"/>
      <c r="F142" s="629"/>
      <c r="G142" s="629"/>
      <c r="H142" s="629"/>
    </row>
    <row r="143" ht="18" spans="1:8">
      <c r="A143" s="628"/>
      <c r="B143" s="629" t="s">
        <v>1620</v>
      </c>
      <c r="C143" s="629"/>
      <c r="D143" s="629"/>
      <c r="E143" s="629"/>
      <c r="F143" s="629"/>
      <c r="G143" s="629"/>
      <c r="H143" s="629"/>
    </row>
    <row r="144" ht="25.5" spans="1:8">
      <c r="A144" s="630"/>
      <c r="B144" s="631" t="s">
        <v>1621</v>
      </c>
      <c r="C144" s="631"/>
      <c r="D144" s="631"/>
      <c r="E144" s="631"/>
      <c r="F144" s="631"/>
      <c r="G144" s="631"/>
      <c r="H144" s="631"/>
    </row>
    <row r="145" ht="21.75" spans="1:8">
      <c r="A145" s="632"/>
      <c r="B145" s="633" t="s">
        <v>1622</v>
      </c>
      <c r="C145" s="633"/>
      <c r="D145" s="633"/>
      <c r="E145" s="633"/>
      <c r="F145" s="633"/>
      <c r="G145" s="633"/>
      <c r="H145" s="633"/>
    </row>
    <row r="146" ht="18" spans="1:8">
      <c r="A146" s="634"/>
      <c r="B146" s="635"/>
      <c r="C146" s="635"/>
      <c r="D146" s="635"/>
      <c r="E146" s="635"/>
      <c r="F146" s="635"/>
      <c r="G146" s="635"/>
      <c r="H146" s="635"/>
    </row>
    <row r="147" ht="18" spans="1:8">
      <c r="A147" s="636"/>
      <c r="B147" s="637" t="s">
        <v>1623</v>
      </c>
      <c r="C147" s="637"/>
      <c r="D147" s="637"/>
      <c r="E147" s="637"/>
      <c r="F147" s="637"/>
      <c r="G147" s="638"/>
      <c r="H147" s="638"/>
    </row>
    <row r="148" ht="33" spans="1:8">
      <c r="A148" s="639"/>
      <c r="B148" s="640" t="s">
        <v>1624</v>
      </c>
      <c r="C148" s="640"/>
      <c r="D148" s="640"/>
      <c r="E148" s="640"/>
      <c r="F148" s="640"/>
      <c r="G148" s="641" t="s">
        <v>1625</v>
      </c>
      <c r="H148" s="642" t="s">
        <v>1654</v>
      </c>
    </row>
    <row r="149" ht="18" spans="1:8">
      <c r="A149" s="643"/>
      <c r="B149" s="644" t="s">
        <v>1540</v>
      </c>
      <c r="C149" s="644"/>
      <c r="D149" s="644"/>
      <c r="E149" s="644"/>
      <c r="F149" s="644"/>
      <c r="G149" s="641"/>
      <c r="H149" s="645"/>
    </row>
    <row r="150" ht="46" customHeight="1" spans="1:8">
      <c r="A150" s="636"/>
      <c r="B150" s="637" t="s">
        <v>1627</v>
      </c>
      <c r="C150" s="637"/>
      <c r="D150" s="637"/>
      <c r="E150" s="637"/>
      <c r="F150" s="636"/>
      <c r="G150" s="646" t="s">
        <v>1628</v>
      </c>
      <c r="H150" s="647">
        <f>实业合同!H9</f>
        <v>46076</v>
      </c>
    </row>
    <row r="151" ht="23" customHeight="1" spans="1:8">
      <c r="A151" s="636"/>
      <c r="B151" s="637"/>
      <c r="C151" s="637"/>
      <c r="D151" s="637"/>
      <c r="E151" s="637"/>
      <c r="F151" s="636"/>
      <c r="G151" s="646"/>
      <c r="H151" s="648"/>
    </row>
    <row r="152" ht="33" spans="1:8">
      <c r="A152" s="639"/>
      <c r="B152" s="640" t="s">
        <v>1629</v>
      </c>
      <c r="C152" s="640"/>
      <c r="D152" s="640"/>
      <c r="E152" s="640"/>
      <c r="F152" s="640"/>
      <c r="G152" s="649" t="s">
        <v>1630</v>
      </c>
      <c r="H152" s="642" t="str">
        <f>实业合同!H155</f>
        <v>RPIRRI260279</v>
      </c>
    </row>
    <row r="153" ht="18" spans="1:8">
      <c r="A153" s="636"/>
      <c r="B153" s="637" t="s">
        <v>1558</v>
      </c>
      <c r="C153" s="637"/>
      <c r="D153" s="636"/>
      <c r="E153" s="636"/>
      <c r="F153" s="636"/>
      <c r="G153" s="649"/>
      <c r="H153" s="645"/>
    </row>
    <row r="154" ht="25" customHeight="1" spans="1:8">
      <c r="A154" s="639"/>
      <c r="B154" s="640" t="s">
        <v>1631</v>
      </c>
      <c r="C154" s="640"/>
      <c r="D154" s="640"/>
      <c r="E154" s="640"/>
      <c r="F154" s="640"/>
      <c r="G154" s="650"/>
      <c r="H154" s="651"/>
    </row>
    <row r="155" ht="18" spans="1:8">
      <c r="A155" s="639"/>
      <c r="B155" s="640"/>
      <c r="C155" s="640"/>
      <c r="D155" s="640"/>
      <c r="E155" s="640"/>
      <c r="F155" s="640"/>
      <c r="G155" s="646" t="s">
        <v>1632</v>
      </c>
      <c r="H155" s="652" t="s">
        <v>1633</v>
      </c>
    </row>
    <row r="156" ht="18" spans="1:8">
      <c r="A156" s="653"/>
      <c r="B156" s="654" t="s">
        <v>1560</v>
      </c>
      <c r="C156" s="653"/>
      <c r="D156" s="653"/>
      <c r="E156" s="655"/>
      <c r="F156" s="656"/>
      <c r="G156" s="646"/>
      <c r="H156" s="657"/>
    </row>
    <row r="157" ht="18" spans="1:8">
      <c r="A157" s="653"/>
      <c r="B157" s="654" t="s">
        <v>1561</v>
      </c>
      <c r="C157" s="653"/>
      <c r="D157" s="658"/>
      <c r="E157" s="655"/>
      <c r="F157" s="656"/>
      <c r="G157" s="659"/>
      <c r="H157" s="660"/>
    </row>
    <row r="158" ht="18" spans="1:8">
      <c r="A158" s="639"/>
      <c r="B158" s="640" t="s">
        <v>1634</v>
      </c>
      <c r="C158" s="640"/>
      <c r="D158" s="640"/>
      <c r="E158" s="640"/>
      <c r="F158" s="640"/>
      <c r="G158" s="659"/>
      <c r="H158" s="660"/>
    </row>
    <row r="159" ht="18" spans="1:8">
      <c r="A159" s="661"/>
      <c r="B159" s="661" t="s">
        <v>1635</v>
      </c>
      <c r="C159" s="661"/>
      <c r="D159" s="661"/>
      <c r="E159" s="661"/>
      <c r="F159" s="661"/>
      <c r="G159" s="659"/>
      <c r="H159" s="660"/>
    </row>
    <row r="160" ht="18" spans="1:8">
      <c r="A160" s="653"/>
      <c r="B160" s="654" t="s">
        <v>124</v>
      </c>
      <c r="C160" s="658"/>
      <c r="D160" s="662"/>
      <c r="E160" s="662"/>
      <c r="F160" s="663"/>
      <c r="G160" s="659"/>
      <c r="H160" s="660"/>
    </row>
    <row r="161" ht="18" spans="1:8">
      <c r="A161" s="653"/>
      <c r="B161" s="653" t="s">
        <v>1602</v>
      </c>
      <c r="C161" s="653"/>
      <c r="D161" s="658"/>
      <c r="E161" s="662"/>
      <c r="F161" s="663"/>
      <c r="G161" s="659"/>
      <c r="H161" s="660"/>
    </row>
    <row r="162" s="621" customFormat="1" ht="28" customHeight="1" spans="1:8">
      <c r="A162" s="636"/>
      <c r="B162" s="637" t="s">
        <v>1603</v>
      </c>
      <c r="C162" s="637"/>
      <c r="D162" s="637"/>
      <c r="E162" s="637"/>
      <c r="F162" s="637"/>
      <c r="G162" s="664"/>
      <c r="H162" s="664"/>
    </row>
    <row r="163" s="621" customFormat="1" ht="27" customHeight="1" spans="1:8">
      <c r="A163" s="636"/>
      <c r="B163" s="637"/>
      <c r="C163" s="637"/>
      <c r="D163" s="637"/>
      <c r="E163" s="637"/>
      <c r="F163" s="637"/>
      <c r="G163" s="664"/>
      <c r="H163" s="664"/>
    </row>
    <row r="164" customFormat="1" ht="31.5" spans="1:8">
      <c r="B164" s="668" t="s">
        <v>1637</v>
      </c>
      <c r="C164" s="669" t="s">
        <v>1638</v>
      </c>
      <c r="D164" s="670"/>
      <c r="E164" s="671"/>
      <c r="F164" s="672" t="s">
        <v>1639</v>
      </c>
      <c r="G164" s="673" t="s">
        <v>1640</v>
      </c>
      <c r="H164" s="674"/>
    </row>
    <row r="165" customFormat="1" ht="31.5" spans="1:8">
      <c r="B165" s="668" t="s">
        <v>1641</v>
      </c>
      <c r="C165" s="668" t="s">
        <v>1642</v>
      </c>
      <c r="D165" s="668" t="s">
        <v>8</v>
      </c>
      <c r="E165" s="362" t="s">
        <v>1643</v>
      </c>
      <c r="F165" s="672" t="s">
        <v>1644</v>
      </c>
      <c r="G165" s="668" t="s">
        <v>1645</v>
      </c>
      <c r="H165" s="668" t="s">
        <v>1646</v>
      </c>
    </row>
    <row r="166" customFormat="1" ht="18" spans="1:8">
      <c r="B166" s="675"/>
      <c r="C166" s="676"/>
      <c r="D166" s="675"/>
      <c r="E166" s="675"/>
      <c r="F166" s="675"/>
      <c r="G166" s="677" t="s">
        <v>1595</v>
      </c>
      <c r="H166" s="678"/>
    </row>
    <row r="167" ht="56" customHeight="1" spans="1:8">
      <c r="A167">
        <v>42</v>
      </c>
      <c r="B167" s="679" t="e">
        <f t="array" ref="B167">LOOKUP(1,0/(('5.21出货明细'!V:V=$H$152)*('5.21出货明细'!X:X=$H$148)*('5.21出货明细'!A:A=A167)),'5.21出货明细'!D:D)</f>
        <v>#N/A</v>
      </c>
      <c r="C167" s="679" t="e">
        <f t="array" ref="C167">LOOKUP(1,0/(('5.21出货明细'!V:V=$H$152)*('5.21出货明细'!X:X=$H$148)*('5.21出货明细'!A:A=A167)),'5.21出货明细'!G:G&amp;'5.21出货明细'!F:F)</f>
        <v>#N/A</v>
      </c>
      <c r="D167" s="680" t="e">
        <f t="array" ref="D167">LOOKUP(1,0/(('5.21出货明细'!D:D=B167)*('5.21出货明细'!G:G&amp;'5.21出货明细'!F:F=C167)),'5.21出货明细'!J:J)</f>
        <v>#N/A</v>
      </c>
      <c r="E167" s="681" t="e">
        <f t="array" ref="E167">LOOKUP(1,0/(('5.21出货明细'!D:D=B167)*('5.21出货明细'!G:G&amp;'5.21出货明细'!F:F=C167)),'5.21出货明细'!C:C)</f>
        <v>#N/A</v>
      </c>
      <c r="F167" s="682" t="e">
        <f t="array" ref="F167">LOOKUP(1,0/(('5.21出货明细'!D:D=B167)*('5.21出货明细'!G:G&amp;'5.21出货明细'!F:F=C167)),'5.21出货明细'!K:K)</f>
        <v>#N/A</v>
      </c>
      <c r="G167" s="683" t="e">
        <f t="array" ref="G167">LOOKUP(1,0/(('5.21出货明细'!D:D=B167)*('5.21出货明细'!G:G&amp;'5.21出货明细'!F:F=C167)),'5.21出货明细'!Z:Z)</f>
        <v>#N/A</v>
      </c>
      <c r="H167" s="684" t="e">
        <f t="shared" ref="H167:H183" si="4">G167*F167</f>
        <v>#N/A</v>
      </c>
    </row>
    <row r="168" customFormat="1" ht="38" customHeight="1" spans="1:8">
      <c r="A168">
        <v>43</v>
      </c>
      <c r="B168" s="679" t="e">
        <f t="array" ref="B168">LOOKUP(1,0/(('5.21出货明细'!V:V=$H$152)*('5.21出货明细'!X:X=$H$148)*('5.21出货明细'!A:A=A168)),'5.21出货明细'!D:D)</f>
        <v>#N/A</v>
      </c>
      <c r="C168" s="679" t="e">
        <f t="array" ref="C168">LOOKUP(1,0/(('5.21出货明细'!V:V=$H$152)*('5.21出货明细'!X:X=$H$148)*('5.21出货明细'!A:A=A168)),'5.21出货明细'!G:G&amp;'5.21出货明细'!F:F)</f>
        <v>#N/A</v>
      </c>
      <c r="D168" s="680" t="e">
        <f t="array" ref="D168">LOOKUP(1,0/(('5.21出货明细'!D:D=B168)*('5.21出货明细'!G:G&amp;'5.21出货明细'!F:F=C168)),'5.21出货明细'!J:J)</f>
        <v>#N/A</v>
      </c>
      <c r="E168" s="681" t="e">
        <f t="array" ref="E168">LOOKUP(1,0/(('5.21出货明细'!D:D=B168)*('5.21出货明细'!G:G&amp;'5.21出货明细'!F:F=C168)),'5.21出货明细'!C:C)</f>
        <v>#N/A</v>
      </c>
      <c r="F168" s="682" t="e">
        <f t="array" ref="F168">LOOKUP(1,0/(('5.21出货明细'!D:D=B168)*('5.21出货明细'!G:G&amp;'5.21出货明细'!F:F=C168)),'5.21出货明细'!K:K)</f>
        <v>#N/A</v>
      </c>
      <c r="G168" s="683" t="e">
        <f t="array" ref="G168">LOOKUP(1,0/(('5.21出货明细'!D:D=B168)*('5.21出货明细'!G:G&amp;'5.21出货明细'!F:F=C168)),'5.21出货明细'!Z:Z)</f>
        <v>#N/A</v>
      </c>
      <c r="H168" s="684" t="e">
        <f t="shared" si="4"/>
        <v>#N/A</v>
      </c>
    </row>
    <row r="169" customFormat="1" ht="38" customHeight="1" spans="1:8">
      <c r="A169">
        <v>44</v>
      </c>
      <c r="B169" s="679" t="e">
        <f t="array" ref="B169">LOOKUP(1,0/(('5.21出货明细'!V:V=$H$152)*('5.21出货明细'!X:X=$H$148)*('5.21出货明细'!A:A=A169)),'5.21出货明细'!D:D)</f>
        <v>#N/A</v>
      </c>
      <c r="C169" s="679" t="e">
        <f t="array" ref="C169">LOOKUP(1,0/(('5.21出货明细'!V:V=$H$152)*('5.21出货明细'!X:X=$H$148)*('5.21出货明细'!A:A=A169)),'5.21出货明细'!G:G&amp;'5.21出货明细'!F:F)</f>
        <v>#N/A</v>
      </c>
      <c r="D169" s="680" t="e">
        <f t="array" ref="D169">LOOKUP(1,0/(('5.21出货明细'!D:D=B169)*('5.21出货明细'!G:G&amp;'5.21出货明细'!F:F=C169)),'5.21出货明细'!J:J)</f>
        <v>#N/A</v>
      </c>
      <c r="E169" s="681" t="e">
        <f t="array" ref="E169">LOOKUP(1,0/(('5.21出货明细'!D:D=B169)*('5.21出货明细'!G:G&amp;'5.21出货明细'!F:F=C169)),'5.21出货明细'!C:C)</f>
        <v>#N/A</v>
      </c>
      <c r="F169" s="682" t="e">
        <f t="array" ref="F169">LOOKUP(1,0/(('5.21出货明细'!D:D=B169)*('5.21出货明细'!G:G&amp;'5.21出货明细'!F:F=C169)),'5.21出货明细'!K:K)</f>
        <v>#N/A</v>
      </c>
      <c r="G169" s="683" t="e">
        <f t="array" ref="G169">LOOKUP(1,0/(('5.21出货明细'!D:D=B169)*('5.21出货明细'!G:G&amp;'5.21出货明细'!F:F=C169)),'5.21出货明细'!Z:Z)</f>
        <v>#N/A</v>
      </c>
      <c r="H169" s="684" t="e">
        <f t="shared" si="4"/>
        <v>#N/A</v>
      </c>
    </row>
    <row r="170" customFormat="1" ht="31" customHeight="1" spans="1:8">
      <c r="A170">
        <v>45</v>
      </c>
      <c r="B170" s="679" t="e">
        <f t="array" ref="B170">LOOKUP(1,0/(('5.21出货明细'!V:V=$H$152)*('5.21出货明细'!X:X=$H$148)*('5.21出货明细'!A:A=A170)),'5.21出货明细'!D:D)</f>
        <v>#N/A</v>
      </c>
      <c r="C170" s="679" t="e">
        <f t="array" ref="C170">LOOKUP(1,0/(('5.21出货明细'!V:V=$H$152)*('5.21出货明细'!X:X=$H$148)*('5.21出货明细'!A:A=A170)),'5.21出货明细'!G:G&amp;'5.21出货明细'!F:F)</f>
        <v>#N/A</v>
      </c>
      <c r="D170" s="680" t="e">
        <f t="array" ref="D170">LOOKUP(1,0/(('5.21出货明细'!D:D=B170)*('5.21出货明细'!G:G&amp;'5.21出货明细'!F:F=C170)),'5.21出货明细'!J:J)</f>
        <v>#N/A</v>
      </c>
      <c r="E170" s="681" t="e">
        <f t="array" ref="E170">LOOKUP(1,0/(('5.21出货明细'!D:D=B170)*('5.21出货明细'!G:G&amp;'5.21出货明细'!F:F=C170)),'5.21出货明细'!C:C)</f>
        <v>#N/A</v>
      </c>
      <c r="F170" s="682" t="e">
        <f t="array" ref="F170">LOOKUP(1,0/(('5.21出货明细'!D:D=B170)*('5.21出货明细'!G:G&amp;'5.21出货明细'!F:F=C170)),'5.21出货明细'!K:K)</f>
        <v>#N/A</v>
      </c>
      <c r="G170" s="683" t="e">
        <f t="array" ref="G170">LOOKUP(1,0/(('5.21出货明细'!D:D=B170)*('5.21出货明细'!G:G&amp;'5.21出货明细'!F:F=C170)),'5.21出货明细'!Z:Z)</f>
        <v>#N/A</v>
      </c>
      <c r="H170" s="684" t="e">
        <f t="shared" si="4"/>
        <v>#N/A</v>
      </c>
    </row>
    <row r="171" customFormat="1" ht="31" customHeight="1" spans="1:8">
      <c r="A171">
        <v>46</v>
      </c>
      <c r="B171" s="679" t="e">
        <f t="array" ref="B171">LOOKUP(1,0/(('5.21出货明细'!V:V=$H$152)*('5.21出货明细'!X:X=$H$148)*('5.21出货明细'!A:A=A171)),'5.21出货明细'!D:D)</f>
        <v>#N/A</v>
      </c>
      <c r="C171" s="679" t="e">
        <f t="array" ref="C171">LOOKUP(1,0/(('5.21出货明细'!V:V=$H$152)*('5.21出货明细'!X:X=$H$148)*('5.21出货明细'!A:A=A171)),'5.21出货明细'!G:G&amp;'5.21出货明细'!F:F)</f>
        <v>#N/A</v>
      </c>
      <c r="D171" s="680" t="e">
        <f t="array" ref="D171">LOOKUP(1,0/(('5.21出货明细'!D:D=B171)*('5.21出货明细'!G:G&amp;'5.21出货明细'!F:F=C171)),'5.21出货明细'!J:J)</f>
        <v>#N/A</v>
      </c>
      <c r="E171" s="681" t="e">
        <f t="array" ref="E171">LOOKUP(1,0/(('5.21出货明细'!D:D=B171)*('5.21出货明细'!G:G&amp;'5.21出货明细'!F:F=C171)),'5.21出货明细'!C:C)</f>
        <v>#N/A</v>
      </c>
      <c r="F171" s="682" t="e">
        <f t="array" ref="F171">LOOKUP(1,0/(('5.21出货明细'!D:D=B171)*('5.21出货明细'!G:G&amp;'5.21出货明细'!F:F=C171)),'5.21出货明细'!K:K)</f>
        <v>#N/A</v>
      </c>
      <c r="G171" s="683" t="e">
        <f t="array" ref="G171">LOOKUP(1,0/(('5.21出货明细'!D:D=B171)*('5.21出货明细'!G:G&amp;'5.21出货明细'!F:F=C171)),'5.21出货明细'!Z:Z)</f>
        <v>#N/A</v>
      </c>
      <c r="H171" s="684" t="e">
        <f t="shared" si="4"/>
        <v>#N/A</v>
      </c>
    </row>
    <row r="172" customFormat="1" ht="31" customHeight="1" spans="1:8">
      <c r="A172">
        <v>47</v>
      </c>
      <c r="B172" s="679" t="e">
        <f t="array" ref="B172">LOOKUP(1,0/(('5.21出货明细'!V:V=$H$152)*('5.21出货明细'!X:X=$H$148)*('5.21出货明细'!A:A=A172)),'5.21出货明细'!D:D)</f>
        <v>#N/A</v>
      </c>
      <c r="C172" s="679" t="e">
        <f t="array" ref="C172">LOOKUP(1,0/(('5.21出货明细'!V:V=$H$152)*('5.21出货明细'!X:X=$H$148)*('5.21出货明细'!A:A=A172)),'5.21出货明细'!G:G&amp;'5.21出货明细'!F:F)</f>
        <v>#N/A</v>
      </c>
      <c r="D172" s="680" t="e">
        <f t="array" ref="D172">LOOKUP(1,0/(('5.21出货明细'!D:D=B172)*('5.21出货明细'!G:G&amp;'5.21出货明细'!F:F=C172)),'5.21出货明细'!J:J)</f>
        <v>#N/A</v>
      </c>
      <c r="E172" s="681" t="e">
        <f t="array" ref="E172">LOOKUP(1,0/(('5.21出货明细'!D:D=B172)*('5.21出货明细'!G:G&amp;'5.21出货明细'!F:F=C172)),'5.21出货明细'!C:C)</f>
        <v>#N/A</v>
      </c>
      <c r="F172" s="682" t="e">
        <f t="array" ref="F172">LOOKUP(1,0/(('5.21出货明细'!D:D=B172)*('5.21出货明细'!G:G&amp;'5.21出货明细'!F:F=C172)),'5.21出货明细'!K:K)</f>
        <v>#N/A</v>
      </c>
      <c r="G172" s="683" t="e">
        <f t="array" ref="G172">LOOKUP(1,0/(('5.21出货明细'!D:D=B172)*('5.21出货明细'!G:G&amp;'5.21出货明细'!F:F=C172)),'5.21出货明细'!Z:Z)</f>
        <v>#N/A</v>
      </c>
      <c r="H172" s="684" t="e">
        <f t="shared" si="4"/>
        <v>#N/A</v>
      </c>
    </row>
    <row r="173" customFormat="1" ht="31" customHeight="1" spans="1:8">
      <c r="A173">
        <v>48</v>
      </c>
      <c r="B173" s="679" t="e">
        <f t="array" ref="B173">LOOKUP(1,0/(('5.21出货明细'!V:V=$H$152)*('5.21出货明细'!X:X=$H$148)*('5.21出货明细'!A:A=A173)),'5.21出货明细'!D:D)</f>
        <v>#N/A</v>
      </c>
      <c r="C173" s="679" t="e">
        <f t="array" ref="C173">LOOKUP(1,0/(('5.21出货明细'!V:V=$H$152)*('5.21出货明细'!X:X=$H$148)*('5.21出货明细'!A:A=A173)),'5.21出货明细'!G:G&amp;'5.21出货明细'!F:F)</f>
        <v>#N/A</v>
      </c>
      <c r="D173" s="680" t="e">
        <f t="array" ref="D173">LOOKUP(1,0/(('5.21出货明细'!D:D=B173)*('5.21出货明细'!G:G&amp;'5.21出货明细'!F:F=C173)),'5.21出货明细'!J:J)</f>
        <v>#N/A</v>
      </c>
      <c r="E173" s="681" t="e">
        <f t="array" ref="E173">LOOKUP(1,0/(('5.21出货明细'!D:D=B173)*('5.21出货明细'!G:G&amp;'5.21出货明细'!F:F=C173)),'5.21出货明细'!C:C)</f>
        <v>#N/A</v>
      </c>
      <c r="F173" s="682" t="e">
        <f t="array" ref="F173">LOOKUP(1,0/(('5.21出货明细'!D:D=B173)*('5.21出货明细'!G:G&amp;'5.21出货明细'!F:F=C173)),'5.21出货明细'!K:K)</f>
        <v>#N/A</v>
      </c>
      <c r="G173" s="683" t="e">
        <f t="array" ref="G173">LOOKUP(1,0/(('5.21出货明细'!D:D=B173)*('5.21出货明细'!G:G&amp;'5.21出货明细'!F:F=C173)),'5.21出货明细'!Z:Z)</f>
        <v>#N/A</v>
      </c>
      <c r="H173" s="684" t="e">
        <f t="shared" si="4"/>
        <v>#N/A</v>
      </c>
    </row>
    <row r="174" customFormat="1" ht="31" customHeight="1" spans="1:8">
      <c r="A174">
        <v>49</v>
      </c>
      <c r="B174" s="679" t="e">
        <f t="array" ref="B174">LOOKUP(1,0/(('5.21出货明细'!V:V=$H$152)*('5.21出货明细'!X:X=$H$148)*('5.21出货明细'!A:A=A174)),'5.21出货明细'!D:D)</f>
        <v>#N/A</v>
      </c>
      <c r="C174" s="679" t="e">
        <f t="array" ref="C174">LOOKUP(1,0/(('5.21出货明细'!V:V=$H$152)*('5.21出货明细'!X:X=$H$148)*('5.21出货明细'!A:A=A174)),'5.21出货明细'!G:G&amp;'5.21出货明细'!F:F)</f>
        <v>#N/A</v>
      </c>
      <c r="D174" s="680" t="e">
        <f t="array" ref="D174">LOOKUP(1,0/(('5.21出货明细'!D:D=B174)*('5.21出货明细'!G:G&amp;'5.21出货明细'!F:F=C174)),'5.21出货明细'!J:J)</f>
        <v>#N/A</v>
      </c>
      <c r="E174" s="681" t="e">
        <f t="array" ref="E174">LOOKUP(1,0/(('5.21出货明细'!D:D=B174)*('5.21出货明细'!G:G&amp;'5.21出货明细'!F:F=C174)),'5.21出货明细'!C:C)</f>
        <v>#N/A</v>
      </c>
      <c r="F174" s="682" t="e">
        <f t="array" ref="F174">LOOKUP(1,0/(('5.21出货明细'!D:D=B174)*('5.21出货明细'!G:G&amp;'5.21出货明细'!F:F=C174)),'5.21出货明细'!K:K)</f>
        <v>#N/A</v>
      </c>
      <c r="G174" s="683" t="e">
        <f t="array" ref="G174">LOOKUP(1,0/(('5.21出货明细'!D:D=B174)*('5.21出货明细'!G:G&amp;'5.21出货明细'!F:F=C174)),'5.21出货明细'!Z:Z)</f>
        <v>#N/A</v>
      </c>
      <c r="H174" s="684" t="e">
        <f t="shared" si="4"/>
        <v>#N/A</v>
      </c>
    </row>
    <row r="175" customFormat="1" ht="31" customHeight="1" spans="1:8">
      <c r="A175">
        <v>50</v>
      </c>
      <c r="B175" s="679" t="e">
        <f t="array" ref="B175">LOOKUP(1,0/(('5.21出货明细'!V:V=$H$152)*('5.21出货明细'!X:X=$H$148)*('5.21出货明细'!A:A=A175)),'5.21出货明细'!D:D)</f>
        <v>#N/A</v>
      </c>
      <c r="C175" s="679" t="e">
        <f t="array" ref="C175">LOOKUP(1,0/(('5.21出货明细'!V:V=$H$152)*('5.21出货明细'!X:X=$H$148)*('5.21出货明细'!A:A=A175)),'5.21出货明细'!G:G&amp;'5.21出货明细'!F:F)</f>
        <v>#N/A</v>
      </c>
      <c r="D175" s="680" t="e">
        <f t="array" ref="D175">LOOKUP(1,0/(('5.21出货明细'!D:D=B175)*('5.21出货明细'!G:G&amp;'5.21出货明细'!F:F=C175)),'5.21出货明细'!J:J)</f>
        <v>#N/A</v>
      </c>
      <c r="E175" s="681" t="e">
        <f t="array" ref="E175">LOOKUP(1,0/(('5.21出货明细'!D:D=B175)*('5.21出货明细'!G:G&amp;'5.21出货明细'!F:F=C175)),'5.21出货明细'!C:C)</f>
        <v>#N/A</v>
      </c>
      <c r="F175" s="682" t="e">
        <f t="array" ref="F175">LOOKUP(1,0/(('5.21出货明细'!D:D=B175)*('5.21出货明细'!G:G&amp;'5.21出货明细'!F:F=C175)),'5.21出货明细'!K:K)</f>
        <v>#N/A</v>
      </c>
      <c r="G175" s="683" t="e">
        <f t="array" ref="G175">LOOKUP(1,0/(('5.21出货明细'!D:D=B175)*('5.21出货明细'!G:G&amp;'5.21出货明细'!F:F=C175)),'5.21出货明细'!Z:Z)</f>
        <v>#N/A</v>
      </c>
      <c r="H175" s="684" t="e">
        <f t="shared" si="4"/>
        <v>#N/A</v>
      </c>
    </row>
    <row r="176" customFormat="1" ht="31" customHeight="1" spans="1:8">
      <c r="A176">
        <v>51</v>
      </c>
      <c r="B176" s="679" t="e">
        <f t="array" ref="B176">LOOKUP(1,0/(('5.21出货明细'!V:V=$H$152)*('5.21出货明细'!X:X=$H$148)*('5.21出货明细'!A:A=A176)),'5.21出货明细'!D:D)</f>
        <v>#N/A</v>
      </c>
      <c r="C176" s="679" t="e">
        <f t="array" ref="C176">LOOKUP(1,0/(('5.21出货明细'!V:V=$H$152)*('5.21出货明细'!X:X=$H$148)*('5.21出货明细'!A:A=A176)),'5.21出货明细'!G:G&amp;'5.21出货明细'!F:F)</f>
        <v>#N/A</v>
      </c>
      <c r="D176" s="680" t="e">
        <f t="array" ref="D176">LOOKUP(1,0/(('5.21出货明细'!D:D=B176)*('5.21出货明细'!G:G&amp;'5.21出货明细'!F:F=C176)),'5.21出货明细'!J:J)</f>
        <v>#N/A</v>
      </c>
      <c r="E176" s="681" t="e">
        <f t="array" ref="E176">LOOKUP(1,0/(('5.21出货明细'!D:D=B176)*('5.21出货明细'!G:G&amp;'5.21出货明细'!F:F=C176)),'5.21出货明细'!C:C)</f>
        <v>#N/A</v>
      </c>
      <c r="F176" s="682" t="e">
        <f t="array" ref="F176">LOOKUP(1,0/(('5.21出货明细'!D:D=B176)*('5.21出货明细'!G:G&amp;'5.21出货明细'!F:F=C176)),'5.21出货明细'!K:K)</f>
        <v>#N/A</v>
      </c>
      <c r="G176" s="683" t="e">
        <f t="array" ref="G176">LOOKUP(1,0/(('5.21出货明细'!D:D=B176)*('5.21出货明细'!G:G&amp;'5.21出货明细'!F:F=C176)),'5.21出货明细'!Z:Z)</f>
        <v>#N/A</v>
      </c>
      <c r="H176" s="684" t="e">
        <f t="shared" si="4"/>
        <v>#N/A</v>
      </c>
    </row>
    <row r="177" customFormat="1" ht="31" customHeight="1" spans="1:8">
      <c r="A177">
        <v>52</v>
      </c>
      <c r="B177" s="679" t="e">
        <f t="array" ref="B177">LOOKUP(1,0/(('5.21出货明细'!V:V=$H$152)*('5.21出货明细'!X:X=$H$148)*('5.21出货明细'!A:A=A177)),'5.21出货明细'!D:D)</f>
        <v>#N/A</v>
      </c>
      <c r="C177" s="679" t="e">
        <f t="array" ref="C177">LOOKUP(1,0/(('5.21出货明细'!V:V=$H$152)*('5.21出货明细'!X:X=$H$148)*('5.21出货明细'!A:A=A177)),'5.21出货明细'!G:G&amp;'5.21出货明细'!F:F)</f>
        <v>#N/A</v>
      </c>
      <c r="D177" s="680" t="e">
        <f t="array" ref="D177">LOOKUP(1,0/(('5.21出货明细'!D:D=B177)*('5.21出货明细'!G:G&amp;'5.21出货明细'!F:F=C177)),'5.21出货明细'!J:J)</f>
        <v>#N/A</v>
      </c>
      <c r="E177" s="681" t="e">
        <f t="array" ref="E177">LOOKUP(1,0/(('5.21出货明细'!D:D=B177)*('5.21出货明细'!G:G&amp;'5.21出货明细'!F:F=C177)),'5.21出货明细'!C:C)</f>
        <v>#N/A</v>
      </c>
      <c r="F177" s="682" t="e">
        <f t="array" ref="F177">LOOKUP(1,0/(('5.21出货明细'!D:D=B177)*('5.21出货明细'!G:G&amp;'5.21出货明细'!F:F=C177)),'5.21出货明细'!K:K)</f>
        <v>#N/A</v>
      </c>
      <c r="G177" s="683" t="e">
        <f t="array" ref="G177">LOOKUP(1,0/(('5.21出货明细'!D:D=B177)*('5.21出货明细'!G:G&amp;'5.21出货明细'!F:F=C177)),'5.21出货明细'!Z:Z)</f>
        <v>#N/A</v>
      </c>
      <c r="H177" s="684" t="e">
        <f t="shared" si="4"/>
        <v>#N/A</v>
      </c>
    </row>
    <row r="178" customFormat="1" ht="31" customHeight="1" spans="1:8">
      <c r="A178">
        <v>53</v>
      </c>
      <c r="B178" s="679" t="e">
        <f t="array" ref="B178">LOOKUP(1,0/(('5.21出货明细'!V:V=$H$152)*('5.21出货明细'!X:X=$H$148)*('5.21出货明细'!A:A=A178)),'5.21出货明细'!D:D)</f>
        <v>#N/A</v>
      </c>
      <c r="C178" s="679" t="e">
        <f t="array" ref="C178">LOOKUP(1,0/(('5.21出货明细'!V:V=$H$152)*('5.21出货明细'!X:X=$H$148)*('5.21出货明细'!A:A=A178)),'5.21出货明细'!G:G&amp;'5.21出货明细'!F:F)</f>
        <v>#N/A</v>
      </c>
      <c r="D178" s="680" t="e">
        <f t="array" ref="D178">LOOKUP(1,0/(('5.21出货明细'!D:D=B178)*('5.21出货明细'!G:G&amp;'5.21出货明细'!F:F=C178)),'5.21出货明细'!J:J)</f>
        <v>#N/A</v>
      </c>
      <c r="E178" s="681" t="e">
        <f t="array" ref="E178">LOOKUP(1,0/(('5.21出货明细'!D:D=B178)*('5.21出货明细'!G:G&amp;'5.21出货明细'!F:F=C178)),'5.21出货明细'!C:C)</f>
        <v>#N/A</v>
      </c>
      <c r="F178" s="682" t="e">
        <f t="array" ref="F178">LOOKUP(1,0/(('5.21出货明细'!D:D=B178)*('5.21出货明细'!G:G&amp;'5.21出货明细'!F:F=C178)),'5.21出货明细'!K:K)</f>
        <v>#N/A</v>
      </c>
      <c r="G178" s="685" t="e">
        <f t="array" ref="G178">LOOKUP(1,0/(('5.21出货明细'!D:D=B178)*('5.21出货明细'!G:G&amp;'5.21出货明细'!F:F=C178)),'5.21出货明细'!Z:Z)</f>
        <v>#N/A</v>
      </c>
      <c r="H178" s="684" t="e">
        <f t="shared" si="4"/>
        <v>#N/A</v>
      </c>
    </row>
    <row r="179" customFormat="1" ht="31" customHeight="1" spans="1:8">
      <c r="A179">
        <v>54</v>
      </c>
      <c r="B179" s="679" t="e">
        <f t="array" ref="B179">LOOKUP(1,0/(('5.21出货明细'!V:V=$H$152)*('5.21出货明细'!X:X=$H$148)*('5.21出货明细'!A:A=A179)),'5.21出货明细'!D:D)</f>
        <v>#N/A</v>
      </c>
      <c r="C179" s="679" t="e">
        <f t="array" ref="C179">LOOKUP(1,0/(('5.21出货明细'!V:V=$H$152)*('5.21出货明细'!X:X=$H$148)*('5.21出货明细'!A:A=A179)),'5.21出货明细'!G:G&amp;'5.21出货明细'!F:F)</f>
        <v>#N/A</v>
      </c>
      <c r="D179" s="680" t="e">
        <f t="array" ref="D179">LOOKUP(1,0/(('5.21出货明细'!D:D=B179)*('5.21出货明细'!G:G&amp;'5.21出货明细'!F:F=C179)),'5.21出货明细'!J:J)</f>
        <v>#N/A</v>
      </c>
      <c r="E179" s="681" t="e">
        <f t="array" ref="E179">LOOKUP(1,0/(('5.21出货明细'!D:D=B179)*('5.21出货明细'!G:G&amp;'5.21出货明细'!F:F=C179)),'5.21出货明细'!C:C)</f>
        <v>#N/A</v>
      </c>
      <c r="F179" s="682" t="e">
        <f t="array" ref="F179">LOOKUP(1,0/(('5.21出货明细'!D:D=B179)*('5.21出货明细'!G:G&amp;'5.21出货明细'!F:F=C179)),'5.21出货明细'!K:K)</f>
        <v>#N/A</v>
      </c>
      <c r="G179" s="683" t="e">
        <f t="array" ref="G179">LOOKUP(1,0/(('5.21出货明细'!D:D=B179)*('5.21出货明细'!G:G&amp;'5.21出货明细'!F:F=C179)),'5.21出货明细'!Z:Z)</f>
        <v>#N/A</v>
      </c>
      <c r="H179" s="684" t="e">
        <f t="shared" si="4"/>
        <v>#N/A</v>
      </c>
    </row>
    <row r="180" customFormat="1" ht="31" customHeight="1" spans="1:8">
      <c r="A180">
        <v>55</v>
      </c>
      <c r="B180" s="679" t="e">
        <f t="array" ref="B180">LOOKUP(1,0/(('5.21出货明细'!V:V=$H$152)*('5.21出货明细'!X:X=$H$148)*('5.21出货明细'!A:A=A180)),'5.21出货明细'!D:D)</f>
        <v>#N/A</v>
      </c>
      <c r="C180" s="679" t="e">
        <f t="array" ref="C180">LOOKUP(1,0/(('5.21出货明细'!V:V=$H$152)*('5.21出货明细'!X:X=$H$148)*('5.21出货明细'!A:A=A180)),'5.21出货明细'!G:G&amp;'5.21出货明细'!F:F)</f>
        <v>#N/A</v>
      </c>
      <c r="D180" s="680" t="e">
        <f t="array" ref="D180">LOOKUP(1,0/(('5.21出货明细'!D:D=B180)*('5.21出货明细'!G:G&amp;'5.21出货明细'!F:F=C180)),'5.21出货明细'!J:J)</f>
        <v>#N/A</v>
      </c>
      <c r="E180" s="681" t="e">
        <f t="array" ref="E180">LOOKUP(1,0/(('5.21出货明细'!D:D=B180)*('5.21出货明细'!G:G&amp;'5.21出货明细'!F:F=C180)),'5.21出货明细'!C:C)</f>
        <v>#N/A</v>
      </c>
      <c r="F180" s="682" t="e">
        <f t="array" ref="F180">LOOKUP(1,0/(('5.21出货明细'!D:D=B180)*('5.21出货明细'!G:G&amp;'5.21出货明细'!F:F=C180)),'5.21出货明细'!K:K)</f>
        <v>#N/A</v>
      </c>
      <c r="G180" s="683" t="e">
        <f t="array" ref="G180">LOOKUP(1,0/(('5.21出货明细'!D:D=B180)*('5.21出货明细'!G:G&amp;'5.21出货明细'!F:F=C180)),'5.21出货明细'!Z:Z)</f>
        <v>#N/A</v>
      </c>
      <c r="H180" s="684" t="e">
        <f t="shared" si="4"/>
        <v>#N/A</v>
      </c>
    </row>
    <row r="181" customFormat="1" ht="31" customHeight="1" spans="1:8">
      <c r="A181">
        <v>56</v>
      </c>
      <c r="B181" s="679" t="e">
        <f t="array" ref="B181">LOOKUP(1,0/(('5.21出货明细'!V:V=$H$152)*('5.21出货明细'!X:X=$H$148)*('5.21出货明细'!A:A=A181)),'5.21出货明细'!D:D)</f>
        <v>#N/A</v>
      </c>
      <c r="C181" s="679" t="e">
        <f t="array" ref="C181">LOOKUP(1,0/(('5.21出货明细'!V:V=$H$152)*('5.21出货明细'!X:X=$H$148)*('5.21出货明细'!A:A=A181)),'5.21出货明细'!G:G&amp;'5.21出货明细'!F:F)</f>
        <v>#N/A</v>
      </c>
      <c r="D181" s="680" t="e">
        <f t="array" ref="D181">LOOKUP(1,0/(('5.21出货明细'!D:D=B181)*('5.21出货明细'!G:G&amp;'5.21出货明细'!F:F=C181)),'5.21出货明细'!J:J)</f>
        <v>#N/A</v>
      </c>
      <c r="E181" s="681" t="e">
        <f t="array" ref="E181">LOOKUP(1,0/(('5.21出货明细'!D:D=B181)*('5.21出货明细'!G:G&amp;'5.21出货明细'!F:F=C181)),'5.21出货明细'!C:C)</f>
        <v>#N/A</v>
      </c>
      <c r="F181" s="682" t="e">
        <f t="array" ref="F181">LOOKUP(1,0/(('5.21出货明细'!D:D=B181)*('5.21出货明细'!G:G&amp;'5.21出货明细'!F:F=C181)),'5.21出货明细'!K:K)</f>
        <v>#N/A</v>
      </c>
      <c r="G181" s="683" t="e">
        <f t="array" ref="G181">LOOKUP(1,0/(('5.21出货明细'!D:D=B181)*('5.21出货明细'!G:G&amp;'5.21出货明细'!F:F=C181)),'5.21出货明细'!Z:Z)</f>
        <v>#N/A</v>
      </c>
      <c r="H181" s="684" t="e">
        <f t="shared" si="4"/>
        <v>#N/A</v>
      </c>
    </row>
    <row r="182" customFormat="1" ht="31" customHeight="1" spans="1:8">
      <c r="A182">
        <v>57</v>
      </c>
      <c r="B182" s="679" t="e">
        <f t="array" ref="B182">LOOKUP(1,0/(('5.21出货明细'!V:V=$H$152)*('5.21出货明细'!X:X=$H$148)*('5.21出货明细'!A:A=A182)),'5.21出货明细'!D:D)</f>
        <v>#N/A</v>
      </c>
      <c r="C182" s="679" t="e">
        <f t="array" ref="C182">LOOKUP(1,0/(('5.21出货明细'!V:V=$H$152)*('5.21出货明细'!X:X=$H$148)*('5.21出货明细'!A:A=A182)),'5.21出货明细'!G:G&amp;'5.21出货明细'!F:F)</f>
        <v>#N/A</v>
      </c>
      <c r="D182" s="680" t="e">
        <f t="array" ref="D182">LOOKUP(1,0/(('5.21出货明细'!D:D=B182)*('5.21出货明细'!G:G&amp;'5.21出货明细'!F:F=C182)),'5.21出货明细'!J:J)</f>
        <v>#N/A</v>
      </c>
      <c r="E182" s="681" t="e">
        <f t="array" ref="E182">LOOKUP(1,0/(('5.21出货明细'!D:D=B182)*('5.21出货明细'!G:G&amp;'5.21出货明细'!F:F=C182)),'5.21出货明细'!C:C)</f>
        <v>#N/A</v>
      </c>
      <c r="F182" s="682" t="e">
        <f t="array" ref="F182">LOOKUP(1,0/(('5.21出货明细'!D:D=B182)*('5.21出货明细'!G:G&amp;'5.21出货明细'!F:F=C182)),'5.21出货明细'!K:K)</f>
        <v>#N/A</v>
      </c>
      <c r="G182" s="683" t="e">
        <f t="array" ref="G182">LOOKUP(1,0/(('5.21出货明细'!D:D=B182)*('5.21出货明细'!G:G&amp;'5.21出货明细'!F:F=C182)),'5.21出货明细'!Z:Z)</f>
        <v>#N/A</v>
      </c>
      <c r="H182" s="684" t="e">
        <f t="shared" si="4"/>
        <v>#N/A</v>
      </c>
    </row>
    <row r="183" customFormat="1" ht="31" customHeight="1" spans="1:8">
      <c r="A183">
        <v>58</v>
      </c>
      <c r="B183" s="679" t="e">
        <f t="array" ref="B183">LOOKUP(1,0/(('5.21出货明细'!V:V=$H$152)*('5.21出货明细'!X:X=$H$148)*('5.21出货明细'!A:A=A183)),'5.21出货明细'!D:D)</f>
        <v>#N/A</v>
      </c>
      <c r="C183" s="679" t="e">
        <f t="array" ref="C183">LOOKUP(1,0/(('5.21出货明细'!V:V=$H$152)*('5.21出货明细'!X:X=$H$148)*('5.21出货明细'!A:A=A183)),'5.21出货明细'!G:G&amp;'5.21出货明细'!F:F)</f>
        <v>#N/A</v>
      </c>
      <c r="D183" s="680" t="e">
        <f t="array" ref="D183">LOOKUP(1,0/(('5.21出货明细'!D:D=B183)*('5.21出货明细'!G:G&amp;'5.21出货明细'!F:F=C183)),'5.21出货明细'!J:J)</f>
        <v>#N/A</v>
      </c>
      <c r="E183" s="681" t="e">
        <f t="array" ref="E183">LOOKUP(1,0/(('5.21出货明细'!D:D=B183)*('5.21出货明细'!G:G&amp;'5.21出货明细'!F:F=C183)),'5.21出货明细'!C:C)</f>
        <v>#N/A</v>
      </c>
      <c r="F183" s="682" t="e">
        <f t="array" ref="F183">LOOKUP(1,0/(('5.21出货明细'!D:D=B183)*('5.21出货明细'!G:G&amp;'5.21出货明细'!F:F=C183)),'5.21出货明细'!K:K)</f>
        <v>#N/A</v>
      </c>
      <c r="G183" s="683" t="e">
        <f t="array" ref="G183">LOOKUP(1,0/(('5.21出货明细'!D:D=B183)*('5.21出货明细'!G:G&amp;'5.21出货明细'!F:F=C183)),'5.21出货明细'!Z:Z)</f>
        <v>#N/A</v>
      </c>
      <c r="H183" s="684" t="e">
        <f t="shared" si="4"/>
        <v>#N/A</v>
      </c>
    </row>
    <row r="184" ht="18" spans="1:8">
      <c r="A184" s="636"/>
      <c r="B184" s="687"/>
      <c r="C184" s="688"/>
      <c r="D184" s="687"/>
      <c r="E184" s="687"/>
      <c r="F184" s="679" t="s">
        <v>1647</v>
      </c>
      <c r="G184" s="689" t="e">
        <f>SUM(H167:H183)</f>
        <v>#N/A</v>
      </c>
      <c r="H184" s="690"/>
    </row>
    <row r="185" ht="36" spans="1:8">
      <c r="A185" s="639"/>
      <c r="B185" s="691" t="s">
        <v>1648</v>
      </c>
      <c r="C185" s="692" t="e">
        <f>G184</f>
        <v>#N/A</v>
      </c>
      <c r="D185" s="693"/>
      <c r="E185" s="694"/>
      <c r="F185" s="695"/>
      <c r="G185" s="700"/>
      <c r="H185" s="700"/>
    </row>
    <row r="186" customFormat="1" spans="1:8">
      <c r="C186" s="623"/>
    </row>
    <row r="187" customFormat="1" ht="30" spans="1:8">
      <c r="A187" s="624"/>
      <c r="B187" s="625" t="s">
        <v>1540</v>
      </c>
      <c r="C187" s="625"/>
      <c r="D187" s="625"/>
      <c r="E187" s="625"/>
      <c r="F187" s="625"/>
      <c r="G187" s="625"/>
      <c r="H187" s="625"/>
    </row>
    <row r="188" customFormat="1" ht="24" customHeight="1" spans="1:8">
      <c r="A188" s="626"/>
      <c r="B188" s="627" t="s">
        <v>1546</v>
      </c>
      <c r="C188" s="627"/>
      <c r="D188" s="627"/>
      <c r="E188" s="627"/>
      <c r="F188" s="627"/>
      <c r="G188" s="627"/>
      <c r="H188" s="627"/>
    </row>
    <row r="189" customFormat="1" ht="35" customHeight="1" spans="1:8">
      <c r="A189" s="628"/>
      <c r="B189" s="629" t="s">
        <v>1619</v>
      </c>
      <c r="C189" s="629"/>
      <c r="D189" s="629"/>
      <c r="E189" s="629"/>
      <c r="F189" s="629"/>
      <c r="G189" s="629"/>
      <c r="H189" s="629"/>
    </row>
    <row r="190" customFormat="1" ht="18" spans="1:8">
      <c r="A190" s="628"/>
      <c r="B190" s="629" t="s">
        <v>1620</v>
      </c>
      <c r="C190" s="629"/>
      <c r="D190" s="629"/>
      <c r="E190" s="629"/>
      <c r="F190" s="629"/>
      <c r="G190" s="629"/>
      <c r="H190" s="629"/>
    </row>
    <row r="191" customFormat="1" ht="25.5" spans="1:8">
      <c r="A191" s="630"/>
      <c r="B191" s="631" t="s">
        <v>1621</v>
      </c>
      <c r="C191" s="631"/>
      <c r="D191" s="631"/>
      <c r="E191" s="631"/>
      <c r="F191" s="631"/>
      <c r="G191" s="631"/>
      <c r="H191" s="631"/>
    </row>
    <row r="192" customFormat="1" ht="21.75" spans="1:8">
      <c r="A192" s="632"/>
      <c r="B192" s="633" t="s">
        <v>1622</v>
      </c>
      <c r="C192" s="633"/>
      <c r="D192" s="633"/>
      <c r="E192" s="633"/>
      <c r="F192" s="633"/>
      <c r="G192" s="633"/>
      <c r="H192" s="633"/>
    </row>
    <row r="193" customFormat="1" ht="18" spans="1:8">
      <c r="A193" s="634"/>
      <c r="B193" s="635"/>
      <c r="C193" s="635"/>
      <c r="D193" s="635"/>
      <c r="E193" s="635"/>
      <c r="F193" s="635"/>
      <c r="G193" s="635"/>
      <c r="H193" s="635"/>
    </row>
    <row r="194" customFormat="1" ht="18" spans="1:8">
      <c r="A194" s="636"/>
      <c r="B194" s="637" t="s">
        <v>1623</v>
      </c>
      <c r="C194" s="637"/>
      <c r="D194" s="637"/>
      <c r="E194" s="637"/>
      <c r="F194" s="637"/>
      <c r="G194" s="638"/>
      <c r="H194" s="638"/>
    </row>
    <row r="195" customFormat="1" ht="33" spans="1:8">
      <c r="A195" s="639"/>
      <c r="B195" s="640" t="s">
        <v>1624</v>
      </c>
      <c r="C195" s="640"/>
      <c r="D195" s="640"/>
      <c r="E195" s="640"/>
      <c r="F195" s="640"/>
      <c r="G195" s="641" t="s">
        <v>1625</v>
      </c>
      <c r="H195" s="642" t="s">
        <v>1655</v>
      </c>
    </row>
    <row r="196" customFormat="1" ht="18" spans="1:8">
      <c r="A196" s="643"/>
      <c r="B196" s="644" t="s">
        <v>1540</v>
      </c>
      <c r="C196" s="644"/>
      <c r="D196" s="644"/>
      <c r="E196" s="644"/>
      <c r="F196" s="644"/>
      <c r="G196" s="641"/>
      <c r="H196" s="645"/>
    </row>
    <row r="197" customFormat="1" ht="46" customHeight="1" spans="1:8">
      <c r="A197" s="636"/>
      <c r="B197" s="637" t="s">
        <v>1627</v>
      </c>
      <c r="C197" s="637"/>
      <c r="D197" s="637"/>
      <c r="E197" s="637"/>
      <c r="F197" s="636"/>
      <c r="G197" s="646" t="s">
        <v>1628</v>
      </c>
      <c r="H197" s="647">
        <f>实业合同!H9</f>
        <v>46076</v>
      </c>
    </row>
    <row r="198" customFormat="1" ht="23" customHeight="1" spans="1:8">
      <c r="A198" s="636"/>
      <c r="B198" s="637"/>
      <c r="C198" s="637"/>
      <c r="D198" s="637"/>
      <c r="E198" s="637"/>
      <c r="F198" s="636"/>
      <c r="G198" s="646"/>
      <c r="H198" s="648"/>
    </row>
    <row r="199" customFormat="1" ht="33" spans="1:8">
      <c r="A199" s="639"/>
      <c r="B199" s="640" t="s">
        <v>1629</v>
      </c>
      <c r="C199" s="640"/>
      <c r="D199" s="640"/>
      <c r="E199" s="640"/>
      <c r="F199" s="640"/>
      <c r="G199" s="649" t="s">
        <v>1630</v>
      </c>
      <c r="H199" s="642" t="str">
        <f>实业合同!H208</f>
        <v>RPIRRI260280</v>
      </c>
    </row>
    <row r="200" customFormat="1" ht="18" spans="1:8">
      <c r="A200" s="636"/>
      <c r="B200" s="637" t="s">
        <v>1558</v>
      </c>
      <c r="C200" s="637"/>
      <c r="D200" s="636"/>
      <c r="E200" s="636"/>
      <c r="F200" s="636"/>
      <c r="G200" s="649"/>
      <c r="H200" s="645"/>
    </row>
    <row r="201" customFormat="1" ht="25" customHeight="1" spans="1:8">
      <c r="A201" s="639"/>
      <c r="B201" s="640" t="s">
        <v>1631</v>
      </c>
      <c r="C201" s="640"/>
      <c r="D201" s="640"/>
      <c r="E201" s="640"/>
      <c r="F201" s="640"/>
      <c r="G201" s="650"/>
      <c r="H201" s="651"/>
    </row>
    <row r="202" customFormat="1" ht="18" spans="1:8">
      <c r="A202" s="639"/>
      <c r="B202" s="640"/>
      <c r="C202" s="640"/>
      <c r="D202" s="640"/>
      <c r="E202" s="640"/>
      <c r="F202" s="640"/>
      <c r="G202" s="646" t="s">
        <v>1632</v>
      </c>
      <c r="H202" s="652" t="s">
        <v>1633</v>
      </c>
    </row>
    <row r="203" customFormat="1" ht="18" spans="1:8">
      <c r="A203" s="653"/>
      <c r="B203" s="654" t="s">
        <v>1560</v>
      </c>
      <c r="C203" s="653"/>
      <c r="D203" s="653"/>
      <c r="E203" s="655"/>
      <c r="F203" s="656"/>
      <c r="G203" s="646"/>
      <c r="H203" s="657"/>
    </row>
    <row r="204" customFormat="1" ht="18" spans="1:8">
      <c r="A204" s="653"/>
      <c r="B204" s="654" t="s">
        <v>1561</v>
      </c>
      <c r="C204" s="653"/>
      <c r="D204" s="658"/>
      <c r="E204" s="655"/>
      <c r="F204" s="656"/>
      <c r="G204" s="659"/>
      <c r="H204" s="660"/>
    </row>
    <row r="205" customFormat="1" ht="18" spans="1:8">
      <c r="A205" s="639"/>
      <c r="B205" s="640" t="s">
        <v>1634</v>
      </c>
      <c r="C205" s="640"/>
      <c r="D205" s="640"/>
      <c r="E205" s="640"/>
      <c r="F205" s="640"/>
      <c r="G205" s="659"/>
      <c r="H205" s="660"/>
    </row>
    <row r="206" customFormat="1" ht="18" spans="1:8">
      <c r="A206" s="661"/>
      <c r="B206" s="661" t="s">
        <v>1635</v>
      </c>
      <c r="C206" s="661"/>
      <c r="D206" s="661"/>
      <c r="E206" s="661"/>
      <c r="F206" s="661"/>
      <c r="G206" s="659"/>
      <c r="H206" s="660"/>
    </row>
    <row r="207" customFormat="1" ht="18" spans="1:8">
      <c r="A207" s="653"/>
      <c r="B207" s="654" t="s">
        <v>124</v>
      </c>
      <c r="C207" s="658"/>
      <c r="D207" s="662"/>
      <c r="E207" s="662"/>
      <c r="F207" s="663"/>
      <c r="G207" s="659"/>
      <c r="H207" s="660"/>
    </row>
    <row r="208" customFormat="1" ht="18" spans="1:8">
      <c r="A208" s="653"/>
      <c r="B208" s="653" t="s">
        <v>1602</v>
      </c>
      <c r="C208" s="653"/>
      <c r="D208" s="658"/>
      <c r="E208" s="662"/>
      <c r="F208" s="663"/>
      <c r="G208" s="659"/>
      <c r="H208" s="660"/>
    </row>
    <row r="209" s="621" customFormat="1" ht="28" customHeight="1" spans="1:8">
      <c r="A209" s="636"/>
      <c r="B209" s="637" t="s">
        <v>1603</v>
      </c>
      <c r="C209" s="637"/>
      <c r="D209" s="637"/>
      <c r="E209" s="637"/>
      <c r="F209" s="637"/>
      <c r="G209" s="664"/>
      <c r="H209" s="664"/>
    </row>
    <row r="210" s="621" customFormat="1" ht="32" customHeight="1" spans="1:8">
      <c r="A210" s="636"/>
      <c r="B210" s="637"/>
      <c r="C210" s="637"/>
      <c r="D210" s="637"/>
      <c r="E210" s="637"/>
      <c r="F210" s="637"/>
      <c r="G210" s="664"/>
      <c r="H210" s="664"/>
    </row>
    <row r="211" customFormat="1" ht="31.5" spans="1:8">
      <c r="B211" s="668" t="s">
        <v>1637</v>
      </c>
      <c r="C211" s="669" t="s">
        <v>1638</v>
      </c>
      <c r="D211" s="670"/>
      <c r="E211" s="671"/>
      <c r="F211" s="672" t="s">
        <v>1639</v>
      </c>
      <c r="G211" s="673" t="s">
        <v>1640</v>
      </c>
      <c r="H211" s="674"/>
    </row>
    <row r="212" customFormat="1" ht="31.5" spans="1:8">
      <c r="B212" s="668" t="s">
        <v>1641</v>
      </c>
      <c r="C212" s="668" t="s">
        <v>1642</v>
      </c>
      <c r="D212" s="668" t="s">
        <v>8</v>
      </c>
      <c r="E212" s="362" t="s">
        <v>1643</v>
      </c>
      <c r="F212" s="672" t="s">
        <v>1644</v>
      </c>
      <c r="G212" s="668" t="s">
        <v>1645</v>
      </c>
      <c r="H212" s="668" t="s">
        <v>1646</v>
      </c>
    </row>
    <row r="213" customFormat="1" ht="18" spans="1:8">
      <c r="B213" s="675"/>
      <c r="C213" s="676"/>
      <c r="D213" s="675"/>
      <c r="E213" s="675"/>
      <c r="F213" s="675"/>
      <c r="G213" s="677" t="s">
        <v>1595</v>
      </c>
      <c r="H213" s="678"/>
    </row>
    <row r="214" customFormat="1" ht="56" customHeight="1" spans="1:8">
      <c r="A214">
        <v>59</v>
      </c>
      <c r="B214" s="679" t="e">
        <f t="array" ref="B214">LOOKUP(1,0/(('5.21出货明细'!V:V=$H$199)*('5.21出货明细'!X:X=$H$195)*('5.21出货明细'!A:A=A214)),'5.21出货明细'!D:D)</f>
        <v>#N/A</v>
      </c>
      <c r="C214" s="679" t="e">
        <f t="array" ref="C214">LOOKUP(1,0/(('5.21出货明细'!V:V=$H$199)*('5.21出货明细'!X:X=$H$195)*('5.21出货明细'!A:A=A214)),'5.21出货明细'!G:G&amp;'5.21出货明细'!F:F)</f>
        <v>#N/A</v>
      </c>
      <c r="D214" s="680" t="e">
        <f t="array" ref="D214">LOOKUP(1,0/(('5.21出货明细'!D:D=B214)*('5.21出货明细'!G:G&amp;'5.21出货明细'!F:F=C214)),'5.21出货明细'!J:J)</f>
        <v>#N/A</v>
      </c>
      <c r="E214" s="681" t="e">
        <f t="array" ref="E214">LOOKUP(1,0/(('5.21出货明细'!D:D=B214)*('5.21出货明细'!G:G&amp;'5.21出货明细'!F:F=C214)),'5.21出货明细'!C:C)</f>
        <v>#N/A</v>
      </c>
      <c r="F214" s="682" t="e">
        <f t="array" ref="F214">LOOKUP(1,0/(('5.21出货明细'!D:D=B214)*('5.21出货明细'!G:G&amp;'5.21出货明细'!F:F=C214)),'5.21出货明细'!K:K)</f>
        <v>#N/A</v>
      </c>
      <c r="G214" s="683" t="e">
        <f t="array" ref="G214">LOOKUP(1,0/(('5.21出货明细'!D:D=B214)*('5.21出货明细'!G:G&amp;'5.21出货明细'!F:F=C214)),'5.21出货明细'!Z:Z)</f>
        <v>#N/A</v>
      </c>
      <c r="H214" s="684" t="e">
        <f>G214*F214</f>
        <v>#N/A</v>
      </c>
    </row>
    <row r="215" customFormat="1" ht="38" customHeight="1" spans="1:8">
      <c r="A215">
        <v>60</v>
      </c>
      <c r="B215" s="679" t="e">
        <f t="array" ref="B215">LOOKUP(1,0/(('5.21出货明细'!V:V=$H$199)*('5.21出货明细'!X:X=$H$195)*('5.21出货明细'!A:A=A215)),'5.21出货明细'!D:D)</f>
        <v>#N/A</v>
      </c>
      <c r="C215" s="679" t="e">
        <f t="array" ref="C215">LOOKUP(1,0/(('5.21出货明细'!V:V=$H$199)*('5.21出货明细'!X:X=$H$195)*('5.21出货明细'!A:A=A215)),'5.21出货明细'!G:G&amp;'5.21出货明细'!F:F)</f>
        <v>#N/A</v>
      </c>
      <c r="D215" s="680" t="e">
        <f t="array" ref="D215">LOOKUP(1,0/(('5.21出货明细'!D:D=B215)*('5.21出货明细'!G:G&amp;'5.21出货明细'!F:F=C215)),'5.21出货明细'!J:J)</f>
        <v>#N/A</v>
      </c>
      <c r="E215" s="681" t="e">
        <f t="array" ref="E215">LOOKUP(1,0/(('5.21出货明细'!D:D=B215)*('5.21出货明细'!G:G&amp;'5.21出货明细'!F:F=C215)),'5.21出货明细'!C:C)</f>
        <v>#N/A</v>
      </c>
      <c r="F215" s="682" t="e">
        <f t="array" ref="F215">LOOKUP(1,0/(('5.21出货明细'!D:D=B215)*('5.21出货明细'!G:G&amp;'5.21出货明细'!F:F=C215)),'5.21出货明细'!K:K)</f>
        <v>#N/A</v>
      </c>
      <c r="G215" s="683" t="e">
        <f t="array" ref="G215">LOOKUP(1,0/(('5.21出货明细'!D:D=B215)*('5.21出货明细'!G:G&amp;'5.21出货明细'!F:F=C215)),'5.21出货明细'!Z:Z)</f>
        <v>#N/A</v>
      </c>
      <c r="H215" s="684" t="e">
        <f t="shared" ref="H215:H230" si="5">G215*F215</f>
        <v>#N/A</v>
      </c>
    </row>
    <row r="216" customFormat="1" ht="38" customHeight="1" spans="1:8">
      <c r="A216">
        <v>61</v>
      </c>
      <c r="B216" s="679" t="e">
        <f t="array" ref="B216">LOOKUP(1,0/(('5.21出货明细'!V:V=$H$199)*('5.21出货明细'!X:X=$H$195)*('5.21出货明细'!A:A=A216)),'5.21出货明细'!D:D)</f>
        <v>#N/A</v>
      </c>
      <c r="C216" s="679" t="e">
        <f t="array" ref="C216">LOOKUP(1,0/(('5.21出货明细'!V:V=$H$199)*('5.21出货明细'!X:X=$H$195)*('5.21出货明细'!A:A=A216)),'5.21出货明细'!G:G&amp;'5.21出货明细'!F:F)</f>
        <v>#N/A</v>
      </c>
      <c r="D216" s="680" t="e">
        <f t="array" ref="D216">LOOKUP(1,0/(('5.21出货明细'!D:D=B216)*('5.21出货明细'!G:G&amp;'5.21出货明细'!F:F=C216)),'5.21出货明细'!J:J)</f>
        <v>#N/A</v>
      </c>
      <c r="E216" s="681" t="e">
        <f t="array" ref="E216">LOOKUP(1,0/(('5.21出货明细'!D:D=B216)*('5.21出货明细'!G:G&amp;'5.21出货明细'!F:F=C216)),'5.21出货明细'!C:C)</f>
        <v>#N/A</v>
      </c>
      <c r="F216" s="682" t="e">
        <f t="array" ref="F216">LOOKUP(1,0/(('5.21出货明细'!D:D=B216)*('5.21出货明细'!G:G&amp;'5.21出货明细'!F:F=C216)),'5.21出货明细'!K:K)</f>
        <v>#N/A</v>
      </c>
      <c r="G216" s="683" t="e">
        <f t="array" ref="G216">LOOKUP(1,0/(('5.21出货明细'!D:D=B216)*('5.21出货明细'!G:G&amp;'5.21出货明细'!F:F=C216)),'5.21出货明细'!Z:Z)</f>
        <v>#N/A</v>
      </c>
      <c r="H216" s="684" t="e">
        <f t="shared" si="5"/>
        <v>#N/A</v>
      </c>
    </row>
    <row r="217" customFormat="1" ht="40" customHeight="1" spans="1:8">
      <c r="A217">
        <v>62</v>
      </c>
      <c r="B217" s="679" t="e">
        <f t="array" ref="B217">LOOKUP(1,0/(('5.21出货明细'!V:V=$H$199)*('5.21出货明细'!X:X=$H$195)*('5.21出货明细'!A:A=A217)),'5.21出货明细'!D:D)</f>
        <v>#N/A</v>
      </c>
      <c r="C217" s="679" t="e">
        <f t="array" ref="C217">LOOKUP(1,0/(('5.21出货明细'!V:V=$H$199)*('5.21出货明细'!X:X=$H$195)*('5.21出货明细'!A:A=A217)),'5.21出货明细'!G:G&amp;'5.21出货明细'!F:F)</f>
        <v>#N/A</v>
      </c>
      <c r="D217" s="680" t="e">
        <f t="array" ref="D217">LOOKUP(1,0/(('5.21出货明细'!D:D=B217)*('5.21出货明细'!G:G&amp;'5.21出货明细'!F:F=C217)),'5.21出货明细'!J:J)</f>
        <v>#N/A</v>
      </c>
      <c r="E217" s="681" t="e">
        <f t="array" ref="E217">LOOKUP(1,0/(('5.21出货明细'!D:D=B217)*('5.21出货明细'!G:G&amp;'5.21出货明细'!F:F=C217)),'5.21出货明细'!C:C)</f>
        <v>#N/A</v>
      </c>
      <c r="F217" s="682" t="e">
        <f t="array" ref="F217">LOOKUP(1,0/(('5.21出货明细'!D:D=B217)*('5.21出货明细'!G:G&amp;'5.21出货明细'!F:F=C217)),'5.21出货明细'!K:K)</f>
        <v>#N/A</v>
      </c>
      <c r="G217" s="683" t="e">
        <f t="array" ref="G217">LOOKUP(1,0/(('5.21出货明细'!D:D=B217)*('5.21出货明细'!G:G&amp;'5.21出货明细'!F:F=C217)),'5.21出货明细'!Z:Z)</f>
        <v>#N/A</v>
      </c>
      <c r="H217" s="684" t="e">
        <f t="shared" si="5"/>
        <v>#N/A</v>
      </c>
    </row>
    <row r="218" customFormat="1" ht="40" customHeight="1" spans="1:8">
      <c r="A218">
        <v>63</v>
      </c>
      <c r="B218" s="679" t="e">
        <f t="array" ref="B218">LOOKUP(1,0/(('5.21出货明细'!V:V=$H$199)*('5.21出货明细'!X:X=$H$195)*('5.21出货明细'!A:A=A218)),'5.21出货明细'!D:D)</f>
        <v>#N/A</v>
      </c>
      <c r="C218" s="679" t="e">
        <f t="array" ref="C218">LOOKUP(1,0/(('5.21出货明细'!V:V=$H$199)*('5.21出货明细'!X:X=$H$195)*('5.21出货明细'!A:A=A218)),'5.21出货明细'!G:G&amp;'5.21出货明细'!F:F)</f>
        <v>#N/A</v>
      </c>
      <c r="D218" s="680" t="e">
        <f t="array" ref="D218">LOOKUP(1,0/(('5.21出货明细'!D:D=B218)*('5.21出货明细'!G:G&amp;'5.21出货明细'!F:F=C218)),'5.21出货明细'!J:J)</f>
        <v>#N/A</v>
      </c>
      <c r="E218" s="681" t="e">
        <f t="array" ref="E218">LOOKUP(1,0/(('5.21出货明细'!D:D=B218)*('5.21出货明细'!G:G&amp;'5.21出货明细'!F:F=C218)),'5.21出货明细'!C:C)</f>
        <v>#N/A</v>
      </c>
      <c r="F218" s="682" t="e">
        <f t="array" ref="F218">LOOKUP(1,0/(('5.21出货明细'!D:D=B218)*('5.21出货明细'!G:G&amp;'5.21出货明细'!F:F=C218)),'5.21出货明细'!K:K)</f>
        <v>#N/A</v>
      </c>
      <c r="G218" s="686" t="e">
        <f t="array" ref="G218">LOOKUP(1,0/(('5.21出货明细'!D:D=B218)*('5.21出货明细'!G:G&amp;'5.21出货明细'!F:F=C218)),'5.21出货明细'!Z:Z)</f>
        <v>#N/A</v>
      </c>
      <c r="H218" s="684" t="e">
        <f t="shared" si="5"/>
        <v>#N/A</v>
      </c>
    </row>
    <row r="219" customFormat="1" ht="40" customHeight="1" spans="1:8">
      <c r="A219">
        <v>64</v>
      </c>
      <c r="B219" s="679" t="e">
        <f t="array" ref="B219">LOOKUP(1,0/(('5.21出货明细'!V:V=$H$199)*('5.21出货明细'!X:X=$H$195)*('5.21出货明细'!A:A=A219)),'5.21出货明细'!D:D)</f>
        <v>#N/A</v>
      </c>
      <c r="C219" s="679" t="e">
        <f t="array" ref="C219">LOOKUP(1,0/(('5.21出货明细'!V:V=$H$199)*('5.21出货明细'!X:X=$H$195)*('5.21出货明细'!A:A=A219)),'5.21出货明细'!G:G&amp;'5.21出货明细'!F:F)</f>
        <v>#N/A</v>
      </c>
      <c r="D219" s="680" t="e">
        <f t="array" ref="D219">LOOKUP(1,0/(('5.21出货明细'!D:D=B219)*('5.21出货明细'!G:G&amp;'5.21出货明细'!F:F=C219)),'5.21出货明细'!J:J)</f>
        <v>#N/A</v>
      </c>
      <c r="E219" s="681" t="e">
        <f t="array" ref="E219">LOOKUP(1,0/(('5.21出货明细'!D:D=B219)*('5.21出货明细'!G:G&amp;'5.21出货明细'!F:F=C219)),'5.21出货明细'!C:C)</f>
        <v>#N/A</v>
      </c>
      <c r="F219" s="682" t="e">
        <f t="array" ref="F219">LOOKUP(1,0/(('5.21出货明细'!D:D=B219)*('5.21出货明细'!G:G&amp;'5.21出货明细'!F:F=C219)),'5.21出货明细'!K:K)</f>
        <v>#N/A</v>
      </c>
      <c r="G219" s="683" t="e">
        <f t="array" ref="G219">LOOKUP(1,0/(('5.21出货明细'!D:D=B219)*('5.21出货明细'!G:G&amp;'5.21出货明细'!F:F=C219)),'5.21出货明细'!Z:Z)</f>
        <v>#N/A</v>
      </c>
      <c r="H219" s="684" t="e">
        <f t="shared" si="5"/>
        <v>#N/A</v>
      </c>
    </row>
    <row r="220" customFormat="1" ht="63" customHeight="1" spans="1:8">
      <c r="A220">
        <v>65</v>
      </c>
      <c r="B220" s="679" t="e">
        <f t="array" ref="B220">LOOKUP(1,0/(('5.21出货明细'!V:V=$H$199)*('5.21出货明细'!X:X=$H$195)*('5.21出货明细'!A:A=A220)),'5.21出货明细'!D:D)</f>
        <v>#N/A</v>
      </c>
      <c r="C220" s="679" t="e">
        <f t="array" ref="C220">LOOKUP(1,0/(('5.21出货明细'!V:V=$H$199)*('5.21出货明细'!X:X=$H$195)*('5.21出货明细'!A:A=A220)),'5.21出货明细'!G:G&amp;'5.21出货明细'!F:F)</f>
        <v>#N/A</v>
      </c>
      <c r="D220" s="680" t="e">
        <f t="array" ref="D220">LOOKUP(1,0/(('5.21出货明细'!D:D=B220)*('5.21出货明细'!G:G&amp;'5.21出货明细'!F:F=C220)),'5.21出货明细'!J:J)</f>
        <v>#N/A</v>
      </c>
      <c r="E220" s="681" t="e">
        <f t="array" ref="E220">LOOKUP(1,0/(('5.21出货明细'!D:D=B220)*('5.21出货明细'!G:G&amp;'5.21出货明细'!F:F=C220)),'5.21出货明细'!C:C)</f>
        <v>#N/A</v>
      </c>
      <c r="F220" s="682" t="e">
        <f t="array" ref="F220">LOOKUP(1,0/(('5.21出货明细'!D:D=B220)*('5.21出货明细'!G:G&amp;'5.21出货明细'!F:F=C220)),'5.21出货明细'!K:K)</f>
        <v>#N/A</v>
      </c>
      <c r="G220" s="683" t="e">
        <f t="array" ref="G220">LOOKUP(1,0/(('5.21出货明细'!D:D=B220)*('5.21出货明细'!G:G&amp;'5.21出货明细'!F:F=C220)),'5.21出货明细'!Z:Z)</f>
        <v>#N/A</v>
      </c>
      <c r="H220" s="684" t="e">
        <f t="shared" si="5"/>
        <v>#N/A</v>
      </c>
    </row>
    <row r="221" customFormat="1" ht="31" customHeight="1" spans="1:8">
      <c r="A221">
        <v>66</v>
      </c>
      <c r="B221" s="679" t="e">
        <f t="array" ref="B221">LOOKUP(1,0/(('5.21出货明细'!V:V=$H$199)*('5.21出货明细'!X:X=$H$195)*('5.21出货明细'!A:A=A221)),'5.21出货明细'!D:D)</f>
        <v>#N/A</v>
      </c>
      <c r="C221" s="679" t="e">
        <f t="array" ref="C221">LOOKUP(1,0/(('5.21出货明细'!V:V=$H$199)*('5.21出货明细'!X:X=$H$195)*('5.21出货明细'!A:A=A221)),'5.21出货明细'!G:G&amp;'5.21出货明细'!F:F)</f>
        <v>#N/A</v>
      </c>
      <c r="D221" s="680" t="e">
        <f t="array" ref="D221">LOOKUP(1,0/(('5.21出货明细'!D:D=B221)*('5.21出货明细'!G:G&amp;'5.21出货明细'!F:F=C221)),'5.21出货明细'!J:J)</f>
        <v>#N/A</v>
      </c>
      <c r="E221" s="681" t="e">
        <f t="array" ref="E221">LOOKUP(1,0/(('5.21出货明细'!D:D=B221)*('5.21出货明细'!G:G&amp;'5.21出货明细'!F:F=C221)),'5.21出货明细'!C:C)</f>
        <v>#N/A</v>
      </c>
      <c r="F221" s="682" t="e">
        <f t="array" ref="F221">LOOKUP(1,0/(('5.21出货明细'!D:D=B221)*('5.21出货明细'!G:G&amp;'5.21出货明细'!F:F=C221)),'5.21出货明细'!K:K)</f>
        <v>#N/A</v>
      </c>
      <c r="G221" s="683" t="e">
        <f t="array" ref="G221">LOOKUP(1,0/(('5.21出货明细'!D:D=B221)*('5.21出货明细'!G:G&amp;'5.21出货明细'!F:F=C221)),'5.21出货明细'!Z:Z)</f>
        <v>#N/A</v>
      </c>
      <c r="H221" s="684" t="e">
        <f t="shared" si="5"/>
        <v>#N/A</v>
      </c>
    </row>
    <row r="222" customFormat="1" ht="31" customHeight="1" spans="1:8">
      <c r="A222">
        <v>67</v>
      </c>
      <c r="B222" s="679" t="e">
        <f t="array" ref="B222">LOOKUP(1,0/(('5.21出货明细'!V:V=$H$199)*('5.21出货明细'!X:X=$H$195)*('5.21出货明细'!A:A=A222)),'5.21出货明细'!D:D)</f>
        <v>#N/A</v>
      </c>
      <c r="C222" s="679" t="e">
        <f t="array" ref="C222">LOOKUP(1,0/(('5.21出货明细'!V:V=$H$199)*('5.21出货明细'!X:X=$H$195)*('5.21出货明细'!A:A=A222)),'5.21出货明细'!G:G&amp;'5.21出货明细'!F:F)</f>
        <v>#N/A</v>
      </c>
      <c r="D222" s="680" t="e">
        <f t="array" ref="D222">LOOKUP(1,0/(('5.21出货明细'!D:D=B222)*('5.21出货明细'!G:G&amp;'5.21出货明细'!F:F=C222)),'5.21出货明细'!J:J)</f>
        <v>#N/A</v>
      </c>
      <c r="E222" s="681" t="e">
        <f t="array" ref="E222">LOOKUP(1,0/(('5.21出货明细'!D:D=B222)*('5.21出货明细'!G:G&amp;'5.21出货明细'!F:F=C222)),'5.21出货明细'!C:C)</f>
        <v>#N/A</v>
      </c>
      <c r="F222" s="682" t="e">
        <f t="array" ref="F222">LOOKUP(1,0/(('5.21出货明细'!D:D=B222)*('5.21出货明细'!G:G&amp;'5.21出货明细'!F:F=C222)),'5.21出货明细'!K:K)</f>
        <v>#N/A</v>
      </c>
      <c r="G222" s="683" t="e">
        <f t="array" ref="G222">LOOKUP(1,0/(('5.21出货明细'!D:D=B222)*('5.21出货明细'!G:G&amp;'5.21出货明细'!F:F=C222)),'5.21出货明细'!Z:Z)</f>
        <v>#N/A</v>
      </c>
      <c r="H222" s="684" t="e">
        <f t="shared" si="5"/>
        <v>#N/A</v>
      </c>
    </row>
    <row r="223" customFormat="1" ht="31" customHeight="1" spans="1:8">
      <c r="A223">
        <v>68</v>
      </c>
      <c r="B223" s="679" t="e">
        <f t="array" ref="B223">LOOKUP(1,0/(('5.21出货明细'!V:V=$H$199)*('5.21出货明细'!X:X=$H$195)*('5.21出货明细'!A:A=A223)),'5.21出货明细'!D:D)</f>
        <v>#N/A</v>
      </c>
      <c r="C223" s="679" t="e">
        <f t="array" ref="C223">LOOKUP(1,0/(('5.21出货明细'!V:V=$H$199)*('5.21出货明细'!X:X=$H$195)*('5.21出货明细'!A:A=A223)),'5.21出货明细'!G:G&amp;'5.21出货明细'!F:F)</f>
        <v>#N/A</v>
      </c>
      <c r="D223" s="680" t="e">
        <f t="array" ref="D223">LOOKUP(1,0/(('5.21出货明细'!D:D=B223)*('5.21出货明细'!G:G&amp;'5.21出货明细'!F:F=C223)),'5.21出货明细'!J:J)</f>
        <v>#N/A</v>
      </c>
      <c r="E223" s="681" t="e">
        <f t="array" ref="E223">LOOKUP(1,0/(('5.21出货明细'!D:D=B223)*('5.21出货明细'!G:G&amp;'5.21出货明细'!F:F=C223)),'5.21出货明细'!C:C)</f>
        <v>#N/A</v>
      </c>
      <c r="F223" s="682" t="e">
        <f t="array" ref="F223">LOOKUP(1,0/(('5.21出货明细'!D:D=B223)*('5.21出货明细'!G:G&amp;'5.21出货明细'!F:F=C223)),'5.21出货明细'!K:K)</f>
        <v>#N/A</v>
      </c>
      <c r="G223" s="683" t="e">
        <f t="array" ref="G223">LOOKUP(1,0/(('5.21出货明细'!D:D=B223)*('5.21出货明细'!G:G&amp;'5.21出货明细'!F:F=C223)),'5.21出货明细'!Z:Z)</f>
        <v>#N/A</v>
      </c>
      <c r="H223" s="684" t="e">
        <f t="shared" si="5"/>
        <v>#N/A</v>
      </c>
    </row>
    <row r="224" customFormat="1" ht="31" customHeight="1" spans="1:8">
      <c r="A224">
        <v>69</v>
      </c>
      <c r="B224" s="679" t="e">
        <f t="array" ref="B224">LOOKUP(1,0/(('5.21出货明细'!V:V=$H$199)*('5.21出货明细'!X:X=$H$195)*('5.21出货明细'!A:A=A224)),'5.21出货明细'!D:D)</f>
        <v>#N/A</v>
      </c>
      <c r="C224" s="679" t="e">
        <f t="array" ref="C224">LOOKUP(1,0/(('5.21出货明细'!V:V=$H$199)*('5.21出货明细'!X:X=$H$195)*('5.21出货明细'!A:A=A224)),'5.21出货明细'!G:G&amp;'5.21出货明细'!F:F)</f>
        <v>#N/A</v>
      </c>
      <c r="D224" s="680" t="e">
        <f t="array" ref="D224">LOOKUP(1,0/(('5.21出货明细'!D:D=B224)*('5.21出货明细'!G:G&amp;'5.21出货明细'!F:F=C224)),'5.21出货明细'!J:J)</f>
        <v>#N/A</v>
      </c>
      <c r="E224" s="681" t="e">
        <f t="array" ref="E224">LOOKUP(1,0/(('5.21出货明细'!D:D=B224)*('5.21出货明细'!G:G&amp;'5.21出货明细'!F:F=C224)),'5.21出货明细'!C:C)</f>
        <v>#N/A</v>
      </c>
      <c r="F224" s="682" t="e">
        <f t="array" ref="F224">LOOKUP(1,0/(('5.21出货明细'!D:D=B224)*('5.21出货明细'!G:G&amp;'5.21出货明细'!F:F=C224)),'5.21出货明细'!K:K)</f>
        <v>#N/A</v>
      </c>
      <c r="G224" s="683" t="e">
        <f t="array" ref="G224">LOOKUP(1,0/(('5.21出货明细'!D:D=B224)*('5.21出货明细'!G:G&amp;'5.21出货明细'!F:F=C224)),'5.21出货明细'!Z:Z)</f>
        <v>#N/A</v>
      </c>
      <c r="H224" s="684" t="e">
        <f t="shared" si="5"/>
        <v>#N/A</v>
      </c>
    </row>
    <row r="225" customFormat="1" ht="31" customHeight="1" spans="1:8">
      <c r="A225">
        <v>70</v>
      </c>
      <c r="B225" s="679" t="e">
        <f t="array" ref="B225">LOOKUP(1,0/(('5.21出货明细'!V:V=$H$199)*('5.21出货明细'!X:X=$H$195)*('5.21出货明细'!A:A=A225)),'5.21出货明细'!D:D)</f>
        <v>#N/A</v>
      </c>
      <c r="C225" s="679" t="e">
        <f t="array" ref="C225">LOOKUP(1,0/(('5.21出货明细'!V:V=$H$199)*('5.21出货明细'!X:X=$H$195)*('5.21出货明细'!A:A=A225)),'5.21出货明细'!G:G&amp;'5.21出货明细'!F:F)</f>
        <v>#N/A</v>
      </c>
      <c r="D225" s="680" t="e">
        <f t="array" ref="D225">LOOKUP(1,0/(('5.21出货明细'!D:D=B225)*('5.21出货明细'!G:G&amp;'5.21出货明细'!F:F=C225)),'5.21出货明细'!J:J)</f>
        <v>#N/A</v>
      </c>
      <c r="E225" s="681" t="e">
        <f t="array" ref="E225">LOOKUP(1,0/(('5.21出货明细'!D:D=B225)*('5.21出货明细'!G:G&amp;'5.21出货明细'!F:F=C225)),'5.21出货明细'!C:C)</f>
        <v>#N/A</v>
      </c>
      <c r="F225" s="682" t="e">
        <f t="array" ref="F225">LOOKUP(1,0/(('5.21出货明细'!D:D=B225)*('5.21出货明细'!G:G&amp;'5.21出货明细'!F:F=C225)),'5.21出货明细'!K:K)</f>
        <v>#N/A</v>
      </c>
      <c r="G225" s="683" t="e">
        <f t="array" ref="G225">LOOKUP(1,0/(('5.21出货明细'!D:D=B225)*('5.21出货明细'!G:G&amp;'5.21出货明细'!F:F=C225)),'5.21出货明细'!Z:Z)</f>
        <v>#N/A</v>
      </c>
      <c r="H225" s="684" t="e">
        <f t="shared" si="5"/>
        <v>#N/A</v>
      </c>
    </row>
    <row r="226" customFormat="1" ht="31" customHeight="1" spans="1:8">
      <c r="A226">
        <v>71</v>
      </c>
      <c r="B226" s="679" t="e">
        <f t="array" ref="B226">LOOKUP(1,0/(('5.21出货明细'!V:V=$H$199)*('5.21出货明细'!X:X=$H$195)*('5.21出货明细'!A:A=A226)),'5.21出货明细'!D:D)</f>
        <v>#N/A</v>
      </c>
      <c r="C226" s="679" t="e">
        <f t="array" ref="C226">LOOKUP(1,0/(('5.21出货明细'!V:V=$H$199)*('5.21出货明细'!X:X=$H$195)*('5.21出货明细'!A:A=A226)),'5.21出货明细'!G:G&amp;'5.21出货明细'!F:F)</f>
        <v>#N/A</v>
      </c>
      <c r="D226" s="680" t="e">
        <f t="array" ref="D226">LOOKUP(1,0/(('5.21出货明细'!D:D=B226)*('5.21出货明细'!G:G&amp;'5.21出货明细'!F:F=C226)),'5.21出货明细'!J:J)</f>
        <v>#N/A</v>
      </c>
      <c r="E226" s="681" t="e">
        <f t="array" ref="E226">LOOKUP(1,0/(('5.21出货明细'!D:D=B226)*('5.21出货明细'!G:G&amp;'5.21出货明细'!F:F=C226)),'5.21出货明细'!C:C)</f>
        <v>#N/A</v>
      </c>
      <c r="F226" s="682" t="e">
        <f t="array" ref="F226">LOOKUP(1,0/(('5.21出货明细'!D:D=B226)*('5.21出货明细'!G:G&amp;'5.21出货明细'!F:F=C226)),'5.21出货明细'!K:K)</f>
        <v>#N/A</v>
      </c>
      <c r="G226" s="683" t="e">
        <f t="array" ref="G226">LOOKUP(1,0/(('5.21出货明细'!D:D=B226)*('5.21出货明细'!G:G&amp;'5.21出货明细'!F:F=C226)),'5.21出货明细'!Z:Z)</f>
        <v>#N/A</v>
      </c>
      <c r="H226" s="684" t="e">
        <f t="shared" si="5"/>
        <v>#N/A</v>
      </c>
    </row>
    <row r="227" customFormat="1" ht="31" customHeight="1" spans="1:8">
      <c r="A227">
        <v>72</v>
      </c>
      <c r="B227" s="679" t="e">
        <f t="array" ref="B227">LOOKUP(1,0/(('5.21出货明细'!V:V=$H$199)*('5.21出货明细'!X:X=$H$195)*('5.21出货明细'!A:A=A227)),'5.21出货明细'!D:D)</f>
        <v>#N/A</v>
      </c>
      <c r="C227" s="679" t="e">
        <f t="array" ref="C227">LOOKUP(1,0/(('5.21出货明细'!V:V=$H$199)*('5.21出货明细'!X:X=$H$195)*('5.21出货明细'!A:A=A227)),'5.21出货明细'!G:G&amp;'5.21出货明细'!F:F)</f>
        <v>#N/A</v>
      </c>
      <c r="D227" s="680" t="e">
        <f t="array" ref="D227">LOOKUP(1,0/(('5.21出货明细'!D:D=B227)*('5.21出货明细'!G:G&amp;'5.21出货明细'!F:F=C227)),'5.21出货明细'!J:J)</f>
        <v>#N/A</v>
      </c>
      <c r="E227" s="681" t="e">
        <f t="array" ref="E227">LOOKUP(1,0/(('5.21出货明细'!D:D=B227)*('5.21出货明细'!G:G&amp;'5.21出货明细'!F:F=C227)),'5.21出货明细'!C:C)</f>
        <v>#N/A</v>
      </c>
      <c r="F227" s="682" t="e">
        <f t="array" ref="F227">LOOKUP(1,0/(('5.21出货明细'!D:D=B227)*('5.21出货明细'!G:G&amp;'5.21出货明细'!F:F=C227)),'5.21出货明细'!K:K)</f>
        <v>#N/A</v>
      </c>
      <c r="G227" s="683" t="e">
        <f t="array" ref="G227">LOOKUP(1,0/(('5.21出货明细'!D:D=B227)*('5.21出货明细'!G:G&amp;'5.21出货明细'!F:F=C227)),'5.21出货明细'!Z:Z)</f>
        <v>#N/A</v>
      </c>
      <c r="H227" s="684" t="e">
        <f t="shared" si="5"/>
        <v>#N/A</v>
      </c>
    </row>
    <row r="228" customFormat="1" ht="31" customHeight="1" spans="1:8">
      <c r="A228">
        <v>73</v>
      </c>
      <c r="B228" s="679" t="e">
        <f t="array" ref="B228">LOOKUP(1,0/(('5.21出货明细'!V:V=$H$199)*('5.21出货明细'!X:X=$H$195)*('5.21出货明细'!A:A=A228)),'5.21出货明细'!D:D)</f>
        <v>#N/A</v>
      </c>
      <c r="C228" s="679" t="e">
        <f t="array" ref="C228">LOOKUP(1,0/(('5.21出货明细'!V:V=$H$199)*('5.21出货明细'!X:X=$H$195)*('5.21出货明细'!A:A=A228)),'5.21出货明细'!G:G&amp;'5.21出货明细'!F:F)</f>
        <v>#N/A</v>
      </c>
      <c r="D228" s="680" t="e">
        <f t="array" ref="D228">LOOKUP(1,0/(('5.21出货明细'!D:D=B228)*('5.21出货明细'!G:G&amp;'5.21出货明细'!F:F=C228)),'5.21出货明细'!J:J)</f>
        <v>#N/A</v>
      </c>
      <c r="E228" s="681" t="e">
        <f t="array" ref="E228">LOOKUP(1,0/(('5.21出货明细'!D:D=B228)*('5.21出货明细'!G:G&amp;'5.21出货明细'!F:F=C228)),'5.21出货明细'!C:C)</f>
        <v>#N/A</v>
      </c>
      <c r="F228" s="682" t="e">
        <f t="array" ref="F228">LOOKUP(1,0/(('5.21出货明细'!D:D=B228)*('5.21出货明细'!G:G&amp;'5.21出货明细'!F:F=C228)),'5.21出货明细'!K:K)</f>
        <v>#N/A</v>
      </c>
      <c r="G228" s="683" t="e">
        <f t="array" ref="G228">LOOKUP(1,0/(('5.21出货明细'!D:D=B228)*('5.21出货明细'!G:G&amp;'5.21出货明细'!F:F=C228)),'5.21出货明细'!Z:Z)</f>
        <v>#N/A</v>
      </c>
      <c r="H228" s="684" t="e">
        <f t="shared" si="5"/>
        <v>#N/A</v>
      </c>
    </row>
    <row r="229" customFormat="1" ht="31" customHeight="1" spans="1:8">
      <c r="A229">
        <v>74</v>
      </c>
      <c r="B229" s="679" t="e">
        <f t="array" ref="B229">LOOKUP(1,0/(('5.21出货明细'!V:V=$H$199)*('5.21出货明细'!X:X=$H$195)*('5.21出货明细'!A:A=A229)),'5.21出货明细'!D:D)</f>
        <v>#N/A</v>
      </c>
      <c r="C229" s="679" t="e">
        <f t="array" ref="C229">LOOKUP(1,0/(('5.21出货明细'!V:V=$H$199)*('5.21出货明细'!X:X=$H$195)*('5.21出货明细'!A:A=A229)),'5.21出货明细'!G:G&amp;'5.21出货明细'!F:F)</f>
        <v>#N/A</v>
      </c>
      <c r="D229" s="680" t="e">
        <f t="array" ref="D229">LOOKUP(1,0/(('5.21出货明细'!D:D=B229)*('5.21出货明细'!G:G&amp;'5.21出货明细'!F:F=C229)),'5.21出货明细'!J:J)</f>
        <v>#N/A</v>
      </c>
      <c r="E229" s="681" t="e">
        <f t="array" ref="E229">LOOKUP(1,0/(('5.21出货明细'!D:D=B229)*('5.21出货明细'!G:G&amp;'5.21出货明细'!F:F=C229)),'5.21出货明细'!C:C)</f>
        <v>#N/A</v>
      </c>
      <c r="F229" s="682" t="e">
        <f t="array" ref="F229">LOOKUP(1,0/(('5.21出货明细'!D:D=B229)*('5.21出货明细'!G:G&amp;'5.21出货明细'!F:F=C229)),'5.21出货明细'!K:K)</f>
        <v>#N/A</v>
      </c>
      <c r="G229" s="683" t="e">
        <f t="array" ref="G229">LOOKUP(1,0/(('5.21出货明细'!D:D=B229)*('5.21出货明细'!G:G&amp;'5.21出货明细'!F:F=C229)),'5.21出货明细'!Z:Z)</f>
        <v>#N/A</v>
      </c>
      <c r="H229" s="684" t="e">
        <f t="shared" si="5"/>
        <v>#N/A</v>
      </c>
    </row>
    <row r="230" customFormat="1" ht="31" customHeight="1" spans="1:8">
      <c r="A230">
        <v>75</v>
      </c>
      <c r="B230" s="679" t="e">
        <f t="array" ref="B230">LOOKUP(1,0/(('5.21出货明细'!V:V=$H$199)*('5.21出货明细'!X:X=$H$195)*('5.21出货明细'!A:A=A230)),'5.21出货明细'!D:D)</f>
        <v>#N/A</v>
      </c>
      <c r="C230" s="679" t="e">
        <f t="array" ref="C230">LOOKUP(1,0/(('5.21出货明细'!V:V=$H$199)*('5.21出货明细'!X:X=$H$195)*('5.21出货明细'!A:A=A230)),'5.21出货明细'!G:G&amp;'5.21出货明细'!F:F)</f>
        <v>#N/A</v>
      </c>
      <c r="D230" s="680" t="e">
        <f t="array" ref="D230">LOOKUP(1,0/(('5.21出货明细'!D:D=B230)*('5.21出货明细'!G:G&amp;'5.21出货明细'!F:F=C230)),'5.21出货明细'!J:J)</f>
        <v>#N/A</v>
      </c>
      <c r="E230" s="681" t="e">
        <f t="array" ref="E230">LOOKUP(1,0/(('5.21出货明细'!D:D=B230)*('5.21出货明细'!G:G&amp;'5.21出货明细'!F:F=C230)),'5.21出货明细'!C:C)</f>
        <v>#N/A</v>
      </c>
      <c r="F230" s="682" t="e">
        <f t="array" ref="F230">LOOKUP(1,0/(('5.21出货明细'!D:D=B230)*('5.21出货明细'!G:G&amp;'5.21出货明细'!F:F=C230)),'5.21出货明细'!K:K)</f>
        <v>#N/A</v>
      </c>
      <c r="G230" s="683" t="e">
        <f t="array" ref="G230">LOOKUP(1,0/(('5.21出货明细'!D:D=B230)*('5.21出货明细'!G:G&amp;'5.21出货明细'!F:F=C230)),'5.21出货明细'!Z:Z)</f>
        <v>#N/A</v>
      </c>
      <c r="H230" s="684" t="e">
        <f t="shared" si="5"/>
        <v>#N/A</v>
      </c>
    </row>
    <row r="231" customFormat="1" ht="18" spans="1:8">
      <c r="A231" s="636"/>
      <c r="B231" s="687"/>
      <c r="C231" s="688"/>
      <c r="D231" s="687"/>
      <c r="E231" s="687"/>
      <c r="F231" s="679" t="s">
        <v>1647</v>
      </c>
      <c r="G231" s="689" t="e">
        <f>SUM(H214:H230)</f>
        <v>#N/A</v>
      </c>
      <c r="H231" s="690"/>
    </row>
    <row r="232" customFormat="1" ht="36" spans="1:8">
      <c r="A232" s="639"/>
      <c r="B232" s="691" t="s">
        <v>1648</v>
      </c>
      <c r="C232" s="692" t="e">
        <f>G231</f>
        <v>#N/A</v>
      </c>
      <c r="D232" s="693"/>
      <c r="E232" s="694"/>
      <c r="F232" s="695"/>
      <c r="G232" s="700"/>
      <c r="H232" s="700"/>
    </row>
    <row r="234" ht="30" spans="1:8">
      <c r="A234" s="624"/>
      <c r="B234" s="625" t="s">
        <v>1540</v>
      </c>
      <c r="C234" s="625"/>
      <c r="D234" s="625"/>
      <c r="E234" s="625"/>
      <c r="F234" s="625"/>
      <c r="G234" s="625"/>
      <c r="H234" s="625"/>
    </row>
    <row r="235" ht="24" customHeight="1" spans="1:8">
      <c r="A235" s="626"/>
      <c r="B235" s="627" t="s">
        <v>1546</v>
      </c>
      <c r="C235" s="627"/>
      <c r="D235" s="627"/>
      <c r="E235" s="627"/>
      <c r="F235" s="627"/>
      <c r="G235" s="627"/>
      <c r="H235" s="627"/>
    </row>
    <row r="236" ht="39" customHeight="1" spans="1:8">
      <c r="A236" s="628"/>
      <c r="B236" s="629" t="s">
        <v>1656</v>
      </c>
      <c r="C236" s="629"/>
      <c r="D236" s="629"/>
      <c r="E236" s="629"/>
      <c r="F236" s="629"/>
      <c r="G236" s="629"/>
      <c r="H236" s="629"/>
    </row>
    <row r="237" ht="18" spans="1:8">
      <c r="A237" s="628"/>
      <c r="B237" s="629" t="s">
        <v>1657</v>
      </c>
      <c r="C237" s="629"/>
      <c r="D237" s="629"/>
      <c r="E237" s="629"/>
      <c r="F237" s="629"/>
      <c r="G237" s="629"/>
      <c r="H237" s="629"/>
    </row>
    <row r="238" ht="25.5" spans="1:8">
      <c r="A238" s="630"/>
      <c r="B238" s="631" t="s">
        <v>1621</v>
      </c>
      <c r="C238" s="631"/>
      <c r="D238" s="631"/>
      <c r="E238" s="631"/>
      <c r="F238" s="631"/>
      <c r="G238" s="631"/>
      <c r="H238" s="631"/>
    </row>
    <row r="239" ht="21.75" spans="1:8">
      <c r="A239" s="632"/>
      <c r="B239" s="633" t="s">
        <v>1622</v>
      </c>
      <c r="C239" s="633"/>
      <c r="D239" s="633"/>
      <c r="E239" s="633"/>
      <c r="F239" s="633"/>
      <c r="G239" s="633"/>
      <c r="H239" s="633"/>
    </row>
    <row r="240" ht="18" spans="1:8">
      <c r="A240" s="634"/>
      <c r="B240" s="635"/>
      <c r="C240" s="635"/>
      <c r="D240" s="635"/>
      <c r="E240" s="635"/>
      <c r="F240" s="635"/>
      <c r="G240" s="635"/>
      <c r="H240" s="635"/>
    </row>
    <row r="241" ht="18" spans="1:8">
      <c r="A241" s="636"/>
      <c r="B241" s="637" t="s">
        <v>1658</v>
      </c>
      <c r="C241" s="637"/>
      <c r="D241" s="637"/>
      <c r="E241" s="637"/>
      <c r="F241" s="637"/>
      <c r="G241" s="638"/>
      <c r="H241" s="638"/>
    </row>
    <row r="242" ht="33" spans="1:8">
      <c r="A242" s="639"/>
      <c r="B242" s="640" t="s">
        <v>1624</v>
      </c>
      <c r="C242" s="640"/>
      <c r="D242" s="640"/>
      <c r="E242" s="640"/>
      <c r="F242" s="640"/>
      <c r="G242" s="641" t="s">
        <v>1625</v>
      </c>
      <c r="H242" s="642" t="s">
        <v>1659</v>
      </c>
    </row>
    <row r="243" ht="18" spans="1:8">
      <c r="A243" s="643"/>
      <c r="B243" s="644" t="s">
        <v>1540</v>
      </c>
      <c r="C243" s="644"/>
      <c r="D243" s="644"/>
      <c r="E243" s="644"/>
      <c r="F243" s="644"/>
      <c r="G243" s="641"/>
      <c r="H243" s="645"/>
    </row>
    <row r="244" ht="46" customHeight="1" spans="1:8">
      <c r="A244" s="636"/>
      <c r="B244" s="637" t="s">
        <v>1627</v>
      </c>
      <c r="C244" s="637"/>
      <c r="D244" s="637"/>
      <c r="E244" s="637"/>
      <c r="F244" s="636"/>
      <c r="G244" s="646" t="s">
        <v>1628</v>
      </c>
      <c r="H244" s="647">
        <f>H11</f>
        <v>46076</v>
      </c>
    </row>
    <row r="245" ht="27" customHeight="1" spans="1:8">
      <c r="A245" s="636"/>
      <c r="B245" s="637"/>
      <c r="C245" s="637"/>
      <c r="D245" s="637"/>
      <c r="E245" s="637"/>
      <c r="F245" s="636"/>
      <c r="G245" s="646"/>
      <c r="H245" s="648"/>
    </row>
    <row r="246" ht="33" spans="1:8">
      <c r="A246" s="639"/>
      <c r="B246" s="640" t="s">
        <v>1629</v>
      </c>
      <c r="C246" s="640"/>
      <c r="D246" s="640"/>
      <c r="E246" s="640"/>
      <c r="F246" s="640"/>
      <c r="G246" s="649" t="s">
        <v>1630</v>
      </c>
      <c r="H246" s="642" t="str">
        <f>实业合同!H261</f>
        <v>RPIRRI260281</v>
      </c>
    </row>
    <row r="247" ht="18" spans="1:8">
      <c r="A247" s="636"/>
      <c r="B247" s="637" t="s">
        <v>1558</v>
      </c>
      <c r="C247" s="637"/>
      <c r="D247" s="636"/>
      <c r="E247" s="636"/>
      <c r="F247" s="636"/>
      <c r="G247" s="649"/>
      <c r="H247" s="645"/>
    </row>
    <row r="248" ht="25" customHeight="1" spans="1:8">
      <c r="A248" s="639"/>
      <c r="B248" s="640" t="s">
        <v>1631</v>
      </c>
      <c r="C248" s="640"/>
      <c r="D248" s="640"/>
      <c r="E248" s="640"/>
      <c r="F248" s="640"/>
      <c r="G248" s="650"/>
      <c r="H248" s="651"/>
    </row>
    <row r="249" ht="18" spans="1:8">
      <c r="A249" s="639"/>
      <c r="B249" s="640"/>
      <c r="C249" s="640"/>
      <c r="D249" s="640"/>
      <c r="E249" s="640"/>
      <c r="F249" s="640"/>
      <c r="G249" s="646" t="s">
        <v>1632</v>
      </c>
      <c r="H249" s="652" t="s">
        <v>1633</v>
      </c>
    </row>
    <row r="250" ht="18" spans="1:8">
      <c r="A250" s="653"/>
      <c r="B250" s="654" t="s">
        <v>1560</v>
      </c>
      <c r="C250" s="653"/>
      <c r="D250" s="653"/>
      <c r="E250" s="655"/>
      <c r="F250" s="656"/>
      <c r="G250" s="646"/>
      <c r="H250" s="657"/>
    </row>
    <row r="251" ht="18" spans="1:8">
      <c r="A251" s="653"/>
      <c r="B251" s="654" t="s">
        <v>1561</v>
      </c>
      <c r="C251" s="653"/>
      <c r="D251" s="658"/>
      <c r="E251" s="655"/>
      <c r="F251" s="656"/>
      <c r="G251" s="659"/>
      <c r="H251" s="660"/>
    </row>
    <row r="252" ht="18" spans="1:8">
      <c r="A252" s="639"/>
      <c r="B252" s="640" t="s">
        <v>1634</v>
      </c>
      <c r="C252" s="640"/>
      <c r="D252" s="640"/>
      <c r="E252" s="640"/>
      <c r="F252" s="640"/>
      <c r="G252" s="659"/>
      <c r="H252" s="660"/>
    </row>
    <row r="253" ht="18" spans="1:8">
      <c r="A253" s="661"/>
      <c r="B253" s="661" t="s">
        <v>1635</v>
      </c>
      <c r="C253" s="661"/>
      <c r="D253" s="661"/>
      <c r="E253" s="661"/>
      <c r="F253" s="661"/>
      <c r="G253" s="659"/>
      <c r="H253" s="660"/>
    </row>
    <row r="254" ht="18" spans="1:8">
      <c r="A254" s="653"/>
      <c r="B254" s="654" t="s">
        <v>124</v>
      </c>
      <c r="C254" s="658"/>
      <c r="D254" s="662"/>
      <c r="E254" s="662"/>
      <c r="F254" s="663"/>
      <c r="G254" s="659"/>
      <c r="H254" s="660"/>
    </row>
    <row r="255" ht="18" spans="1:8">
      <c r="A255" s="653"/>
      <c r="B255" s="653" t="s">
        <v>1602</v>
      </c>
      <c r="C255" s="653"/>
      <c r="D255" s="658"/>
      <c r="E255" s="662"/>
      <c r="F255" s="663"/>
      <c r="G255" s="659"/>
      <c r="H255" s="660"/>
    </row>
    <row r="256" s="621" customFormat="1" ht="30" customHeight="1" spans="1:8">
      <c r="A256" s="636"/>
      <c r="B256" s="637" t="s">
        <v>1603</v>
      </c>
      <c r="C256" s="637"/>
      <c r="D256" s="637"/>
      <c r="E256" s="637"/>
      <c r="F256" s="637"/>
      <c r="G256" s="664"/>
      <c r="H256" s="664"/>
    </row>
    <row r="257" s="621" customFormat="1" ht="24" customHeight="1" spans="1:8">
      <c r="A257" s="636"/>
      <c r="B257" s="637"/>
      <c r="C257" s="637"/>
      <c r="D257" s="637"/>
      <c r="E257" s="637"/>
      <c r="F257" s="637"/>
      <c r="G257" s="664"/>
      <c r="H257" s="664"/>
    </row>
    <row r="258" customFormat="1" ht="2" customHeight="1" spans="1:8">
      <c r="B258" s="665"/>
      <c r="C258" s="666"/>
      <c r="D258" s="665"/>
      <c r="E258" s="665"/>
      <c r="F258" s="667"/>
      <c r="G258" s="665"/>
      <c r="H258" s="665"/>
    </row>
    <row r="259" customFormat="1" ht="31.5" spans="1:8">
      <c r="B259" s="668" t="s">
        <v>1637</v>
      </c>
      <c r="C259" s="669" t="s">
        <v>1638</v>
      </c>
      <c r="D259" s="670"/>
      <c r="E259" s="671"/>
      <c r="F259" s="672" t="s">
        <v>1639</v>
      </c>
      <c r="G259" s="673" t="s">
        <v>1640</v>
      </c>
      <c r="H259" s="674"/>
    </row>
    <row r="260" customFormat="1" ht="31.5" spans="1:8">
      <c r="B260" s="668" t="s">
        <v>1641</v>
      </c>
      <c r="C260" s="668" t="s">
        <v>1642</v>
      </c>
      <c r="D260" s="668" t="s">
        <v>8</v>
      </c>
      <c r="E260" s="362" t="s">
        <v>1643</v>
      </c>
      <c r="F260" s="672" t="s">
        <v>1644</v>
      </c>
      <c r="G260" s="668" t="s">
        <v>1645</v>
      </c>
      <c r="H260" s="668" t="s">
        <v>1646</v>
      </c>
    </row>
    <row r="261" customFormat="1" ht="18" spans="1:8">
      <c r="B261" s="675"/>
      <c r="C261" s="676"/>
      <c r="D261" s="675"/>
      <c r="E261" s="675"/>
      <c r="F261" s="675"/>
      <c r="G261" s="677" t="s">
        <v>1595</v>
      </c>
      <c r="H261" s="678"/>
    </row>
    <row r="262" ht="40" customHeight="1" spans="1:8">
      <c r="A262">
        <v>76</v>
      </c>
      <c r="B262" s="679" t="e">
        <f t="array" ref="B262">LOOKUP(1,0/(('5.21出货明细'!V:V=$H$246)*('5.21出货明细'!X:X=$H$242)*('5.21出货明细'!A:A=A262)),'5.21出货明细'!D:D)</f>
        <v>#N/A</v>
      </c>
      <c r="C262" s="679" t="e">
        <f t="array" ref="C262">LOOKUP(1,0/(('5.21出货明细'!V:V=$H$246)*('5.21出货明细'!X:X=$H$242)*('5.21出货明细'!A:A=A262)),'5.21出货明细'!G:G&amp;'5.21出货明细'!F:F)</f>
        <v>#N/A</v>
      </c>
      <c r="D262" s="680" t="e">
        <f t="array" ref="D262">LOOKUP(1,0/(('5.21出货明细'!D:D=B262)*('5.21出货明细'!G:G&amp;'5.21出货明细'!F:F=C262)),'5.21出货明细'!J:J)</f>
        <v>#N/A</v>
      </c>
      <c r="E262" s="681" t="e">
        <f t="array" ref="E262">LOOKUP(1,0/(('5.21出货明细'!D:D=B262)*('5.21出货明细'!G:G&amp;'5.21出货明细'!F:F=C262)),'5.21出货明细'!C:C)</f>
        <v>#N/A</v>
      </c>
      <c r="F262" s="682" t="e">
        <f t="array" ref="F262">LOOKUP(1,0/(('5.21出货明细'!D:D=B262)*('5.21出货明细'!G:G&amp;'5.21出货明细'!F:F=C262)),'5.21出货明细'!K:K)</f>
        <v>#N/A</v>
      </c>
      <c r="G262" s="683" t="e">
        <f t="array" ref="G262">LOOKUP(1,0/(('5.21出货明细'!D:D=B262)*('5.21出货明细'!G:G&amp;'5.21出货明细'!F:F=C262)),'5.21出货明细'!Z:Z)</f>
        <v>#N/A</v>
      </c>
      <c r="H262" s="684" t="e">
        <f>G262*F262</f>
        <v>#N/A</v>
      </c>
    </row>
    <row r="263" customFormat="1" ht="40" customHeight="1" spans="1:8">
      <c r="A263">
        <v>77</v>
      </c>
      <c r="B263" s="679" t="e">
        <f t="array" ref="B263">LOOKUP(1,0/(('5.21出货明细'!V:V=$H$246)*('5.21出货明细'!X:X=$H$242)*('5.21出货明细'!A:A=A263)),'5.21出货明细'!D:D)</f>
        <v>#N/A</v>
      </c>
      <c r="C263" s="679" t="e">
        <f t="array" ref="C263">LOOKUP(1,0/(('5.21出货明细'!V:V=$H$246)*('5.21出货明细'!X:X=$H$242)*('5.21出货明细'!A:A=A263)),'5.21出货明细'!G:G&amp;'5.21出货明细'!F:F)</f>
        <v>#N/A</v>
      </c>
      <c r="D263" s="680" t="e">
        <f t="array" ref="D263">LOOKUP(1,0/(('5.21出货明细'!D:D=B263)*('5.21出货明细'!G:G&amp;'5.21出货明细'!F:F=C263)),'5.21出货明细'!J:J)</f>
        <v>#N/A</v>
      </c>
      <c r="E263" s="681" t="e">
        <f t="array" ref="E263">LOOKUP(1,0/(('5.21出货明细'!D:D=B263)*('5.21出货明细'!G:G&amp;'5.21出货明细'!F:F=C263)),'5.21出货明细'!C:C)</f>
        <v>#N/A</v>
      </c>
      <c r="F263" s="682" t="e">
        <f t="array" ref="F263">LOOKUP(1,0/(('5.21出货明细'!D:D=B263)*('5.21出货明细'!G:G&amp;'5.21出货明细'!F:F=C263)),'5.21出货明细'!K:K)</f>
        <v>#N/A</v>
      </c>
      <c r="G263" s="683" t="e">
        <f t="array" ref="G263">LOOKUP(1,0/(('5.21出货明细'!D:D=B263)*('5.21出货明细'!G:G&amp;'5.21出货明细'!F:F=C263)),'5.21出货明细'!Z:Z)</f>
        <v>#N/A</v>
      </c>
      <c r="H263" s="684" t="e">
        <f t="shared" ref="H263:H278" si="6">G263*F263</f>
        <v>#N/A</v>
      </c>
    </row>
    <row r="264" customFormat="1" ht="40" customHeight="1" spans="1:8">
      <c r="A264">
        <v>78</v>
      </c>
      <c r="B264" s="679" t="e">
        <f t="array" ref="B264">LOOKUP(1,0/(('5.21出货明细'!V:V=$H$246)*('5.21出货明细'!X:X=$H$242)*('5.21出货明细'!A:A=A264)),'5.21出货明细'!D:D)</f>
        <v>#N/A</v>
      </c>
      <c r="C264" s="679" t="e">
        <f t="array" ref="C264">LOOKUP(1,0/(('5.21出货明细'!V:V=$H$246)*('5.21出货明细'!X:X=$H$242)*('5.21出货明细'!A:A=A264)),'5.21出货明细'!G:G&amp;'5.21出货明细'!F:F)</f>
        <v>#N/A</v>
      </c>
      <c r="D264" s="680" t="e">
        <f t="array" ref="D264">LOOKUP(1,0/(('5.21出货明细'!D:D=B264)*('5.21出货明细'!G:G&amp;'5.21出货明细'!F:F=C264)),'5.21出货明细'!J:J)</f>
        <v>#N/A</v>
      </c>
      <c r="E264" s="681" t="e">
        <f t="array" ref="E264">LOOKUP(1,0/(('5.21出货明细'!D:D=B264)*('5.21出货明细'!G:G&amp;'5.21出货明细'!F:F=C264)),'5.21出货明细'!C:C)</f>
        <v>#N/A</v>
      </c>
      <c r="F264" s="682" t="e">
        <f t="array" ref="F264">LOOKUP(1,0/(('5.21出货明细'!D:D=B264)*('5.21出货明细'!G:G&amp;'5.21出货明细'!F:F=C264)),'5.21出货明细'!K:K)</f>
        <v>#N/A</v>
      </c>
      <c r="G264" s="683" t="e">
        <f t="array" ref="G264">LOOKUP(1,0/(('5.21出货明细'!D:D=B264)*('5.21出货明细'!G:G&amp;'5.21出货明细'!F:F=C264)),'5.21出货明细'!Z:Z)</f>
        <v>#N/A</v>
      </c>
      <c r="H264" s="684" t="e">
        <f t="shared" si="6"/>
        <v>#N/A</v>
      </c>
    </row>
    <row r="265" customFormat="1" ht="40" customHeight="1" spans="1:8">
      <c r="A265">
        <v>79</v>
      </c>
      <c r="B265" s="679" t="e">
        <f t="array" ref="B265">LOOKUP(1,0/(('5.21出货明细'!V:V=$H$246)*('5.21出货明细'!X:X=$H$242)*('5.21出货明细'!A:A=A265)),'5.21出货明细'!D:D)</f>
        <v>#N/A</v>
      </c>
      <c r="C265" s="679" t="e">
        <f t="array" ref="C265">LOOKUP(1,0/(('5.21出货明细'!V:V=$H$246)*('5.21出货明细'!X:X=$H$242)*('5.21出货明细'!A:A=A265)),'5.21出货明细'!G:G&amp;'5.21出货明细'!F:F)</f>
        <v>#N/A</v>
      </c>
      <c r="D265" s="680" t="e">
        <f t="array" ref="D265">LOOKUP(1,0/(('5.21出货明细'!D:D=B265)*('5.21出货明细'!G:G&amp;'5.21出货明细'!F:F=C265)),'5.21出货明细'!J:J)</f>
        <v>#N/A</v>
      </c>
      <c r="E265" s="681" t="e">
        <f t="array" ref="E265">LOOKUP(1,0/(('5.21出货明细'!D:D=B265)*('5.21出货明细'!G:G&amp;'5.21出货明细'!F:F=C265)),'5.21出货明细'!C:C)</f>
        <v>#N/A</v>
      </c>
      <c r="F265" s="682" t="e">
        <f t="array" ref="F265">LOOKUP(1,0/(('5.21出货明细'!D:D=B265)*('5.21出货明细'!G:G&amp;'5.21出货明细'!F:F=C265)),'5.21出货明细'!K:K)</f>
        <v>#N/A</v>
      </c>
      <c r="G265" s="683" t="e">
        <f t="array" ref="G265">LOOKUP(1,0/(('5.21出货明细'!D:D=B265)*('5.21出货明细'!G:G&amp;'5.21出货明细'!F:F=C265)),'5.21出货明细'!Z:Z)</f>
        <v>#N/A</v>
      </c>
      <c r="H265" s="684" t="e">
        <f t="shared" si="6"/>
        <v>#N/A</v>
      </c>
    </row>
    <row r="266" customFormat="1" ht="40" customHeight="1" spans="1:8">
      <c r="A266">
        <v>80</v>
      </c>
      <c r="B266" s="679" t="e">
        <f t="array" ref="B266">LOOKUP(1,0/(('5.21出货明细'!V:V=$H$246)*('5.21出货明细'!X:X=$H$242)*('5.21出货明细'!A:A=A266)),'5.21出货明细'!D:D)</f>
        <v>#N/A</v>
      </c>
      <c r="C266" s="679" t="e">
        <f t="array" ref="C266">LOOKUP(1,0/(('5.21出货明细'!V:V=$H$246)*('5.21出货明细'!X:X=$H$242)*('5.21出货明细'!A:A=A266)),'5.21出货明细'!G:G&amp;'5.21出货明细'!F:F)</f>
        <v>#N/A</v>
      </c>
      <c r="D266" s="680" t="e">
        <f t="array" ref="D266">LOOKUP(1,0/(('5.21出货明细'!D:D=B266)*('5.21出货明细'!G:G&amp;'5.21出货明细'!F:F=C266)),'5.21出货明细'!J:J)</f>
        <v>#N/A</v>
      </c>
      <c r="E266" s="681" t="e">
        <f t="array" ref="E266">LOOKUP(1,0/(('5.21出货明细'!D:D=B266)*('5.21出货明细'!G:G&amp;'5.21出货明细'!F:F=C266)),'5.21出货明细'!C:C)</f>
        <v>#N/A</v>
      </c>
      <c r="F266" s="682" t="e">
        <f t="array" ref="F266">LOOKUP(1,0/(('5.21出货明细'!D:D=B266)*('5.21出货明细'!G:G&amp;'5.21出货明细'!F:F=C266)),'5.21出货明细'!K:K)</f>
        <v>#N/A</v>
      </c>
      <c r="G266" s="683" t="e">
        <f t="array" ref="G266">LOOKUP(1,0/(('5.21出货明细'!D:D=B266)*('5.21出货明细'!G:G&amp;'5.21出货明细'!F:F=C266)),'5.21出货明细'!Z:Z)</f>
        <v>#N/A</v>
      </c>
      <c r="H266" s="684" t="e">
        <f t="shared" si="6"/>
        <v>#N/A</v>
      </c>
    </row>
    <row r="267" customFormat="1" ht="40" customHeight="1" spans="1:8">
      <c r="A267">
        <v>81</v>
      </c>
      <c r="B267" s="679" t="e">
        <f t="array" ref="B267">LOOKUP(1,0/(('5.21出货明细'!V:V=$H$246)*('5.21出货明细'!X:X=$H$242)*('5.21出货明细'!A:A=A267)),'5.21出货明细'!D:D)</f>
        <v>#N/A</v>
      </c>
      <c r="C267" s="679" t="e">
        <f t="array" ref="C267">LOOKUP(1,0/(('5.21出货明细'!V:V=$H$246)*('5.21出货明细'!X:X=$H$242)*('5.21出货明细'!A:A=A267)),'5.21出货明细'!G:G&amp;'5.21出货明细'!F:F)</f>
        <v>#N/A</v>
      </c>
      <c r="D267" s="680" t="e">
        <f t="array" ref="D267">LOOKUP(1,0/(('5.21出货明细'!D:D=B267)*('5.21出货明细'!G:G&amp;'5.21出货明细'!F:F=C267)),'5.21出货明细'!J:J)</f>
        <v>#N/A</v>
      </c>
      <c r="E267" s="681" t="e">
        <f t="array" ref="E267">LOOKUP(1,0/(('5.21出货明细'!D:D=B267)*('5.21出货明细'!G:G&amp;'5.21出货明细'!F:F=C267)),'5.21出货明细'!C:C)</f>
        <v>#N/A</v>
      </c>
      <c r="F267" s="682" t="e">
        <f t="array" ref="F267">LOOKUP(1,0/(('5.21出货明细'!D:D=B267)*('5.21出货明细'!G:G&amp;'5.21出货明细'!F:F=C267)),'5.21出货明细'!K:K)</f>
        <v>#N/A</v>
      </c>
      <c r="G267" s="683" t="e">
        <f t="array" ref="G267">LOOKUP(1,0/(('5.21出货明细'!D:D=B267)*('5.21出货明细'!G:G&amp;'5.21出货明细'!F:F=C267)),'5.21出货明细'!Z:Z)</f>
        <v>#N/A</v>
      </c>
      <c r="H267" s="684" t="e">
        <f t="shared" si="6"/>
        <v>#N/A</v>
      </c>
    </row>
    <row r="268" customFormat="1" ht="40" customHeight="1" spans="1:8">
      <c r="A268">
        <v>82</v>
      </c>
      <c r="B268" s="679" t="e">
        <f t="array" ref="B268">LOOKUP(1,0/(('5.21出货明细'!V:V=$H$246)*('5.21出货明细'!X:X=$H$242)*('5.21出货明细'!A:A=A268)),'5.21出货明细'!D:D)</f>
        <v>#N/A</v>
      </c>
      <c r="C268" s="679" t="e">
        <f t="array" ref="C268">LOOKUP(1,0/(('5.21出货明细'!V:V=$H$246)*('5.21出货明细'!X:X=$H$242)*('5.21出货明细'!A:A=A268)),'5.21出货明细'!G:G&amp;'5.21出货明细'!F:F)</f>
        <v>#N/A</v>
      </c>
      <c r="D268" s="680" t="e">
        <f t="array" ref="D268">LOOKUP(1,0/(('5.21出货明细'!D:D=B268)*('5.21出货明细'!G:G&amp;'5.21出货明细'!F:F=C268)),'5.21出货明细'!J:J)</f>
        <v>#N/A</v>
      </c>
      <c r="E268" s="681" t="e">
        <f t="array" ref="E268">LOOKUP(1,0/(('5.21出货明细'!D:D=B268)*('5.21出货明细'!G:G&amp;'5.21出货明细'!F:F=C268)),'5.21出货明细'!C:C)</f>
        <v>#N/A</v>
      </c>
      <c r="F268" s="682" t="e">
        <f t="array" ref="F268">LOOKUP(1,0/(('5.21出货明细'!D:D=B268)*('5.21出货明细'!G:G&amp;'5.21出货明细'!F:F=C268)),'5.21出货明细'!K:K)</f>
        <v>#N/A</v>
      </c>
      <c r="G268" s="683" t="e">
        <f t="array" ref="G268">LOOKUP(1,0/(('5.21出货明细'!D:D=B268)*('5.21出货明细'!G:G&amp;'5.21出货明细'!F:F=C268)),'5.21出货明细'!Z:Z)</f>
        <v>#N/A</v>
      </c>
      <c r="H268" s="684" t="e">
        <f t="shared" si="6"/>
        <v>#N/A</v>
      </c>
    </row>
    <row r="269" customFormat="1" ht="40" customHeight="1" spans="1:8">
      <c r="A269">
        <v>83</v>
      </c>
      <c r="B269" s="679" t="e">
        <f t="array" ref="B269">LOOKUP(1,0/(('5.21出货明细'!V:V=$H$246)*('5.21出货明细'!X:X=$H$242)*('5.21出货明细'!A:A=A269)),'5.21出货明细'!D:D)</f>
        <v>#N/A</v>
      </c>
      <c r="C269" s="679" t="e">
        <f t="array" ref="C269">LOOKUP(1,0/(('5.21出货明细'!V:V=$H$246)*('5.21出货明细'!X:X=$H$242)*('5.21出货明细'!A:A=A269)),'5.21出货明细'!G:G&amp;'5.21出货明细'!F:F)</f>
        <v>#N/A</v>
      </c>
      <c r="D269" s="680" t="e">
        <f t="array" ref="D269">LOOKUP(1,0/(('5.21出货明细'!D:D=B269)*('5.21出货明细'!G:G&amp;'5.21出货明细'!F:F=C269)),'5.21出货明细'!J:J)</f>
        <v>#N/A</v>
      </c>
      <c r="E269" s="681" t="e">
        <f t="array" ref="E269">LOOKUP(1,0/(('5.21出货明细'!D:D=B269)*('5.21出货明细'!G:G&amp;'5.21出货明细'!F:F=C269)),'5.21出货明细'!C:C)</f>
        <v>#N/A</v>
      </c>
      <c r="F269" s="682" t="e">
        <f t="array" ref="F269">LOOKUP(1,0/(('5.21出货明细'!D:D=B269)*('5.21出货明细'!G:G&amp;'5.21出货明细'!F:F=C269)),'5.21出货明细'!K:K)</f>
        <v>#N/A</v>
      </c>
      <c r="G269" s="683" t="e">
        <f t="array" ref="G269">LOOKUP(1,0/(('5.21出货明细'!D:D=B269)*('5.21出货明细'!G:G&amp;'5.21出货明细'!F:F=C269)),'5.21出货明细'!Z:Z)</f>
        <v>#N/A</v>
      </c>
      <c r="H269" s="684" t="e">
        <f t="shared" si="6"/>
        <v>#N/A</v>
      </c>
    </row>
    <row r="270" customFormat="1" ht="40" customHeight="1" spans="1:8">
      <c r="A270">
        <v>84</v>
      </c>
      <c r="B270" s="679" t="e">
        <f t="array" ref="B270">LOOKUP(1,0/(('5.21出货明细'!V:V=$H$246)*('5.21出货明细'!X:X=$H$242)*('5.21出货明细'!A:A=A270)),'5.21出货明细'!D:D)</f>
        <v>#N/A</v>
      </c>
      <c r="C270" s="679" t="e">
        <f t="array" ref="C270">LOOKUP(1,0/(('5.21出货明细'!V:V=$H$246)*('5.21出货明细'!X:X=$H$242)*('5.21出货明细'!A:A=A270)),'5.21出货明细'!G:G&amp;'5.21出货明细'!F:F)</f>
        <v>#N/A</v>
      </c>
      <c r="D270" s="680" t="e">
        <f t="array" ref="D270">LOOKUP(1,0/(('5.21出货明细'!D:D=B270)*('5.21出货明细'!G:G&amp;'5.21出货明细'!F:F=C270)),'5.21出货明细'!J:J)</f>
        <v>#N/A</v>
      </c>
      <c r="E270" s="681" t="e">
        <f t="array" ref="E270">LOOKUP(1,0/(('5.21出货明细'!D:D=B270)*('5.21出货明细'!G:G&amp;'5.21出货明细'!F:F=C270)),'5.21出货明细'!C:C)</f>
        <v>#N/A</v>
      </c>
      <c r="F270" s="682" t="e">
        <f t="array" ref="F270">LOOKUP(1,0/(('5.21出货明细'!D:D=B270)*('5.21出货明细'!G:G&amp;'5.21出货明细'!F:F=C270)),'5.21出货明细'!K:K)</f>
        <v>#N/A</v>
      </c>
      <c r="G270" s="683" t="e">
        <f t="array" ref="G270">LOOKUP(1,0/(('5.21出货明细'!D:D=B270)*('5.21出货明细'!G:G&amp;'5.21出货明细'!F:F=C270)),'5.21出货明细'!Z:Z)</f>
        <v>#N/A</v>
      </c>
      <c r="H270" s="684" t="e">
        <f t="shared" si="6"/>
        <v>#N/A</v>
      </c>
    </row>
    <row r="271" customFormat="1" ht="40" customHeight="1" spans="1:8">
      <c r="A271">
        <v>85</v>
      </c>
      <c r="B271" s="679" t="e">
        <f t="array" ref="B271">LOOKUP(1,0/(('5.21出货明细'!V:V=$H$246)*('5.21出货明细'!X:X=$H$242)*('5.21出货明细'!A:A=A271)),'5.21出货明细'!D:D)</f>
        <v>#N/A</v>
      </c>
      <c r="C271" s="679" t="e">
        <f t="array" ref="C271">LOOKUP(1,0/(('5.21出货明细'!V:V=$H$246)*('5.21出货明细'!X:X=$H$242)*('5.21出货明细'!A:A=A271)),'5.21出货明细'!G:G&amp;'5.21出货明细'!F:F)</f>
        <v>#N/A</v>
      </c>
      <c r="D271" s="680" t="e">
        <f t="array" ref="D271">LOOKUP(1,0/(('5.21出货明细'!D:D=B271)*('5.21出货明细'!G:G&amp;'5.21出货明细'!F:F=C271)),'5.21出货明细'!J:J)</f>
        <v>#N/A</v>
      </c>
      <c r="E271" s="681" t="e">
        <f t="array" ref="E271">LOOKUP(1,0/(('5.21出货明细'!D:D=B271)*('5.21出货明细'!G:G&amp;'5.21出货明细'!F:F=C271)),'5.21出货明细'!C:C)</f>
        <v>#N/A</v>
      </c>
      <c r="F271" s="682" t="e">
        <f t="array" ref="F271">LOOKUP(1,0/(('5.21出货明细'!D:D=B271)*('5.21出货明细'!G:G&amp;'5.21出货明细'!F:F=C271)),'5.21出货明细'!K:K)</f>
        <v>#N/A</v>
      </c>
      <c r="G271" s="685" t="e">
        <f t="array" ref="G271">LOOKUP(1,0/(('5.21出货明细'!D:D=B271)*('5.21出货明细'!G:G&amp;'5.21出货明细'!F:F=C271)),'5.21出货明细'!Z:Z)</f>
        <v>#N/A</v>
      </c>
      <c r="H271" s="684" t="e">
        <f t="shared" si="6"/>
        <v>#N/A</v>
      </c>
    </row>
    <row r="272" customFormat="1" ht="40" customHeight="1" spans="1:8">
      <c r="A272">
        <v>86</v>
      </c>
      <c r="B272" s="679" t="e">
        <f t="array" ref="B272">LOOKUP(1,0/(('5.21出货明细'!V:V=$H$246)*('5.21出货明细'!X:X=$H$242)*('5.21出货明细'!A:A=A272)),'5.21出货明细'!D:D)</f>
        <v>#N/A</v>
      </c>
      <c r="C272" s="679" t="e">
        <f t="array" ref="C272">LOOKUP(1,0/(('5.21出货明细'!V:V=$H$246)*('5.21出货明细'!X:X=$H$242)*('5.21出货明细'!A:A=A272)),'5.21出货明细'!G:G&amp;'5.21出货明细'!F:F)</f>
        <v>#N/A</v>
      </c>
      <c r="D272" s="680" t="e">
        <f t="array" ref="D272">LOOKUP(1,0/(('5.21出货明细'!D:D=B272)*('5.21出货明细'!G:G&amp;'5.21出货明细'!F:F=C272)),'5.21出货明细'!J:J)</f>
        <v>#N/A</v>
      </c>
      <c r="E272" s="681" t="e">
        <f t="array" ref="E272">LOOKUP(1,0/(('5.21出货明细'!D:D=B272)*('5.21出货明细'!G:G&amp;'5.21出货明细'!F:F=C272)),'5.21出货明细'!C:C)</f>
        <v>#N/A</v>
      </c>
      <c r="F272" s="682" t="e">
        <f t="array" ref="F272">LOOKUP(1,0/(('5.21出货明细'!D:D=B272)*('5.21出货明细'!G:G&amp;'5.21出货明细'!F:F=C272)),'5.21出货明细'!K:K)</f>
        <v>#N/A</v>
      </c>
      <c r="G272" s="683" t="e">
        <f t="array" ref="G272">LOOKUP(1,0/(('5.21出货明细'!D:D=B272)*('5.21出货明细'!G:G&amp;'5.21出货明细'!F:F=C272)),'5.21出货明细'!Z:Z)</f>
        <v>#N/A</v>
      </c>
      <c r="H272" s="684" t="e">
        <f t="shared" si="6"/>
        <v>#N/A</v>
      </c>
    </row>
    <row r="273" customFormat="1" ht="40" customHeight="1" spans="1:8">
      <c r="A273">
        <v>87</v>
      </c>
      <c r="B273" s="679" t="e">
        <f t="array" ref="B273">LOOKUP(1,0/(('5.21出货明细'!V:V=$H$246)*('5.21出货明细'!X:X=$H$242)*('5.21出货明细'!A:A=A273)),'5.21出货明细'!D:D)</f>
        <v>#N/A</v>
      </c>
      <c r="C273" s="679" t="e">
        <f t="array" ref="C273">LOOKUP(1,0/(('5.21出货明细'!V:V=$H$246)*('5.21出货明细'!X:X=$H$242)*('5.21出货明细'!A:A=A273)),'5.21出货明细'!G:G&amp;'5.21出货明细'!F:F)</f>
        <v>#N/A</v>
      </c>
      <c r="D273" s="680" t="e">
        <f t="array" ref="D273">LOOKUP(1,0/(('5.21出货明细'!D:D=B273)*('5.21出货明细'!G:G&amp;'5.21出货明细'!F:F=C273)),'5.21出货明细'!J:J)</f>
        <v>#N/A</v>
      </c>
      <c r="E273" s="681" t="e">
        <f t="array" ref="E273">LOOKUP(1,0/(('5.21出货明细'!D:D=B273)*('5.21出货明细'!G:G&amp;'5.21出货明细'!F:F=C273)),'5.21出货明细'!C:C)</f>
        <v>#N/A</v>
      </c>
      <c r="F273" s="682" t="e">
        <f t="array" ref="F273">LOOKUP(1,0/(('5.21出货明细'!D:D=B273)*('5.21出货明细'!G:G&amp;'5.21出货明细'!F:F=C273)),'5.21出货明细'!K:K)</f>
        <v>#N/A</v>
      </c>
      <c r="G273" s="685" t="e">
        <f t="array" ref="G273">LOOKUP(1,0/(('5.21出货明细'!D:D=B273)*('5.21出货明细'!G:G&amp;'5.21出货明细'!F:F=C273)),'5.21出货明细'!Z:Z)</f>
        <v>#N/A</v>
      </c>
      <c r="H273" s="684" t="e">
        <f t="shared" si="6"/>
        <v>#N/A</v>
      </c>
    </row>
    <row r="274" customFormat="1" ht="40" customHeight="1" spans="1:8">
      <c r="A274">
        <v>88</v>
      </c>
      <c r="B274" s="679" t="e">
        <f t="array" ref="B274">LOOKUP(1,0/(('5.21出货明细'!V:V=$H$246)*('5.21出货明细'!X:X=$H$242)*('5.21出货明细'!A:A=A274)),'5.21出货明细'!D:D)</f>
        <v>#N/A</v>
      </c>
      <c r="C274" s="679" t="e">
        <f t="array" ref="C274">LOOKUP(1,0/(('5.21出货明细'!V:V=$H$246)*('5.21出货明细'!X:X=$H$242)*('5.21出货明细'!A:A=A274)),'5.21出货明细'!G:G&amp;'5.21出货明细'!F:F)</f>
        <v>#N/A</v>
      </c>
      <c r="D274" s="680" t="e">
        <f t="array" ref="D274">LOOKUP(1,0/(('5.21出货明细'!D:D=B274)*('5.21出货明细'!G:G&amp;'5.21出货明细'!F:F=C274)),'5.21出货明细'!J:J)</f>
        <v>#N/A</v>
      </c>
      <c r="E274" s="681" t="e">
        <f t="array" ref="E274">LOOKUP(1,0/(('5.21出货明细'!D:D=B274)*('5.21出货明细'!G:G&amp;'5.21出货明细'!F:F=C274)),'5.21出货明细'!C:C)</f>
        <v>#N/A</v>
      </c>
      <c r="F274" s="682" t="e">
        <f t="array" ref="F274">LOOKUP(1,0/(('5.21出货明细'!D:D=B274)*('5.21出货明细'!G:G&amp;'5.21出货明细'!F:F=C274)),'5.21出货明细'!K:K)</f>
        <v>#N/A</v>
      </c>
      <c r="G274" s="683" t="e">
        <f t="array" ref="G274">LOOKUP(1,0/(('5.21出货明细'!D:D=B274)*('5.21出货明细'!G:G&amp;'5.21出货明细'!F:F=C274)),'5.21出货明细'!Z:Z)</f>
        <v>#N/A</v>
      </c>
      <c r="H274" s="684" t="e">
        <f t="shared" si="6"/>
        <v>#N/A</v>
      </c>
    </row>
    <row r="275" customFormat="1" ht="40" customHeight="1" spans="1:8">
      <c r="A275">
        <v>89</v>
      </c>
      <c r="B275" s="679" t="e">
        <f t="array" ref="B275">LOOKUP(1,0/(('5.21出货明细'!V:V=$H$246)*('5.21出货明细'!X:X=$H$242)*('5.21出货明细'!A:A=A275)),'5.21出货明细'!D:D)</f>
        <v>#N/A</v>
      </c>
      <c r="C275" s="679" t="e">
        <f t="array" ref="C275">LOOKUP(1,0/(('5.21出货明细'!V:V=$H$246)*('5.21出货明细'!X:X=$H$242)*('5.21出货明细'!A:A=A275)),'5.21出货明细'!G:G&amp;'5.21出货明细'!F:F)</f>
        <v>#N/A</v>
      </c>
      <c r="D275" s="680" t="e">
        <f t="array" ref="D275">LOOKUP(1,0/(('5.21出货明细'!D:D=B275)*('5.21出货明细'!G:G&amp;'5.21出货明细'!F:F=C275)),'5.21出货明细'!J:J)</f>
        <v>#N/A</v>
      </c>
      <c r="E275" s="681" t="e">
        <f t="array" ref="E275">LOOKUP(1,0/(('5.21出货明细'!D:D=B275)*('5.21出货明细'!G:G&amp;'5.21出货明细'!F:F=C275)),'5.21出货明细'!C:C)</f>
        <v>#N/A</v>
      </c>
      <c r="F275" s="682" t="e">
        <f t="array" ref="F275">LOOKUP(1,0/(('5.21出货明细'!D:D=B275)*('5.21出货明细'!G:G&amp;'5.21出货明细'!F:F=C275)),'5.21出货明细'!K:K)</f>
        <v>#N/A</v>
      </c>
      <c r="G275" s="683" t="e">
        <f t="array" ref="G275">LOOKUP(1,0/(('5.21出货明细'!D:D=B275)*('5.21出货明细'!G:G&amp;'5.21出货明细'!F:F=C275)),'5.21出货明细'!Z:Z)</f>
        <v>#N/A</v>
      </c>
      <c r="H275" s="684" t="e">
        <f t="shared" si="6"/>
        <v>#N/A</v>
      </c>
    </row>
    <row r="276" customFormat="1" ht="40" customHeight="1" spans="1:8">
      <c r="A276">
        <v>90</v>
      </c>
      <c r="B276" s="679" t="e">
        <f t="array" ref="B276">LOOKUP(1,0/(('5.21出货明细'!V:V=$H$246)*('5.21出货明细'!X:X=$H$242)*('5.21出货明细'!A:A=A276)),'5.21出货明细'!D:D)</f>
        <v>#N/A</v>
      </c>
      <c r="C276" s="679" t="e">
        <f t="array" ref="C276">LOOKUP(1,0/(('5.21出货明细'!V:V=$H$246)*('5.21出货明细'!X:X=$H$242)*('5.21出货明细'!A:A=A276)),'5.21出货明细'!G:G&amp;'5.21出货明细'!F:F)</f>
        <v>#N/A</v>
      </c>
      <c r="D276" s="680" t="e">
        <f t="array" ref="D276">LOOKUP(1,0/(('5.21出货明细'!D:D=B276)*('5.21出货明细'!G:G&amp;'5.21出货明细'!F:F=C276)),'5.21出货明细'!J:J)</f>
        <v>#N/A</v>
      </c>
      <c r="E276" s="681" t="e">
        <f t="array" ref="E276">LOOKUP(1,0/(('5.21出货明细'!D:D=B276)*('5.21出货明细'!G:G&amp;'5.21出货明细'!F:F=C276)),'5.21出货明细'!C:C)</f>
        <v>#N/A</v>
      </c>
      <c r="F276" s="682" t="e">
        <f t="array" ref="F276">LOOKUP(1,0/(('5.21出货明细'!D:D=B276)*('5.21出货明细'!G:G&amp;'5.21出货明细'!F:F=C276)),'5.21出货明细'!K:K)</f>
        <v>#N/A</v>
      </c>
      <c r="G276" s="683" t="e">
        <f t="array" ref="G276">LOOKUP(1,0/(('5.21出货明细'!D:D=B276)*('5.21出货明细'!G:G&amp;'5.21出货明细'!F:F=C276)),'5.21出货明细'!Z:Z)</f>
        <v>#N/A</v>
      </c>
      <c r="H276" s="684" t="e">
        <f t="shared" si="6"/>
        <v>#N/A</v>
      </c>
    </row>
    <row r="277" customFormat="1" ht="40" customHeight="1" spans="1:8">
      <c r="A277">
        <v>91</v>
      </c>
      <c r="B277" s="679" t="e">
        <f t="array" ref="B277">LOOKUP(1,0/(('5.21出货明细'!V:V=$H$246)*('5.21出货明细'!X:X=$H$242)*('5.21出货明细'!A:A=A277)),'5.21出货明细'!D:D)</f>
        <v>#N/A</v>
      </c>
      <c r="C277" s="679" t="e">
        <f t="array" ref="C277">LOOKUP(1,0/(('5.21出货明细'!V:V=$H$246)*('5.21出货明细'!X:X=$H$242)*('5.21出货明细'!A:A=A277)),'5.21出货明细'!G:G&amp;'5.21出货明细'!F:F)</f>
        <v>#N/A</v>
      </c>
      <c r="D277" s="680" t="e">
        <f t="array" ref="D277">LOOKUP(1,0/(('5.21出货明细'!D:D=B277)*('5.21出货明细'!G:G&amp;'5.21出货明细'!F:F=C277)),'5.21出货明细'!J:J)</f>
        <v>#N/A</v>
      </c>
      <c r="E277" s="681" t="e">
        <f t="array" ref="E277">LOOKUP(1,0/(('5.21出货明细'!D:D=B277)*('5.21出货明细'!G:G&amp;'5.21出货明细'!F:F=C277)),'5.21出货明细'!C:C)</f>
        <v>#N/A</v>
      </c>
      <c r="F277" s="682" t="e">
        <f t="array" ref="F277">LOOKUP(1,0/(('5.21出货明细'!D:D=B277)*('5.21出货明细'!G:G&amp;'5.21出货明细'!F:F=C277)),'5.21出货明细'!K:K)</f>
        <v>#N/A</v>
      </c>
      <c r="G277" s="683" t="e">
        <f t="array" ref="G277">LOOKUP(1,0/(('5.21出货明细'!D:D=B277)*('5.21出货明细'!G:G&amp;'5.21出货明细'!F:F=C277)),'5.21出货明细'!Z:Z)</f>
        <v>#N/A</v>
      </c>
      <c r="H277" s="684" t="e">
        <f t="shared" si="6"/>
        <v>#N/A</v>
      </c>
    </row>
    <row r="278" customFormat="1" ht="40" customHeight="1" spans="1:8">
      <c r="A278">
        <v>92</v>
      </c>
      <c r="B278" s="679" t="e">
        <f t="array" ref="B278">LOOKUP(1,0/(('5.21出货明细'!V:V=$H$246)*('5.21出货明细'!X:X=$H$242)*('5.21出货明细'!A:A=A278)),'5.21出货明细'!D:D)</f>
        <v>#N/A</v>
      </c>
      <c r="C278" s="679" t="e">
        <f t="array" ref="C278">LOOKUP(1,0/(('5.21出货明细'!V:V=$H$246)*('5.21出货明细'!X:X=$H$242)*('5.21出货明细'!A:A=A278)),'5.21出货明细'!G:G&amp;'5.21出货明细'!F:F)</f>
        <v>#N/A</v>
      </c>
      <c r="D278" s="680" t="e">
        <f t="array" ref="D278">LOOKUP(1,0/(('5.21出货明细'!D:D=B278)*('5.21出货明细'!G:G&amp;'5.21出货明细'!F:F=C278)),'5.21出货明细'!J:J)</f>
        <v>#N/A</v>
      </c>
      <c r="E278" s="681" t="e">
        <f t="array" ref="E278">LOOKUP(1,0/(('5.21出货明细'!D:D=B278)*('5.21出货明细'!G:G&amp;'5.21出货明细'!F:F=C278)),'5.21出货明细'!C:C)</f>
        <v>#N/A</v>
      </c>
      <c r="F278" s="682" t="e">
        <f t="array" ref="F278">LOOKUP(1,0/(('5.21出货明细'!D:D=B278)*('5.21出货明细'!G:G&amp;'5.21出货明细'!F:F=C278)),'5.21出货明细'!K:K)</f>
        <v>#N/A</v>
      </c>
      <c r="G278" s="683" t="e">
        <f t="array" ref="G278">LOOKUP(1,0/(('5.21出货明细'!D:D=B278)*('5.21出货明细'!G:G&amp;'5.21出货明细'!F:F=C278)),'5.21出货明细'!Z:Z)</f>
        <v>#N/A</v>
      </c>
      <c r="H278" s="684" t="e">
        <f t="shared" si="6"/>
        <v>#N/A</v>
      </c>
    </row>
    <row r="279" ht="18" spans="1:8">
      <c r="A279" s="636"/>
      <c r="B279" s="687"/>
      <c r="C279" s="688"/>
      <c r="D279" s="687"/>
      <c r="E279" s="687"/>
      <c r="F279" s="679" t="s">
        <v>1647</v>
      </c>
      <c r="G279" s="689" t="e">
        <f>SUM(H262:H278)</f>
        <v>#N/A</v>
      </c>
      <c r="H279" s="690"/>
    </row>
    <row r="280" ht="36" spans="1:8">
      <c r="A280" s="639"/>
      <c r="B280" s="691" t="s">
        <v>1648</v>
      </c>
      <c r="C280" s="692" t="e">
        <f>G279</f>
        <v>#N/A</v>
      </c>
      <c r="D280" s="693"/>
      <c r="E280" s="694"/>
      <c r="F280" s="695"/>
      <c r="G280" s="700"/>
      <c r="H280" s="700"/>
    </row>
    <row r="281" customFormat="1" spans="1:8">
      <c r="C281" s="623"/>
    </row>
    <row r="282" ht="30" spans="1:8">
      <c r="A282" s="624"/>
      <c r="B282" s="625" t="s">
        <v>1540</v>
      </c>
      <c r="C282" s="625"/>
      <c r="D282" s="625"/>
      <c r="E282" s="625"/>
      <c r="F282" s="625"/>
      <c r="G282" s="625"/>
      <c r="H282" s="625"/>
    </row>
    <row r="283" ht="24" customHeight="1" spans="1:8">
      <c r="A283" s="626"/>
      <c r="B283" s="627" t="s">
        <v>1546</v>
      </c>
      <c r="C283" s="627"/>
      <c r="D283" s="627"/>
      <c r="E283" s="627"/>
      <c r="F283" s="627"/>
      <c r="G283" s="627"/>
      <c r="H283" s="627"/>
    </row>
    <row r="284" ht="39" customHeight="1" spans="1:8">
      <c r="A284" s="628"/>
      <c r="B284" s="629" t="s">
        <v>1656</v>
      </c>
      <c r="C284" s="629"/>
      <c r="D284" s="629"/>
      <c r="E284" s="629"/>
      <c r="F284" s="629"/>
      <c r="G284" s="629"/>
      <c r="H284" s="629"/>
    </row>
    <row r="285" ht="18" spans="1:8">
      <c r="A285" s="628"/>
      <c r="B285" s="629" t="s">
        <v>1657</v>
      </c>
      <c r="C285" s="629"/>
      <c r="D285" s="629"/>
      <c r="E285" s="629"/>
      <c r="F285" s="629"/>
      <c r="G285" s="629"/>
      <c r="H285" s="629"/>
    </row>
    <row r="286" ht="25.5" spans="1:8">
      <c r="A286" s="630"/>
      <c r="B286" s="631" t="s">
        <v>1621</v>
      </c>
      <c r="C286" s="631"/>
      <c r="D286" s="631"/>
      <c r="E286" s="631"/>
      <c r="F286" s="631"/>
      <c r="G286" s="631"/>
      <c r="H286" s="631"/>
    </row>
    <row r="287" ht="21.75" spans="1:8">
      <c r="A287" s="632"/>
      <c r="B287" s="633" t="s">
        <v>1622</v>
      </c>
      <c r="C287" s="633"/>
      <c r="D287" s="633"/>
      <c r="E287" s="633"/>
      <c r="F287" s="633"/>
      <c r="G287" s="633"/>
      <c r="H287" s="633"/>
    </row>
    <row r="288" ht="18" spans="1:8">
      <c r="A288" s="634"/>
      <c r="B288" s="635"/>
      <c r="C288" s="635"/>
      <c r="D288" s="635"/>
      <c r="E288" s="635"/>
      <c r="F288" s="635"/>
      <c r="G288" s="635"/>
      <c r="H288" s="635"/>
    </row>
    <row r="289" ht="18" spans="1:8">
      <c r="A289" s="636"/>
      <c r="B289" s="637" t="s">
        <v>1658</v>
      </c>
      <c r="C289" s="637"/>
      <c r="D289" s="637"/>
      <c r="E289" s="637"/>
      <c r="F289" s="637"/>
      <c r="G289" s="638"/>
      <c r="H289" s="638"/>
    </row>
    <row r="290" ht="33" spans="1:8">
      <c r="A290" s="639"/>
      <c r="B290" s="640" t="s">
        <v>1624</v>
      </c>
      <c r="C290" s="640"/>
      <c r="D290" s="640"/>
      <c r="E290" s="640"/>
      <c r="F290" s="640"/>
      <c r="G290" s="641" t="s">
        <v>1625</v>
      </c>
      <c r="H290" s="642" t="s">
        <v>1660</v>
      </c>
    </row>
    <row r="291" ht="18" spans="1:8">
      <c r="A291" s="643"/>
      <c r="B291" s="644" t="s">
        <v>1540</v>
      </c>
      <c r="C291" s="644"/>
      <c r="D291" s="644"/>
      <c r="E291" s="644"/>
      <c r="F291" s="644"/>
      <c r="G291" s="641"/>
      <c r="H291" s="645"/>
    </row>
    <row r="292" ht="46" customHeight="1" spans="1:8">
      <c r="A292" s="636"/>
      <c r="B292" s="637" t="s">
        <v>1627</v>
      </c>
      <c r="C292" s="637"/>
      <c r="D292" s="637"/>
      <c r="E292" s="637"/>
      <c r="F292" s="636"/>
      <c r="G292" s="646" t="s">
        <v>1628</v>
      </c>
      <c r="H292" s="647">
        <f>H11</f>
        <v>46076</v>
      </c>
    </row>
    <row r="293" ht="27" customHeight="1" spans="1:8">
      <c r="A293" s="636"/>
      <c r="B293" s="637"/>
      <c r="C293" s="637"/>
      <c r="D293" s="637"/>
      <c r="E293" s="637"/>
      <c r="F293" s="636"/>
      <c r="G293" s="646"/>
      <c r="H293" s="648"/>
    </row>
    <row r="294" ht="33" spans="1:8">
      <c r="A294" s="639"/>
      <c r="B294" s="640" t="s">
        <v>1629</v>
      </c>
      <c r="C294" s="640"/>
      <c r="D294" s="640"/>
      <c r="E294" s="640"/>
      <c r="F294" s="640"/>
      <c r="G294" s="649" t="s">
        <v>1630</v>
      </c>
      <c r="H294" s="642" t="str">
        <f>实业合同!H314</f>
        <v>RPIRRI260282</v>
      </c>
    </row>
    <row r="295" ht="18" spans="1:8">
      <c r="A295" s="636"/>
      <c r="B295" s="637" t="s">
        <v>1558</v>
      </c>
      <c r="C295" s="637"/>
      <c r="D295" s="636"/>
      <c r="E295" s="636"/>
      <c r="F295" s="636"/>
      <c r="G295" s="649"/>
      <c r="H295" s="645"/>
    </row>
    <row r="296" ht="25" customHeight="1" spans="1:8">
      <c r="A296" s="639"/>
      <c r="B296" s="640" t="s">
        <v>1631</v>
      </c>
      <c r="C296" s="640"/>
      <c r="D296" s="640"/>
      <c r="E296" s="640"/>
      <c r="F296" s="640"/>
      <c r="G296" s="650"/>
      <c r="H296" s="651"/>
    </row>
    <row r="297" ht="18" spans="1:8">
      <c r="A297" s="639"/>
      <c r="B297" s="640"/>
      <c r="C297" s="640"/>
      <c r="D297" s="640"/>
      <c r="E297" s="640"/>
      <c r="F297" s="640"/>
      <c r="G297" s="646" t="s">
        <v>1632</v>
      </c>
      <c r="H297" s="652" t="s">
        <v>1633</v>
      </c>
    </row>
    <row r="298" ht="18" spans="1:8">
      <c r="A298" s="653"/>
      <c r="B298" s="654" t="s">
        <v>1560</v>
      </c>
      <c r="C298" s="653"/>
      <c r="D298" s="653"/>
      <c r="E298" s="655"/>
      <c r="F298" s="656"/>
      <c r="G298" s="646"/>
      <c r="H298" s="657"/>
    </row>
    <row r="299" ht="18" spans="1:8">
      <c r="A299" s="653"/>
      <c r="B299" s="654" t="s">
        <v>1561</v>
      </c>
      <c r="C299" s="653"/>
      <c r="D299" s="658"/>
      <c r="E299" s="655"/>
      <c r="F299" s="656"/>
      <c r="G299" s="659"/>
      <c r="H299" s="660"/>
    </row>
    <row r="300" ht="18" spans="1:8">
      <c r="A300" s="639"/>
      <c r="B300" s="640" t="s">
        <v>1634</v>
      </c>
      <c r="C300" s="640"/>
      <c r="D300" s="640"/>
      <c r="E300" s="640"/>
      <c r="F300" s="640"/>
      <c r="G300" s="659"/>
      <c r="H300" s="660"/>
    </row>
    <row r="301" ht="18" spans="1:8">
      <c r="A301" s="661"/>
      <c r="B301" s="661" t="s">
        <v>1635</v>
      </c>
      <c r="C301" s="661"/>
      <c r="D301" s="661"/>
      <c r="E301" s="661"/>
      <c r="F301" s="661"/>
      <c r="G301" s="659"/>
      <c r="H301" s="660"/>
    </row>
    <row r="302" ht="18" spans="1:8">
      <c r="A302" s="653"/>
      <c r="B302" s="654" t="s">
        <v>124</v>
      </c>
      <c r="C302" s="658"/>
      <c r="D302" s="662"/>
      <c r="E302" s="662"/>
      <c r="F302" s="663"/>
      <c r="G302" s="659"/>
      <c r="H302" s="660"/>
    </row>
    <row r="303" ht="18" spans="1:8">
      <c r="A303" s="653"/>
      <c r="B303" s="653" t="s">
        <v>1602</v>
      </c>
      <c r="C303" s="653"/>
      <c r="D303" s="658"/>
      <c r="E303" s="662"/>
      <c r="F303" s="663"/>
      <c r="G303" s="659"/>
      <c r="H303" s="660"/>
    </row>
    <row r="304" s="621" customFormat="1" ht="30" customHeight="1" spans="1:8">
      <c r="A304" s="636"/>
      <c r="B304" s="637" t="s">
        <v>1603</v>
      </c>
      <c r="C304" s="637"/>
      <c r="D304" s="637"/>
      <c r="E304" s="637"/>
      <c r="F304" s="637"/>
      <c r="G304" s="664"/>
      <c r="H304" s="664"/>
    </row>
    <row r="305" s="621" customFormat="1" ht="24" customHeight="1" spans="1:8">
      <c r="A305" s="636"/>
      <c r="B305" s="637"/>
      <c r="C305" s="637"/>
      <c r="D305" s="637"/>
      <c r="E305" s="637"/>
      <c r="F305" s="637"/>
      <c r="G305" s="664"/>
      <c r="H305" s="664"/>
    </row>
    <row r="306" customFormat="1" ht="2" customHeight="1" spans="1:8">
      <c r="B306" s="665"/>
      <c r="C306" s="666"/>
      <c r="D306" s="665"/>
      <c r="E306" s="665"/>
      <c r="F306" s="667"/>
      <c r="G306" s="665"/>
      <c r="H306" s="665"/>
    </row>
    <row r="307" customFormat="1" ht="31.5" spans="1:8">
      <c r="B307" s="668" t="s">
        <v>1637</v>
      </c>
      <c r="C307" s="669" t="s">
        <v>1638</v>
      </c>
      <c r="D307" s="670"/>
      <c r="E307" s="671"/>
      <c r="F307" s="672" t="s">
        <v>1639</v>
      </c>
      <c r="G307" s="673" t="s">
        <v>1640</v>
      </c>
      <c r="H307" s="674"/>
    </row>
    <row r="308" customFormat="1" ht="31.5" spans="1:8">
      <c r="B308" s="668" t="s">
        <v>1641</v>
      </c>
      <c r="C308" s="668" t="s">
        <v>1642</v>
      </c>
      <c r="D308" s="668" t="s">
        <v>8</v>
      </c>
      <c r="E308" s="362" t="s">
        <v>1643</v>
      </c>
      <c r="F308" s="672" t="s">
        <v>1644</v>
      </c>
      <c r="G308" s="668" t="s">
        <v>1645</v>
      </c>
      <c r="H308" s="668" t="s">
        <v>1646</v>
      </c>
    </row>
    <row r="309" customFormat="1" ht="18" spans="1:8">
      <c r="B309" s="675"/>
      <c r="C309" s="676"/>
      <c r="D309" s="675"/>
      <c r="E309" s="675"/>
      <c r="F309" s="675"/>
      <c r="G309" s="677" t="s">
        <v>1595</v>
      </c>
      <c r="H309" s="678"/>
    </row>
    <row r="310" ht="40" customHeight="1" spans="1:8">
      <c r="A310">
        <v>93</v>
      </c>
      <c r="B310" s="679" t="e">
        <f t="array" ref="B310">LOOKUP(1,0/(('5.21出货明细'!V:V=$H$294)*('5.21出货明细'!X:X=$H$290)*('5.21出货明细'!A:A=A310)),'5.21出货明细'!D:D)</f>
        <v>#N/A</v>
      </c>
      <c r="C310" s="679" t="e">
        <f t="array" ref="C310">LOOKUP(1,0/(('5.21出货明细'!V:V=$H$294)*('5.21出货明细'!X:X=$H$290)*('5.21出货明细'!A:A=A310)),'5.21出货明细'!G:G&amp;'5.21出货明细'!F:F)</f>
        <v>#N/A</v>
      </c>
      <c r="D310" s="680" t="e">
        <f t="array" ref="D310">LOOKUP(1,0/(('5.21出货明细'!D:D=B310)*('5.21出货明细'!G:G&amp;'5.21出货明细'!F:F=C310)),'5.21出货明细'!J:J)</f>
        <v>#N/A</v>
      </c>
      <c r="E310" s="681" t="e">
        <f t="array" ref="E310">LOOKUP(1,0/(('5.21出货明细'!D:D=B310)*('5.21出货明细'!G:G&amp;'5.21出货明细'!F:F=C310)),'5.21出货明细'!C:C)</f>
        <v>#N/A</v>
      </c>
      <c r="F310" s="682" t="e">
        <f t="array" ref="F310">LOOKUP(1,0/(('5.21出货明细'!D:D=B310)*('5.21出货明细'!G:G&amp;'5.21出货明细'!F:F=C310)),'5.21出货明细'!K:K)</f>
        <v>#N/A</v>
      </c>
      <c r="G310" s="683" t="e">
        <f t="array" ref="G310">LOOKUP(1,0/(('5.21出货明细'!D:D=B310)*('5.21出货明细'!G:G&amp;'5.21出货明细'!F:F=C310)),'5.21出货明细'!Z:Z)</f>
        <v>#N/A</v>
      </c>
      <c r="H310" s="684" t="e">
        <f>G310*F310</f>
        <v>#N/A</v>
      </c>
    </row>
    <row r="311" customFormat="1" ht="40" customHeight="1" spans="1:8">
      <c r="A311">
        <v>94</v>
      </c>
      <c r="B311" s="679" t="e">
        <f t="array" ref="B311">LOOKUP(1,0/(('5.21出货明细'!V:V=$H$294)*('5.21出货明细'!X:X=$H$290)*('5.21出货明细'!A:A=A311)),'5.21出货明细'!D:D)</f>
        <v>#N/A</v>
      </c>
      <c r="C311" s="679" t="e">
        <f t="array" ref="C311">LOOKUP(1,0/(('5.21出货明细'!V:V=$H$294)*('5.21出货明细'!X:X=$H$290)*('5.21出货明细'!A:A=A311)),'5.21出货明细'!G:G&amp;'5.21出货明细'!F:F)</f>
        <v>#N/A</v>
      </c>
      <c r="D311" s="680" t="e">
        <f t="array" ref="D311">LOOKUP(1,0/(('5.21出货明细'!D:D=B311)*('5.21出货明细'!G:G&amp;'5.21出货明细'!F:F=C311)),'5.21出货明细'!J:J)</f>
        <v>#N/A</v>
      </c>
      <c r="E311" s="681" t="e">
        <f t="array" ref="E311">LOOKUP(1,0/(('5.21出货明细'!D:D=B311)*('5.21出货明细'!G:G&amp;'5.21出货明细'!F:F=C311)),'5.21出货明细'!C:C)</f>
        <v>#N/A</v>
      </c>
      <c r="F311" s="682" t="e">
        <f t="array" ref="F311">LOOKUP(1,0/(('5.21出货明细'!D:D=B311)*('5.21出货明细'!G:G&amp;'5.21出货明细'!F:F=C311)),'5.21出货明细'!K:K)</f>
        <v>#N/A</v>
      </c>
      <c r="G311" s="683" t="e">
        <f t="array" ref="G311">LOOKUP(1,0/(('5.21出货明细'!D:D=B311)*('5.21出货明细'!G:G&amp;'5.21出货明细'!F:F=C311)),'5.21出货明细'!Z:Z)</f>
        <v>#N/A</v>
      </c>
      <c r="H311" s="684" t="e">
        <f t="shared" ref="H311:H326" si="7">G311*F311</f>
        <v>#N/A</v>
      </c>
    </row>
    <row r="312" customFormat="1" ht="40" customHeight="1" spans="1:8">
      <c r="A312">
        <v>95</v>
      </c>
      <c r="B312" s="679" t="e">
        <f t="array" ref="B312">LOOKUP(1,0/(('5.21出货明细'!V:V=$H$294)*('5.21出货明细'!X:X=$H$290)*('5.21出货明细'!A:A=A312)),'5.21出货明细'!D:D)</f>
        <v>#N/A</v>
      </c>
      <c r="C312" s="679" t="e">
        <f t="array" ref="C312">LOOKUP(1,0/(('5.21出货明细'!V:V=$H$294)*('5.21出货明细'!X:X=$H$290)*('5.21出货明细'!A:A=A312)),'5.21出货明细'!G:G&amp;'5.21出货明细'!F:F)</f>
        <v>#N/A</v>
      </c>
      <c r="D312" s="680" t="e">
        <f t="array" ref="D312">LOOKUP(1,0/(('5.21出货明细'!D:D=B312)*('5.21出货明细'!G:G&amp;'5.21出货明细'!F:F=C312)),'5.21出货明细'!J:J)</f>
        <v>#N/A</v>
      </c>
      <c r="E312" s="681" t="e">
        <f t="array" ref="E312">LOOKUP(1,0/(('5.21出货明细'!D:D=B312)*('5.21出货明细'!G:G&amp;'5.21出货明细'!F:F=C312)),'5.21出货明细'!C:C)</f>
        <v>#N/A</v>
      </c>
      <c r="F312" s="682" t="e">
        <f t="array" ref="F312">LOOKUP(1,0/(('5.21出货明细'!D:D=B312)*('5.21出货明细'!G:G&amp;'5.21出货明细'!F:F=C312)),'5.21出货明细'!K:K)</f>
        <v>#N/A</v>
      </c>
      <c r="G312" s="683" t="e">
        <f t="array" ref="G312">LOOKUP(1,0/(('5.21出货明细'!D:D=B312)*('5.21出货明细'!G:G&amp;'5.21出货明细'!F:F=C312)),'5.21出货明细'!Z:Z)</f>
        <v>#N/A</v>
      </c>
      <c r="H312" s="684" t="e">
        <f t="shared" si="7"/>
        <v>#N/A</v>
      </c>
    </row>
    <row r="313" customFormat="1" ht="40" customHeight="1" spans="1:8">
      <c r="A313">
        <v>96</v>
      </c>
      <c r="B313" s="679" t="e">
        <f t="array" ref="B313">LOOKUP(1,0/(('5.21出货明细'!V:V=$H$294)*('5.21出货明细'!X:X=$H$290)*('5.21出货明细'!A:A=A313)),'5.21出货明细'!D:D)</f>
        <v>#N/A</v>
      </c>
      <c r="C313" s="679" t="e">
        <f t="array" ref="C313">LOOKUP(1,0/(('5.21出货明细'!V:V=$H$294)*('5.21出货明细'!X:X=$H$290)*('5.21出货明细'!A:A=A313)),'5.21出货明细'!G:G&amp;'5.21出货明细'!F:F)</f>
        <v>#N/A</v>
      </c>
      <c r="D313" s="680" t="e">
        <f t="array" ref="D313">LOOKUP(1,0/(('5.21出货明细'!D:D=B313)*('5.21出货明细'!G:G&amp;'5.21出货明细'!F:F=C313)),'5.21出货明细'!J:J)</f>
        <v>#N/A</v>
      </c>
      <c r="E313" s="681" t="e">
        <f t="array" ref="E313">LOOKUP(1,0/(('5.21出货明细'!D:D=B313)*('5.21出货明细'!G:G&amp;'5.21出货明细'!F:F=C313)),'5.21出货明细'!C:C)</f>
        <v>#N/A</v>
      </c>
      <c r="F313" s="682" t="e">
        <f t="array" ref="F313">LOOKUP(1,0/(('5.21出货明细'!D:D=B313)*('5.21出货明细'!G:G&amp;'5.21出货明细'!F:F=C313)),'5.21出货明细'!K:K)</f>
        <v>#N/A</v>
      </c>
      <c r="G313" s="683" t="e">
        <f t="array" ref="G313">LOOKUP(1,0/(('5.21出货明细'!D:D=B313)*('5.21出货明细'!G:G&amp;'5.21出货明细'!F:F=C313)),'5.21出货明细'!Z:Z)</f>
        <v>#N/A</v>
      </c>
      <c r="H313" s="684" t="e">
        <f t="shared" si="7"/>
        <v>#N/A</v>
      </c>
    </row>
    <row r="314" customFormat="1" ht="40" customHeight="1" spans="1:8">
      <c r="A314">
        <v>97</v>
      </c>
      <c r="B314" s="679" t="e">
        <f t="array" ref="B314">LOOKUP(1,0/(('5.21出货明细'!V:V=$H$294)*('5.21出货明细'!X:X=$H$290)*('5.21出货明细'!A:A=A314)),'5.21出货明细'!D:D)</f>
        <v>#N/A</v>
      </c>
      <c r="C314" s="679" t="e">
        <f t="array" ref="C314">LOOKUP(1,0/(('5.21出货明细'!V:V=$H$294)*('5.21出货明细'!X:X=$H$290)*('5.21出货明细'!A:A=A314)),'5.21出货明细'!G:G&amp;'5.21出货明细'!F:F)</f>
        <v>#N/A</v>
      </c>
      <c r="D314" s="680" t="e">
        <f t="array" ref="D314">LOOKUP(1,0/(('5.21出货明细'!D:D=B314)*('5.21出货明细'!G:G&amp;'5.21出货明细'!F:F=C314)),'5.21出货明细'!J:J)</f>
        <v>#N/A</v>
      </c>
      <c r="E314" s="681" t="e">
        <f t="array" ref="E314">LOOKUP(1,0/(('5.21出货明细'!D:D=B314)*('5.21出货明细'!G:G&amp;'5.21出货明细'!F:F=C314)),'5.21出货明细'!C:C)</f>
        <v>#N/A</v>
      </c>
      <c r="F314" s="682" t="e">
        <f t="array" ref="F314">LOOKUP(1,0/(('5.21出货明细'!D:D=B314)*('5.21出货明细'!G:G&amp;'5.21出货明细'!F:F=C314)),'5.21出货明细'!K:K)</f>
        <v>#N/A</v>
      </c>
      <c r="G314" s="683" t="e">
        <f t="array" ref="G314">LOOKUP(1,0/(('5.21出货明细'!D:D=B314)*('5.21出货明细'!G:G&amp;'5.21出货明细'!F:F=C314)),'5.21出货明细'!Z:Z)</f>
        <v>#N/A</v>
      </c>
      <c r="H314" s="684" t="e">
        <f t="shared" si="7"/>
        <v>#N/A</v>
      </c>
    </row>
    <row r="315" customFormat="1" ht="40" customHeight="1" spans="1:8">
      <c r="A315">
        <v>98</v>
      </c>
      <c r="B315" s="679" t="e">
        <f t="array" ref="B315">LOOKUP(1,0/(('5.21出货明细'!V:V=$H$294)*('5.21出货明细'!X:X=$H$290)*('5.21出货明细'!A:A=A315)),'5.21出货明细'!D:D)</f>
        <v>#N/A</v>
      </c>
      <c r="C315" s="679" t="e">
        <f t="array" ref="C315">LOOKUP(1,0/(('5.21出货明细'!V:V=$H$294)*('5.21出货明细'!X:X=$H$290)*('5.21出货明细'!A:A=A315)),'5.21出货明细'!G:G&amp;'5.21出货明细'!F:F)</f>
        <v>#N/A</v>
      </c>
      <c r="D315" s="680" t="e">
        <f t="array" ref="D315">LOOKUP(1,0/(('5.21出货明细'!D:D=B315)*('5.21出货明细'!G:G&amp;'5.21出货明细'!F:F=C315)),'5.21出货明细'!J:J)</f>
        <v>#N/A</v>
      </c>
      <c r="E315" s="681" t="e">
        <f t="array" ref="E315">LOOKUP(1,0/(('5.21出货明细'!D:D=B315)*('5.21出货明细'!G:G&amp;'5.21出货明细'!F:F=C315)),'5.21出货明细'!C:C)</f>
        <v>#N/A</v>
      </c>
      <c r="F315" s="682" t="e">
        <f t="array" ref="F315">LOOKUP(1,0/(('5.21出货明细'!D:D=B315)*('5.21出货明细'!G:G&amp;'5.21出货明细'!F:F=C315)),'5.21出货明细'!K:K)</f>
        <v>#N/A</v>
      </c>
      <c r="G315" s="683" t="e">
        <f t="array" ref="G315">LOOKUP(1,0/(('5.21出货明细'!D:D=B315)*('5.21出货明细'!G:G&amp;'5.21出货明细'!F:F=C315)),'5.21出货明细'!Z:Z)</f>
        <v>#N/A</v>
      </c>
      <c r="H315" s="684" t="e">
        <f t="shared" si="7"/>
        <v>#N/A</v>
      </c>
    </row>
    <row r="316" customFormat="1" ht="40" customHeight="1" spans="1:8">
      <c r="A316">
        <v>99</v>
      </c>
      <c r="B316" s="679" t="e">
        <f t="array" ref="B316">LOOKUP(1,0/(('5.21出货明细'!V:V=$H$294)*('5.21出货明细'!X:X=$H$290)*('5.21出货明细'!A:A=A316)),'5.21出货明细'!D:D)</f>
        <v>#N/A</v>
      </c>
      <c r="C316" s="679" t="e">
        <f t="array" ref="C316">LOOKUP(1,0/(('5.21出货明细'!V:V=$H$294)*('5.21出货明细'!X:X=$H$290)*('5.21出货明细'!A:A=A316)),'5.21出货明细'!G:G&amp;'5.21出货明细'!F:F)</f>
        <v>#N/A</v>
      </c>
      <c r="D316" s="680" t="e">
        <f t="array" ref="D316">LOOKUP(1,0/(('5.21出货明细'!D:D=B316)*('5.21出货明细'!G:G&amp;'5.21出货明细'!F:F=C316)),'5.21出货明细'!J:J)</f>
        <v>#N/A</v>
      </c>
      <c r="E316" s="681" t="e">
        <f t="array" ref="E316">LOOKUP(1,0/(('5.21出货明细'!D:D=B316)*('5.21出货明细'!G:G&amp;'5.21出货明细'!F:F=C316)),'5.21出货明细'!C:C)</f>
        <v>#N/A</v>
      </c>
      <c r="F316" s="682" t="e">
        <f t="array" ref="F316">LOOKUP(1,0/(('5.21出货明细'!D:D=B316)*('5.21出货明细'!G:G&amp;'5.21出货明细'!F:F=C316)),'5.21出货明细'!K:K)</f>
        <v>#N/A</v>
      </c>
      <c r="G316" s="683" t="e">
        <f t="array" ref="G316">LOOKUP(1,0/(('5.21出货明细'!D:D=B316)*('5.21出货明细'!G:G&amp;'5.21出货明细'!F:F=C316)),'5.21出货明细'!Z:Z)</f>
        <v>#N/A</v>
      </c>
      <c r="H316" s="684" t="e">
        <f t="shared" si="7"/>
        <v>#N/A</v>
      </c>
    </row>
    <row r="317" customFormat="1" ht="40" customHeight="1" spans="1:8">
      <c r="A317">
        <v>100</v>
      </c>
      <c r="B317" s="679" t="e">
        <f t="array" ref="B317">LOOKUP(1,0/(('5.21出货明细'!V:V=$H$294)*('5.21出货明细'!X:X=$H$290)*('5.21出货明细'!A:A=A317)),'5.21出货明细'!D:D)</f>
        <v>#N/A</v>
      </c>
      <c r="C317" s="679" t="e">
        <f t="array" ref="C317">LOOKUP(1,0/(('5.21出货明细'!V:V=$H$294)*('5.21出货明细'!X:X=$H$290)*('5.21出货明细'!A:A=A317)),'5.21出货明细'!G:G&amp;'5.21出货明细'!F:F)</f>
        <v>#N/A</v>
      </c>
      <c r="D317" s="680" t="e">
        <f t="array" ref="D317">LOOKUP(1,0/(('5.21出货明细'!D:D=B317)*('5.21出货明细'!G:G&amp;'5.21出货明细'!F:F=C317)),'5.21出货明细'!J:J)</f>
        <v>#N/A</v>
      </c>
      <c r="E317" s="681" t="e">
        <f t="array" ref="E317">LOOKUP(1,0/(('5.21出货明细'!D:D=B317)*('5.21出货明细'!G:G&amp;'5.21出货明细'!F:F=C317)),'5.21出货明细'!C:C)</f>
        <v>#N/A</v>
      </c>
      <c r="F317" s="682" t="e">
        <f t="array" ref="F317">LOOKUP(1,0/(('5.21出货明细'!D:D=B317)*('5.21出货明细'!G:G&amp;'5.21出货明细'!F:F=C317)),'5.21出货明细'!K:K)</f>
        <v>#N/A</v>
      </c>
      <c r="G317" s="683" t="e">
        <f t="array" ref="G317">LOOKUP(1,0/(('5.21出货明细'!D:D=B317)*('5.21出货明细'!G:G&amp;'5.21出货明细'!F:F=C317)),'5.21出货明细'!Z:Z)</f>
        <v>#N/A</v>
      </c>
      <c r="H317" s="684" t="e">
        <f t="shared" si="7"/>
        <v>#N/A</v>
      </c>
    </row>
    <row r="318" customFormat="1" ht="40" customHeight="1" spans="1:8">
      <c r="A318">
        <v>101</v>
      </c>
      <c r="B318" s="679" t="e">
        <f t="array" ref="B318">LOOKUP(1,0/(('5.21出货明细'!V:V=$H$294)*('5.21出货明细'!X:X=$H$290)*('5.21出货明细'!A:A=A318)),'5.21出货明细'!D:D)</f>
        <v>#N/A</v>
      </c>
      <c r="C318" s="679" t="e">
        <f t="array" ref="C318">LOOKUP(1,0/(('5.21出货明细'!V:V=$H$294)*('5.21出货明细'!X:X=$H$290)*('5.21出货明细'!A:A=A318)),'5.21出货明细'!G:G&amp;'5.21出货明细'!F:F)</f>
        <v>#N/A</v>
      </c>
      <c r="D318" s="680" t="e">
        <f t="array" ref="D318">LOOKUP(1,0/(('5.21出货明细'!D:D=B318)*('5.21出货明细'!G:G&amp;'5.21出货明细'!F:F=C318)),'5.21出货明细'!J:J)</f>
        <v>#N/A</v>
      </c>
      <c r="E318" s="681" t="e">
        <f t="array" ref="E318">LOOKUP(1,0/(('5.21出货明细'!D:D=B318)*('5.21出货明细'!G:G&amp;'5.21出货明细'!F:F=C318)),'5.21出货明细'!C:C)</f>
        <v>#N/A</v>
      </c>
      <c r="F318" s="682" t="e">
        <f t="array" ref="F318">LOOKUP(1,0/(('5.21出货明细'!D:D=B318)*('5.21出货明细'!G:G&amp;'5.21出货明细'!F:F=C318)),'5.21出货明细'!K:K)</f>
        <v>#N/A</v>
      </c>
      <c r="G318" s="683" t="e">
        <f t="array" ref="G318">LOOKUP(1,0/(('5.21出货明细'!D:D=B318)*('5.21出货明细'!G:G&amp;'5.21出货明细'!F:F=C318)),'5.21出货明细'!Z:Z)</f>
        <v>#N/A</v>
      </c>
      <c r="H318" s="684" t="e">
        <f t="shared" si="7"/>
        <v>#N/A</v>
      </c>
    </row>
    <row r="319" customFormat="1" ht="40" customHeight="1" spans="1:8">
      <c r="A319">
        <v>102</v>
      </c>
      <c r="B319" s="679" t="e">
        <f t="array" ref="B319">LOOKUP(1,0/(('5.21出货明细'!V:V=$H$294)*('5.21出货明细'!X:X=$H$290)*('5.21出货明细'!A:A=A319)),'5.21出货明细'!D:D)</f>
        <v>#N/A</v>
      </c>
      <c r="C319" s="679" t="e">
        <f t="array" ref="C319">LOOKUP(1,0/(('5.21出货明细'!V:V=$H$294)*('5.21出货明细'!X:X=$H$290)*('5.21出货明细'!A:A=A319)),'5.21出货明细'!G:G&amp;'5.21出货明细'!F:F)</f>
        <v>#N/A</v>
      </c>
      <c r="D319" s="680" t="e">
        <f t="array" ref="D319">LOOKUP(1,0/(('5.21出货明细'!D:D=B319)*('5.21出货明细'!G:G&amp;'5.21出货明细'!F:F=C319)),'5.21出货明细'!J:J)</f>
        <v>#N/A</v>
      </c>
      <c r="E319" s="681" t="e">
        <f t="array" ref="E319">LOOKUP(1,0/(('5.21出货明细'!D:D=B319)*('5.21出货明细'!G:G&amp;'5.21出货明细'!F:F=C319)),'5.21出货明细'!C:C)</f>
        <v>#N/A</v>
      </c>
      <c r="F319" s="682" t="e">
        <f t="array" ref="F319">LOOKUP(1,0/(('5.21出货明细'!D:D=B319)*('5.21出货明细'!G:G&amp;'5.21出货明细'!F:F=C319)),'5.21出货明细'!K:K)</f>
        <v>#N/A</v>
      </c>
      <c r="G319" s="683" t="e">
        <f t="array" ref="G319">LOOKUP(1,0/(('5.21出货明细'!D:D=B319)*('5.21出货明细'!G:G&amp;'5.21出货明细'!F:F=C319)),'5.21出货明细'!Z:Z)</f>
        <v>#N/A</v>
      </c>
      <c r="H319" s="684" t="e">
        <f t="shared" si="7"/>
        <v>#N/A</v>
      </c>
    </row>
    <row r="320" customFormat="1" ht="40" customHeight="1" spans="1:8">
      <c r="A320">
        <v>103</v>
      </c>
      <c r="B320" s="679" t="e">
        <f t="array" ref="B320">LOOKUP(1,0/(('5.21出货明细'!V:V=$H$294)*('5.21出货明细'!X:X=$H$290)*('5.21出货明细'!A:A=A320)),'5.21出货明细'!D:D)</f>
        <v>#N/A</v>
      </c>
      <c r="C320" s="679" t="e">
        <f t="array" ref="C320">LOOKUP(1,0/(('5.21出货明细'!V:V=$H$294)*('5.21出货明细'!X:X=$H$290)*('5.21出货明细'!A:A=A320)),'5.21出货明细'!G:G&amp;'5.21出货明细'!F:F)</f>
        <v>#N/A</v>
      </c>
      <c r="D320" s="680" t="e">
        <f t="array" ref="D320">LOOKUP(1,0/(('5.21出货明细'!D:D=B320)*('5.21出货明细'!G:G&amp;'5.21出货明细'!F:F=C320)),'5.21出货明细'!J:J)</f>
        <v>#N/A</v>
      </c>
      <c r="E320" s="681" t="e">
        <f t="array" ref="E320">LOOKUP(1,0/(('5.21出货明细'!D:D=B320)*('5.21出货明细'!G:G&amp;'5.21出货明细'!F:F=C320)),'5.21出货明细'!C:C)</f>
        <v>#N/A</v>
      </c>
      <c r="F320" s="682" t="e">
        <f t="array" ref="F320">LOOKUP(1,0/(('5.21出货明细'!D:D=B320)*('5.21出货明细'!G:G&amp;'5.21出货明细'!F:F=C320)),'5.21出货明细'!K:K)</f>
        <v>#N/A</v>
      </c>
      <c r="G320" s="683" t="e">
        <f t="array" ref="G320">LOOKUP(1,0/(('5.21出货明细'!D:D=B320)*('5.21出货明细'!G:G&amp;'5.21出货明细'!F:F=C320)),'5.21出货明细'!Z:Z)</f>
        <v>#N/A</v>
      </c>
      <c r="H320" s="684" t="e">
        <f t="shared" si="7"/>
        <v>#N/A</v>
      </c>
    </row>
    <row r="321" customFormat="1" ht="40" customHeight="1" spans="1:8">
      <c r="A321">
        <v>104</v>
      </c>
      <c r="B321" s="679" t="e">
        <f t="array" ref="B321">LOOKUP(1,0/(('5.21出货明细'!V:V=$H$294)*('5.21出货明细'!X:X=$H$290)*('5.21出货明细'!A:A=A321)),'5.21出货明细'!D:D)</f>
        <v>#N/A</v>
      </c>
      <c r="C321" s="679" t="e">
        <f t="array" ref="C321">LOOKUP(1,0/(('5.21出货明细'!V:V=$H$294)*('5.21出货明细'!X:X=$H$290)*('5.21出货明细'!A:A=A321)),'5.21出货明细'!G:G&amp;'5.21出货明细'!F:F)</f>
        <v>#N/A</v>
      </c>
      <c r="D321" s="680" t="e">
        <f t="array" ref="D321">LOOKUP(1,0/(('5.21出货明细'!D:D=B321)*('5.21出货明细'!G:G&amp;'5.21出货明细'!F:F=C321)),'5.21出货明细'!J:J)</f>
        <v>#N/A</v>
      </c>
      <c r="E321" s="681" t="e">
        <f t="array" ref="E321">LOOKUP(1,0/(('5.21出货明细'!D:D=B321)*('5.21出货明细'!G:G&amp;'5.21出货明细'!F:F=C321)),'5.21出货明细'!C:C)</f>
        <v>#N/A</v>
      </c>
      <c r="F321" s="682" t="e">
        <f t="array" ref="F321">LOOKUP(1,0/(('5.21出货明细'!D:D=B321)*('5.21出货明细'!G:G&amp;'5.21出货明细'!F:F=C321)),'5.21出货明细'!K:K)</f>
        <v>#N/A</v>
      </c>
      <c r="G321" s="683" t="e">
        <f t="array" ref="G321">LOOKUP(1,0/(('5.21出货明细'!D:D=B321)*('5.21出货明细'!G:G&amp;'5.21出货明细'!F:F=C321)),'5.21出货明细'!Z:Z)</f>
        <v>#N/A</v>
      </c>
      <c r="H321" s="684" t="e">
        <f t="shared" si="7"/>
        <v>#N/A</v>
      </c>
    </row>
    <row r="322" customFormat="1" ht="40" customHeight="1" spans="1:8">
      <c r="A322">
        <v>105</v>
      </c>
      <c r="B322" s="679" t="e">
        <f t="array" ref="B322">LOOKUP(1,0/(('5.21出货明细'!V:V=$H$294)*('5.21出货明细'!X:X=$H$290)*('5.21出货明细'!A:A=A322)),'5.21出货明细'!D:D)</f>
        <v>#N/A</v>
      </c>
      <c r="C322" s="679" t="e">
        <f t="array" ref="C322">LOOKUP(1,0/(('5.21出货明细'!V:V=$H$294)*('5.21出货明细'!X:X=$H$290)*('5.21出货明细'!A:A=A322)),'5.21出货明细'!G:G&amp;'5.21出货明细'!F:F)</f>
        <v>#N/A</v>
      </c>
      <c r="D322" s="680" t="e">
        <f t="array" ref="D322">LOOKUP(1,0/(('5.21出货明细'!D:D=B322)*('5.21出货明细'!G:G&amp;'5.21出货明细'!F:F=C322)),'5.21出货明细'!J:J)</f>
        <v>#N/A</v>
      </c>
      <c r="E322" s="681" t="e">
        <f t="array" ref="E322">LOOKUP(1,0/(('5.21出货明细'!D:D=B322)*('5.21出货明细'!G:G&amp;'5.21出货明细'!F:F=C322)),'5.21出货明细'!C:C)</f>
        <v>#N/A</v>
      </c>
      <c r="F322" s="682" t="e">
        <f t="array" ref="F322">LOOKUP(1,0/(('5.21出货明细'!D:D=B322)*('5.21出货明细'!G:G&amp;'5.21出货明细'!F:F=C322)),'5.21出货明细'!K:K)</f>
        <v>#N/A</v>
      </c>
      <c r="G322" s="683" t="e">
        <f t="array" ref="G322">LOOKUP(1,0/(('5.21出货明细'!D:D=B322)*('5.21出货明细'!G:G&amp;'5.21出货明细'!F:F=C322)),'5.21出货明细'!Z:Z)</f>
        <v>#N/A</v>
      </c>
      <c r="H322" s="684" t="e">
        <f t="shared" si="7"/>
        <v>#N/A</v>
      </c>
    </row>
    <row r="323" customFormat="1" ht="40" customHeight="1" spans="1:8">
      <c r="A323">
        <v>106</v>
      </c>
      <c r="B323" s="679" t="e">
        <f t="array" ref="B323">LOOKUP(1,0/(('5.21出货明细'!V:V=$H$294)*('5.21出货明细'!X:X=$H$290)*('5.21出货明细'!A:A=A323)),'5.21出货明细'!D:D)</f>
        <v>#N/A</v>
      </c>
      <c r="C323" s="679" t="e">
        <f t="array" ref="C323">LOOKUP(1,0/(('5.21出货明细'!V:V=$H$294)*('5.21出货明细'!X:X=$H$290)*('5.21出货明细'!A:A=A323)),'5.21出货明细'!G:G&amp;'5.21出货明细'!F:F)</f>
        <v>#N/A</v>
      </c>
      <c r="D323" s="680" t="e">
        <f t="array" ref="D323">LOOKUP(1,0/(('5.21出货明细'!D:D=B323)*('5.21出货明细'!G:G&amp;'5.21出货明细'!F:F=C323)),'5.21出货明细'!J:J)</f>
        <v>#N/A</v>
      </c>
      <c r="E323" s="681" t="e">
        <f t="array" ref="E323">LOOKUP(1,0/(('5.21出货明细'!D:D=B323)*('5.21出货明细'!G:G&amp;'5.21出货明细'!F:F=C323)),'5.21出货明细'!C:C)</f>
        <v>#N/A</v>
      </c>
      <c r="F323" s="682" t="e">
        <f t="array" ref="F323">LOOKUP(1,0/(('5.21出货明细'!D:D=B323)*('5.21出货明细'!G:G&amp;'5.21出货明细'!F:F=C323)),'5.21出货明细'!K:K)</f>
        <v>#N/A</v>
      </c>
      <c r="G323" s="683" t="e">
        <f t="array" ref="G323">LOOKUP(1,0/(('5.21出货明细'!D:D=B323)*('5.21出货明细'!G:G&amp;'5.21出货明细'!F:F=C323)),'5.21出货明细'!Z:Z)</f>
        <v>#N/A</v>
      </c>
      <c r="H323" s="684" t="e">
        <f t="shared" si="7"/>
        <v>#N/A</v>
      </c>
    </row>
    <row r="324" customFormat="1" ht="40" customHeight="1" spans="1:8">
      <c r="A324">
        <v>107</v>
      </c>
      <c r="B324" s="679" t="e">
        <f t="array" ref="B324">LOOKUP(1,0/(('5.21出货明细'!V:V=$H$294)*('5.21出货明细'!X:X=$H$290)*('5.21出货明细'!A:A=A324)),'5.21出货明细'!D:D)</f>
        <v>#N/A</v>
      </c>
      <c r="C324" s="679" t="e">
        <f t="array" ref="C324">LOOKUP(1,0/(('5.21出货明细'!V:V=$H$294)*('5.21出货明细'!X:X=$H$290)*('5.21出货明细'!A:A=A324)),'5.21出货明细'!G:G&amp;'5.21出货明细'!F:F)</f>
        <v>#N/A</v>
      </c>
      <c r="D324" s="680" t="e">
        <f t="array" ref="D324">LOOKUP(1,0/(('5.21出货明细'!D:D=B324)*('5.21出货明细'!G:G&amp;'5.21出货明细'!F:F=C324)),'5.21出货明细'!J:J)</f>
        <v>#N/A</v>
      </c>
      <c r="E324" s="681" t="e">
        <f t="array" ref="E324">LOOKUP(1,0/(('5.21出货明细'!D:D=B324)*('5.21出货明细'!G:G&amp;'5.21出货明细'!F:F=C324)),'5.21出货明细'!C:C)</f>
        <v>#N/A</v>
      </c>
      <c r="F324" s="682" t="e">
        <f t="array" ref="F324">LOOKUP(1,0/(('5.21出货明细'!D:D=B324)*('5.21出货明细'!G:G&amp;'5.21出货明细'!F:F=C324)),'5.21出货明细'!K:K)</f>
        <v>#N/A</v>
      </c>
      <c r="G324" s="683" t="e">
        <f t="array" ref="G324">LOOKUP(1,0/(('5.21出货明细'!D:D=B324)*('5.21出货明细'!G:G&amp;'5.21出货明细'!F:F=C324)),'5.21出货明细'!Z:Z)</f>
        <v>#N/A</v>
      </c>
      <c r="H324" s="684" t="e">
        <f t="shared" si="7"/>
        <v>#N/A</v>
      </c>
    </row>
    <row r="325" customFormat="1" ht="40" customHeight="1" spans="1:8">
      <c r="A325">
        <v>108</v>
      </c>
      <c r="B325" s="679" t="e">
        <f t="array" ref="B325">LOOKUP(1,0/(('5.21出货明细'!V:V=$H$294)*('5.21出货明细'!X:X=$H$290)*('5.21出货明细'!A:A=A325)),'5.21出货明细'!D:D)</f>
        <v>#N/A</v>
      </c>
      <c r="C325" s="679" t="e">
        <f t="array" ref="C325">LOOKUP(1,0/(('5.21出货明细'!V:V=$H$294)*('5.21出货明细'!X:X=$H$290)*('5.21出货明细'!A:A=A325)),'5.21出货明细'!G:G&amp;'5.21出货明细'!F:F)</f>
        <v>#N/A</v>
      </c>
      <c r="D325" s="680" t="e">
        <f t="array" ref="D325">LOOKUP(1,0/(('5.21出货明细'!D:D=B325)*('5.21出货明细'!G:G&amp;'5.21出货明细'!F:F=C325)),'5.21出货明细'!J:J)</f>
        <v>#N/A</v>
      </c>
      <c r="E325" s="681" t="e">
        <f t="array" ref="E325">LOOKUP(1,0/(('5.21出货明细'!D:D=B325)*('5.21出货明细'!G:G&amp;'5.21出货明细'!F:F=C325)),'5.21出货明细'!C:C)</f>
        <v>#N/A</v>
      </c>
      <c r="F325" s="682" t="e">
        <f t="array" ref="F325">LOOKUP(1,0/(('5.21出货明细'!D:D=B325)*('5.21出货明细'!G:G&amp;'5.21出货明细'!F:F=C325)),'5.21出货明细'!K:K)</f>
        <v>#N/A</v>
      </c>
      <c r="G325" s="683" t="e">
        <f t="array" ref="G325">LOOKUP(1,0/(('5.21出货明细'!D:D=B325)*('5.21出货明细'!G:G&amp;'5.21出货明细'!F:F=C325)),'5.21出货明细'!Z:Z)</f>
        <v>#N/A</v>
      </c>
      <c r="H325" s="684" t="e">
        <f t="shared" si="7"/>
        <v>#N/A</v>
      </c>
    </row>
    <row r="326" customFormat="1" ht="40" customHeight="1" spans="1:8">
      <c r="A326">
        <v>109</v>
      </c>
      <c r="B326" s="679" t="e">
        <f t="array" ref="B326">LOOKUP(1,0/(('5.21出货明细'!V:V=$H$294)*('5.21出货明细'!X:X=$H$290)*('5.21出货明细'!A:A=A326)),'5.21出货明细'!D:D)</f>
        <v>#N/A</v>
      </c>
      <c r="C326" s="679" t="e">
        <f t="array" ref="C326">LOOKUP(1,0/(('5.21出货明细'!V:V=$H$294)*('5.21出货明细'!X:X=$H$290)*('5.21出货明细'!A:A=A326)),'5.21出货明细'!G:G&amp;'5.21出货明细'!F:F)</f>
        <v>#N/A</v>
      </c>
      <c r="D326" s="680" t="e">
        <f t="array" ref="D326">LOOKUP(1,0/(('5.21出货明细'!D:D=B326)*('5.21出货明细'!G:G&amp;'5.21出货明细'!F:F=C326)),'5.21出货明细'!J:J)</f>
        <v>#N/A</v>
      </c>
      <c r="E326" s="681" t="e">
        <f t="array" ref="E326">LOOKUP(1,0/(('5.21出货明细'!D:D=B326)*('5.21出货明细'!G:G&amp;'5.21出货明细'!F:F=C326)),'5.21出货明细'!C:C)</f>
        <v>#N/A</v>
      </c>
      <c r="F326" s="682" t="e">
        <f t="array" ref="F326">LOOKUP(1,0/(('5.21出货明细'!D:D=B326)*('5.21出货明细'!G:G&amp;'5.21出货明细'!F:F=C326)),'5.21出货明细'!K:K)</f>
        <v>#N/A</v>
      </c>
      <c r="G326" s="683" t="e">
        <f t="array" ref="G326">LOOKUP(1,0/(('5.21出货明细'!D:D=B326)*('5.21出货明细'!G:G&amp;'5.21出货明细'!F:F=C326)),'5.21出货明细'!Z:Z)</f>
        <v>#N/A</v>
      </c>
      <c r="H326" s="684" t="e">
        <f t="shared" si="7"/>
        <v>#N/A</v>
      </c>
    </row>
    <row r="327" ht="18" spans="1:8">
      <c r="A327" s="636"/>
      <c r="B327" s="687"/>
      <c r="C327" s="688"/>
      <c r="D327" s="687"/>
      <c r="E327" s="687"/>
      <c r="F327" s="679" t="s">
        <v>1647</v>
      </c>
      <c r="G327" s="689" t="e">
        <f>SUM(H310:H326)</f>
        <v>#N/A</v>
      </c>
      <c r="H327" s="690"/>
    </row>
    <row r="328" ht="36" spans="1:8">
      <c r="A328" s="639"/>
      <c r="B328" s="691" t="s">
        <v>1648</v>
      </c>
      <c r="C328" s="692" t="e">
        <f>G327</f>
        <v>#N/A</v>
      </c>
      <c r="D328" s="693"/>
      <c r="E328" s="694"/>
      <c r="F328" s="695"/>
      <c r="G328" s="700"/>
      <c r="H328" s="700"/>
    </row>
    <row r="329" customFormat="1" spans="1:8">
      <c r="C329" s="623"/>
    </row>
    <row r="330" ht="30" spans="1:8">
      <c r="A330" s="624"/>
      <c r="B330" s="625" t="s">
        <v>1540</v>
      </c>
      <c r="C330" s="625"/>
      <c r="D330" s="625"/>
      <c r="E330" s="625"/>
      <c r="F330" s="625"/>
      <c r="G330" s="625"/>
      <c r="H330" s="625"/>
    </row>
    <row r="331" ht="24" customHeight="1" spans="1:8">
      <c r="A331" s="626"/>
      <c r="B331" s="627" t="s">
        <v>1546</v>
      </c>
      <c r="C331" s="627"/>
      <c r="D331" s="627"/>
      <c r="E331" s="627"/>
      <c r="F331" s="627"/>
      <c r="G331" s="627"/>
      <c r="H331" s="627"/>
    </row>
    <row r="332" ht="39" customHeight="1" spans="1:8">
      <c r="A332" s="628"/>
      <c r="B332" s="629" t="s">
        <v>1656</v>
      </c>
      <c r="C332" s="629"/>
      <c r="D332" s="629"/>
      <c r="E332" s="629"/>
      <c r="F332" s="629"/>
      <c r="G332" s="629"/>
      <c r="H332" s="629"/>
    </row>
    <row r="333" ht="18" spans="1:8">
      <c r="A333" s="628"/>
      <c r="B333" s="629" t="s">
        <v>1657</v>
      </c>
      <c r="C333" s="629"/>
      <c r="D333" s="629"/>
      <c r="E333" s="629"/>
      <c r="F333" s="629"/>
      <c r="G333" s="629"/>
      <c r="H333" s="629"/>
    </row>
    <row r="334" ht="25.5" spans="1:8">
      <c r="A334" s="630"/>
      <c r="B334" s="631" t="s">
        <v>1621</v>
      </c>
      <c r="C334" s="631"/>
      <c r="D334" s="631"/>
      <c r="E334" s="631"/>
      <c r="F334" s="631"/>
      <c r="G334" s="631"/>
      <c r="H334" s="631"/>
    </row>
    <row r="335" ht="21.75" spans="1:8">
      <c r="A335" s="632"/>
      <c r="B335" s="633" t="s">
        <v>1622</v>
      </c>
      <c r="C335" s="633"/>
      <c r="D335" s="633"/>
      <c r="E335" s="633"/>
      <c r="F335" s="633"/>
      <c r="G335" s="633"/>
      <c r="H335" s="633"/>
    </row>
    <row r="336" ht="18" spans="1:8">
      <c r="A336" s="634"/>
      <c r="B336" s="635"/>
      <c r="C336" s="635"/>
      <c r="D336" s="635"/>
      <c r="E336" s="635"/>
      <c r="F336" s="635"/>
      <c r="G336" s="635"/>
      <c r="H336" s="635"/>
    </row>
    <row r="337" ht="18" spans="1:8">
      <c r="A337" s="636"/>
      <c r="B337" s="637" t="s">
        <v>1658</v>
      </c>
      <c r="C337" s="637"/>
      <c r="D337" s="637"/>
      <c r="E337" s="637"/>
      <c r="F337" s="637"/>
      <c r="G337" s="638"/>
      <c r="H337" s="638"/>
    </row>
    <row r="338" ht="33" spans="1:8">
      <c r="A338" s="639"/>
      <c r="B338" s="640" t="s">
        <v>1624</v>
      </c>
      <c r="C338" s="640"/>
      <c r="D338" s="640"/>
      <c r="E338" s="640"/>
      <c r="F338" s="640"/>
      <c r="G338" s="641" t="s">
        <v>1625</v>
      </c>
      <c r="H338" s="642" t="s">
        <v>1661</v>
      </c>
    </row>
    <row r="339" ht="18" spans="1:8">
      <c r="A339" s="643"/>
      <c r="B339" s="644" t="s">
        <v>1540</v>
      </c>
      <c r="C339" s="644"/>
      <c r="D339" s="644"/>
      <c r="E339" s="644"/>
      <c r="F339" s="644"/>
      <c r="G339" s="641"/>
      <c r="H339" s="645"/>
    </row>
    <row r="340" ht="46" customHeight="1" spans="1:8">
      <c r="A340" s="636"/>
      <c r="B340" s="637" t="s">
        <v>1627</v>
      </c>
      <c r="C340" s="637"/>
      <c r="D340" s="637"/>
      <c r="E340" s="637"/>
      <c r="F340" s="636"/>
      <c r="G340" s="646" t="s">
        <v>1628</v>
      </c>
      <c r="H340" s="647">
        <f>H11</f>
        <v>46076</v>
      </c>
    </row>
    <row r="341" ht="27" customHeight="1" spans="1:8">
      <c r="A341" s="636"/>
      <c r="B341" s="637"/>
      <c r="C341" s="637"/>
      <c r="D341" s="637"/>
      <c r="E341" s="637"/>
      <c r="F341" s="636"/>
      <c r="G341" s="646"/>
      <c r="H341" s="648"/>
    </row>
    <row r="342" ht="33" spans="1:8">
      <c r="A342" s="639"/>
      <c r="B342" s="640" t="s">
        <v>1629</v>
      </c>
      <c r="C342" s="640"/>
      <c r="D342" s="640"/>
      <c r="E342" s="640"/>
      <c r="F342" s="640"/>
      <c r="G342" s="649" t="s">
        <v>1630</v>
      </c>
      <c r="H342" s="642" t="str">
        <f>实业合同!H367</f>
        <v>RPIRRI260283</v>
      </c>
    </row>
    <row r="343" ht="18" spans="1:8">
      <c r="A343" s="636"/>
      <c r="B343" s="637" t="s">
        <v>1558</v>
      </c>
      <c r="C343" s="637"/>
      <c r="D343" s="636"/>
      <c r="E343" s="636"/>
      <c r="F343" s="636"/>
      <c r="G343" s="649"/>
      <c r="H343" s="645"/>
    </row>
    <row r="344" ht="25" customHeight="1" spans="1:8">
      <c r="A344" s="639"/>
      <c r="B344" s="640" t="s">
        <v>1631</v>
      </c>
      <c r="C344" s="640"/>
      <c r="D344" s="640"/>
      <c r="E344" s="640"/>
      <c r="F344" s="640"/>
      <c r="G344" s="650"/>
      <c r="H344" s="651"/>
    </row>
    <row r="345" ht="18" spans="1:8">
      <c r="A345" s="639"/>
      <c r="B345" s="640"/>
      <c r="C345" s="640"/>
      <c r="D345" s="640"/>
      <c r="E345" s="640"/>
      <c r="F345" s="640"/>
      <c r="G345" s="646" t="s">
        <v>1632</v>
      </c>
      <c r="H345" s="652" t="s">
        <v>1633</v>
      </c>
    </row>
    <row r="346" ht="18" spans="1:8">
      <c r="A346" s="653"/>
      <c r="B346" s="654" t="s">
        <v>1560</v>
      </c>
      <c r="C346" s="653"/>
      <c r="D346" s="653"/>
      <c r="E346" s="655"/>
      <c r="F346" s="656"/>
      <c r="G346" s="646"/>
      <c r="H346" s="657"/>
    </row>
    <row r="347" ht="18" spans="1:8">
      <c r="A347" s="653"/>
      <c r="B347" s="654" t="s">
        <v>1561</v>
      </c>
      <c r="C347" s="653"/>
      <c r="D347" s="658"/>
      <c r="E347" s="655"/>
      <c r="F347" s="656"/>
      <c r="G347" s="659"/>
      <c r="H347" s="660"/>
    </row>
    <row r="348" ht="18" spans="1:8">
      <c r="A348" s="639"/>
      <c r="B348" s="640" t="s">
        <v>1634</v>
      </c>
      <c r="C348" s="640"/>
      <c r="D348" s="640"/>
      <c r="E348" s="640"/>
      <c r="F348" s="640"/>
      <c r="G348" s="659"/>
      <c r="H348" s="660"/>
    </row>
    <row r="349" ht="18" spans="1:8">
      <c r="A349" s="661"/>
      <c r="B349" s="661" t="s">
        <v>1635</v>
      </c>
      <c r="C349" s="661"/>
      <c r="D349" s="661"/>
      <c r="E349" s="661"/>
      <c r="F349" s="661"/>
      <c r="G349" s="659"/>
      <c r="H349" s="660"/>
    </row>
    <row r="350" ht="18" spans="1:8">
      <c r="A350" s="653"/>
      <c r="B350" s="654" t="s">
        <v>124</v>
      </c>
      <c r="C350" s="658"/>
      <c r="D350" s="662"/>
      <c r="E350" s="662"/>
      <c r="F350" s="663"/>
      <c r="G350" s="659"/>
      <c r="H350" s="660"/>
    </row>
    <row r="351" ht="18" spans="1:8">
      <c r="A351" s="653"/>
      <c r="B351" s="653" t="s">
        <v>1602</v>
      </c>
      <c r="C351" s="653"/>
      <c r="D351" s="658"/>
      <c r="E351" s="662"/>
      <c r="F351" s="663"/>
      <c r="G351" s="659"/>
      <c r="H351" s="660"/>
    </row>
    <row r="352" s="621" customFormat="1" ht="30" customHeight="1" spans="1:8">
      <c r="A352" s="636"/>
      <c r="B352" s="637" t="s">
        <v>1603</v>
      </c>
      <c r="C352" s="637"/>
      <c r="D352" s="637"/>
      <c r="E352" s="637"/>
      <c r="F352" s="637"/>
      <c r="G352" s="664"/>
      <c r="H352" s="664"/>
    </row>
    <row r="353" s="621" customFormat="1" ht="24" customHeight="1" spans="1:8">
      <c r="A353" s="636"/>
      <c r="B353" s="637"/>
      <c r="C353" s="637"/>
      <c r="D353" s="637"/>
      <c r="E353" s="637"/>
      <c r="F353" s="637"/>
      <c r="G353" s="664"/>
      <c r="H353" s="664"/>
    </row>
    <row r="354" customFormat="1" ht="2" customHeight="1" spans="1:8">
      <c r="B354" s="665"/>
      <c r="C354" s="666"/>
      <c r="D354" s="665"/>
      <c r="E354" s="665"/>
      <c r="F354" s="667"/>
      <c r="G354" s="665"/>
      <c r="H354" s="665"/>
    </row>
    <row r="355" customFormat="1" ht="31.5" spans="1:8">
      <c r="B355" s="668" t="s">
        <v>1637</v>
      </c>
      <c r="C355" s="669" t="s">
        <v>1638</v>
      </c>
      <c r="D355" s="670"/>
      <c r="E355" s="671"/>
      <c r="F355" s="672" t="s">
        <v>1639</v>
      </c>
      <c r="G355" s="673" t="s">
        <v>1640</v>
      </c>
      <c r="H355" s="674"/>
    </row>
    <row r="356" customFormat="1" ht="31.5" spans="1:8">
      <c r="B356" s="668" t="s">
        <v>1641</v>
      </c>
      <c r="C356" s="668" t="s">
        <v>1642</v>
      </c>
      <c r="D356" s="668" t="s">
        <v>8</v>
      </c>
      <c r="E356" s="362" t="s">
        <v>1643</v>
      </c>
      <c r="F356" s="672" t="s">
        <v>1644</v>
      </c>
      <c r="G356" s="668" t="s">
        <v>1645</v>
      </c>
      <c r="H356" s="668" t="s">
        <v>1646</v>
      </c>
    </row>
    <row r="357" customFormat="1" ht="18" spans="1:8">
      <c r="B357" s="675"/>
      <c r="C357" s="676"/>
      <c r="D357" s="675"/>
      <c r="E357" s="675"/>
      <c r="F357" s="675"/>
      <c r="G357" s="677" t="s">
        <v>1595</v>
      </c>
      <c r="H357" s="678"/>
    </row>
    <row r="358" ht="40" customHeight="1" spans="1:8">
      <c r="A358">
        <v>110</v>
      </c>
      <c r="B358" s="679" t="e">
        <f t="array" ref="B358">LOOKUP(1,0/(('5.21出货明细'!V:V=$H$342)*('5.21出货明细'!X:X=$H$338)*('5.21出货明细'!A:A=A358)),'5.21出货明细'!D:D)</f>
        <v>#N/A</v>
      </c>
      <c r="C358" s="679" t="e">
        <f t="array" ref="C358">LOOKUP(1,0/(('5.21出货明细'!V:V=$H$342)*('5.21出货明细'!X:X=$H$338)*('5.21出货明细'!A:A=A358)),'5.21出货明细'!G:G&amp;'5.21出货明细'!F:F)</f>
        <v>#N/A</v>
      </c>
      <c r="D358" s="680" t="e">
        <f t="array" ref="D358">LOOKUP(1,0/(('5.21出货明细'!D:D=B358)*('5.21出货明细'!G:G&amp;'5.21出货明细'!F:F=C358)),'5.21出货明细'!J:J)</f>
        <v>#N/A</v>
      </c>
      <c r="E358" s="681" t="e">
        <f t="array" ref="E358">LOOKUP(1,0/(('5.21出货明细'!D:D=B358)*('5.21出货明细'!G:G&amp;'5.21出货明细'!F:F=C358)),'5.21出货明细'!C:C)</f>
        <v>#N/A</v>
      </c>
      <c r="F358" s="682" t="e">
        <f t="array" ref="F358">LOOKUP(1,0/(('5.21出货明细'!D:D=B358)*('5.21出货明细'!G:G&amp;'5.21出货明细'!F:F=C358)),'5.21出货明细'!K:K)</f>
        <v>#N/A</v>
      </c>
      <c r="G358" s="683" t="e">
        <f t="array" ref="G358">LOOKUP(1,0/(('5.21出货明细'!D:D=B358)*('5.21出货明细'!G:G&amp;'5.21出货明细'!F:F=C358)),'5.21出货明细'!Z:Z)</f>
        <v>#N/A</v>
      </c>
      <c r="H358" s="684" t="e">
        <f>G358*F358</f>
        <v>#N/A</v>
      </c>
    </row>
    <row r="359" customFormat="1" ht="40" customHeight="1" spans="1:8">
      <c r="A359">
        <v>111</v>
      </c>
      <c r="B359" s="679" t="e">
        <f t="array" ref="B359">LOOKUP(1,0/(('5.21出货明细'!V:V=$H$342)*('5.21出货明细'!X:X=$H$338)*('5.21出货明细'!A:A=A359)),'5.21出货明细'!D:D)</f>
        <v>#N/A</v>
      </c>
      <c r="C359" s="679" t="e">
        <f t="array" ref="C359">LOOKUP(1,0/(('5.21出货明细'!V:V=$H$342)*('5.21出货明细'!X:X=$H$338)*('5.21出货明细'!A:A=A359)),'5.21出货明细'!G:G&amp;'5.21出货明细'!F:F)</f>
        <v>#N/A</v>
      </c>
      <c r="D359" s="680" t="e">
        <f t="array" ref="D359">LOOKUP(1,0/(('5.21出货明细'!D:D=B359)*('5.21出货明细'!G:G&amp;'5.21出货明细'!F:F=C359)),'5.21出货明细'!J:J)</f>
        <v>#N/A</v>
      </c>
      <c r="E359" s="681" t="e">
        <f t="array" ref="E359">LOOKUP(1,0/(('5.21出货明细'!D:D=B359)*('5.21出货明细'!G:G&amp;'5.21出货明细'!F:F=C359)),'5.21出货明细'!C:C)</f>
        <v>#N/A</v>
      </c>
      <c r="F359" s="682" t="e">
        <f t="array" ref="F359">LOOKUP(1,0/(('5.21出货明细'!D:D=B359)*('5.21出货明细'!G:G&amp;'5.21出货明细'!F:F=C359)),'5.21出货明细'!K:K)</f>
        <v>#N/A</v>
      </c>
      <c r="G359" s="683" t="e">
        <f t="array" ref="G359">LOOKUP(1,0/(('5.21出货明细'!D:D=B359)*('5.21出货明细'!G:G&amp;'5.21出货明细'!F:F=C359)),'5.21出货明细'!Z:Z)</f>
        <v>#N/A</v>
      </c>
      <c r="H359" s="684" t="e">
        <f t="shared" ref="H359:H372" si="8">G359*F359</f>
        <v>#N/A</v>
      </c>
    </row>
    <row r="360" customFormat="1" ht="40" customHeight="1" spans="1:8">
      <c r="A360">
        <v>112</v>
      </c>
      <c r="B360" s="679" t="e">
        <f t="array" ref="B360">LOOKUP(1,0/(('5.21出货明细'!V:V=$H$342)*('5.21出货明细'!X:X=$H$338)*('5.21出货明细'!A:A=A360)),'5.21出货明细'!D:D)</f>
        <v>#N/A</v>
      </c>
      <c r="C360" s="679" t="e">
        <f t="array" ref="C360">LOOKUP(1,0/(('5.21出货明细'!V:V=$H$342)*('5.21出货明细'!X:X=$H$338)*('5.21出货明细'!A:A=A360)),'5.21出货明细'!G:G&amp;'5.21出货明细'!F:F)</f>
        <v>#N/A</v>
      </c>
      <c r="D360" s="680" t="e">
        <f t="array" ref="D360">LOOKUP(1,0/(('5.21出货明细'!D:D=B360)*('5.21出货明细'!G:G&amp;'5.21出货明细'!F:F=C360)),'5.21出货明细'!J:J)</f>
        <v>#N/A</v>
      </c>
      <c r="E360" s="681" t="e">
        <f t="array" ref="E360">LOOKUP(1,0/(('5.21出货明细'!D:D=B360)*('5.21出货明细'!G:G&amp;'5.21出货明细'!F:F=C360)),'5.21出货明细'!C:C)</f>
        <v>#N/A</v>
      </c>
      <c r="F360" s="682" t="e">
        <f t="array" ref="F360">LOOKUP(1,0/(('5.21出货明细'!D:D=B360)*('5.21出货明细'!G:G&amp;'5.21出货明细'!F:F=C360)),'5.21出货明细'!K:K)</f>
        <v>#N/A</v>
      </c>
      <c r="G360" s="683" t="e">
        <f t="array" ref="G360">LOOKUP(1,0/(('5.21出货明细'!D:D=B360)*('5.21出货明细'!G:G&amp;'5.21出货明细'!F:F=C360)),'5.21出货明细'!Z:Z)</f>
        <v>#N/A</v>
      </c>
      <c r="H360" s="684" t="e">
        <f t="shared" si="8"/>
        <v>#N/A</v>
      </c>
    </row>
    <row r="361" customFormat="1" ht="40" customHeight="1" spans="1:8">
      <c r="A361">
        <v>113</v>
      </c>
      <c r="B361" s="679" t="e">
        <f t="array" ref="B361">LOOKUP(1,0/(('5.21出货明细'!V:V=$H$342)*('5.21出货明细'!X:X=$H$338)*('5.21出货明细'!A:A=A361)),'5.21出货明细'!D:D)</f>
        <v>#N/A</v>
      </c>
      <c r="C361" s="679" t="e">
        <f t="array" ref="C361">LOOKUP(1,0/(('5.21出货明细'!V:V=$H$342)*('5.21出货明细'!X:X=$H$338)*('5.21出货明细'!A:A=A361)),'5.21出货明细'!G:G&amp;'5.21出货明细'!F:F)</f>
        <v>#N/A</v>
      </c>
      <c r="D361" s="680" t="e">
        <f t="array" ref="D361">LOOKUP(1,0/(('5.21出货明细'!D:D=B361)*('5.21出货明细'!G:G&amp;'5.21出货明细'!F:F=C361)),'5.21出货明细'!J:J)</f>
        <v>#N/A</v>
      </c>
      <c r="E361" s="681" t="e">
        <f t="array" ref="E361">LOOKUP(1,0/(('5.21出货明细'!D:D=B361)*('5.21出货明细'!G:G&amp;'5.21出货明细'!F:F=C361)),'5.21出货明细'!C:C)</f>
        <v>#N/A</v>
      </c>
      <c r="F361" s="682" t="e">
        <f t="array" ref="F361">LOOKUP(1,0/(('5.21出货明细'!D:D=B361)*('5.21出货明细'!G:G&amp;'5.21出货明细'!F:F=C361)),'5.21出货明细'!K:K)</f>
        <v>#N/A</v>
      </c>
      <c r="G361" s="683" t="e">
        <f t="array" ref="G361">LOOKUP(1,0/(('5.21出货明细'!D:D=B361)*('5.21出货明细'!G:G&amp;'5.21出货明细'!F:F=C361)),'5.21出货明细'!Z:Z)</f>
        <v>#N/A</v>
      </c>
      <c r="H361" s="684" t="e">
        <f t="shared" si="8"/>
        <v>#N/A</v>
      </c>
    </row>
    <row r="362" customFormat="1" ht="40" customHeight="1" spans="1:8">
      <c r="A362">
        <v>114</v>
      </c>
      <c r="B362" s="679" t="e">
        <f t="array" ref="B362">LOOKUP(1,0/(('5.21出货明细'!V:V=$H$342)*('5.21出货明细'!X:X=$H$338)*('5.21出货明细'!A:A=A362)),'5.21出货明细'!D:D)</f>
        <v>#N/A</v>
      </c>
      <c r="C362" s="679" t="e">
        <f t="array" ref="C362">LOOKUP(1,0/(('5.21出货明细'!V:V=$H$342)*('5.21出货明细'!X:X=$H$338)*('5.21出货明细'!A:A=A362)),'5.21出货明细'!G:G&amp;'5.21出货明细'!F:F)</f>
        <v>#N/A</v>
      </c>
      <c r="D362" s="680" t="e">
        <f t="array" ref="D362">LOOKUP(1,0/(('5.21出货明细'!D:D=B362)*('5.21出货明细'!G:G&amp;'5.21出货明细'!F:F=C362)),'5.21出货明细'!J:J)</f>
        <v>#N/A</v>
      </c>
      <c r="E362" s="681" t="e">
        <f t="array" ref="E362">LOOKUP(1,0/(('5.21出货明细'!D:D=B362)*('5.21出货明细'!G:G&amp;'5.21出货明细'!F:F=C362)),'5.21出货明细'!C:C)</f>
        <v>#N/A</v>
      </c>
      <c r="F362" s="682" t="e">
        <f t="array" ref="F362">LOOKUP(1,0/(('5.21出货明细'!D:D=B362)*('5.21出货明细'!G:G&amp;'5.21出货明细'!F:F=C362)),'5.21出货明细'!K:K)</f>
        <v>#N/A</v>
      </c>
      <c r="G362" s="685" t="e">
        <f t="array" ref="G362">LOOKUP(1,0/(('5.21出货明细'!D:D=B362)*('5.21出货明细'!G:G&amp;'5.21出货明细'!F:F=C362)),'5.21出货明细'!Z:Z)</f>
        <v>#N/A</v>
      </c>
      <c r="H362" s="684" t="e">
        <f t="shared" si="8"/>
        <v>#N/A</v>
      </c>
    </row>
    <row r="363" customFormat="1" ht="40" customHeight="1" spans="1:8">
      <c r="A363">
        <v>115</v>
      </c>
      <c r="B363" s="679" t="e">
        <f t="array" ref="B363">LOOKUP(1,0/(('5.21出货明细'!V:V=$H$342)*('5.21出货明细'!X:X=$H$338)*('5.21出货明细'!A:A=A363)),'5.21出货明细'!D:D)</f>
        <v>#N/A</v>
      </c>
      <c r="C363" s="679" t="e">
        <f t="array" ref="C363">LOOKUP(1,0/(('5.21出货明细'!V:V=$H$342)*('5.21出货明细'!X:X=$H$338)*('5.21出货明细'!A:A=A363)),'5.21出货明细'!G:G&amp;'5.21出货明细'!F:F)</f>
        <v>#N/A</v>
      </c>
      <c r="D363" s="680" t="e">
        <f t="array" ref="D363">LOOKUP(1,0/(('5.21出货明细'!D:D=B363)*('5.21出货明细'!G:G&amp;'5.21出货明细'!F:F=C363)),'5.21出货明细'!J:J)</f>
        <v>#N/A</v>
      </c>
      <c r="E363" s="681" t="e">
        <f t="array" ref="E363">LOOKUP(1,0/(('5.21出货明细'!D:D=B363)*('5.21出货明细'!G:G&amp;'5.21出货明细'!F:F=C363)),'5.21出货明细'!C:C)</f>
        <v>#N/A</v>
      </c>
      <c r="F363" s="682" t="e">
        <f t="array" ref="F363">LOOKUP(1,0/(('5.21出货明细'!D:D=B363)*('5.21出货明细'!G:G&amp;'5.21出货明细'!F:F=C363)),'5.21出货明细'!K:K)</f>
        <v>#N/A</v>
      </c>
      <c r="G363" s="683" t="e">
        <f t="array" ref="G363">LOOKUP(1,0/(('5.21出货明细'!D:D=B363)*('5.21出货明细'!G:G&amp;'5.21出货明细'!F:F=C363)),'5.21出货明细'!Z:Z)</f>
        <v>#N/A</v>
      </c>
      <c r="H363" s="684" t="e">
        <f t="shared" si="8"/>
        <v>#N/A</v>
      </c>
    </row>
    <row r="364" customFormat="1" ht="40" customHeight="1" spans="1:8">
      <c r="A364">
        <v>116</v>
      </c>
      <c r="B364" s="679" t="e">
        <f t="array" ref="B364">LOOKUP(1,0/(('5.21出货明细'!V:V=$H$342)*('5.21出货明细'!X:X=$H$338)*('5.21出货明细'!A:A=A364)),'5.21出货明细'!D:D)</f>
        <v>#N/A</v>
      </c>
      <c r="C364" s="679" t="e">
        <f t="array" ref="C364">LOOKUP(1,0/(('5.21出货明细'!V:V=$H$342)*('5.21出货明细'!X:X=$H$338)*('5.21出货明细'!A:A=A364)),'5.21出货明细'!G:G&amp;'5.21出货明细'!F:F)</f>
        <v>#N/A</v>
      </c>
      <c r="D364" s="680" t="e">
        <f t="array" ref="D364">LOOKUP(1,0/(('5.21出货明细'!D:D=B364)*('5.21出货明细'!G:G&amp;'5.21出货明细'!F:F=C364)),'5.21出货明细'!J:J)</f>
        <v>#N/A</v>
      </c>
      <c r="E364" s="681" t="e">
        <f t="array" ref="E364">LOOKUP(1,0/(('5.21出货明细'!D:D=B364)*('5.21出货明细'!G:G&amp;'5.21出货明细'!F:F=C364)),'5.21出货明细'!C:C)</f>
        <v>#N/A</v>
      </c>
      <c r="F364" s="682" t="e">
        <f t="array" ref="F364">LOOKUP(1,0/(('5.21出货明细'!D:D=B364)*('5.21出货明细'!G:G&amp;'5.21出货明细'!F:F=C364)),'5.21出货明细'!K:K)</f>
        <v>#N/A</v>
      </c>
      <c r="G364" s="685" t="e">
        <f t="array" ref="G364">LOOKUP(1,0/(('5.21出货明细'!D:D=B364)*('5.21出货明细'!G:G&amp;'5.21出货明细'!F:F=C364)),'5.21出货明细'!Z:Z)</f>
        <v>#N/A</v>
      </c>
      <c r="H364" s="684" t="e">
        <f t="shared" si="8"/>
        <v>#N/A</v>
      </c>
    </row>
    <row r="365" customFormat="1" ht="40" customHeight="1" spans="1:8">
      <c r="A365">
        <v>117</v>
      </c>
      <c r="B365" s="679" t="e">
        <f t="array" ref="B365">LOOKUP(1,0/(('5.21出货明细'!V:V=$H$342)*('5.21出货明细'!X:X=$H$338)*('5.21出货明细'!A:A=A365)),'5.21出货明细'!D:D)</f>
        <v>#N/A</v>
      </c>
      <c r="C365" s="679" t="e">
        <f t="array" ref="C365">LOOKUP(1,0/(('5.21出货明细'!V:V=$H$342)*('5.21出货明细'!X:X=$H$338)*('5.21出货明细'!A:A=A365)),'5.21出货明细'!G:G&amp;'5.21出货明细'!F:F)</f>
        <v>#N/A</v>
      </c>
      <c r="D365" s="680" t="e">
        <f t="array" ref="D365">LOOKUP(1,0/(('5.21出货明细'!D:D=B365)*('5.21出货明细'!G:G&amp;'5.21出货明细'!F:F=C365)),'5.21出货明细'!J:J)</f>
        <v>#N/A</v>
      </c>
      <c r="E365" s="681" t="e">
        <f t="array" ref="E365">LOOKUP(1,0/(('5.21出货明细'!D:D=B365)*('5.21出货明细'!G:G&amp;'5.21出货明细'!F:F=C365)),'5.21出货明细'!C:C)</f>
        <v>#N/A</v>
      </c>
      <c r="F365" s="682" t="e">
        <f t="array" ref="F365">LOOKUP(1,0/(('5.21出货明细'!D:D=B365)*('5.21出货明细'!G:G&amp;'5.21出货明细'!F:F=C365)),'5.21出货明细'!K:K)</f>
        <v>#N/A</v>
      </c>
      <c r="G365" s="683" t="e">
        <f t="array" ref="G365">LOOKUP(1,0/(('5.21出货明细'!D:D=B365)*('5.21出货明细'!G:G&amp;'5.21出货明细'!F:F=C365)),'5.21出货明细'!Z:Z)</f>
        <v>#N/A</v>
      </c>
      <c r="H365" s="684" t="e">
        <f t="shared" si="8"/>
        <v>#N/A</v>
      </c>
    </row>
    <row r="366" customFormat="1" ht="40" customHeight="1" spans="1:8">
      <c r="B366" s="679"/>
      <c r="C366" s="679"/>
      <c r="D366" s="680"/>
      <c r="E366" s="681"/>
      <c r="F366" s="682"/>
      <c r="G366" s="683"/>
      <c r="H366" s="684"/>
    </row>
    <row r="367" customFormat="1" ht="40" customHeight="1" spans="1:8">
      <c r="B367" s="679"/>
      <c r="C367" s="679"/>
      <c r="D367" s="680"/>
      <c r="E367" s="681"/>
      <c r="F367" s="682"/>
      <c r="G367" s="683"/>
      <c r="H367" s="684"/>
    </row>
    <row r="368" customFormat="1" ht="40" customHeight="1" spans="1:8">
      <c r="B368" s="679"/>
      <c r="C368" s="679"/>
      <c r="D368" s="680"/>
      <c r="E368" s="681"/>
      <c r="F368" s="682"/>
      <c r="G368" s="683"/>
      <c r="H368" s="684"/>
    </row>
    <row r="369" customFormat="1" ht="40" customHeight="1" spans="1:8">
      <c r="B369" s="679"/>
      <c r="C369" s="679"/>
      <c r="D369" s="680"/>
      <c r="E369" s="681"/>
      <c r="F369" s="682"/>
      <c r="G369" s="683"/>
      <c r="H369" s="684"/>
    </row>
    <row r="370" ht="18" spans="1:8">
      <c r="A370" s="636"/>
      <c r="B370" s="687"/>
      <c r="C370" s="688"/>
      <c r="D370" s="687"/>
      <c r="E370" s="687"/>
      <c r="F370" s="679" t="s">
        <v>1647</v>
      </c>
      <c r="G370" s="689" t="e">
        <f>SUM(H358:H369)</f>
        <v>#N/A</v>
      </c>
      <c r="H370" s="690"/>
    </row>
    <row r="371" ht="36" spans="1:8">
      <c r="A371" s="639"/>
      <c r="B371" s="691" t="s">
        <v>1648</v>
      </c>
      <c r="C371" s="692" t="e">
        <f>G370</f>
        <v>#N/A</v>
      </c>
      <c r="D371" s="693"/>
      <c r="E371" s="694"/>
      <c r="F371" s="695"/>
      <c r="G371" s="700"/>
      <c r="H371" s="700"/>
    </row>
    <row r="373" ht="30" spans="1:8">
      <c r="A373" s="624"/>
      <c r="B373" s="625" t="s">
        <v>1540</v>
      </c>
      <c r="C373" s="625"/>
      <c r="D373" s="625"/>
      <c r="E373" s="625"/>
      <c r="F373" s="625"/>
      <c r="G373" s="625"/>
      <c r="H373" s="625"/>
    </row>
    <row r="374" ht="24" customHeight="1" spans="1:8">
      <c r="A374" s="626"/>
      <c r="B374" s="627" t="s">
        <v>1546</v>
      </c>
      <c r="C374" s="627"/>
      <c r="D374" s="627"/>
      <c r="E374" s="627"/>
      <c r="F374" s="627"/>
      <c r="G374" s="627"/>
      <c r="H374" s="627"/>
    </row>
    <row r="375" ht="35" customHeight="1" spans="1:8">
      <c r="A375" s="628"/>
      <c r="B375" s="629" t="s">
        <v>1656</v>
      </c>
      <c r="C375" s="629"/>
      <c r="D375" s="629"/>
      <c r="E375" s="629"/>
      <c r="F375" s="629"/>
      <c r="G375" s="629"/>
      <c r="H375" s="629"/>
    </row>
    <row r="376" ht="18" spans="1:8">
      <c r="A376" s="628"/>
      <c r="B376" s="629" t="s">
        <v>1657</v>
      </c>
      <c r="C376" s="629"/>
      <c r="D376" s="629"/>
      <c r="E376" s="629"/>
      <c r="F376" s="629"/>
      <c r="G376" s="629"/>
      <c r="H376" s="629"/>
    </row>
    <row r="377" ht="25.5" spans="1:8">
      <c r="A377" s="630"/>
      <c r="B377" s="631" t="s">
        <v>1621</v>
      </c>
      <c r="C377" s="631"/>
      <c r="D377" s="631"/>
      <c r="E377" s="631"/>
      <c r="F377" s="631"/>
      <c r="G377" s="631"/>
      <c r="H377" s="631"/>
    </row>
    <row r="378" ht="21.75" spans="1:8">
      <c r="A378" s="632"/>
      <c r="B378" s="633" t="s">
        <v>1622</v>
      </c>
      <c r="C378" s="633"/>
      <c r="D378" s="633"/>
      <c r="E378" s="633"/>
      <c r="F378" s="633"/>
      <c r="G378" s="633"/>
      <c r="H378" s="633"/>
    </row>
    <row r="379" ht="18" spans="1:8">
      <c r="A379" s="634"/>
      <c r="B379" s="635"/>
      <c r="C379" s="635"/>
      <c r="D379" s="635"/>
      <c r="E379" s="635"/>
      <c r="F379" s="635"/>
      <c r="G379" s="635"/>
      <c r="H379" s="635"/>
    </row>
    <row r="380" ht="18" spans="1:8">
      <c r="A380" s="636"/>
      <c r="B380" s="637" t="s">
        <v>1658</v>
      </c>
      <c r="C380" s="637"/>
      <c r="D380" s="637"/>
      <c r="E380" s="637"/>
      <c r="F380" s="637"/>
      <c r="G380" s="638"/>
      <c r="H380" s="638"/>
    </row>
    <row r="381" ht="33" spans="1:8">
      <c r="A381" s="639"/>
      <c r="B381" s="640" t="s">
        <v>1624</v>
      </c>
      <c r="C381" s="640"/>
      <c r="D381" s="640"/>
      <c r="E381" s="640"/>
      <c r="F381" s="640"/>
      <c r="G381" s="641" t="s">
        <v>1625</v>
      </c>
      <c r="H381" s="642" t="s">
        <v>1662</v>
      </c>
    </row>
    <row r="382" ht="18" spans="1:8">
      <c r="A382" s="643"/>
      <c r="B382" s="644" t="s">
        <v>1540</v>
      </c>
      <c r="C382" s="644"/>
      <c r="D382" s="644"/>
      <c r="E382" s="644"/>
      <c r="F382" s="644"/>
      <c r="G382" s="641"/>
      <c r="H382" s="645"/>
    </row>
    <row r="383" ht="46" customHeight="1" spans="1:8">
      <c r="A383" s="636"/>
      <c r="B383" s="637" t="s">
        <v>1627</v>
      </c>
      <c r="C383" s="637"/>
      <c r="D383" s="637"/>
      <c r="E383" s="637"/>
      <c r="F383" s="636"/>
      <c r="G383" s="646" t="s">
        <v>1628</v>
      </c>
      <c r="H383" s="647">
        <f>实业合同!H419</f>
        <v>46076</v>
      </c>
    </row>
    <row r="384" ht="27" customHeight="1" spans="1:8">
      <c r="A384" s="636"/>
      <c r="B384" s="637"/>
      <c r="C384" s="637"/>
      <c r="D384" s="637"/>
      <c r="E384" s="637"/>
      <c r="F384" s="636"/>
      <c r="G384" s="646"/>
      <c r="H384" s="648"/>
    </row>
    <row r="385" ht="33" spans="1:8">
      <c r="A385" s="639"/>
      <c r="B385" s="640" t="s">
        <v>1629</v>
      </c>
      <c r="C385" s="640"/>
      <c r="D385" s="640"/>
      <c r="E385" s="640"/>
      <c r="F385" s="640"/>
      <c r="G385" s="649" t="s">
        <v>1630</v>
      </c>
      <c r="H385" s="642" t="str">
        <f>实业合同!H415</f>
        <v>RPIRRI260284</v>
      </c>
    </row>
    <row r="386" ht="18" spans="1:8">
      <c r="A386" s="636"/>
      <c r="B386" s="637" t="s">
        <v>1558</v>
      </c>
      <c r="C386" s="637"/>
      <c r="D386" s="636"/>
      <c r="E386" s="636"/>
      <c r="F386" s="636"/>
      <c r="G386" s="649"/>
      <c r="H386" s="645"/>
    </row>
    <row r="387" ht="25" customHeight="1" spans="1:8">
      <c r="A387" s="639"/>
      <c r="B387" s="640" t="s">
        <v>1631</v>
      </c>
      <c r="C387" s="640"/>
      <c r="D387" s="640"/>
      <c r="E387" s="640"/>
      <c r="F387" s="640"/>
      <c r="G387" s="650"/>
      <c r="H387" s="651"/>
    </row>
    <row r="388" ht="18" spans="1:8">
      <c r="A388" s="639"/>
      <c r="B388" s="640"/>
      <c r="C388" s="640"/>
      <c r="D388" s="640"/>
      <c r="E388" s="640"/>
      <c r="F388" s="640"/>
      <c r="G388" s="646" t="s">
        <v>1632</v>
      </c>
      <c r="H388" s="652" t="s">
        <v>1633</v>
      </c>
    </row>
    <row r="389" ht="18" spans="1:8">
      <c r="A389" s="653"/>
      <c r="B389" s="654" t="s">
        <v>1560</v>
      </c>
      <c r="C389" s="653"/>
      <c r="D389" s="653"/>
      <c r="E389" s="655"/>
      <c r="F389" s="656"/>
      <c r="G389" s="646"/>
      <c r="H389" s="657"/>
    </row>
    <row r="390" ht="18" spans="1:8">
      <c r="A390" s="653"/>
      <c r="B390" s="654" t="s">
        <v>1561</v>
      </c>
      <c r="C390" s="653"/>
      <c r="D390" s="658"/>
      <c r="E390" s="655"/>
      <c r="F390" s="656"/>
      <c r="G390" s="659"/>
      <c r="H390" s="660"/>
    </row>
    <row r="391" ht="18" spans="1:8">
      <c r="A391" s="639"/>
      <c r="B391" s="640" t="s">
        <v>1634</v>
      </c>
      <c r="C391" s="640"/>
      <c r="D391" s="640"/>
      <c r="E391" s="640"/>
      <c r="F391" s="640"/>
      <c r="G391" s="659"/>
      <c r="H391" s="660"/>
    </row>
    <row r="392" ht="18" spans="1:8">
      <c r="A392" s="661"/>
      <c r="B392" s="661" t="s">
        <v>1635</v>
      </c>
      <c r="C392" s="661"/>
      <c r="D392" s="661"/>
      <c r="E392" s="661"/>
      <c r="F392" s="661"/>
      <c r="G392" s="659"/>
      <c r="H392" s="660"/>
    </row>
    <row r="393" ht="18" spans="1:8">
      <c r="A393" s="653"/>
      <c r="B393" s="654" t="s">
        <v>337</v>
      </c>
      <c r="C393" s="658"/>
      <c r="D393" s="662"/>
      <c r="E393" s="662"/>
      <c r="F393" s="663"/>
      <c r="G393" s="659"/>
      <c r="H393" s="660"/>
    </row>
    <row r="394" ht="18" spans="1:8">
      <c r="A394" s="653"/>
      <c r="B394" s="653" t="s">
        <v>1611</v>
      </c>
      <c r="C394" s="653"/>
      <c r="D394" s="658"/>
      <c r="E394" s="662"/>
      <c r="F394" s="663"/>
      <c r="G394" s="659"/>
      <c r="H394" s="660"/>
    </row>
    <row r="395" s="621" customFormat="1" ht="27" customHeight="1" spans="1:8">
      <c r="A395" s="636"/>
      <c r="B395" s="637" t="s">
        <v>1612</v>
      </c>
      <c r="C395" s="637"/>
      <c r="D395" s="637"/>
      <c r="E395" s="637"/>
      <c r="F395" s="637"/>
      <c r="G395" s="664"/>
      <c r="H395" s="664"/>
    </row>
    <row r="396" s="621" customFormat="1" ht="27" customHeight="1" spans="1:8">
      <c r="A396" s="636"/>
      <c r="B396" s="637"/>
      <c r="C396" s="637"/>
      <c r="D396" s="637"/>
      <c r="E396" s="637"/>
      <c r="F396" s="637"/>
      <c r="G396" s="664"/>
      <c r="H396" s="664"/>
    </row>
    <row r="397" s="621" customFormat="1" ht="19" customHeight="1" spans="1:8">
      <c r="A397" s="636"/>
      <c r="B397" s="637"/>
      <c r="C397" s="637"/>
      <c r="D397" s="637"/>
      <c r="E397" s="637"/>
      <c r="F397" s="637"/>
      <c r="G397" s="664"/>
      <c r="H397" s="664"/>
    </row>
    <row r="398" customFormat="1" ht="14.25" spans="1:8">
      <c r="B398" s="665"/>
      <c r="C398" s="666"/>
      <c r="D398" s="665"/>
      <c r="E398" s="665"/>
      <c r="F398" s="667"/>
      <c r="G398" s="665"/>
      <c r="H398" s="665"/>
    </row>
    <row r="399" customFormat="1" ht="31.5" spans="1:8">
      <c r="B399" s="668" t="s">
        <v>1637</v>
      </c>
      <c r="C399" s="669" t="s">
        <v>1638</v>
      </c>
      <c r="D399" s="670"/>
      <c r="E399" s="671"/>
      <c r="F399" s="672" t="s">
        <v>1639</v>
      </c>
      <c r="G399" s="673" t="s">
        <v>1640</v>
      </c>
      <c r="H399" s="674"/>
    </row>
    <row r="400" customFormat="1" ht="31.5" spans="1:8">
      <c r="B400" s="668" t="s">
        <v>1641</v>
      </c>
      <c r="C400" s="668" t="s">
        <v>1642</v>
      </c>
      <c r="D400" s="668" t="s">
        <v>8</v>
      </c>
      <c r="E400" s="362" t="s">
        <v>1643</v>
      </c>
      <c r="F400" s="672" t="s">
        <v>1644</v>
      </c>
      <c r="G400" s="668" t="s">
        <v>1645</v>
      </c>
      <c r="H400" s="668" t="s">
        <v>1646</v>
      </c>
    </row>
    <row r="401" customFormat="1" ht="18" spans="1:8">
      <c r="B401" s="675"/>
      <c r="C401" s="676"/>
      <c r="D401" s="675"/>
      <c r="E401" s="675"/>
      <c r="F401" s="675"/>
      <c r="G401" s="677" t="s">
        <v>1595</v>
      </c>
      <c r="H401" s="678"/>
    </row>
    <row r="402" ht="40" customHeight="1" spans="1:8">
      <c r="A402">
        <v>118</v>
      </c>
      <c r="B402" s="679" t="e">
        <f>LOOKUP(1,0/(('5.21出货明细'!V:V=$H$385)*('5.21出货明细'!X:X=$H$381)*('5.21出货明细'!A:A=A402)),'5.21出货明细'!D:D)</f>
        <v>#N/A</v>
      </c>
      <c r="C402" s="679" t="e">
        <f>LOOKUP(1,0/(('5.21出货明细'!V:V=$H$385)*('5.21出货明细'!X:X=$H$381)*('5.21出货明细'!A:A=A402)),'5.21出货明细'!G:G&amp;'5.21出货明细'!F:F)</f>
        <v>#N/A</v>
      </c>
      <c r="D402" s="680" t="e">
        <f t="array" ref="D402">LOOKUP(1,0/(('5.21出货明细'!D:D=B402)*('5.21出货明细'!G:G&amp;'5.21出货明细'!F:F=C402)),'5.21出货明细'!J:J)</f>
        <v>#N/A</v>
      </c>
      <c r="E402" s="681" t="e">
        <f t="array" ref="E402">LOOKUP(1,0/(('5.21出货明细'!D:D=B402)*('5.21出货明细'!G:G&amp;'5.21出货明细'!F:F=C402)),'5.21出货明细'!C:C)</f>
        <v>#N/A</v>
      </c>
      <c r="F402" s="682" t="e">
        <f t="array" ref="F402">LOOKUP(1,0/(('5.21出货明细'!D:D=B402)*('5.21出货明细'!G:G&amp;'5.21出货明细'!F:F=C402)),'5.21出货明细'!K:K)</f>
        <v>#N/A</v>
      </c>
      <c r="G402" s="683" t="e">
        <f t="array" ref="G402">LOOKUP(1,0/(('5.21出货明细'!D:D=B402)*('5.21出货明细'!G:G&amp;'5.21出货明细'!F:F=C402)),'5.21出货明细'!Z:Z)</f>
        <v>#N/A</v>
      </c>
      <c r="H402" s="684" t="e">
        <f>G402*F402</f>
        <v>#N/A</v>
      </c>
    </row>
    <row r="403" customFormat="1" ht="40" customHeight="1" spans="1:8">
      <c r="A403">
        <v>119</v>
      </c>
      <c r="B403" s="679" t="e">
        <f>LOOKUP(1,0/(('5.21出货明细'!V:V=$H$385)*('5.21出货明细'!X:X=$H$381)*('5.21出货明细'!A:A=A403)),'5.21出货明细'!D:D)</f>
        <v>#N/A</v>
      </c>
      <c r="C403" s="679" t="e">
        <f>LOOKUP(1,0/(('5.21出货明细'!V:V=$H$385)*('5.21出货明细'!X:X=$H$381)*('5.21出货明细'!A:A=A403)),'5.21出货明细'!G:G&amp;'5.21出货明细'!F:F)</f>
        <v>#N/A</v>
      </c>
      <c r="D403" s="680" t="e">
        <f t="array" ref="D403">LOOKUP(1,0/(('5.21出货明细'!D:D=B403)*('5.21出货明细'!G:G&amp;'5.21出货明细'!F:F=C403)),'5.21出货明细'!J:J)</f>
        <v>#N/A</v>
      </c>
      <c r="E403" s="681" t="e">
        <f t="array" ref="E403">LOOKUP(1,0/(('5.21出货明细'!D:D=B403)*('5.21出货明细'!G:G&amp;'5.21出货明细'!F:F=C403)),'5.21出货明细'!C:C)</f>
        <v>#N/A</v>
      </c>
      <c r="F403" s="682" t="e">
        <f t="array" ref="F403">LOOKUP(1,0/(('5.21出货明细'!D:D=B403)*('5.21出货明细'!G:G&amp;'5.21出货明细'!F:F=C403)),'5.21出货明细'!K:K)</f>
        <v>#N/A</v>
      </c>
      <c r="G403" s="683" t="e">
        <f t="array" ref="G403">LOOKUP(1,0/(('5.21出货明细'!D:D=B403)*('5.21出货明细'!G:G&amp;'5.21出货明细'!F:F=C403)),'5.21出货明细'!Z:Z)</f>
        <v>#N/A</v>
      </c>
      <c r="H403" s="684" t="e">
        <f t="shared" ref="H403:H411" si="9">G403*F403</f>
        <v>#N/A</v>
      </c>
    </row>
    <row r="404" customFormat="1" ht="40" customHeight="1" spans="1:8">
      <c r="A404">
        <v>120</v>
      </c>
      <c r="B404" s="679" t="e">
        <f>LOOKUP(1,0/(('5.21出货明细'!V:V=$H$385)*('5.21出货明细'!X:X=$H$381)*('5.21出货明细'!A:A=A404)),'5.21出货明细'!D:D)</f>
        <v>#N/A</v>
      </c>
      <c r="C404" s="679" t="e">
        <f>LOOKUP(1,0/(('5.21出货明细'!V:V=$H$385)*('5.21出货明细'!X:X=$H$381)*('5.21出货明细'!A:A=A404)),'5.21出货明细'!G:G&amp;'5.21出货明细'!F:F)</f>
        <v>#N/A</v>
      </c>
      <c r="D404" s="680" t="e">
        <f t="array" ref="D404">LOOKUP(1,0/(('5.21出货明细'!D:D=B404)*('5.21出货明细'!G:G&amp;'5.21出货明细'!F:F=C404)),'5.21出货明细'!J:J)</f>
        <v>#N/A</v>
      </c>
      <c r="E404" s="681" t="e">
        <f t="array" ref="E404">LOOKUP(1,0/(('5.21出货明细'!D:D=B404)*('5.21出货明细'!G:G&amp;'5.21出货明细'!F:F=C404)),'5.21出货明细'!C:C)</f>
        <v>#N/A</v>
      </c>
      <c r="F404" s="682" t="e">
        <f t="array" ref="F404">LOOKUP(1,0/(('5.21出货明细'!D:D=B404)*('5.21出货明细'!G:G&amp;'5.21出货明细'!F:F=C404)),'5.21出货明细'!K:K)</f>
        <v>#N/A</v>
      </c>
      <c r="G404" s="683" t="e">
        <f t="array" ref="G404">LOOKUP(1,0/(('5.21出货明细'!D:D=B404)*('5.21出货明细'!G:G&amp;'5.21出货明细'!F:F=C404)),'5.21出货明细'!Z:Z)</f>
        <v>#N/A</v>
      </c>
      <c r="H404" s="684" t="e">
        <f t="shared" si="9"/>
        <v>#N/A</v>
      </c>
    </row>
    <row r="405" customFormat="1" ht="40" customHeight="1" spans="1:8">
      <c r="A405">
        <v>121</v>
      </c>
      <c r="B405" s="679" t="e">
        <f>LOOKUP(1,0/(('5.21出货明细'!V:V=$H$385)*('5.21出货明细'!X:X=$H$381)*('5.21出货明细'!A:A=A405)),'5.21出货明细'!D:D)</f>
        <v>#N/A</v>
      </c>
      <c r="C405" s="679" t="e">
        <f>LOOKUP(1,0/(('5.21出货明细'!V:V=$H$385)*('5.21出货明细'!X:X=$H$381)*('5.21出货明细'!A:A=A405)),'5.21出货明细'!G:G&amp;'5.21出货明细'!F:F)</f>
        <v>#N/A</v>
      </c>
      <c r="D405" s="680" t="e">
        <f t="array" ref="D405">LOOKUP(1,0/(('5.21出货明细'!D:D=B405)*('5.21出货明细'!G:G&amp;'5.21出货明细'!F:F=C405)),'5.21出货明细'!J:J)</f>
        <v>#N/A</v>
      </c>
      <c r="E405" s="681" t="e">
        <f t="array" ref="E405">LOOKUP(1,0/(('5.21出货明细'!D:D=B405)*('5.21出货明细'!G:G&amp;'5.21出货明细'!F:F=C405)),'5.21出货明细'!C:C)</f>
        <v>#N/A</v>
      </c>
      <c r="F405" s="682" t="e">
        <f t="array" ref="F405">LOOKUP(1,0/(('5.21出货明细'!D:D=B405)*('5.21出货明细'!G:G&amp;'5.21出货明细'!F:F=C405)),'5.21出货明细'!K:K)</f>
        <v>#N/A</v>
      </c>
      <c r="G405" s="683" t="e">
        <f t="array" ref="G405">LOOKUP(1,0/(('5.21出货明细'!D:D=B405)*('5.21出货明细'!G:G&amp;'5.21出货明细'!F:F=C405)),'5.21出货明细'!Z:Z)</f>
        <v>#N/A</v>
      </c>
      <c r="H405" s="684" t="e">
        <f t="shared" si="9"/>
        <v>#N/A</v>
      </c>
    </row>
    <row r="406" customFormat="1" ht="40" customHeight="1" spans="1:8">
      <c r="A406">
        <v>122</v>
      </c>
      <c r="B406" s="679" t="e">
        <f>LOOKUP(1,0/(('5.21出货明细'!V:V=$H$385)*('5.21出货明细'!X:X=$H$381)*('5.21出货明细'!A:A=A406)),'5.21出货明细'!D:D)</f>
        <v>#N/A</v>
      </c>
      <c r="C406" s="679" t="e">
        <f>LOOKUP(1,0/(('5.21出货明细'!V:V=$H$385)*('5.21出货明细'!X:X=$H$381)*('5.21出货明细'!A:A=A406)),'5.21出货明细'!G:G&amp;'5.21出货明细'!F:F)</f>
        <v>#N/A</v>
      </c>
      <c r="D406" s="680" t="e">
        <f t="array" ref="D406">LOOKUP(1,0/(('5.21出货明细'!D:D=B406)*('5.21出货明细'!G:G&amp;'5.21出货明细'!F:F=C406)),'5.21出货明细'!J:J)</f>
        <v>#N/A</v>
      </c>
      <c r="E406" s="681" t="e">
        <f t="array" ref="E406">LOOKUP(1,0/(('5.21出货明细'!D:D=B406)*('5.21出货明细'!G:G&amp;'5.21出货明细'!F:F=C406)),'5.21出货明细'!C:C)</f>
        <v>#N/A</v>
      </c>
      <c r="F406" s="682" t="e">
        <f t="array" ref="F406">LOOKUP(1,0/(('5.21出货明细'!D:D=B406)*('5.21出货明细'!G:G&amp;'5.21出货明细'!F:F=C406)),'5.21出货明细'!K:K)</f>
        <v>#N/A</v>
      </c>
      <c r="G406" s="685" t="e">
        <f t="array" ref="G406">LOOKUP(1,0/(('5.21出货明细'!D:D=B406)*('5.21出货明细'!G:G&amp;'5.21出货明细'!F:F=C406)),'5.21出货明细'!Z:Z)</f>
        <v>#N/A</v>
      </c>
      <c r="H406" s="684" t="e">
        <f t="shared" si="9"/>
        <v>#N/A</v>
      </c>
    </row>
    <row r="407" customFormat="1" ht="40" customHeight="1" spans="1:8">
      <c r="B407" s="679"/>
      <c r="C407" s="679"/>
      <c r="D407" s="680"/>
      <c r="E407" s="681"/>
      <c r="F407" s="682"/>
      <c r="G407" s="686"/>
      <c r="H407" s="684"/>
    </row>
    <row r="408" customFormat="1" ht="40" customHeight="1" spans="1:8">
      <c r="B408" s="679"/>
      <c r="C408" s="679"/>
      <c r="D408" s="680"/>
      <c r="E408" s="681"/>
      <c r="F408" s="682"/>
      <c r="G408" s="686"/>
      <c r="H408" s="684"/>
    </row>
    <row r="409" customFormat="1" ht="40" customHeight="1" spans="1:8">
      <c r="B409" s="679"/>
      <c r="C409" s="679"/>
      <c r="D409" s="680"/>
      <c r="E409" s="681"/>
      <c r="F409" s="682"/>
      <c r="G409" s="686"/>
      <c r="H409" s="684"/>
    </row>
    <row r="410" customFormat="1" ht="40" customHeight="1" spans="1:8">
      <c r="B410" s="679"/>
      <c r="C410" s="679"/>
      <c r="D410" s="680"/>
      <c r="E410" s="681"/>
      <c r="F410" s="682"/>
      <c r="G410" s="683"/>
      <c r="H410" s="684"/>
    </row>
    <row r="411" ht="18" spans="1:8">
      <c r="A411" s="636"/>
      <c r="B411" s="687"/>
      <c r="C411" s="688"/>
      <c r="D411" s="687"/>
      <c r="E411" s="687"/>
      <c r="F411" s="679" t="s">
        <v>1647</v>
      </c>
      <c r="G411" s="689" t="e">
        <f>SUM(H402:H410)</f>
        <v>#N/A</v>
      </c>
      <c r="H411" s="690"/>
    </row>
    <row r="412" ht="36" spans="1:8">
      <c r="A412" s="639"/>
      <c r="B412" s="691" t="s">
        <v>1648</v>
      </c>
      <c r="C412" s="692" t="e">
        <f>G411</f>
        <v>#N/A</v>
      </c>
      <c r="D412" s="693"/>
      <c r="E412" s="694"/>
      <c r="F412" s="695"/>
      <c r="G412" s="700"/>
      <c r="H412" s="700"/>
    </row>
    <row r="413" s="622" customFormat="1" ht="16.5" spans="1:8">
      <c r="A413" s="696"/>
      <c r="B413" s="697" t="s">
        <v>1663</v>
      </c>
      <c r="C413" s="697"/>
      <c r="D413" s="697"/>
      <c r="E413" s="696"/>
      <c r="F413" s="698" t="s">
        <v>1664</v>
      </c>
      <c r="G413" s="698"/>
      <c r="H413" s="698"/>
    </row>
    <row r="414" s="622" customFormat="1" ht="16.5" spans="1:8">
      <c r="A414" s="696"/>
      <c r="B414" s="697"/>
      <c r="C414" s="697"/>
      <c r="D414" s="697"/>
      <c r="E414" s="696"/>
      <c r="F414" s="698"/>
      <c r="G414" s="698"/>
      <c r="H414" s="698"/>
    </row>
    <row r="415" s="622" customFormat="1" ht="16.5" spans="1:8">
      <c r="A415" s="696"/>
      <c r="B415" s="697"/>
      <c r="C415" s="697"/>
      <c r="D415" s="697"/>
      <c r="E415" s="696"/>
      <c r="F415" s="699" t="s">
        <v>1665</v>
      </c>
      <c r="G415" s="699"/>
      <c r="H415" s="699"/>
    </row>
    <row r="416" s="622" customFormat="1" ht="65" customHeight="1" spans="1:8">
      <c r="A416" s="696"/>
      <c r="B416" s="697"/>
      <c r="C416" s="697"/>
      <c r="D416" s="697"/>
      <c r="E416" s="696"/>
      <c r="F416" s="699"/>
      <c r="G416" s="699"/>
      <c r="H416" s="699"/>
    </row>
    <row r="417" s="622" customFormat="1" ht="20" customHeight="1" spans="1:8">
      <c r="A417" s="696"/>
      <c r="B417" s="697"/>
      <c r="C417" s="697"/>
      <c r="D417" s="697"/>
      <c r="E417" s="696"/>
      <c r="F417" s="699"/>
      <c r="G417" s="699"/>
      <c r="H417" s="699"/>
    </row>
    <row r="418" customFormat="1" ht="30" spans="1:8">
      <c r="A418" s="624"/>
      <c r="B418" s="625" t="s">
        <v>1540</v>
      </c>
      <c r="C418" s="625"/>
      <c r="D418" s="625"/>
      <c r="E418" s="625"/>
      <c r="F418" s="625"/>
      <c r="G418" s="625"/>
      <c r="H418" s="625"/>
    </row>
    <row r="419" customFormat="1" ht="24" customHeight="1" spans="1:8">
      <c r="A419" s="626"/>
      <c r="B419" s="627" t="s">
        <v>1546</v>
      </c>
      <c r="C419" s="627"/>
      <c r="D419" s="627"/>
      <c r="E419" s="627"/>
      <c r="F419" s="627"/>
      <c r="G419" s="627"/>
      <c r="H419" s="627"/>
    </row>
    <row r="420" customFormat="1" ht="39" customHeight="1" spans="1:8">
      <c r="A420" s="628"/>
      <c r="B420" s="629" t="s">
        <v>1656</v>
      </c>
      <c r="C420" s="629"/>
      <c r="D420" s="629"/>
      <c r="E420" s="629"/>
      <c r="F420" s="629"/>
      <c r="G420" s="629"/>
      <c r="H420" s="629"/>
    </row>
    <row r="421" customFormat="1" ht="18" spans="1:8">
      <c r="A421" s="628"/>
      <c r="B421" s="629" t="s">
        <v>1657</v>
      </c>
      <c r="C421" s="629"/>
      <c r="D421" s="629"/>
      <c r="E421" s="629"/>
      <c r="F421" s="629"/>
      <c r="G421" s="629"/>
      <c r="H421" s="629"/>
    </row>
    <row r="422" customFormat="1" ht="25.5" spans="1:8">
      <c r="A422" s="630"/>
      <c r="B422" s="631" t="s">
        <v>1621</v>
      </c>
      <c r="C422" s="631"/>
      <c r="D422" s="631"/>
      <c r="E422" s="631"/>
      <c r="F422" s="631"/>
      <c r="G422" s="631"/>
      <c r="H422" s="631"/>
    </row>
    <row r="423" customFormat="1" ht="21.75" spans="1:8">
      <c r="A423" s="632"/>
      <c r="B423" s="633" t="s">
        <v>1622</v>
      </c>
      <c r="C423" s="633"/>
      <c r="D423" s="633"/>
      <c r="E423" s="633"/>
      <c r="F423" s="633"/>
      <c r="G423" s="633"/>
      <c r="H423" s="633"/>
    </row>
    <row r="424" customFormat="1" ht="18" spans="1:8">
      <c r="A424" s="634"/>
      <c r="B424" s="635"/>
      <c r="C424" s="635"/>
      <c r="D424" s="635"/>
      <c r="E424" s="635"/>
      <c r="F424" s="635"/>
      <c r="G424" s="635"/>
      <c r="H424" s="635"/>
    </row>
    <row r="425" customFormat="1" ht="18" spans="1:8">
      <c r="A425" s="636"/>
      <c r="B425" s="637" t="s">
        <v>1658</v>
      </c>
      <c r="C425" s="637"/>
      <c r="D425" s="637"/>
      <c r="E425" s="637"/>
      <c r="F425" s="637"/>
      <c r="G425" s="638"/>
      <c r="H425" s="638"/>
    </row>
    <row r="426" customFormat="1" ht="33" spans="1:8">
      <c r="A426" s="639"/>
      <c r="B426" s="640" t="s">
        <v>1624</v>
      </c>
      <c r="C426" s="640"/>
      <c r="D426" s="640"/>
      <c r="E426" s="640"/>
      <c r="F426" s="640"/>
      <c r="G426" s="641" t="s">
        <v>1625</v>
      </c>
      <c r="H426" s="642" t="s">
        <v>1666</v>
      </c>
    </row>
    <row r="427" customFormat="1" ht="18" spans="1:8">
      <c r="A427" s="643"/>
      <c r="B427" s="644" t="s">
        <v>1540</v>
      </c>
      <c r="C427" s="644"/>
      <c r="D427" s="644"/>
      <c r="E427" s="644"/>
      <c r="F427" s="644"/>
      <c r="G427" s="641"/>
      <c r="H427" s="645"/>
    </row>
    <row r="428" customFormat="1" ht="46" customHeight="1" spans="1:8">
      <c r="A428" s="636"/>
      <c r="B428" s="637" t="s">
        <v>1627</v>
      </c>
      <c r="C428" s="637"/>
      <c r="D428" s="637"/>
      <c r="E428" s="637"/>
      <c r="F428" s="636"/>
      <c r="G428" s="646" t="s">
        <v>1628</v>
      </c>
      <c r="H428" s="647">
        <f>H11</f>
        <v>46076</v>
      </c>
    </row>
    <row r="429" customFormat="1" ht="27" customHeight="1" spans="1:8">
      <c r="A429" s="636"/>
      <c r="B429" s="637"/>
      <c r="C429" s="637"/>
      <c r="D429" s="637"/>
      <c r="E429" s="637"/>
      <c r="F429" s="636"/>
      <c r="G429" s="646"/>
      <c r="H429" s="648"/>
    </row>
    <row r="430" customFormat="1" ht="33" spans="1:8">
      <c r="A430" s="639"/>
      <c r="B430" s="640" t="s">
        <v>1629</v>
      </c>
      <c r="C430" s="640"/>
      <c r="D430" s="640"/>
      <c r="E430" s="640"/>
      <c r="F430" s="640"/>
      <c r="G430" s="649" t="s">
        <v>1630</v>
      </c>
      <c r="H430" s="642" t="str">
        <f>实业合同!H459</f>
        <v>RPIRRI260285</v>
      </c>
    </row>
    <row r="431" customFormat="1" ht="18" spans="1:8">
      <c r="A431" s="636"/>
      <c r="B431" s="637" t="s">
        <v>1558</v>
      </c>
      <c r="C431" s="637"/>
      <c r="D431" s="636"/>
      <c r="E431" s="636"/>
      <c r="F431" s="636"/>
      <c r="G431" s="649"/>
      <c r="H431" s="645"/>
    </row>
    <row r="432" customFormat="1" ht="25" customHeight="1" spans="1:8">
      <c r="A432" s="639"/>
      <c r="B432" s="640" t="s">
        <v>1631</v>
      </c>
      <c r="C432" s="640"/>
      <c r="D432" s="640"/>
      <c r="E432" s="640"/>
      <c r="F432" s="640"/>
      <c r="G432" s="650"/>
      <c r="H432" s="651"/>
    </row>
    <row r="433" customFormat="1" ht="18" spans="1:8">
      <c r="A433" s="639"/>
      <c r="B433" s="640"/>
      <c r="C433" s="640"/>
      <c r="D433" s="640"/>
      <c r="E433" s="640"/>
      <c r="F433" s="640"/>
      <c r="G433" s="646" t="s">
        <v>1632</v>
      </c>
      <c r="H433" s="652" t="s">
        <v>1633</v>
      </c>
    </row>
    <row r="434" customFormat="1" ht="18" spans="1:8">
      <c r="A434" s="653"/>
      <c r="B434" s="654" t="s">
        <v>1560</v>
      </c>
      <c r="C434" s="653"/>
      <c r="D434" s="653"/>
      <c r="E434" s="655"/>
      <c r="F434" s="656"/>
      <c r="G434" s="646"/>
      <c r="H434" s="657"/>
    </row>
    <row r="435" customFormat="1" ht="18" spans="1:8">
      <c r="A435" s="653"/>
      <c r="B435" s="654" t="s">
        <v>1561</v>
      </c>
      <c r="C435" s="653"/>
      <c r="D435" s="658"/>
      <c r="E435" s="655"/>
      <c r="F435" s="656"/>
      <c r="G435" s="659"/>
      <c r="H435" s="660"/>
    </row>
    <row r="436" customFormat="1" ht="18" spans="1:8">
      <c r="A436" s="639"/>
      <c r="B436" s="640" t="s">
        <v>1634</v>
      </c>
      <c r="C436" s="640"/>
      <c r="D436" s="640"/>
      <c r="E436" s="640"/>
      <c r="F436" s="640"/>
      <c r="G436" s="659"/>
      <c r="H436" s="660"/>
    </row>
    <row r="437" customFormat="1" ht="18" spans="1:8">
      <c r="A437" s="661"/>
      <c r="B437" s="661" t="s">
        <v>1635</v>
      </c>
      <c r="C437" s="661"/>
      <c r="D437" s="661"/>
      <c r="E437" s="661"/>
      <c r="F437" s="661"/>
      <c r="G437" s="659"/>
      <c r="H437" s="660"/>
    </row>
    <row r="438" customFormat="1" ht="18" spans="1:8">
      <c r="A438" s="653"/>
      <c r="B438" s="654" t="s">
        <v>1615</v>
      </c>
      <c r="C438" s="658"/>
      <c r="D438" s="662"/>
      <c r="E438" s="662"/>
      <c r="F438" s="663"/>
      <c r="G438" s="659"/>
      <c r="H438" s="660"/>
    </row>
    <row r="439" customFormat="1" ht="18" spans="1:8">
      <c r="A439" s="653"/>
      <c r="B439" s="653" t="s">
        <v>1616</v>
      </c>
      <c r="C439" s="653"/>
      <c r="D439" s="658"/>
      <c r="E439" s="662"/>
      <c r="F439" s="663"/>
      <c r="G439" s="659"/>
      <c r="H439" s="660"/>
    </row>
    <row r="440" s="621" customFormat="1" ht="26" customHeight="1" spans="1:8">
      <c r="A440" s="636"/>
      <c r="B440" s="637" t="s">
        <v>1617</v>
      </c>
      <c r="C440" s="637"/>
      <c r="D440" s="637"/>
      <c r="E440" s="637"/>
      <c r="F440" s="637"/>
      <c r="G440" s="664"/>
      <c r="H440" s="664"/>
    </row>
    <row r="441" s="621" customFormat="1" ht="26" customHeight="1" spans="1:8">
      <c r="A441" s="636"/>
      <c r="B441" s="637"/>
      <c r="C441" s="637"/>
      <c r="D441" s="637"/>
      <c r="E441" s="637"/>
      <c r="F441" s="637"/>
      <c r="G441" s="664"/>
      <c r="H441" s="664"/>
    </row>
    <row r="442" customFormat="1" ht="10" customHeight="1" spans="1:8">
      <c r="B442" s="637"/>
      <c r="C442" s="637"/>
      <c r="D442" s="637"/>
      <c r="E442" s="637"/>
      <c r="F442" s="637"/>
      <c r="G442" s="665"/>
      <c r="H442" s="665"/>
    </row>
    <row r="443" customFormat="1" ht="31.5" spans="1:8">
      <c r="B443" s="668" t="s">
        <v>1637</v>
      </c>
      <c r="C443" s="669" t="s">
        <v>1638</v>
      </c>
      <c r="D443" s="670"/>
      <c r="E443" s="671"/>
      <c r="F443" s="672" t="s">
        <v>1639</v>
      </c>
      <c r="G443" s="673" t="s">
        <v>1640</v>
      </c>
      <c r="H443" s="674"/>
    </row>
    <row r="444" customFormat="1" ht="31.5" spans="1:8">
      <c r="B444" s="668" t="s">
        <v>1641</v>
      </c>
      <c r="C444" s="668" t="s">
        <v>1642</v>
      </c>
      <c r="D444" s="668" t="s">
        <v>8</v>
      </c>
      <c r="E444" s="362" t="s">
        <v>1643</v>
      </c>
      <c r="F444" s="672" t="s">
        <v>1644</v>
      </c>
      <c r="G444" s="668" t="s">
        <v>1645</v>
      </c>
      <c r="H444" s="668" t="s">
        <v>1646</v>
      </c>
    </row>
    <row r="445" customFormat="1" ht="18" spans="1:8">
      <c r="B445" s="675"/>
      <c r="C445" s="676"/>
      <c r="D445" s="675"/>
      <c r="E445" s="675"/>
      <c r="F445" s="675"/>
      <c r="G445" s="677" t="s">
        <v>1595</v>
      </c>
      <c r="H445" s="678"/>
    </row>
    <row r="446" customFormat="1" ht="40" customHeight="1" spans="1:8">
      <c r="A446">
        <v>123</v>
      </c>
      <c r="B446" s="679" t="e">
        <f t="array" ref="B446">LOOKUP(1,0/(('5.21出货明细'!V:V=$H$430)*('5.21出货明细'!X:X=$H$426)*('5.21出货明细'!A:A=A446)),'5.21出货明细'!D:D)</f>
        <v>#N/A</v>
      </c>
      <c r="C446" s="679" t="e">
        <f t="array" ref="C446">LOOKUP(1,0/(('5.21出货明细'!V:V=$H$430)*('5.21出货明细'!X:X=$H$426)*('5.21出货明细'!A:A=A446)),'5.21出货明细'!G:G&amp;'5.21出货明细'!F:F)</f>
        <v>#N/A</v>
      </c>
      <c r="D446" s="680" t="e">
        <f t="array" ref="D446">LOOKUP(1,0/(('5.21出货明细'!D:D=B446)*('5.21出货明细'!G:G&amp;'5.21出货明细'!F:F=C446)),'5.21出货明细'!J:J)</f>
        <v>#N/A</v>
      </c>
      <c r="E446" s="681" t="e">
        <f t="array" ref="E446">LOOKUP(1,0/(('5.21出货明细'!D:D=B446)*('5.21出货明细'!G:G&amp;'5.21出货明细'!F:F=C446)),'5.21出货明细'!C:C)</f>
        <v>#N/A</v>
      </c>
      <c r="F446" s="682" t="e">
        <f t="array" ref="F446">LOOKUP(1,0/(('5.21出货明细'!D:D=B446)*('5.21出货明细'!G:G&amp;'5.21出货明细'!F:F=C446)),'5.21出货明细'!K:K)</f>
        <v>#N/A</v>
      </c>
      <c r="G446" s="683" t="e">
        <f t="array" ref="G446">LOOKUP(1,0/(('5.21出货明细'!D:D=B446)*('5.21出货明细'!G:G&amp;'5.21出货明细'!F:F=C446)),'5.21出货明细'!Z:Z)</f>
        <v>#N/A</v>
      </c>
      <c r="H446" s="684" t="e">
        <f t="shared" ref="H446:H452" si="10">G446*F446</f>
        <v>#N/A</v>
      </c>
    </row>
    <row r="447" customFormat="1" ht="40" customHeight="1" spans="1:8">
      <c r="A447">
        <v>124</v>
      </c>
      <c r="B447" s="679" t="e">
        <f t="array" ref="B447">LOOKUP(1,0/(('5.21出货明细'!V:V=$H$430)*('5.21出货明细'!X:X=$H$426)*('5.21出货明细'!A:A=A447)),'5.21出货明细'!D:D)</f>
        <v>#N/A</v>
      </c>
      <c r="C447" s="679" t="e">
        <f t="array" ref="C447">LOOKUP(1,0/(('5.21出货明细'!V:V=$H$430)*('5.21出货明细'!X:X=$H$426)*('5.21出货明细'!A:A=A447)),'5.21出货明细'!G:G&amp;'5.21出货明细'!F:F)</f>
        <v>#N/A</v>
      </c>
      <c r="D447" s="680" t="e">
        <f t="array" ref="D447">LOOKUP(1,0/(('5.21出货明细'!D:D=B447)*('5.21出货明细'!G:G&amp;'5.21出货明细'!F:F=C447)),'5.21出货明细'!J:J)</f>
        <v>#N/A</v>
      </c>
      <c r="E447" s="681" t="e">
        <f t="array" ref="E447">LOOKUP(1,0/(('5.21出货明细'!D:D=B447)*('5.21出货明细'!G:G&amp;'5.21出货明细'!F:F=C447)),'5.21出货明细'!C:C)</f>
        <v>#N/A</v>
      </c>
      <c r="F447" s="682" t="e">
        <f t="array" ref="F447">LOOKUP(1,0/(('5.21出货明细'!D:D=B447)*('5.21出货明细'!G:G&amp;'5.21出货明细'!F:F=C447)),'5.21出货明细'!K:K)</f>
        <v>#N/A</v>
      </c>
      <c r="G447" s="683" t="e">
        <f t="array" ref="G447">LOOKUP(1,0/(('5.21出货明细'!D:D=B447)*('5.21出货明细'!G:G&amp;'5.21出货明细'!F:F=C447)),'5.21出货明细'!Z:Z)</f>
        <v>#N/A</v>
      </c>
      <c r="H447" s="684" t="e">
        <f t="shared" si="10"/>
        <v>#N/A</v>
      </c>
    </row>
    <row r="448" customFormat="1" ht="40" customHeight="1" spans="1:8">
      <c r="A448">
        <v>125</v>
      </c>
      <c r="B448" s="679" t="e">
        <f t="array" ref="B448">LOOKUP(1,0/(('5.21出货明细'!V:V=$H$430)*('5.21出货明细'!X:X=$H$426)*('5.21出货明细'!A:A=A448)),'5.21出货明细'!D:D)</f>
        <v>#N/A</v>
      </c>
      <c r="C448" s="679" t="e">
        <f t="array" ref="C448">LOOKUP(1,0/(('5.21出货明细'!V:V=$H$430)*('5.21出货明细'!X:X=$H$426)*('5.21出货明细'!A:A=A448)),'5.21出货明细'!G:G&amp;'5.21出货明细'!F:F)</f>
        <v>#N/A</v>
      </c>
      <c r="D448" s="680" t="e">
        <f t="array" ref="D448">LOOKUP(1,0/(('5.21出货明细'!D:D=B448)*('5.21出货明细'!G:G&amp;'5.21出货明细'!F:F=C448)),'5.21出货明细'!J:J)</f>
        <v>#N/A</v>
      </c>
      <c r="E448" s="681" t="e">
        <f t="array" ref="E448">LOOKUP(1,0/(('5.21出货明细'!D:D=B448)*('5.21出货明细'!G:G&amp;'5.21出货明细'!F:F=C448)),'5.21出货明细'!C:C)</f>
        <v>#N/A</v>
      </c>
      <c r="F448" s="682" t="e">
        <f t="array" ref="F448">LOOKUP(1,0/(('5.21出货明细'!D:D=B448)*('5.21出货明细'!G:G&amp;'5.21出货明细'!F:F=C448)),'5.21出货明细'!K:K)</f>
        <v>#N/A</v>
      </c>
      <c r="G448" s="683" t="e">
        <f t="array" ref="G448">LOOKUP(1,0/(('5.21出货明细'!D:D=B448)*('5.21出货明细'!G:G&amp;'5.21出货明细'!F:F=C448)),'5.21出货明细'!Z:Z)</f>
        <v>#N/A</v>
      </c>
      <c r="H448" s="684" t="e">
        <f t="shared" si="10"/>
        <v>#N/A</v>
      </c>
    </row>
    <row r="449" customFormat="1" ht="40" customHeight="1" spans="1:8">
      <c r="A449">
        <v>126</v>
      </c>
      <c r="B449" s="679" t="e">
        <f t="array" ref="B449">LOOKUP(1,0/(('5.21出货明细'!V:V=$H$430)*('5.21出货明细'!X:X=$H$426)*('5.21出货明细'!A:A=A449)),'5.21出货明细'!D:D)</f>
        <v>#N/A</v>
      </c>
      <c r="C449" s="679" t="e">
        <f t="array" ref="C449">LOOKUP(1,0/(('5.21出货明细'!V:V=$H$430)*('5.21出货明细'!X:X=$H$426)*('5.21出货明细'!A:A=A449)),'5.21出货明细'!G:G&amp;'5.21出货明细'!F:F)</f>
        <v>#N/A</v>
      </c>
      <c r="D449" s="680" t="e">
        <f t="array" ref="D449">LOOKUP(1,0/(('5.21出货明细'!D:D=B449)*('5.21出货明细'!G:G&amp;'5.21出货明细'!F:F=C449)),'5.21出货明细'!J:J)</f>
        <v>#N/A</v>
      </c>
      <c r="E449" s="681" t="e">
        <f t="array" ref="E449">LOOKUP(1,0/(('5.21出货明细'!D:D=B449)*('5.21出货明细'!G:G&amp;'5.21出货明细'!F:F=C449)),'5.21出货明细'!C:C)</f>
        <v>#N/A</v>
      </c>
      <c r="F449" s="682" t="e">
        <f t="array" ref="F449">LOOKUP(1,0/(('5.21出货明细'!D:D=B449)*('5.21出货明细'!G:G&amp;'5.21出货明细'!F:F=C449)),'5.21出货明细'!K:K)</f>
        <v>#N/A</v>
      </c>
      <c r="G449" s="683" t="e">
        <f t="array" ref="G449">LOOKUP(1,0/(('5.21出货明细'!D:D=B449)*('5.21出货明细'!G:G&amp;'5.21出货明细'!F:F=C449)),'5.21出货明细'!Z:Z)</f>
        <v>#N/A</v>
      </c>
      <c r="H449" s="684" t="e">
        <f t="shared" si="10"/>
        <v>#N/A</v>
      </c>
    </row>
    <row r="450" customFormat="1" ht="40" customHeight="1" spans="1:8">
      <c r="A450">
        <v>127</v>
      </c>
      <c r="B450" s="679" t="e">
        <f t="array" ref="B450">LOOKUP(1,0/(('5.21出货明细'!V:V=$H$430)*('5.21出货明细'!X:X=$H$426)*('5.21出货明细'!A:A=A450)),'5.21出货明细'!D:D)</f>
        <v>#N/A</v>
      </c>
      <c r="C450" s="679" t="e">
        <f t="array" ref="C450">LOOKUP(1,0/(('5.21出货明细'!V:V=$H$430)*('5.21出货明细'!X:X=$H$426)*('5.21出货明细'!A:A=A450)),'5.21出货明细'!G:G&amp;'5.21出货明细'!F:F)</f>
        <v>#N/A</v>
      </c>
      <c r="D450" s="680" t="e">
        <f t="array" ref="D450">LOOKUP(1,0/(('5.21出货明细'!D:D=B450)*('5.21出货明细'!G:G&amp;'5.21出货明细'!F:F=C450)),'5.21出货明细'!J:J)</f>
        <v>#N/A</v>
      </c>
      <c r="E450" s="681" t="e">
        <f t="array" ref="E450">LOOKUP(1,0/(('5.21出货明细'!D:D=B450)*('5.21出货明细'!G:G&amp;'5.21出货明细'!F:F=C450)),'5.21出货明细'!C:C)</f>
        <v>#N/A</v>
      </c>
      <c r="F450" s="682" t="e">
        <f t="array" ref="F450">LOOKUP(1,0/(('5.21出货明细'!D:D=B450)*('5.21出货明细'!G:G&amp;'5.21出货明细'!F:F=C450)),'5.21出货明细'!K:K)</f>
        <v>#N/A</v>
      </c>
      <c r="G450" s="683" t="e">
        <f t="array" ref="G450">LOOKUP(1,0/(('5.21出货明细'!D:D=B450)*('5.21出货明细'!G:G&amp;'5.21出货明细'!F:F=C450)),'5.21出货明细'!Z:Z)</f>
        <v>#N/A</v>
      </c>
      <c r="H450" s="684" t="e">
        <f t="shared" si="10"/>
        <v>#N/A</v>
      </c>
    </row>
    <row r="451" customFormat="1" ht="40" customHeight="1" spans="1:8">
      <c r="A451">
        <v>128</v>
      </c>
      <c r="B451" s="679" t="e">
        <f t="array" ref="B451">LOOKUP(1,0/(('5.21出货明细'!V:V=$H$430)*('5.21出货明细'!X:X=$H$426)*('5.21出货明细'!A:A=A451)),'5.21出货明细'!D:D)</f>
        <v>#N/A</v>
      </c>
      <c r="C451" s="679" t="e">
        <f t="array" ref="C451">LOOKUP(1,0/(('5.21出货明细'!V:V=$H$430)*('5.21出货明细'!X:X=$H$426)*('5.21出货明细'!A:A=A451)),'5.21出货明细'!G:G&amp;'5.21出货明细'!F:F)</f>
        <v>#N/A</v>
      </c>
      <c r="D451" s="680" t="e">
        <f t="array" ref="D451">LOOKUP(1,0/(('5.21出货明细'!D:D=B451)*('5.21出货明细'!G:G&amp;'5.21出货明细'!F:F=C451)),'5.21出货明细'!J:J)</f>
        <v>#N/A</v>
      </c>
      <c r="E451" s="681" t="e">
        <f t="array" ref="E451">LOOKUP(1,0/(('5.21出货明细'!D:D=B451)*('5.21出货明细'!G:G&amp;'5.21出货明细'!F:F=C451)),'5.21出货明细'!C:C)</f>
        <v>#N/A</v>
      </c>
      <c r="F451" s="682" t="e">
        <f t="array" ref="F451">LOOKUP(1,0/(('5.21出货明细'!D:D=B451)*('5.21出货明细'!G:G&amp;'5.21出货明细'!F:F=C451)),'5.21出货明细'!K:K)</f>
        <v>#N/A</v>
      </c>
      <c r="G451" s="683" t="e">
        <f t="array" ref="G451">LOOKUP(1,0/(('5.21出货明细'!D:D=B451)*('5.21出货明细'!G:G&amp;'5.21出货明细'!F:F=C451)),'5.21出货明细'!Z:Z)</f>
        <v>#N/A</v>
      </c>
      <c r="H451" s="684" t="e">
        <f t="shared" si="10"/>
        <v>#N/A</v>
      </c>
    </row>
    <row r="452" customFormat="1" ht="40" customHeight="1" spans="1:8">
      <c r="A452">
        <v>129</v>
      </c>
      <c r="B452" s="679" t="e">
        <f t="array" ref="B452">LOOKUP(1,0/(('5.21出货明细'!V:V=$H$430)*('5.21出货明细'!X:X=$H$426)*('5.21出货明细'!A:A=A452)),'5.21出货明细'!D:D)</f>
        <v>#N/A</v>
      </c>
      <c r="C452" s="679" t="e">
        <f t="array" ref="C452">LOOKUP(1,0/(('5.21出货明细'!V:V=$H$430)*('5.21出货明细'!X:X=$H$426)*('5.21出货明细'!A:A=A452)),'5.21出货明细'!G:G&amp;'5.21出货明细'!F:F)</f>
        <v>#N/A</v>
      </c>
      <c r="D452" s="680" t="e">
        <f t="array" ref="D452">LOOKUP(1,0/(('5.21出货明细'!D:D=B452)*('5.21出货明细'!G:G&amp;'5.21出货明细'!F:F=C452)),'5.21出货明细'!J:J)</f>
        <v>#N/A</v>
      </c>
      <c r="E452" s="681" t="e">
        <f t="array" ref="E452">LOOKUP(1,0/(('5.21出货明细'!D:D=B452)*('5.21出货明细'!G:G&amp;'5.21出货明细'!F:F=C452)),'5.21出货明细'!C:C)</f>
        <v>#N/A</v>
      </c>
      <c r="F452" s="682" t="e">
        <f t="array" ref="F452">LOOKUP(1,0/(('5.21出货明细'!D:D=B452)*('5.21出货明细'!G:G&amp;'5.21出货明细'!F:F=C452)),'5.21出货明细'!K:K)</f>
        <v>#N/A</v>
      </c>
      <c r="G452" s="683" t="e">
        <f t="array" ref="G452">LOOKUP(1,0/(('5.21出货明细'!D:D=B452)*('5.21出货明细'!G:G&amp;'5.21出货明细'!F:F=C452)),'5.21出货明细'!Z:Z)</f>
        <v>#N/A</v>
      </c>
      <c r="H452" s="684" t="e">
        <f t="shared" si="10"/>
        <v>#N/A</v>
      </c>
    </row>
    <row r="453" customFormat="1" ht="40" customHeight="1" spans="1:8">
      <c r="B453" s="679"/>
      <c r="C453" s="679"/>
      <c r="D453" s="680"/>
      <c r="E453" s="681"/>
      <c r="F453" s="682"/>
      <c r="G453" s="686"/>
      <c r="H453" s="684"/>
    </row>
    <row r="454" customFormat="1" ht="40" customHeight="1" spans="1:8">
      <c r="B454" s="679"/>
      <c r="C454" s="679"/>
      <c r="D454" s="680"/>
      <c r="E454" s="681"/>
      <c r="F454" s="682"/>
      <c r="G454" s="686"/>
      <c r="H454" s="684"/>
    </row>
    <row r="455" customFormat="1" ht="18" spans="1:8">
      <c r="A455" s="636"/>
      <c r="B455" s="687"/>
      <c r="C455" s="688"/>
      <c r="D455" s="687"/>
      <c r="E455" s="687"/>
      <c r="F455" s="679" t="s">
        <v>1647</v>
      </c>
      <c r="G455" s="689" t="e">
        <f>SUM(H446:H454)</f>
        <v>#N/A</v>
      </c>
      <c r="H455" s="690"/>
    </row>
    <row r="456" customFormat="1" ht="36" spans="1:8">
      <c r="A456" s="639"/>
      <c r="B456" s="691" t="s">
        <v>1648</v>
      </c>
      <c r="C456" s="692" t="e">
        <f>G455</f>
        <v>#N/A</v>
      </c>
      <c r="D456" s="693"/>
      <c r="E456" s="694"/>
      <c r="F456" s="695"/>
      <c r="G456" s="700"/>
      <c r="H456" s="700"/>
    </row>
  </sheetData>
  <mergeCells count="224">
    <mergeCell ref="B1:H1"/>
    <mergeCell ref="B2:H2"/>
    <mergeCell ref="B3:H3"/>
    <mergeCell ref="B4:H4"/>
    <mergeCell ref="B5:H5"/>
    <mergeCell ref="B6:H6"/>
    <mergeCell ref="B7:H7"/>
    <mergeCell ref="B8:F8"/>
    <mergeCell ref="B9:F9"/>
    <mergeCell ref="B10:F10"/>
    <mergeCell ref="B13:F13"/>
    <mergeCell ref="B14:C14"/>
    <mergeCell ref="B19:F19"/>
    <mergeCell ref="C27:E27"/>
    <mergeCell ref="G27:H27"/>
    <mergeCell ref="G29:H29"/>
    <mergeCell ref="G48:H48"/>
    <mergeCell ref="C49:E49"/>
    <mergeCell ref="B55:H55"/>
    <mergeCell ref="B56:H56"/>
    <mergeCell ref="B57:H57"/>
    <mergeCell ref="B58:H58"/>
    <mergeCell ref="B59:H59"/>
    <mergeCell ref="B60:H60"/>
    <mergeCell ref="B61:H61"/>
    <mergeCell ref="B62:F62"/>
    <mergeCell ref="B63:F63"/>
    <mergeCell ref="B64:F64"/>
    <mergeCell ref="B67:F67"/>
    <mergeCell ref="B68:C68"/>
    <mergeCell ref="B73:F73"/>
    <mergeCell ref="C81:E81"/>
    <mergeCell ref="G81:H81"/>
    <mergeCell ref="G83:H83"/>
    <mergeCell ref="G95:H95"/>
    <mergeCell ref="C96:E96"/>
    <mergeCell ref="B98:H98"/>
    <mergeCell ref="B99:H99"/>
    <mergeCell ref="B100:H100"/>
    <mergeCell ref="B101:H101"/>
    <mergeCell ref="B102:H102"/>
    <mergeCell ref="B103:H103"/>
    <mergeCell ref="B104:H104"/>
    <mergeCell ref="B105:F105"/>
    <mergeCell ref="B106:F106"/>
    <mergeCell ref="B107:F107"/>
    <mergeCell ref="B110:F110"/>
    <mergeCell ref="B111:C111"/>
    <mergeCell ref="B116:F116"/>
    <mergeCell ref="C122:E122"/>
    <mergeCell ref="G122:H122"/>
    <mergeCell ref="G124:H124"/>
    <mergeCell ref="G137:H137"/>
    <mergeCell ref="C138:E138"/>
    <mergeCell ref="B140:H140"/>
    <mergeCell ref="B141:H141"/>
    <mergeCell ref="B142:H142"/>
    <mergeCell ref="B143:H143"/>
    <mergeCell ref="B144:H144"/>
    <mergeCell ref="B145:H145"/>
    <mergeCell ref="B146:H146"/>
    <mergeCell ref="B147:F147"/>
    <mergeCell ref="B148:F148"/>
    <mergeCell ref="B149:F149"/>
    <mergeCell ref="B152:F152"/>
    <mergeCell ref="B153:C153"/>
    <mergeCell ref="B158:F158"/>
    <mergeCell ref="C164:E164"/>
    <mergeCell ref="G164:H164"/>
    <mergeCell ref="G166:H166"/>
    <mergeCell ref="G184:H184"/>
    <mergeCell ref="C185:E185"/>
    <mergeCell ref="B187:H187"/>
    <mergeCell ref="B188:H188"/>
    <mergeCell ref="B189:H189"/>
    <mergeCell ref="B190:H190"/>
    <mergeCell ref="B191:H191"/>
    <mergeCell ref="B192:H192"/>
    <mergeCell ref="B193:H193"/>
    <mergeCell ref="B194:F194"/>
    <mergeCell ref="B195:F195"/>
    <mergeCell ref="B196:F196"/>
    <mergeCell ref="B199:F199"/>
    <mergeCell ref="B200:C200"/>
    <mergeCell ref="B205:F205"/>
    <mergeCell ref="C211:E211"/>
    <mergeCell ref="G211:H211"/>
    <mergeCell ref="G213:H213"/>
    <mergeCell ref="G231:H231"/>
    <mergeCell ref="C232:E232"/>
    <mergeCell ref="B234:H234"/>
    <mergeCell ref="B235:H235"/>
    <mergeCell ref="B236:H236"/>
    <mergeCell ref="B237:H237"/>
    <mergeCell ref="B238:H238"/>
    <mergeCell ref="B239:H239"/>
    <mergeCell ref="B240:H240"/>
    <mergeCell ref="B241:F241"/>
    <mergeCell ref="B242:F242"/>
    <mergeCell ref="B243:F243"/>
    <mergeCell ref="B246:F246"/>
    <mergeCell ref="B247:C247"/>
    <mergeCell ref="B252:F252"/>
    <mergeCell ref="C259:E259"/>
    <mergeCell ref="G259:H259"/>
    <mergeCell ref="G261:H261"/>
    <mergeCell ref="G279:H279"/>
    <mergeCell ref="C280:E280"/>
    <mergeCell ref="B282:H282"/>
    <mergeCell ref="B283:H283"/>
    <mergeCell ref="B284:H284"/>
    <mergeCell ref="B285:H285"/>
    <mergeCell ref="B286:H286"/>
    <mergeCell ref="B287:H287"/>
    <mergeCell ref="B288:H288"/>
    <mergeCell ref="B289:F289"/>
    <mergeCell ref="B290:F290"/>
    <mergeCell ref="B291:F291"/>
    <mergeCell ref="B294:F294"/>
    <mergeCell ref="B295:C295"/>
    <mergeCell ref="B300:F300"/>
    <mergeCell ref="C307:E307"/>
    <mergeCell ref="G307:H307"/>
    <mergeCell ref="G309:H309"/>
    <mergeCell ref="G327:H327"/>
    <mergeCell ref="C328:E328"/>
    <mergeCell ref="B330:H330"/>
    <mergeCell ref="B331:H331"/>
    <mergeCell ref="B332:H332"/>
    <mergeCell ref="B333:H333"/>
    <mergeCell ref="B334:H334"/>
    <mergeCell ref="B335:H335"/>
    <mergeCell ref="B336:H336"/>
    <mergeCell ref="B337:F337"/>
    <mergeCell ref="B338:F338"/>
    <mergeCell ref="B339:F339"/>
    <mergeCell ref="B342:F342"/>
    <mergeCell ref="B343:C343"/>
    <mergeCell ref="B348:F348"/>
    <mergeCell ref="C355:E355"/>
    <mergeCell ref="G355:H355"/>
    <mergeCell ref="G357:H357"/>
    <mergeCell ref="G370:H370"/>
    <mergeCell ref="C371:E371"/>
    <mergeCell ref="B373:H373"/>
    <mergeCell ref="B374:H374"/>
    <mergeCell ref="B375:H375"/>
    <mergeCell ref="B376:H376"/>
    <mergeCell ref="B377:H377"/>
    <mergeCell ref="B378:H378"/>
    <mergeCell ref="B379:H379"/>
    <mergeCell ref="B380:F380"/>
    <mergeCell ref="B381:F381"/>
    <mergeCell ref="B382:F382"/>
    <mergeCell ref="B385:F385"/>
    <mergeCell ref="B386:C386"/>
    <mergeCell ref="B391:F391"/>
    <mergeCell ref="C399:E399"/>
    <mergeCell ref="G399:H399"/>
    <mergeCell ref="G401:H401"/>
    <mergeCell ref="G411:H411"/>
    <mergeCell ref="C412:E412"/>
    <mergeCell ref="B418:H418"/>
    <mergeCell ref="B419:H419"/>
    <mergeCell ref="B420:H420"/>
    <mergeCell ref="B421:H421"/>
    <mergeCell ref="B422:H422"/>
    <mergeCell ref="B423:H423"/>
    <mergeCell ref="B424:H424"/>
    <mergeCell ref="B425:F425"/>
    <mergeCell ref="B426:F426"/>
    <mergeCell ref="B427:F427"/>
    <mergeCell ref="B430:F430"/>
    <mergeCell ref="B431:C431"/>
    <mergeCell ref="B436:F436"/>
    <mergeCell ref="C443:E443"/>
    <mergeCell ref="G443:H443"/>
    <mergeCell ref="G445:H445"/>
    <mergeCell ref="G455:H455"/>
    <mergeCell ref="C456:E456"/>
    <mergeCell ref="B11:E12"/>
    <mergeCell ref="B15:F16"/>
    <mergeCell ref="B23:F25"/>
    <mergeCell ref="F50:H51"/>
    <mergeCell ref="F52:H53"/>
    <mergeCell ref="B50:D53"/>
    <mergeCell ref="B65:E66"/>
    <mergeCell ref="B69:F70"/>
    <mergeCell ref="B77:F79"/>
    <mergeCell ref="B112:F113"/>
    <mergeCell ref="J120:N121"/>
    <mergeCell ref="B108:E109"/>
    <mergeCell ref="B120:F121"/>
    <mergeCell ref="B154:F155"/>
    <mergeCell ref="J162:N163"/>
    <mergeCell ref="B150:E151"/>
    <mergeCell ref="B201:F202"/>
    <mergeCell ref="J209:N210"/>
    <mergeCell ref="B197:E198"/>
    <mergeCell ref="B248:F249"/>
    <mergeCell ref="J256:N257"/>
    <mergeCell ref="B244:E245"/>
    <mergeCell ref="B256:F257"/>
    <mergeCell ref="B209:F210"/>
    <mergeCell ref="B162:F163"/>
    <mergeCell ref="B296:F297"/>
    <mergeCell ref="B292:E293"/>
    <mergeCell ref="J304:N305"/>
    <mergeCell ref="B304:F305"/>
    <mergeCell ref="F415:H416"/>
    <mergeCell ref="B344:F345"/>
    <mergeCell ref="F413:H414"/>
    <mergeCell ref="B383:E384"/>
    <mergeCell ref="B387:F388"/>
    <mergeCell ref="B395:F397"/>
    <mergeCell ref="B340:E341"/>
    <mergeCell ref="J352:N353"/>
    <mergeCell ref="B352:F353"/>
    <mergeCell ref="J395:N397"/>
    <mergeCell ref="B413:D416"/>
    <mergeCell ref="B432:F433"/>
    <mergeCell ref="J440:N441"/>
    <mergeCell ref="B428:E429"/>
    <mergeCell ref="B440:F442"/>
  </mergeCells>
  <pageMargins left="0.118055555555556" right="0.118055555555556" top="0.196527777777778" bottom="0.0388888888888889" header="0.0388888888888889" footer="0.0388888888888889"/>
  <pageSetup paperSize="9" scale="62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11"/>
  <sheetViews>
    <sheetView zoomScale="80" zoomScaleNormal="80" topLeftCell="A380" workbookViewId="0">
      <selection activeCell="I395" sqref="I395"/>
    </sheetView>
  </sheetViews>
  <sheetFormatPr defaultColWidth="8.61666666666667" defaultRowHeight="13.5"/>
  <cols>
    <col min="1" max="1" width="7.91666666666667" customWidth="1"/>
    <col min="2" max="2" width="21.2416666666667" customWidth="1"/>
    <col min="3" max="3" width="51.1333333333333" customWidth="1"/>
    <col min="4" max="4" width="14.8333333333333" customWidth="1"/>
    <col min="5" max="5" width="8.90833333333333" customWidth="1"/>
    <col min="6" max="6" width="11.1083333333333" customWidth="1"/>
    <col min="7" max="7" width="8.89166666666667" customWidth="1"/>
    <col min="8" max="8" width="14.3833333333333" customWidth="1"/>
    <col min="9" max="10" width="14.2166666666667" customWidth="1"/>
    <col min="11" max="11" width="10.15" style="429" customWidth="1"/>
    <col min="12" max="17" width="19" customWidth="1"/>
  </cols>
  <sheetData>
    <row r="1" customFormat="1" ht="25.5" spans="1:11">
      <c r="A1" s="515" t="s">
        <v>1546</v>
      </c>
      <c r="B1" s="516"/>
      <c r="C1" s="516"/>
      <c r="D1" s="516"/>
      <c r="E1" s="516"/>
      <c r="F1" s="516"/>
      <c r="G1" s="516"/>
      <c r="H1" s="516"/>
      <c r="I1" s="516"/>
      <c r="J1" s="516"/>
      <c r="K1" s="517"/>
    </row>
    <row r="2" customFormat="1" spans="1:11">
      <c r="A2" s="518" t="s">
        <v>1656</v>
      </c>
      <c r="B2" s="519"/>
      <c r="C2" s="519"/>
      <c r="D2" s="519"/>
      <c r="E2" s="519"/>
      <c r="F2" s="519"/>
      <c r="G2" s="519"/>
      <c r="H2" s="519"/>
      <c r="I2" s="519"/>
      <c r="J2" s="519"/>
      <c r="K2" s="520"/>
    </row>
    <row r="3" customFormat="1" spans="1:11">
      <c r="A3" s="518"/>
      <c r="B3" s="519"/>
      <c r="C3" s="519"/>
      <c r="D3" s="519"/>
      <c r="E3" s="519"/>
      <c r="F3" s="519"/>
      <c r="G3" s="519"/>
      <c r="H3" s="519"/>
      <c r="I3" s="519"/>
      <c r="J3" s="519"/>
      <c r="K3" s="520"/>
    </row>
    <row r="4" customFormat="1" ht="18" spans="1:11">
      <c r="A4" s="521"/>
      <c r="B4" s="522"/>
      <c r="C4" s="522"/>
      <c r="D4" s="522"/>
      <c r="E4" s="522"/>
      <c r="F4" s="522"/>
      <c r="G4" s="522"/>
      <c r="H4" s="522"/>
      <c r="I4" s="522"/>
      <c r="J4" s="522"/>
      <c r="K4" s="523"/>
    </row>
    <row r="5" customFormat="1" ht="18" spans="1:11">
      <c r="A5" s="521"/>
      <c r="B5" s="522"/>
      <c r="C5" s="522"/>
      <c r="D5" s="522"/>
      <c r="E5" s="522"/>
      <c r="F5" s="522"/>
      <c r="G5" s="522"/>
      <c r="H5" s="522"/>
      <c r="I5" s="522"/>
      <c r="J5" s="522"/>
      <c r="K5" s="523"/>
    </row>
    <row r="6" customFormat="1" spans="1:11">
      <c r="A6" s="524" t="s">
        <v>1667</v>
      </c>
      <c r="B6" s="525"/>
      <c r="C6" s="525"/>
      <c r="D6" s="525"/>
      <c r="E6" s="525"/>
      <c r="F6" s="525"/>
      <c r="G6" s="525"/>
      <c r="H6" s="525"/>
      <c r="I6" s="525"/>
      <c r="J6" s="525"/>
      <c r="K6" s="526"/>
    </row>
    <row r="7" customFormat="1" ht="14.25" spans="1:11">
      <c r="A7" s="524"/>
      <c r="B7" s="525"/>
      <c r="C7" s="525"/>
      <c r="D7" s="525"/>
      <c r="E7" s="525"/>
      <c r="F7" s="525"/>
      <c r="G7" s="525"/>
      <c r="H7" s="525"/>
      <c r="I7" s="525"/>
      <c r="J7" s="525"/>
      <c r="K7" s="526"/>
    </row>
    <row r="8" customFormat="1" ht="16.5" spans="1:11">
      <c r="A8" s="527" t="s">
        <v>1668</v>
      </c>
      <c r="B8" s="528"/>
      <c r="C8" s="528"/>
      <c r="D8" s="529" t="s">
        <v>1669</v>
      </c>
      <c r="E8" s="530"/>
      <c r="F8" s="530"/>
      <c r="G8" s="530"/>
      <c r="H8" s="529" t="s">
        <v>1670</v>
      </c>
      <c r="I8" s="531"/>
      <c r="J8" s="531"/>
      <c r="K8" s="532"/>
    </row>
    <row r="9" customFormat="1" ht="16" customHeight="1" spans="1:11">
      <c r="A9" s="533" t="s">
        <v>1671</v>
      </c>
      <c r="B9" s="534"/>
      <c r="C9" s="534"/>
      <c r="D9" s="535" t="str">
        <f>实业发票!H9</f>
        <v>PR202600276</v>
      </c>
      <c r="E9" s="536"/>
      <c r="F9" s="536"/>
      <c r="G9" s="536"/>
      <c r="H9" s="537"/>
      <c r="I9" s="538"/>
      <c r="J9" s="538"/>
      <c r="K9" s="539"/>
    </row>
    <row r="10" customFormat="1" ht="16" customHeight="1" spans="1:11">
      <c r="A10" s="533"/>
      <c r="B10" s="534"/>
      <c r="C10" s="534"/>
      <c r="D10" s="540" t="s">
        <v>1672</v>
      </c>
      <c r="E10" s="541"/>
      <c r="F10" s="541"/>
      <c r="G10" s="542"/>
      <c r="H10" s="543"/>
      <c r="I10" s="543"/>
      <c r="J10" s="543"/>
      <c r="K10" s="544"/>
    </row>
    <row r="11" customFormat="1" ht="16" customHeight="1" spans="1:11">
      <c r="A11" s="533"/>
      <c r="B11" s="534"/>
      <c r="C11" s="534"/>
      <c r="D11" s="545">
        <v>46134</v>
      </c>
      <c r="E11" s="546"/>
      <c r="F11" s="546"/>
      <c r="G11" s="547"/>
      <c r="H11" s="548"/>
      <c r="I11" s="549"/>
      <c r="J11" s="549"/>
      <c r="K11" s="550"/>
    </row>
    <row r="12" customFormat="1" ht="16.5" spans="1:11">
      <c r="A12" s="551" t="s">
        <v>1673</v>
      </c>
      <c r="B12" s="552"/>
      <c r="C12" s="553"/>
      <c r="D12" s="554" t="s">
        <v>1674</v>
      </c>
      <c r="E12" s="555"/>
      <c r="F12" s="555"/>
      <c r="G12" s="555"/>
      <c r="H12" s="556" t="s">
        <v>1675</v>
      </c>
      <c r="I12" s="543"/>
      <c r="J12" s="557"/>
      <c r="K12" s="558"/>
    </row>
    <row r="13" customFormat="1" ht="16.5" spans="1:11">
      <c r="A13" s="551" t="s">
        <v>1676</v>
      </c>
      <c r="B13" s="552"/>
      <c r="C13" s="553"/>
      <c r="D13" s="559" t="str">
        <f>实业合同!H5</f>
        <v>RPIRRI260276</v>
      </c>
      <c r="E13" s="559"/>
      <c r="F13" s="559"/>
      <c r="G13" s="559"/>
      <c r="H13" s="560"/>
      <c r="I13" s="560"/>
      <c r="J13" s="560"/>
      <c r="K13" s="561"/>
    </row>
    <row r="14" customFormat="1" ht="16.5" spans="1:11">
      <c r="A14" s="562" t="s">
        <v>1677</v>
      </c>
      <c r="B14" s="563"/>
      <c r="C14" s="563"/>
      <c r="D14" s="564"/>
      <c r="E14" s="564"/>
      <c r="F14" s="564"/>
      <c r="G14" s="564"/>
      <c r="H14" s="560"/>
      <c r="I14" s="560"/>
      <c r="J14" s="560"/>
      <c r="K14" s="561"/>
    </row>
    <row r="15" customFormat="1" ht="16.5" spans="1:11">
      <c r="A15" s="565" t="s">
        <v>1678</v>
      </c>
      <c r="B15" s="566"/>
      <c r="C15" s="567"/>
      <c r="D15" s="564"/>
      <c r="E15" s="564"/>
      <c r="F15" s="564"/>
      <c r="G15" s="564"/>
      <c r="H15" s="568"/>
      <c r="I15" s="568"/>
      <c r="J15" s="568"/>
      <c r="K15" s="569"/>
    </row>
    <row r="16" customFormat="1" ht="16.5" spans="1:11">
      <c r="A16" s="570" t="s">
        <v>1558</v>
      </c>
      <c r="B16" s="571"/>
      <c r="C16" s="553"/>
      <c r="D16" s="554" t="s">
        <v>1679</v>
      </c>
      <c r="E16" s="541"/>
      <c r="F16" s="541"/>
      <c r="G16" s="543"/>
      <c r="H16" s="556" t="s">
        <v>1680</v>
      </c>
      <c r="I16" s="543"/>
      <c r="J16" s="557"/>
      <c r="K16" s="558"/>
    </row>
    <row r="17" customFormat="1" ht="16.5" spans="1:11">
      <c r="A17" s="570" t="s">
        <v>1681</v>
      </c>
      <c r="B17" s="553"/>
      <c r="C17" s="572"/>
      <c r="D17" s="573" t="s">
        <v>1682</v>
      </c>
      <c r="E17" s="574"/>
      <c r="F17" s="574"/>
      <c r="G17" s="575"/>
      <c r="H17" s="574" t="s">
        <v>1683</v>
      </c>
      <c r="I17" s="574"/>
      <c r="J17" s="574"/>
      <c r="K17" s="576"/>
    </row>
    <row r="18" customFormat="1" ht="16.5" spans="1:11">
      <c r="A18" s="577" t="s">
        <v>1684</v>
      </c>
      <c r="B18" s="578"/>
      <c r="C18" s="579"/>
      <c r="D18" s="573"/>
      <c r="E18" s="574"/>
      <c r="F18" s="574"/>
      <c r="G18" s="575"/>
      <c r="H18" s="574"/>
      <c r="I18" s="574"/>
      <c r="J18" s="574"/>
      <c r="K18" s="576"/>
    </row>
    <row r="19" customFormat="1" ht="16.5" spans="1:11">
      <c r="A19" s="577" t="s">
        <v>1685</v>
      </c>
      <c r="B19" s="578"/>
      <c r="C19" s="579"/>
      <c r="D19" s="573"/>
      <c r="E19" s="574"/>
      <c r="F19" s="574"/>
      <c r="G19" s="575"/>
      <c r="H19" s="574"/>
      <c r="I19" s="574"/>
      <c r="J19" s="574"/>
      <c r="K19" s="576"/>
    </row>
    <row r="20" customFormat="1" ht="16.5" spans="1:11">
      <c r="A20" s="580" t="s">
        <v>1686</v>
      </c>
      <c r="B20" s="581"/>
      <c r="C20" s="579"/>
      <c r="D20" s="573"/>
      <c r="E20" s="574"/>
      <c r="F20" s="574"/>
      <c r="G20" s="575"/>
      <c r="H20" s="574"/>
      <c r="I20" s="574"/>
      <c r="J20" s="574"/>
      <c r="K20" s="576"/>
    </row>
    <row r="21" customFormat="1" ht="16.5" spans="1:11">
      <c r="A21" s="577" t="s">
        <v>1687</v>
      </c>
      <c r="B21" s="572"/>
      <c r="C21" s="572"/>
      <c r="D21" s="582"/>
      <c r="E21" s="583"/>
      <c r="F21" s="583"/>
      <c r="G21" s="584"/>
      <c r="H21" s="583"/>
      <c r="I21" s="583"/>
      <c r="J21" s="583"/>
      <c r="K21" s="585"/>
    </row>
    <row r="22" customFormat="1" ht="16.5" spans="1:11">
      <c r="A22" s="577" t="s">
        <v>1561</v>
      </c>
      <c r="B22" s="572"/>
      <c r="C22" s="572"/>
      <c r="D22" s="554"/>
      <c r="E22" s="541"/>
      <c r="F22" s="541"/>
      <c r="G22" s="541"/>
      <c r="H22" s="586"/>
      <c r="I22" s="541"/>
      <c r="J22" s="541"/>
      <c r="K22" s="587"/>
    </row>
    <row r="23" customFormat="1" ht="18" customHeight="1" spans="1:11">
      <c r="A23" s="588" t="s">
        <v>1688</v>
      </c>
      <c r="B23" s="589"/>
      <c r="C23" s="590"/>
      <c r="D23" s="591"/>
      <c r="E23" s="592"/>
      <c r="F23" s="592"/>
      <c r="G23" s="592"/>
      <c r="H23" s="592"/>
      <c r="I23" s="592"/>
      <c r="J23" s="592"/>
      <c r="K23" s="593"/>
    </row>
    <row r="24" customFormat="1" ht="38.25" spans="1:11">
      <c r="A24" s="594" t="s">
        <v>1689</v>
      </c>
      <c r="B24" s="595" t="s">
        <v>1641</v>
      </c>
      <c r="C24" s="596" t="s">
        <v>1642</v>
      </c>
      <c r="D24" s="597" t="s">
        <v>1644</v>
      </c>
      <c r="E24" s="597" t="s">
        <v>8</v>
      </c>
      <c r="F24" s="597" t="s">
        <v>1644</v>
      </c>
      <c r="G24" s="595" t="s">
        <v>8</v>
      </c>
      <c r="H24" s="598" t="s">
        <v>1690</v>
      </c>
      <c r="I24" s="599" t="s">
        <v>1691</v>
      </c>
      <c r="J24" s="599" t="s">
        <v>23</v>
      </c>
      <c r="K24" s="600" t="s">
        <v>1692</v>
      </c>
    </row>
    <row r="25" s="429" customFormat="1" ht="60" customHeight="1" spans="1:11">
      <c r="A25" s="601">
        <v>1</v>
      </c>
      <c r="B25" s="602" t="e">
        <f t="array" ref="B25">LOOKUP(1,0/(('5.21出货明细'!X:X=$D$9)*('5.21出货明细'!A:A=A25)),'5.21出货明细'!D:D)</f>
        <v>#N/A</v>
      </c>
      <c r="C25" s="603" t="e">
        <f t="array" ref="C25">LOOKUP(1,0/(('5.21出货明细'!X:X=$D$9)*('5.21出货明细'!A:A=A25)),'5.21出货明细'!G:G&amp;'5.21出货明细'!F:F)</f>
        <v>#N/A</v>
      </c>
      <c r="D25" s="604" t="e">
        <f t="array" ref="D25">LOOKUP(1,0/(('5.21出货明细'!X:X=$D$9)*('5.21出货明细'!A:A=A25)),'5.21出货明细'!K:K)</f>
        <v>#N/A</v>
      </c>
      <c r="E25" s="604" t="e">
        <f t="array" ref="E25">LOOKUP(1,0/(('5.21出货明细'!X:X=$D$9)*('5.21出货明细'!A:A=A25)),'5.21出货明细'!J:J)</f>
        <v>#N/A</v>
      </c>
      <c r="F25" s="604" t="e">
        <f t="array" ref="F25">LOOKUP(1,0/(('5.21出货明细'!X:X=$D$9)*('5.21出货明细'!A:A=A25)),'5.21出货明细'!L:L)</f>
        <v>#N/A</v>
      </c>
      <c r="G25" s="604" t="e">
        <f t="array" ref="G25">LOOKUP(1,0/(('5.21出货明细'!X:X=$D$9)*('5.21出货明细'!A:A=A25)),'5.21出货明细'!M:M)</f>
        <v>#N/A</v>
      </c>
      <c r="H25" s="605" t="e">
        <f t="array" ref="H25">LOOKUP(1,0/(('5.21出货明细'!X:X=$D$9)*('5.21出货明细'!A:A=A25)),'5.21出货明细'!P:P)</f>
        <v>#N/A</v>
      </c>
      <c r="I25" s="606" t="e">
        <f t="array" ref="I25">LOOKUP(1,0/(('5.21出货明细'!X:X=$D$9)*('5.21出货明细'!A:A=A25)),'5.21出货明细'!Q:Q)</f>
        <v>#N/A</v>
      </c>
      <c r="J25" s="606" t="e">
        <f t="array" ref="J25">LOOKUP(1,0/(('5.21出货明细'!X:X=$D$9)*('5.21出货明细'!A:A=A25)),'5.21出货明细'!AT:AT)</f>
        <v>#N/A</v>
      </c>
      <c r="K25" s="607" t="e">
        <f t="array" ref="K25">LOOKUP(1,0/(('5.21出货明细'!X:X=$D$9)*('5.21出货明细'!A:A=A25)),'5.21出货明细'!S:S)</f>
        <v>#N/A</v>
      </c>
    </row>
    <row r="26" customFormat="1" ht="60" customHeight="1" spans="1:11">
      <c r="A26" s="601">
        <v>2</v>
      </c>
      <c r="B26" s="602" t="e">
        <f t="array" ref="B26">LOOKUP(1,0/(('5.21出货明细'!X:X=$D$9)*('5.21出货明细'!A:A=A26)),'5.21出货明细'!D:D)</f>
        <v>#N/A</v>
      </c>
      <c r="C26" s="603" t="e">
        <f t="array" ref="C26">LOOKUP(1,0/(('5.21出货明细'!X:X=$D$9)*('5.21出货明细'!A:A=A26)),'5.21出货明细'!G:G&amp;'5.21出货明细'!F:F)</f>
        <v>#N/A</v>
      </c>
      <c r="D26" s="604" t="e">
        <f t="array" ref="D26">LOOKUP(1,0/(('5.21出货明细'!X:X=$D$9)*('5.21出货明细'!A:A=A26)),'5.21出货明细'!K:K)</f>
        <v>#N/A</v>
      </c>
      <c r="E26" s="604" t="e">
        <f t="array" ref="E26">LOOKUP(1,0/(('5.21出货明细'!X:X=$D$9)*('5.21出货明细'!A:A=A26)),'5.21出货明细'!J:J)</f>
        <v>#N/A</v>
      </c>
      <c r="F26" s="604" t="e">
        <f t="array" ref="F26">LOOKUP(1,0/(('5.21出货明细'!X:X=$D$9)*('5.21出货明细'!A:A=A26)),'5.21出货明细'!L:L)</f>
        <v>#N/A</v>
      </c>
      <c r="G26" s="604" t="e">
        <f t="array" ref="G26">LOOKUP(1,0/(('5.21出货明细'!X:X=$D$9)*('5.21出货明细'!A:A=A26)),'5.21出货明细'!M:M)</f>
        <v>#N/A</v>
      </c>
      <c r="H26" s="605" t="e">
        <f t="array" ref="H26">LOOKUP(1,0/(('5.21出货明细'!X:X=$D$9)*('5.21出货明细'!A:A=A26)),'5.21出货明细'!P:P)</f>
        <v>#N/A</v>
      </c>
      <c r="I26" s="606" t="e">
        <f t="array" ref="I26">LOOKUP(1,0/(('5.21出货明细'!X:X=$D$9)*('5.21出货明细'!A:A=A26)),'5.21出货明细'!Q:Q)</f>
        <v>#N/A</v>
      </c>
      <c r="J26" s="606" t="e">
        <f t="array" ref="J26">LOOKUP(1,0/(('5.21出货明细'!X:X=$D$9)*('5.21出货明细'!A:A=A26)),'5.21出货明细'!AT:AT)</f>
        <v>#N/A</v>
      </c>
      <c r="K26" s="607" t="e">
        <f t="array" ref="K26">LOOKUP(1,0/(('5.21出货明细'!X:X=$D$9)*('5.21出货明细'!A:A=A26)),'5.21出货明细'!S:S)</f>
        <v>#N/A</v>
      </c>
    </row>
    <row r="27" customFormat="1" ht="60" customHeight="1" spans="1:11">
      <c r="A27" s="601">
        <v>3</v>
      </c>
      <c r="B27" s="602" t="e">
        <f t="array" ref="B27">LOOKUP(1,0/(('5.21出货明细'!X:X=$D$9)*('5.21出货明细'!A:A=A27)),'5.21出货明细'!D:D)</f>
        <v>#N/A</v>
      </c>
      <c r="C27" s="603" t="e">
        <f t="array" ref="C27">LOOKUP(1,0/(('5.21出货明细'!X:X=$D$9)*('5.21出货明细'!A:A=A27)),'5.21出货明细'!G:G&amp;'5.21出货明细'!F:F)</f>
        <v>#N/A</v>
      </c>
      <c r="D27" s="604" t="e">
        <f t="array" ref="D27">LOOKUP(1,0/(('5.21出货明细'!X:X=$D$9)*('5.21出货明细'!A:A=A27)),'5.21出货明细'!K:K)</f>
        <v>#N/A</v>
      </c>
      <c r="E27" s="604" t="e">
        <f t="array" ref="E27">LOOKUP(1,0/(('5.21出货明细'!X:X=$D$9)*('5.21出货明细'!A:A=A27)),'5.21出货明细'!J:J)</f>
        <v>#N/A</v>
      </c>
      <c r="F27" s="604" t="e">
        <f t="array" ref="F27">LOOKUP(1,0/(('5.21出货明细'!X:X=$D$9)*('5.21出货明细'!A:A=A27)),'5.21出货明细'!L:L)</f>
        <v>#N/A</v>
      </c>
      <c r="G27" s="604" t="e">
        <f t="array" ref="G27">LOOKUP(1,0/(('5.21出货明细'!X:X=$D$9)*('5.21出货明细'!A:A=A27)),'5.21出货明细'!M:M)</f>
        <v>#N/A</v>
      </c>
      <c r="H27" s="605" t="e">
        <f t="array" ref="H27">LOOKUP(1,0/(('5.21出货明细'!X:X=$D$9)*('5.21出货明细'!A:A=A27)),'5.21出货明细'!P:P)</f>
        <v>#N/A</v>
      </c>
      <c r="I27" s="606" t="e">
        <f t="array" ref="I27">LOOKUP(1,0/(('5.21出货明细'!X:X=$D$9)*('5.21出货明细'!A:A=A27)),'5.21出货明细'!Q:Q)</f>
        <v>#N/A</v>
      </c>
      <c r="J27" s="606" t="e">
        <f t="array" ref="J27">LOOKUP(1,0/(('5.21出货明细'!X:X=$D$9)*('5.21出货明细'!A:A=A27)),'5.21出货明细'!AT:AT)</f>
        <v>#N/A</v>
      </c>
      <c r="K27" s="607" t="e">
        <f t="array" ref="K27">LOOKUP(1,0/(('5.21出货明细'!X:X=$D$9)*('5.21出货明细'!A:A=A27)),'5.21出货明细'!S:S)</f>
        <v>#N/A</v>
      </c>
    </row>
    <row r="28" customFormat="1" ht="60" customHeight="1" spans="1:11">
      <c r="A28" s="601">
        <v>4</v>
      </c>
      <c r="B28" s="602" t="e">
        <f t="array" ref="B28">LOOKUP(1,0/(('5.21出货明细'!X:X=$D$9)*('5.21出货明细'!A:A=A28)),'5.21出货明细'!D:D)</f>
        <v>#N/A</v>
      </c>
      <c r="C28" s="603" t="e">
        <f t="array" ref="C28">LOOKUP(1,0/(('5.21出货明细'!X:X=$D$9)*('5.21出货明细'!A:A=A28)),'5.21出货明细'!G:G&amp;'5.21出货明细'!F:F)</f>
        <v>#N/A</v>
      </c>
      <c r="D28" s="604" t="e">
        <f t="array" ref="D28">LOOKUP(1,0/(('5.21出货明细'!X:X=$D$9)*('5.21出货明细'!A:A=A28)),'5.21出货明细'!K:K)</f>
        <v>#N/A</v>
      </c>
      <c r="E28" s="604" t="e">
        <f t="array" ref="E28">LOOKUP(1,0/(('5.21出货明细'!X:X=$D$9)*('5.21出货明细'!A:A=A28)),'5.21出货明细'!J:J)</f>
        <v>#N/A</v>
      </c>
      <c r="F28" s="604" t="e">
        <f t="array" ref="F28">LOOKUP(1,0/(('5.21出货明细'!X:X=$D$9)*('5.21出货明细'!A:A=A28)),'5.21出货明细'!L:L)</f>
        <v>#N/A</v>
      </c>
      <c r="G28" s="604" t="e">
        <f t="array" ref="G28">LOOKUP(1,0/(('5.21出货明细'!X:X=$D$9)*('5.21出货明细'!A:A=A28)),'5.21出货明细'!M:M)</f>
        <v>#N/A</v>
      </c>
      <c r="H28" s="605" t="e">
        <f t="array" ref="H28">LOOKUP(1,0/(('5.21出货明细'!X:X=$D$9)*('5.21出货明细'!A:A=A28)),'5.21出货明细'!P:P)</f>
        <v>#N/A</v>
      </c>
      <c r="I28" s="606" t="e">
        <f t="array" ref="I28">LOOKUP(1,0/(('5.21出货明细'!X:X=$D$9)*('5.21出货明细'!A:A=A28)),'5.21出货明细'!Q:Q)</f>
        <v>#N/A</v>
      </c>
      <c r="J28" s="606" t="e">
        <f t="array" ref="J28">LOOKUP(1,0/(('5.21出货明细'!X:X=$D$9)*('5.21出货明细'!A:A=A28)),'5.21出货明细'!AT:AT)</f>
        <v>#N/A</v>
      </c>
      <c r="K28" s="607" t="e">
        <f t="array" ref="K28">LOOKUP(1,0/(('5.21出货明细'!X:X=$D$9)*('5.21出货明细'!A:A=A28)),'5.21出货明细'!S:S)</f>
        <v>#N/A</v>
      </c>
    </row>
    <row r="29" customFormat="1" ht="55" customHeight="1" spans="1:11">
      <c r="A29" s="601">
        <v>5</v>
      </c>
      <c r="B29" s="602" t="e">
        <f t="array" ref="B29">LOOKUP(1,0/(('5.21出货明细'!X:X=$D$9)*('5.21出货明细'!A:A=A29)),'5.21出货明细'!D:D)</f>
        <v>#N/A</v>
      </c>
      <c r="C29" s="603" t="e">
        <f t="array" ref="C29">LOOKUP(1,0/(('5.21出货明细'!X:X=$D$9)*('5.21出货明细'!A:A=A29)),'5.21出货明细'!G:G&amp;'5.21出货明细'!F:F)</f>
        <v>#N/A</v>
      </c>
      <c r="D29" s="604" t="e">
        <f t="array" ref="D29">LOOKUP(1,0/(('5.21出货明细'!X:X=$D$9)*('5.21出货明细'!A:A=A29)),'5.21出货明细'!K:K)</f>
        <v>#N/A</v>
      </c>
      <c r="E29" s="604" t="e">
        <f t="array" ref="E29">LOOKUP(1,0/(('5.21出货明细'!X:X=$D$9)*('5.21出货明细'!A:A=A29)),'5.21出货明细'!J:J)</f>
        <v>#N/A</v>
      </c>
      <c r="F29" s="604" t="e">
        <f t="array" ref="F29">LOOKUP(1,0/(('5.21出货明细'!X:X=$D$9)*('5.21出货明细'!A:A=A29)),'5.21出货明细'!L:L)</f>
        <v>#N/A</v>
      </c>
      <c r="G29" s="604" t="e">
        <f t="array" ref="G29">LOOKUP(1,0/(('5.21出货明细'!X:X=$D$9)*('5.21出货明细'!A:A=A29)),'5.21出货明细'!M:M)</f>
        <v>#N/A</v>
      </c>
      <c r="H29" s="605" t="e">
        <f t="array" ref="H29">LOOKUP(1,0/(('5.21出货明细'!X:X=$D$9)*('5.21出货明细'!A:A=A29)),'5.21出货明细'!P:P)</f>
        <v>#N/A</v>
      </c>
      <c r="I29" s="606" t="e">
        <f t="array" ref="I29">LOOKUP(1,0/(('5.21出货明细'!X:X=$D$9)*('5.21出货明细'!A:A=A29)),'5.21出货明细'!Q:Q)</f>
        <v>#N/A</v>
      </c>
      <c r="J29" s="606" t="e">
        <f t="array" ref="J29">LOOKUP(1,0/(('5.21出货明细'!X:X=$D$9)*('5.21出货明细'!A:A=A29)),'5.21出货明细'!AT:AT)</f>
        <v>#N/A</v>
      </c>
      <c r="K29" s="607" t="e">
        <f t="array" ref="K29">LOOKUP(1,0/(('5.21出货明细'!X:X=$D$9)*('5.21出货明细'!A:A=A29)),'5.21出货明细'!S:S)</f>
        <v>#N/A</v>
      </c>
    </row>
    <row r="30" customFormat="1" ht="55" customHeight="1" spans="1:11">
      <c r="A30" s="601">
        <v>6</v>
      </c>
      <c r="B30" s="602" t="e">
        <f t="array" ref="B30">LOOKUP(1,0/(('5.21出货明细'!X:X=$D$9)*('5.21出货明细'!A:A=A30)),'5.21出货明细'!D:D)</f>
        <v>#N/A</v>
      </c>
      <c r="C30" s="603" t="e">
        <f t="array" ref="C30">LOOKUP(1,0/(('5.21出货明细'!X:X=$D$9)*('5.21出货明细'!A:A=A30)),'5.21出货明细'!G:G&amp;'5.21出货明细'!F:F)</f>
        <v>#N/A</v>
      </c>
      <c r="D30" s="604" t="e">
        <f t="array" ref="D30">LOOKUP(1,0/(('5.21出货明细'!X:X=$D$9)*('5.21出货明细'!A:A=A30)),'5.21出货明细'!K:K)</f>
        <v>#N/A</v>
      </c>
      <c r="E30" s="604" t="e">
        <f t="array" ref="E30">LOOKUP(1,0/(('5.21出货明细'!X:X=$D$9)*('5.21出货明细'!A:A=A30)),'5.21出货明细'!J:J)</f>
        <v>#N/A</v>
      </c>
      <c r="F30" s="604" t="e">
        <f t="array" ref="F30">LOOKUP(1,0/(('5.21出货明细'!X:X=$D$9)*('5.21出货明细'!A:A=A30)),'5.21出货明细'!L:L)</f>
        <v>#N/A</v>
      </c>
      <c r="G30" s="604" t="e">
        <f t="array" ref="G30">LOOKUP(1,0/(('5.21出货明细'!X:X=$D$9)*('5.21出货明细'!A:A=A30)),'5.21出货明细'!M:M)</f>
        <v>#N/A</v>
      </c>
      <c r="H30" s="605" t="e">
        <f t="array" ref="H30">LOOKUP(1,0/(('5.21出货明细'!X:X=$D$9)*('5.21出货明细'!A:A=A30)),'5.21出货明细'!P:P)</f>
        <v>#N/A</v>
      </c>
      <c r="I30" s="606" t="e">
        <f t="array" ref="I30">LOOKUP(1,0/(('5.21出货明细'!X:X=$D$9)*('5.21出货明细'!A:A=A30)),'5.21出货明细'!Q:Q)</f>
        <v>#N/A</v>
      </c>
      <c r="J30" s="606" t="e">
        <f t="array" ref="J30">LOOKUP(1,0/(('5.21出货明细'!X:X=$D$9)*('5.21出货明细'!A:A=A30)),'5.21出货明细'!AT:AT)</f>
        <v>#N/A</v>
      </c>
      <c r="K30" s="607" t="e">
        <f t="array" ref="K30">LOOKUP(1,0/(('5.21出货明细'!X:X=$D$9)*('5.21出货明细'!A:A=A30)),'5.21出货明细'!S:S)</f>
        <v>#N/A</v>
      </c>
    </row>
    <row r="31" customFormat="1" ht="55" customHeight="1" spans="1:11">
      <c r="A31" s="601">
        <v>7</v>
      </c>
      <c r="B31" s="602" t="e">
        <f t="array" ref="B31">LOOKUP(1,0/(('5.21出货明细'!X:X=$D$9)*('5.21出货明细'!A:A=A31)),'5.21出货明细'!D:D)</f>
        <v>#N/A</v>
      </c>
      <c r="C31" s="603" t="e">
        <f t="array" ref="C31">LOOKUP(1,0/(('5.21出货明细'!X:X=$D$9)*('5.21出货明细'!A:A=A31)),'5.21出货明细'!G:G&amp;'5.21出货明细'!F:F)</f>
        <v>#N/A</v>
      </c>
      <c r="D31" s="604" t="e">
        <f t="array" ref="D31">LOOKUP(1,0/(('5.21出货明细'!X:X=$D$9)*('5.21出货明细'!A:A=A31)),'5.21出货明细'!K:K)</f>
        <v>#N/A</v>
      </c>
      <c r="E31" s="604" t="e">
        <f t="array" ref="E31">LOOKUP(1,0/(('5.21出货明细'!X:X=$D$9)*('5.21出货明细'!A:A=A31)),'5.21出货明细'!J:J)</f>
        <v>#N/A</v>
      </c>
      <c r="F31" s="604" t="e">
        <f t="array" ref="F31">LOOKUP(1,0/(('5.21出货明细'!X:X=$D$9)*('5.21出货明细'!A:A=A31)),'5.21出货明细'!L:L)</f>
        <v>#N/A</v>
      </c>
      <c r="G31" s="604" t="e">
        <f t="array" ref="G31">LOOKUP(1,0/(('5.21出货明细'!X:X=$D$9)*('5.21出货明细'!A:A=A31)),'5.21出货明细'!M:M)</f>
        <v>#N/A</v>
      </c>
      <c r="H31" s="605" t="e">
        <f t="array" ref="H31">LOOKUP(1,0/(('5.21出货明细'!X:X=$D$9)*('5.21出货明细'!A:A=A31)),'5.21出货明细'!P:P)</f>
        <v>#N/A</v>
      </c>
      <c r="I31" s="606" t="e">
        <f t="array" ref="I31">LOOKUP(1,0/(('5.21出货明细'!X:X=$D$9)*('5.21出货明细'!A:A=A31)),'5.21出货明细'!Q:Q)</f>
        <v>#N/A</v>
      </c>
      <c r="J31" s="606" t="e">
        <f t="array" ref="J31">LOOKUP(1,0/(('5.21出货明细'!X:X=$D$9)*('5.21出货明细'!A:A=A31)),'5.21出货明细'!AT:AT)</f>
        <v>#N/A</v>
      </c>
      <c r="K31" s="607" t="e">
        <f t="array" ref="K31">LOOKUP(1,0/(('5.21出货明细'!X:X=$D$9)*('5.21出货明细'!A:A=A31)),'5.21出货明细'!S:S)</f>
        <v>#N/A</v>
      </c>
    </row>
    <row r="32" customFormat="1" ht="55" customHeight="1" spans="1:11">
      <c r="A32" s="601">
        <v>8</v>
      </c>
      <c r="B32" s="602" t="e">
        <f t="array" ref="B32">LOOKUP(1,0/(('5.21出货明细'!X:X=$D$9)*('5.21出货明细'!A:A=A32)),'5.21出货明细'!D:D)</f>
        <v>#N/A</v>
      </c>
      <c r="C32" s="603" t="e">
        <f t="array" ref="C32">LOOKUP(1,0/(('5.21出货明细'!X:X=$D$9)*('5.21出货明细'!A:A=A32)),'5.21出货明细'!G:G&amp;'5.21出货明细'!F:F)</f>
        <v>#N/A</v>
      </c>
      <c r="D32" s="604" t="e">
        <f t="array" ref="D32">LOOKUP(1,0/(('5.21出货明细'!X:X=$D$9)*('5.21出货明细'!A:A=A32)),'5.21出货明细'!K:K)</f>
        <v>#N/A</v>
      </c>
      <c r="E32" s="604" t="e">
        <f t="array" ref="E32">LOOKUP(1,0/(('5.21出货明细'!X:X=$D$9)*('5.21出货明细'!A:A=A32)),'5.21出货明细'!J:J)</f>
        <v>#N/A</v>
      </c>
      <c r="F32" s="604" t="e">
        <f t="array" ref="F32">LOOKUP(1,0/(('5.21出货明细'!X:X=$D$9)*('5.21出货明细'!A:A=A32)),'5.21出货明细'!L:L)</f>
        <v>#N/A</v>
      </c>
      <c r="G32" s="604" t="e">
        <f t="array" ref="G32">LOOKUP(1,0/(('5.21出货明细'!X:X=$D$9)*('5.21出货明细'!A:A=A32)),'5.21出货明细'!M:M)</f>
        <v>#N/A</v>
      </c>
      <c r="H32" s="605" t="e">
        <f t="array" ref="H32">LOOKUP(1,0/(('5.21出货明细'!X:X=$D$9)*('5.21出货明细'!A:A=A32)),'5.21出货明细'!P:P)</f>
        <v>#N/A</v>
      </c>
      <c r="I32" s="606" t="e">
        <f t="array" ref="I32">LOOKUP(1,0/(('5.21出货明细'!X:X=$D$9)*('5.21出货明细'!A:A=A32)),'5.21出货明细'!Q:Q)</f>
        <v>#N/A</v>
      </c>
      <c r="J32" s="606" t="e">
        <f t="array" ref="J32">LOOKUP(1,0/(('5.21出货明细'!X:X=$D$9)*('5.21出货明细'!A:A=A32)),'5.21出货明细'!AT:AT)</f>
        <v>#N/A</v>
      </c>
      <c r="K32" s="607" t="e">
        <f t="array" ref="K32">LOOKUP(1,0/(('5.21出货明细'!X:X=$D$9)*('5.21出货明细'!A:A=A32)),'5.21出货明细'!S:S)</f>
        <v>#N/A</v>
      </c>
    </row>
    <row r="33" customFormat="1" ht="55" customHeight="1" spans="1:11">
      <c r="A33" s="601">
        <v>9</v>
      </c>
      <c r="B33" s="602" t="e">
        <f t="array" ref="B33">LOOKUP(1,0/(('5.21出货明细'!X:X=$D$9)*('5.21出货明细'!A:A=A33)),'5.21出货明细'!D:D)</f>
        <v>#N/A</v>
      </c>
      <c r="C33" s="603" t="e">
        <f t="array" ref="C33">LOOKUP(1,0/(('5.21出货明细'!X:X=$D$9)*('5.21出货明细'!A:A=A33)),'5.21出货明细'!G:G&amp;'5.21出货明细'!F:F)</f>
        <v>#N/A</v>
      </c>
      <c r="D33" s="604" t="e">
        <f t="array" ref="D33">LOOKUP(1,0/(('5.21出货明细'!X:X=$D$9)*('5.21出货明细'!A:A=A33)),'5.21出货明细'!K:K)</f>
        <v>#N/A</v>
      </c>
      <c r="E33" s="604" t="e">
        <f t="array" ref="E33">LOOKUP(1,0/(('5.21出货明细'!X:X=$D$9)*('5.21出货明细'!A:A=A33)),'5.21出货明细'!J:J)</f>
        <v>#N/A</v>
      </c>
      <c r="F33" s="604" t="e">
        <f t="array" ref="F33">LOOKUP(1,0/(('5.21出货明细'!X:X=$D$9)*('5.21出货明细'!A:A=A33)),'5.21出货明细'!L:L)</f>
        <v>#N/A</v>
      </c>
      <c r="G33" s="604" t="e">
        <f t="array" ref="G33">LOOKUP(1,0/(('5.21出货明细'!X:X=$D$9)*('5.21出货明细'!A:A=A33)),'5.21出货明细'!M:M)</f>
        <v>#N/A</v>
      </c>
      <c r="H33" s="605" t="e">
        <f t="array" ref="H33">LOOKUP(1,0/(('5.21出货明细'!X:X=$D$9)*('5.21出货明细'!A:A=A33)),'5.21出货明细'!P:P)</f>
        <v>#N/A</v>
      </c>
      <c r="I33" s="606" t="e">
        <f t="array" ref="I33">LOOKUP(1,0/(('5.21出货明细'!X:X=$D$9)*('5.21出货明细'!A:A=A33)),'5.21出货明细'!Q:Q)</f>
        <v>#N/A</v>
      </c>
      <c r="J33" s="606" t="e">
        <f t="array" ref="J33">LOOKUP(1,0/(('5.21出货明细'!X:X=$D$9)*('5.21出货明细'!A:A=A33)),'5.21出货明细'!AT:AT)</f>
        <v>#N/A</v>
      </c>
      <c r="K33" s="607" t="e">
        <f t="array" ref="K33">LOOKUP(1,0/(('5.21出货明细'!X:X=$D$9)*('5.21出货明细'!A:A=A33)),'5.21出货明细'!S:S)</f>
        <v>#N/A</v>
      </c>
    </row>
    <row r="34" customFormat="1" ht="55" customHeight="1" spans="1:11">
      <c r="A34" s="601">
        <v>10</v>
      </c>
      <c r="B34" s="602" t="e">
        <f t="array" ref="B34">LOOKUP(1,0/(('5.21出货明细'!X:X=$D$9)*('5.21出货明细'!A:A=A34)),'5.21出货明细'!D:D)</f>
        <v>#N/A</v>
      </c>
      <c r="C34" s="603" t="e">
        <f t="array" ref="C34">LOOKUP(1,0/(('5.21出货明细'!X:X=$D$9)*('5.21出货明细'!A:A=A34)),'5.21出货明细'!G:G&amp;'5.21出货明细'!F:F)</f>
        <v>#N/A</v>
      </c>
      <c r="D34" s="604" t="e">
        <f t="array" ref="D34">LOOKUP(1,0/(('5.21出货明细'!X:X=$D$9)*('5.21出货明细'!A:A=A34)),'5.21出货明细'!K:K)</f>
        <v>#N/A</v>
      </c>
      <c r="E34" s="604" t="e">
        <f t="array" ref="E34">LOOKUP(1,0/(('5.21出货明细'!X:X=$D$9)*('5.21出货明细'!A:A=A34)),'5.21出货明细'!J:J)</f>
        <v>#N/A</v>
      </c>
      <c r="F34" s="604" t="e">
        <f t="array" ref="F34">LOOKUP(1,0/(('5.21出货明细'!X:X=$D$9)*('5.21出货明细'!A:A=A34)),'5.21出货明细'!L:L)</f>
        <v>#N/A</v>
      </c>
      <c r="G34" s="604" t="e">
        <f t="array" ref="G34">LOOKUP(1,0/(('5.21出货明细'!X:X=$D$9)*('5.21出货明细'!A:A=A34)),'5.21出货明细'!M:M)</f>
        <v>#N/A</v>
      </c>
      <c r="H34" s="605" t="e">
        <f t="array" ref="H34">LOOKUP(1,0/(('5.21出货明细'!X:X=$D$9)*('5.21出货明细'!A:A=A34)),'5.21出货明细'!P:P)</f>
        <v>#N/A</v>
      </c>
      <c r="I34" s="606" t="e">
        <f t="array" ref="I34">LOOKUP(1,0/(('5.21出货明细'!X:X=$D$9)*('5.21出货明细'!A:A=A34)),'5.21出货明细'!Q:Q)</f>
        <v>#N/A</v>
      </c>
      <c r="J34" s="606" t="e">
        <f t="array" ref="J34">LOOKUP(1,0/(('5.21出货明细'!X:X=$D$9)*('5.21出货明细'!A:A=A34)),'5.21出货明细'!AT:AT)</f>
        <v>#N/A</v>
      </c>
      <c r="K34" s="607" t="e">
        <f t="array" ref="K34">LOOKUP(1,0/(('5.21出货明细'!X:X=$D$9)*('5.21出货明细'!A:A=A34)),'5.21出货明细'!S:S)</f>
        <v>#N/A</v>
      </c>
    </row>
    <row r="35" customFormat="1" ht="55" customHeight="1" spans="1:11">
      <c r="A35" s="601">
        <v>11</v>
      </c>
      <c r="B35" s="602" t="e">
        <f t="array" ref="B35">LOOKUP(1,0/(('5.21出货明细'!X:X=$D$9)*('5.21出货明细'!A:A=A35)),'5.21出货明细'!D:D)</f>
        <v>#N/A</v>
      </c>
      <c r="C35" s="603" t="e">
        <f t="array" ref="C35">LOOKUP(1,0/(('5.21出货明细'!X:X=$D$9)*('5.21出货明细'!A:A=A35)),'5.21出货明细'!G:G&amp;'5.21出货明细'!F:F)</f>
        <v>#N/A</v>
      </c>
      <c r="D35" s="604" t="e">
        <f t="array" ref="D35">LOOKUP(1,0/(('5.21出货明细'!X:X=$D$9)*('5.21出货明细'!A:A=A35)),'5.21出货明细'!K:K)</f>
        <v>#N/A</v>
      </c>
      <c r="E35" s="604" t="e">
        <f t="array" ref="E35">LOOKUP(1,0/(('5.21出货明细'!X:X=$D$9)*('5.21出货明细'!A:A=A35)),'5.21出货明细'!J:J)</f>
        <v>#N/A</v>
      </c>
      <c r="F35" s="604" t="e">
        <f t="array" ref="F35">LOOKUP(1,0/(('5.21出货明细'!X:X=$D$9)*('5.21出货明细'!A:A=A35)),'5.21出货明细'!L:L)</f>
        <v>#N/A</v>
      </c>
      <c r="G35" s="604" t="e">
        <f t="array" ref="G35">LOOKUP(1,0/(('5.21出货明细'!X:X=$D$9)*('5.21出货明细'!A:A=A35)),'5.21出货明细'!M:M)</f>
        <v>#N/A</v>
      </c>
      <c r="H35" s="605" t="e">
        <f t="array" ref="H35">LOOKUP(1,0/(('5.21出货明细'!X:X=$D$9)*('5.21出货明细'!A:A=A35)),'5.21出货明细'!P:P)</f>
        <v>#N/A</v>
      </c>
      <c r="I35" s="606" t="e">
        <f t="array" ref="I35">LOOKUP(1,0/(('5.21出货明细'!X:X=$D$9)*('5.21出货明细'!A:A=A35)),'5.21出货明细'!Q:Q)</f>
        <v>#N/A</v>
      </c>
      <c r="J35" s="606" t="e">
        <f t="array" ref="J35">LOOKUP(1,0/(('5.21出货明细'!X:X=$D$9)*('5.21出货明细'!A:A=A35)),'5.21出货明细'!AT:AT)</f>
        <v>#N/A</v>
      </c>
      <c r="K35" s="607" t="e">
        <f t="array" ref="K35">LOOKUP(1,0/(('5.21出货明细'!X:X=$D$9)*('5.21出货明细'!A:A=A35)),'5.21出货明细'!S:S)</f>
        <v>#N/A</v>
      </c>
    </row>
    <row r="36" customFormat="1" ht="55" customHeight="1" spans="1:11">
      <c r="A36" s="601">
        <v>12</v>
      </c>
      <c r="B36" s="602" t="e">
        <f t="array" ref="B36">LOOKUP(1,0/(('5.21出货明细'!X:X=$D$9)*('5.21出货明细'!A:A=A36)),'5.21出货明细'!D:D)</f>
        <v>#N/A</v>
      </c>
      <c r="C36" s="603" t="e">
        <f t="array" ref="C36">LOOKUP(1,0/(('5.21出货明细'!X:X=$D$9)*('5.21出货明细'!A:A=A36)),'5.21出货明细'!G:G&amp;'5.21出货明细'!F:F)</f>
        <v>#N/A</v>
      </c>
      <c r="D36" s="604" t="e">
        <f t="array" ref="D36">LOOKUP(1,0/(('5.21出货明细'!X:X=$D$9)*('5.21出货明细'!A:A=A36)),'5.21出货明细'!K:K)</f>
        <v>#N/A</v>
      </c>
      <c r="E36" s="604" t="e">
        <f t="array" ref="E36">LOOKUP(1,0/(('5.21出货明细'!X:X=$D$9)*('5.21出货明细'!A:A=A36)),'5.21出货明细'!J:J)</f>
        <v>#N/A</v>
      </c>
      <c r="F36" s="604" t="e">
        <f t="array" ref="F36">LOOKUP(1,0/(('5.21出货明细'!X:X=$D$9)*('5.21出货明细'!A:A=A36)),'5.21出货明细'!L:L)</f>
        <v>#N/A</v>
      </c>
      <c r="G36" s="604" t="e">
        <f t="array" ref="G36">LOOKUP(1,0/(('5.21出货明细'!X:X=$D$9)*('5.21出货明细'!A:A=A36)),'5.21出货明细'!M:M)</f>
        <v>#N/A</v>
      </c>
      <c r="H36" s="605" t="e">
        <f t="array" ref="H36">LOOKUP(1,0/(('5.21出货明细'!X:X=$D$9)*('5.21出货明细'!A:A=A36)),'5.21出货明细'!P:P)</f>
        <v>#N/A</v>
      </c>
      <c r="I36" s="606" t="e">
        <f t="array" ref="I36">LOOKUP(1,0/(('5.21出货明细'!X:X=$D$9)*('5.21出货明细'!A:A=A36)),'5.21出货明细'!Q:Q)</f>
        <v>#N/A</v>
      </c>
      <c r="J36" s="606" t="e">
        <f t="array" ref="J36">LOOKUP(1,0/(('5.21出货明细'!X:X=$D$9)*('5.21出货明细'!A:A=A36)),'5.21出货明细'!AT:AT)</f>
        <v>#N/A</v>
      </c>
      <c r="K36" s="607" t="e">
        <f t="array" ref="K36">LOOKUP(1,0/(('5.21出货明细'!X:X=$D$9)*('5.21出货明细'!A:A=A36)),'5.21出货明细'!S:S)</f>
        <v>#N/A</v>
      </c>
    </row>
    <row r="37" customFormat="1" ht="55" customHeight="1" spans="1:11">
      <c r="A37" s="601">
        <v>13</v>
      </c>
      <c r="B37" s="602" t="e">
        <f t="array" ref="B37">LOOKUP(1,0/(('5.21出货明细'!X:X=$D$9)*('5.21出货明细'!A:A=A37)),'5.21出货明细'!D:D)</f>
        <v>#N/A</v>
      </c>
      <c r="C37" s="603" t="e">
        <f t="array" ref="C37">LOOKUP(1,0/(('5.21出货明细'!X:X=$D$9)*('5.21出货明细'!A:A=A37)),'5.21出货明细'!G:G&amp;'5.21出货明细'!F:F)</f>
        <v>#N/A</v>
      </c>
      <c r="D37" s="604" t="e">
        <f t="array" ref="D37">LOOKUP(1,0/(('5.21出货明细'!X:X=$D$9)*('5.21出货明细'!A:A=A37)),'5.21出货明细'!K:K)</f>
        <v>#N/A</v>
      </c>
      <c r="E37" s="604" t="e">
        <f t="array" ref="E37">LOOKUP(1,0/(('5.21出货明细'!X:X=$D$9)*('5.21出货明细'!A:A=A37)),'5.21出货明细'!J:J)</f>
        <v>#N/A</v>
      </c>
      <c r="F37" s="604" t="e">
        <f t="array" ref="F37">LOOKUP(1,0/(('5.21出货明细'!X:X=$D$9)*('5.21出货明细'!A:A=A37)),'5.21出货明细'!L:L)</f>
        <v>#N/A</v>
      </c>
      <c r="G37" s="604" t="e">
        <f t="array" ref="G37">LOOKUP(1,0/(('5.21出货明细'!X:X=$D$9)*('5.21出货明细'!A:A=A37)),'5.21出货明细'!M:M)</f>
        <v>#N/A</v>
      </c>
      <c r="H37" s="605" t="e">
        <f t="array" ref="H37">LOOKUP(1,0/(('5.21出货明细'!X:X=$D$9)*('5.21出货明细'!A:A=A37)),'5.21出货明细'!P:P)</f>
        <v>#N/A</v>
      </c>
      <c r="I37" s="606" t="e">
        <f t="array" ref="I37">LOOKUP(1,0/(('5.21出货明细'!X:X=$D$9)*('5.21出货明细'!A:A=A37)),'5.21出货明细'!Q:Q)</f>
        <v>#N/A</v>
      </c>
      <c r="J37" s="606" t="e">
        <f t="array" ref="J37">LOOKUP(1,0/(('5.21出货明细'!X:X=$D$9)*('5.21出货明细'!A:A=A37)),'5.21出货明细'!AT:AT)</f>
        <v>#N/A</v>
      </c>
      <c r="K37" s="607" t="e">
        <f t="array" ref="K37">LOOKUP(1,0/(('5.21出货明细'!X:X=$D$9)*('5.21出货明细'!A:A=A37)),'5.21出货明细'!S:S)</f>
        <v>#N/A</v>
      </c>
    </row>
    <row r="38" customFormat="1" ht="55" customHeight="1" spans="1:11">
      <c r="A38" s="601">
        <v>14</v>
      </c>
      <c r="B38" s="602" t="e">
        <f t="array" ref="B38">LOOKUP(1,0/(('5.21出货明细'!X:X=$D$9)*('5.21出货明细'!A:A=A38)),'5.21出货明细'!D:D)</f>
        <v>#N/A</v>
      </c>
      <c r="C38" s="603" t="e">
        <f t="array" ref="C38">LOOKUP(1,0/(('5.21出货明细'!X:X=$D$9)*('5.21出货明细'!A:A=A38)),'5.21出货明细'!G:G&amp;'5.21出货明细'!F:F)</f>
        <v>#N/A</v>
      </c>
      <c r="D38" s="604" t="e">
        <f t="array" ref="D38">LOOKUP(1,0/(('5.21出货明细'!X:X=$D$9)*('5.21出货明细'!A:A=A38)),'5.21出货明细'!K:K)</f>
        <v>#N/A</v>
      </c>
      <c r="E38" s="604" t="e">
        <f t="array" ref="E38">LOOKUP(1,0/(('5.21出货明细'!X:X=$D$9)*('5.21出货明细'!A:A=A38)),'5.21出货明细'!J:J)</f>
        <v>#N/A</v>
      </c>
      <c r="F38" s="604" t="e">
        <f t="array" ref="F38">LOOKUP(1,0/(('5.21出货明细'!X:X=$D$9)*('5.21出货明细'!A:A=A38)),'5.21出货明细'!L:L)</f>
        <v>#N/A</v>
      </c>
      <c r="G38" s="604" t="e">
        <f t="array" ref="G38">LOOKUP(1,0/(('5.21出货明细'!X:X=$D$9)*('5.21出货明细'!A:A=A38)),'5.21出货明细'!M:M)</f>
        <v>#N/A</v>
      </c>
      <c r="H38" s="605" t="e">
        <f t="array" ref="H38">LOOKUP(1,0/(('5.21出货明细'!X:X=$D$9)*('5.21出货明细'!A:A=A38)),'5.21出货明细'!P:P)</f>
        <v>#N/A</v>
      </c>
      <c r="I38" s="606" t="e">
        <f t="array" ref="I38">LOOKUP(1,0/(('5.21出货明细'!X:X=$D$9)*('5.21出货明细'!A:A=A38)),'5.21出货明细'!Q:Q)</f>
        <v>#N/A</v>
      </c>
      <c r="J38" s="606" t="e">
        <f t="array" ref="J38">LOOKUP(1,0/(('5.21出货明细'!X:X=$D$9)*('5.21出货明细'!A:A=A38)),'5.21出货明细'!AT:AT)</f>
        <v>#N/A</v>
      </c>
      <c r="K38" s="607" t="e">
        <f t="array" ref="K38">LOOKUP(1,0/(('5.21出货明细'!X:X=$D$9)*('5.21出货明细'!A:A=A38)),'5.21出货明细'!S:S)</f>
        <v>#N/A</v>
      </c>
    </row>
    <row r="39" customFormat="1" ht="55" customHeight="1" spans="1:11">
      <c r="A39" s="601">
        <v>15</v>
      </c>
      <c r="B39" s="602" t="e">
        <f t="array" ref="B39">LOOKUP(1,0/(('5.21出货明细'!X:X=$D$9)*('5.21出货明细'!A:A=A39)),'5.21出货明细'!D:D)</f>
        <v>#N/A</v>
      </c>
      <c r="C39" s="603" t="e">
        <f t="array" ref="C39">LOOKUP(1,0/(('5.21出货明细'!X:X=$D$9)*('5.21出货明细'!A:A=A39)),'5.21出货明细'!G:G&amp;'5.21出货明细'!F:F)</f>
        <v>#N/A</v>
      </c>
      <c r="D39" s="604" t="e">
        <f t="array" ref="D39">LOOKUP(1,0/(('5.21出货明细'!X:X=$D$9)*('5.21出货明细'!A:A=A39)),'5.21出货明细'!K:K)</f>
        <v>#N/A</v>
      </c>
      <c r="E39" s="604" t="e">
        <f t="array" ref="E39">LOOKUP(1,0/(('5.21出货明细'!X:X=$D$9)*('5.21出货明细'!A:A=A39)),'5.21出货明细'!J:J)</f>
        <v>#N/A</v>
      </c>
      <c r="F39" s="604" t="e">
        <f t="array" ref="F39">LOOKUP(1,0/(('5.21出货明细'!X:X=$D$9)*('5.21出货明细'!A:A=A39)),'5.21出货明细'!L:L)</f>
        <v>#N/A</v>
      </c>
      <c r="G39" s="604" t="e">
        <f t="array" ref="G39">LOOKUP(1,0/(('5.21出货明细'!X:X=$D$9)*('5.21出货明细'!A:A=A39)),'5.21出货明细'!M:M)</f>
        <v>#N/A</v>
      </c>
      <c r="H39" s="605" t="e">
        <f t="array" ref="H39">LOOKUP(1,0/(('5.21出货明细'!X:X=$D$9)*('5.21出货明细'!A:A=A39)),'5.21出货明细'!P:P)</f>
        <v>#N/A</v>
      </c>
      <c r="I39" s="606" t="e">
        <f t="array" ref="I39">LOOKUP(1,0/(('5.21出货明细'!X:X=$D$9)*('5.21出货明细'!A:A=A39)),'5.21出货明细'!Q:Q)</f>
        <v>#N/A</v>
      </c>
      <c r="J39" s="606" t="e">
        <f t="array" ref="J39">LOOKUP(1,0/(('5.21出货明细'!X:X=$D$9)*('5.21出货明细'!A:A=A39)),'5.21出货明细'!AT:AT)</f>
        <v>#N/A</v>
      </c>
      <c r="K39" s="607" t="e">
        <f t="array" ref="K39">LOOKUP(1,0/(('5.21出货明细'!X:X=$D$9)*('5.21出货明细'!A:A=A39)),'5.21出货明细'!S:S)</f>
        <v>#N/A</v>
      </c>
    </row>
    <row r="40" customFormat="1" ht="55" customHeight="1" spans="1:11">
      <c r="A40" s="601">
        <v>16</v>
      </c>
      <c r="B40" s="602" t="e">
        <f t="array" ref="B40">LOOKUP(1,0/(('5.21出货明细'!X:X=$D$9)*('5.21出货明细'!A:A=A40)),'5.21出货明细'!D:D)</f>
        <v>#N/A</v>
      </c>
      <c r="C40" s="603" t="e">
        <f t="array" ref="C40">LOOKUP(1,0/(('5.21出货明细'!X:X=$D$9)*('5.21出货明细'!A:A=A40)),'5.21出货明细'!G:G&amp;'5.21出货明细'!F:F)</f>
        <v>#N/A</v>
      </c>
      <c r="D40" s="604" t="e">
        <f t="array" ref="D40">LOOKUP(1,0/(('5.21出货明细'!X:X=$D$9)*('5.21出货明细'!A:A=A40)),'5.21出货明细'!K:K)</f>
        <v>#N/A</v>
      </c>
      <c r="E40" s="604" t="e">
        <f t="array" ref="E40">LOOKUP(1,0/(('5.21出货明细'!X:X=$D$9)*('5.21出货明细'!A:A=A40)),'5.21出货明细'!J:J)</f>
        <v>#N/A</v>
      </c>
      <c r="F40" s="604" t="e">
        <f t="array" ref="F40">LOOKUP(1,0/(('5.21出货明细'!X:X=$D$9)*('5.21出货明细'!A:A=A40)),'5.21出货明细'!L:L)</f>
        <v>#N/A</v>
      </c>
      <c r="G40" s="604" t="e">
        <f t="array" ref="G40">LOOKUP(1,0/(('5.21出货明细'!X:X=$D$9)*('5.21出货明细'!A:A=A40)),'5.21出货明细'!M:M)</f>
        <v>#N/A</v>
      </c>
      <c r="H40" s="605" t="e">
        <f t="array" ref="H40">LOOKUP(1,0/(('5.21出货明细'!X:X=$D$9)*('5.21出货明细'!A:A=A40)),'5.21出货明细'!P:P)</f>
        <v>#N/A</v>
      </c>
      <c r="I40" s="606" t="e">
        <f t="array" ref="I40">LOOKUP(1,0/(('5.21出货明细'!X:X=$D$9)*('5.21出货明细'!A:A=A40)),'5.21出货明细'!Q:Q)</f>
        <v>#N/A</v>
      </c>
      <c r="J40" s="606" t="e">
        <f t="array" ref="J40">LOOKUP(1,0/(('5.21出货明细'!X:X=$D$9)*('5.21出货明细'!A:A=A40)),'5.21出货明细'!AT:AT)</f>
        <v>#N/A</v>
      </c>
      <c r="K40" s="607" t="e">
        <f t="array" ref="K40">LOOKUP(1,0/(('5.21出货明细'!X:X=$D$9)*('5.21出货明细'!A:A=A40)),'5.21出货明细'!S:S)</f>
        <v>#N/A</v>
      </c>
    </row>
    <row r="41" customFormat="1" ht="55" customHeight="1" spans="1:11">
      <c r="A41" s="601">
        <v>17</v>
      </c>
      <c r="B41" s="602" t="e">
        <f t="array" ref="B41">LOOKUP(1,0/(('5.21出货明细'!X:X=$D$9)*('5.21出货明细'!A:A=A41)),'5.21出货明细'!D:D)</f>
        <v>#N/A</v>
      </c>
      <c r="C41" s="603" t="e">
        <f t="array" ref="C41">LOOKUP(1,0/(('5.21出货明细'!X:X=$D$9)*('5.21出货明细'!A:A=A41)),'5.21出货明细'!G:G&amp;'5.21出货明细'!F:F)</f>
        <v>#N/A</v>
      </c>
      <c r="D41" s="604" t="e">
        <f t="array" ref="D41">LOOKUP(1,0/(('5.21出货明细'!X:X=$D$9)*('5.21出货明细'!A:A=A41)),'5.21出货明细'!K:K)</f>
        <v>#N/A</v>
      </c>
      <c r="E41" s="604" t="e">
        <f t="array" ref="E41">LOOKUP(1,0/(('5.21出货明细'!X:X=$D$9)*('5.21出货明细'!A:A=A41)),'5.21出货明细'!J:J)</f>
        <v>#N/A</v>
      </c>
      <c r="F41" s="604" t="e">
        <f t="array" ref="F41">LOOKUP(1,0/(('5.21出货明细'!X:X=$D$9)*('5.21出货明细'!A:A=A41)),'5.21出货明细'!L:L)</f>
        <v>#N/A</v>
      </c>
      <c r="G41" s="604" t="e">
        <f t="array" ref="G41">LOOKUP(1,0/(('5.21出货明细'!X:X=$D$9)*('5.21出货明细'!A:A=A41)),'5.21出货明细'!M:M)</f>
        <v>#N/A</v>
      </c>
      <c r="H41" s="605" t="e">
        <f t="array" ref="H41">LOOKUP(1,0/(('5.21出货明细'!X:X=$D$9)*('5.21出货明细'!A:A=A41)),'5.21出货明细'!P:P)</f>
        <v>#N/A</v>
      </c>
      <c r="I41" s="606" t="e">
        <f t="array" ref="I41">LOOKUP(1,0/(('5.21出货明细'!X:X=$D$9)*('5.21出货明细'!A:A=A41)),'5.21出货明细'!Q:Q)</f>
        <v>#N/A</v>
      </c>
      <c r="J41" s="606" t="e">
        <f t="array" ref="J41">LOOKUP(1,0/(('5.21出货明细'!X:X=$D$9)*('5.21出货明细'!A:A=A41)),'5.21出货明细'!AT:AT)</f>
        <v>#N/A</v>
      </c>
      <c r="K41" s="607" t="e">
        <f t="array" ref="K41">LOOKUP(1,0/(('5.21出货明细'!X:X=$D$9)*('5.21出货明细'!A:A=A41)),'5.21出货明细'!S:S)</f>
        <v>#N/A</v>
      </c>
    </row>
    <row r="42" customFormat="1" ht="55" customHeight="1" spans="1:11">
      <c r="A42" s="601">
        <v>18</v>
      </c>
      <c r="B42" s="602" t="e">
        <f t="array" ref="B42">LOOKUP(1,0/(('5.21出货明细'!X:X=$D$9)*('5.21出货明细'!A:A=A42)),'5.21出货明细'!D:D)</f>
        <v>#N/A</v>
      </c>
      <c r="C42" s="603" t="e">
        <f t="array" ref="C42">LOOKUP(1,0/(('5.21出货明细'!X:X=$D$9)*('5.21出货明细'!A:A=A42)),'5.21出货明细'!G:G&amp;'5.21出货明细'!F:F)</f>
        <v>#N/A</v>
      </c>
      <c r="D42" s="604" t="e">
        <f t="array" ref="D42">LOOKUP(1,0/(('5.21出货明细'!X:X=$D$9)*('5.21出货明细'!A:A=A42)),'5.21出货明细'!K:K)</f>
        <v>#N/A</v>
      </c>
      <c r="E42" s="604" t="e">
        <f t="array" ref="E42">LOOKUP(1,0/(('5.21出货明细'!X:X=$D$9)*('5.21出货明细'!A:A=A42)),'5.21出货明细'!J:J)</f>
        <v>#N/A</v>
      </c>
      <c r="F42" s="604" t="e">
        <f t="array" ref="F42">LOOKUP(1,0/(('5.21出货明细'!X:X=$D$9)*('5.21出货明细'!A:A=A42)),'5.21出货明细'!L:L)</f>
        <v>#N/A</v>
      </c>
      <c r="G42" s="604" t="e">
        <f t="array" ref="G42">LOOKUP(1,0/(('5.21出货明细'!X:X=$D$9)*('5.21出货明细'!A:A=A42)),'5.21出货明细'!M:M)</f>
        <v>#N/A</v>
      </c>
      <c r="H42" s="605" t="e">
        <f t="array" ref="H42">LOOKUP(1,0/(('5.21出货明细'!X:X=$D$9)*('5.21出货明细'!A:A=A42)),'5.21出货明细'!P:P)</f>
        <v>#N/A</v>
      </c>
      <c r="I42" s="606" t="e">
        <f t="array" ref="I42">LOOKUP(1,0/(('5.21出货明细'!X:X=$D$9)*('5.21出货明细'!A:A=A42)),'5.21出货明细'!Q:Q)</f>
        <v>#N/A</v>
      </c>
      <c r="J42" s="606" t="e">
        <f t="array" ref="J42">LOOKUP(1,0/(('5.21出货明细'!X:X=$D$9)*('5.21出货明细'!A:A=A42)),'5.21出货明细'!AT:AT)</f>
        <v>#N/A</v>
      </c>
      <c r="K42" s="607" t="e">
        <f t="array" ref="K42">LOOKUP(1,0/(('5.21出货明细'!X:X=$D$9)*('5.21出货明细'!A:A=A42)),'5.21出货明细'!S:S)</f>
        <v>#N/A</v>
      </c>
    </row>
    <row r="43" customFormat="1" ht="18" spans="1:11">
      <c r="A43" s="608"/>
      <c r="B43" s="609"/>
      <c r="C43" s="603"/>
      <c r="D43" s="610" t="e">
        <f>SUM(D25:D42)</f>
        <v>#N/A</v>
      </c>
      <c r="E43" s="611"/>
      <c r="F43" s="610"/>
      <c r="G43" s="610"/>
      <c r="H43" s="612" t="e">
        <f>SUM(H25:H42)</f>
        <v>#N/A</v>
      </c>
      <c r="I43" s="612" t="e">
        <f>SUM(I25:I42)</f>
        <v>#N/A</v>
      </c>
      <c r="J43" s="612" t="e">
        <f>SUM(J25:J42)</f>
        <v>#N/A</v>
      </c>
      <c r="K43" s="613" t="e">
        <f>SUM(K25:K42)</f>
        <v>#N/A</v>
      </c>
    </row>
    <row r="44" customFormat="1" ht="18.75" spans="1:11">
      <c r="A44" s="614"/>
      <c r="B44" s="615"/>
      <c r="C44" s="616"/>
      <c r="D44" s="617"/>
      <c r="E44" s="618" t="s">
        <v>1553</v>
      </c>
      <c r="F44" s="618"/>
      <c r="G44" s="618"/>
      <c r="H44" s="618" t="s">
        <v>1553</v>
      </c>
      <c r="I44" s="618" t="s">
        <v>1553</v>
      </c>
      <c r="J44" s="618" t="s">
        <v>1553</v>
      </c>
      <c r="K44" s="618" t="s">
        <v>1553</v>
      </c>
    </row>
    <row r="45" ht="14.25"/>
    <row r="46" customFormat="1" ht="25.5" spans="1:11">
      <c r="A46" s="515" t="s">
        <v>1546</v>
      </c>
      <c r="B46" s="516"/>
      <c r="C46" s="516"/>
      <c r="D46" s="516"/>
      <c r="E46" s="516"/>
      <c r="F46" s="516"/>
      <c r="G46" s="516"/>
      <c r="H46" s="516"/>
      <c r="I46" s="516"/>
      <c r="J46" s="516"/>
      <c r="K46" s="517"/>
    </row>
    <row r="47" customFormat="1" spans="1:11">
      <c r="A47" s="518" t="s">
        <v>1656</v>
      </c>
      <c r="B47" s="519"/>
      <c r="C47" s="519"/>
      <c r="D47" s="519"/>
      <c r="E47" s="519"/>
      <c r="F47" s="519"/>
      <c r="G47" s="519"/>
      <c r="H47" s="519"/>
      <c r="I47" s="519"/>
      <c r="J47" s="519"/>
      <c r="K47" s="520"/>
    </row>
    <row r="48" customFormat="1" spans="1:11">
      <c r="A48" s="518"/>
      <c r="B48" s="519"/>
      <c r="C48" s="519"/>
      <c r="D48" s="519"/>
      <c r="E48" s="519"/>
      <c r="F48" s="519"/>
      <c r="G48" s="519"/>
      <c r="H48" s="519"/>
      <c r="I48" s="519"/>
      <c r="J48" s="519"/>
      <c r="K48" s="520"/>
    </row>
    <row r="49" customFormat="1" ht="18" spans="1:11">
      <c r="A49" s="521"/>
      <c r="B49" s="522"/>
      <c r="C49" s="522"/>
      <c r="D49" s="522"/>
      <c r="E49" s="522"/>
      <c r="F49" s="522"/>
      <c r="G49" s="522"/>
      <c r="H49" s="522"/>
      <c r="I49" s="522"/>
      <c r="J49" s="522"/>
      <c r="K49" s="523"/>
    </row>
    <row r="50" customFormat="1" ht="18" spans="1:11">
      <c r="A50" s="521"/>
      <c r="B50" s="522"/>
      <c r="C50" s="522"/>
      <c r="D50" s="522"/>
      <c r="E50" s="522"/>
      <c r="F50" s="522"/>
      <c r="G50" s="522"/>
      <c r="H50" s="522"/>
      <c r="I50" s="522"/>
      <c r="J50" s="522"/>
      <c r="K50" s="523"/>
    </row>
    <row r="51" customFormat="1" spans="1:11">
      <c r="A51" s="524" t="s">
        <v>1667</v>
      </c>
      <c r="B51" s="525"/>
      <c r="C51" s="525"/>
      <c r="D51" s="525"/>
      <c r="E51" s="525"/>
      <c r="F51" s="525"/>
      <c r="G51" s="525"/>
      <c r="H51" s="525"/>
      <c r="I51" s="525"/>
      <c r="J51" s="525"/>
      <c r="K51" s="526"/>
    </row>
    <row r="52" customFormat="1" ht="14.25" spans="1:11">
      <c r="A52" s="524"/>
      <c r="B52" s="525"/>
      <c r="C52" s="525"/>
      <c r="D52" s="525"/>
      <c r="E52" s="525"/>
      <c r="F52" s="525"/>
      <c r="G52" s="525"/>
      <c r="H52" s="525"/>
      <c r="I52" s="525"/>
      <c r="J52" s="525"/>
      <c r="K52" s="526"/>
    </row>
    <row r="53" customFormat="1" ht="16.5" spans="1:11">
      <c r="A53" s="527" t="s">
        <v>1668</v>
      </c>
      <c r="B53" s="528"/>
      <c r="C53" s="528"/>
      <c r="D53" s="529" t="s">
        <v>1669</v>
      </c>
      <c r="E53" s="530"/>
      <c r="F53" s="530"/>
      <c r="G53" s="530"/>
      <c r="H53" s="529" t="s">
        <v>1670</v>
      </c>
      <c r="I53" s="531"/>
      <c r="J53" s="531"/>
      <c r="K53" s="532"/>
    </row>
    <row r="54" customFormat="1" ht="16" customHeight="1" spans="1:11">
      <c r="A54" s="533" t="s">
        <v>1671</v>
      </c>
      <c r="B54" s="534"/>
      <c r="C54" s="534"/>
      <c r="D54" s="535" t="str">
        <f>实业发票!H63</f>
        <v>PR202600277</v>
      </c>
      <c r="E54" s="536"/>
      <c r="F54" s="536"/>
      <c r="G54" s="536"/>
      <c r="H54" s="537"/>
      <c r="I54" s="538"/>
      <c r="J54" s="538"/>
      <c r="K54" s="539"/>
    </row>
    <row r="55" customFormat="1" ht="16" customHeight="1" spans="1:11">
      <c r="A55" s="533"/>
      <c r="B55" s="534"/>
      <c r="C55" s="534"/>
      <c r="D55" s="540" t="s">
        <v>1672</v>
      </c>
      <c r="E55" s="541"/>
      <c r="F55" s="541"/>
      <c r="G55" s="542"/>
      <c r="H55" s="543"/>
      <c r="I55" s="543"/>
      <c r="J55" s="543"/>
      <c r="K55" s="544"/>
    </row>
    <row r="56" customFormat="1" ht="16" customHeight="1" spans="1:11">
      <c r="A56" s="533"/>
      <c r="B56" s="534"/>
      <c r="C56" s="534"/>
      <c r="D56" s="545">
        <f>D11</f>
        <v>46134</v>
      </c>
      <c r="E56" s="546"/>
      <c r="F56" s="546"/>
      <c r="G56" s="547"/>
      <c r="H56" s="548"/>
      <c r="I56" s="549"/>
      <c r="J56" s="549"/>
      <c r="K56" s="550"/>
    </row>
    <row r="57" customFormat="1" ht="16.5" spans="1:11">
      <c r="A57" s="551" t="s">
        <v>1673</v>
      </c>
      <c r="B57" s="552"/>
      <c r="C57" s="553"/>
      <c r="D57" s="554" t="s">
        <v>1674</v>
      </c>
      <c r="E57" s="555"/>
      <c r="F57" s="555"/>
      <c r="G57" s="555"/>
      <c r="H57" s="556" t="s">
        <v>1675</v>
      </c>
      <c r="I57" s="543"/>
      <c r="J57" s="557"/>
      <c r="K57" s="558"/>
    </row>
    <row r="58" customFormat="1" ht="16.5" spans="1:11">
      <c r="A58" s="551" t="s">
        <v>1676</v>
      </c>
      <c r="B58" s="552"/>
      <c r="C58" s="553"/>
      <c r="D58" s="559" t="str">
        <f>实业合同!H60</f>
        <v>RPIRRI260277</v>
      </c>
      <c r="E58" s="559"/>
      <c r="F58" s="559"/>
      <c r="G58" s="559"/>
      <c r="H58" s="560"/>
      <c r="I58" s="560"/>
      <c r="J58" s="560"/>
      <c r="K58" s="561"/>
    </row>
    <row r="59" customFormat="1" ht="16.5" spans="1:11">
      <c r="A59" s="562" t="s">
        <v>1677</v>
      </c>
      <c r="B59" s="563"/>
      <c r="C59" s="563"/>
      <c r="D59" s="564"/>
      <c r="E59" s="564"/>
      <c r="F59" s="564"/>
      <c r="G59" s="564"/>
      <c r="H59" s="560"/>
      <c r="I59" s="560"/>
      <c r="J59" s="560"/>
      <c r="K59" s="561"/>
    </row>
    <row r="60" customFormat="1" ht="16.5" spans="1:11">
      <c r="A60" s="565" t="s">
        <v>1678</v>
      </c>
      <c r="B60" s="566"/>
      <c r="C60" s="567"/>
      <c r="D60" s="564"/>
      <c r="E60" s="564"/>
      <c r="F60" s="564"/>
      <c r="G60" s="564"/>
      <c r="H60" s="568"/>
      <c r="I60" s="568"/>
      <c r="J60" s="568"/>
      <c r="K60" s="569"/>
    </row>
    <row r="61" customFormat="1" ht="16.5" spans="1:11">
      <c r="A61" s="570" t="s">
        <v>1558</v>
      </c>
      <c r="B61" s="571"/>
      <c r="C61" s="553"/>
      <c r="D61" s="554" t="s">
        <v>1679</v>
      </c>
      <c r="E61" s="541"/>
      <c r="F61" s="541"/>
      <c r="G61" s="542"/>
      <c r="H61" s="543" t="s">
        <v>1680</v>
      </c>
      <c r="I61" s="543"/>
      <c r="J61" s="557"/>
      <c r="K61" s="558"/>
    </row>
    <row r="62" customFormat="1" ht="16.5" spans="1:11">
      <c r="A62" s="570" t="s">
        <v>1681</v>
      </c>
      <c r="B62" s="553"/>
      <c r="C62" s="572"/>
      <c r="D62" s="573" t="str">
        <f>D17</f>
        <v>BMOU6019197</v>
      </c>
      <c r="E62" s="574"/>
      <c r="F62" s="574"/>
      <c r="G62" s="575"/>
      <c r="H62" s="574" t="str">
        <f>H17</f>
        <v>EMCRZS9184</v>
      </c>
      <c r="I62" s="574"/>
      <c r="J62" s="574"/>
      <c r="K62" s="576"/>
    </row>
    <row r="63" customFormat="1" ht="16.5" spans="1:11">
      <c r="A63" s="577" t="s">
        <v>1684</v>
      </c>
      <c r="B63" s="578"/>
      <c r="C63" s="579"/>
      <c r="D63" s="573"/>
      <c r="E63" s="574"/>
      <c r="F63" s="574"/>
      <c r="G63" s="575"/>
      <c r="H63" s="574"/>
      <c r="I63" s="574"/>
      <c r="J63" s="574"/>
      <c r="K63" s="576"/>
    </row>
    <row r="64" customFormat="1" ht="16.5" spans="1:11">
      <c r="A64" s="577" t="s">
        <v>1685</v>
      </c>
      <c r="B64" s="578"/>
      <c r="C64" s="579"/>
      <c r="D64" s="573"/>
      <c r="E64" s="574"/>
      <c r="F64" s="574"/>
      <c r="G64" s="575"/>
      <c r="H64" s="574"/>
      <c r="I64" s="574"/>
      <c r="J64" s="574"/>
      <c r="K64" s="576"/>
    </row>
    <row r="65" customFormat="1" ht="16.5" spans="1:11">
      <c r="A65" s="580" t="s">
        <v>1686</v>
      </c>
      <c r="B65" s="581"/>
      <c r="C65" s="579"/>
      <c r="D65" s="573"/>
      <c r="E65" s="574"/>
      <c r="F65" s="574"/>
      <c r="G65" s="575"/>
      <c r="H65" s="574"/>
      <c r="I65" s="574"/>
      <c r="J65" s="574"/>
      <c r="K65" s="576"/>
    </row>
    <row r="66" customFormat="1" ht="16.5" spans="1:11">
      <c r="A66" s="577" t="s">
        <v>1687</v>
      </c>
      <c r="B66" s="572"/>
      <c r="C66" s="572"/>
      <c r="D66" s="582"/>
      <c r="E66" s="583"/>
      <c r="F66" s="583"/>
      <c r="G66" s="584"/>
      <c r="H66" s="583"/>
      <c r="I66" s="583"/>
      <c r="J66" s="583"/>
      <c r="K66" s="585"/>
    </row>
    <row r="67" customFormat="1" ht="16.5" spans="1:11">
      <c r="A67" s="577" t="s">
        <v>1561</v>
      </c>
      <c r="B67" s="572"/>
      <c r="C67" s="572"/>
      <c r="D67" s="554"/>
      <c r="E67" s="541"/>
      <c r="F67" s="541"/>
      <c r="G67" s="541"/>
      <c r="H67" s="586"/>
      <c r="I67" s="541"/>
      <c r="J67" s="541"/>
      <c r="K67" s="587"/>
    </row>
    <row r="68" customFormat="1" ht="18" customHeight="1" spans="1:11">
      <c r="A68" s="588" t="s">
        <v>1688</v>
      </c>
      <c r="B68" s="589"/>
      <c r="C68" s="590"/>
      <c r="D68" s="591"/>
      <c r="E68" s="592"/>
      <c r="F68" s="592"/>
      <c r="G68" s="592"/>
      <c r="H68" s="592"/>
      <c r="I68" s="592"/>
      <c r="J68" s="592"/>
      <c r="K68" s="593"/>
    </row>
    <row r="69" customFormat="1" ht="38.25" spans="1:11">
      <c r="A69" s="594" t="s">
        <v>1689</v>
      </c>
      <c r="B69" s="595" t="s">
        <v>1641</v>
      </c>
      <c r="C69" s="596" t="s">
        <v>1642</v>
      </c>
      <c r="D69" s="597" t="s">
        <v>1644</v>
      </c>
      <c r="E69" s="597" t="s">
        <v>8</v>
      </c>
      <c r="F69" s="597" t="s">
        <v>1644</v>
      </c>
      <c r="G69" s="595" t="s">
        <v>8</v>
      </c>
      <c r="H69" s="598" t="s">
        <v>1690</v>
      </c>
      <c r="I69" s="599" t="s">
        <v>1691</v>
      </c>
      <c r="J69" s="599" t="s">
        <v>23</v>
      </c>
      <c r="K69" s="600" t="s">
        <v>1692</v>
      </c>
    </row>
    <row r="70" s="429" customFormat="1" ht="59" customHeight="1" spans="1:11">
      <c r="A70" s="601">
        <v>19</v>
      </c>
      <c r="B70" s="602" t="e">
        <f t="array" ref="B70">LOOKUP(1,0/(('5.21出货明细'!X:X=$D$54)*('5.21出货明细'!A:A=A70)),'5.21出货明细'!D:D)</f>
        <v>#N/A</v>
      </c>
      <c r="C70" s="603" t="e">
        <f t="array" ref="C70">LOOKUP(1,0/(('5.21出货明细'!X:X=$D$54)*('5.21出货明细'!A:A=A70)),'5.21出货明细'!G:G&amp;'5.21出货明细'!F:F)</f>
        <v>#N/A</v>
      </c>
      <c r="D70" s="604" t="e">
        <f t="array" ref="D70">LOOKUP(1,0/(('5.21出货明细'!X:X=$D$54)*('5.21出货明细'!A:A=A70)),'5.21出货明细'!K:K)</f>
        <v>#N/A</v>
      </c>
      <c r="E70" s="604" t="e">
        <f t="array" ref="E70">LOOKUP(1,0/(('5.21出货明细'!X:X=$D$54)*('5.21出货明细'!A:A=A70)),'5.21出货明细'!J:J)</f>
        <v>#N/A</v>
      </c>
      <c r="F70" s="604" t="e">
        <f t="array" ref="F70">LOOKUP(1,0/(('5.21出货明细'!X:X=$D$54)*('5.21出货明细'!A:A=A70)),'5.21出货明细'!L:L)</f>
        <v>#N/A</v>
      </c>
      <c r="G70" s="604" t="e">
        <f t="array" ref="G70">LOOKUP(1,0/(('5.21出货明细'!X:X=$D$54)*('5.21出货明细'!A:A=A70)),'5.21出货明细'!M:M)</f>
        <v>#N/A</v>
      </c>
      <c r="H70" s="605" t="e">
        <f t="array" ref="H70">LOOKUP(1,0/(('5.21出货明细'!X:X=$D$54)*('5.21出货明细'!A:A=A70)),'5.21出货明细'!P:P)</f>
        <v>#N/A</v>
      </c>
      <c r="I70" s="606" t="e">
        <f t="array" ref="I70">LOOKUP(1,0/(('5.21出货明细'!X:X=$D$54)*('5.21出货明细'!A:A=A70)),'5.21出货明细'!Q:Q)</f>
        <v>#N/A</v>
      </c>
      <c r="J70" s="606" t="e">
        <f t="array" ref="J70">LOOKUP(1,0/(('5.21出货明细'!X:X=$D$54)*('5.21出货明细'!A:A=A70)),'5.21出货明细'!AT:AT)</f>
        <v>#N/A</v>
      </c>
      <c r="K70" s="607" t="e">
        <f t="array" ref="K70">LOOKUP(1,0/(('5.21出货明细'!X:X=$D$54)*('5.21出货明细'!A:A=A70)),'5.21出货明细'!S:S)</f>
        <v>#N/A</v>
      </c>
    </row>
    <row r="71" customFormat="1" ht="59" customHeight="1" spans="1:11">
      <c r="A71" s="601">
        <v>20</v>
      </c>
      <c r="B71" s="602" t="e">
        <f t="array" ref="B71">LOOKUP(1,0/(('5.21出货明细'!X:X=$D$54)*('5.21出货明细'!A:A=A71)),'5.21出货明细'!D:D)</f>
        <v>#N/A</v>
      </c>
      <c r="C71" s="603" t="e">
        <f t="array" ref="C71">LOOKUP(1,0/(('5.21出货明细'!X:X=$D$54)*('5.21出货明细'!A:A=A71)),'5.21出货明细'!G:G&amp;'5.21出货明细'!F:F)</f>
        <v>#N/A</v>
      </c>
      <c r="D71" s="604" t="e">
        <f t="array" ref="D71">LOOKUP(1,0/(('5.21出货明细'!X:X=$D$54)*('5.21出货明细'!A:A=A71)),'5.21出货明细'!K:K)</f>
        <v>#N/A</v>
      </c>
      <c r="E71" s="604" t="e">
        <f t="array" ref="E71">LOOKUP(1,0/(('5.21出货明细'!X:X=$D$54)*('5.21出货明细'!A:A=A71)),'5.21出货明细'!J:J)</f>
        <v>#N/A</v>
      </c>
      <c r="F71" s="604" t="e">
        <f t="array" ref="F71">LOOKUP(1,0/(('5.21出货明细'!X:X=$D$54)*('5.21出货明细'!A:A=A71)),'5.21出货明细'!L:L)</f>
        <v>#N/A</v>
      </c>
      <c r="G71" s="604" t="e">
        <f t="array" ref="G71">LOOKUP(1,0/(('5.21出货明细'!X:X=$D$54)*('5.21出货明细'!A:A=A71)),'5.21出货明细'!M:M)</f>
        <v>#N/A</v>
      </c>
      <c r="H71" s="605" t="e">
        <f t="array" ref="H71">LOOKUP(1,0/(('5.21出货明细'!X:X=$D$54)*('5.21出货明细'!A:A=A71)),'5.21出货明细'!P:P)</f>
        <v>#N/A</v>
      </c>
      <c r="I71" s="606" t="e">
        <f t="array" ref="I71">LOOKUP(1,0/(('5.21出货明细'!X:X=$D$54)*('5.21出货明细'!A:A=A71)),'5.21出货明细'!Q:Q)</f>
        <v>#N/A</v>
      </c>
      <c r="J71" s="606" t="e">
        <f t="array" ref="J71">LOOKUP(1,0/(('5.21出货明细'!X:X=$D$54)*('5.21出货明细'!A:A=A71)),'5.21出货明细'!AT:AT)</f>
        <v>#N/A</v>
      </c>
      <c r="K71" s="607" t="e">
        <f t="array" ref="K71">LOOKUP(1,0/(('5.21出货明细'!X:X=$D$54)*('5.21出货明细'!A:A=A71)),'5.21出货明细'!S:S)</f>
        <v>#N/A</v>
      </c>
    </row>
    <row r="72" customFormat="1" ht="59" customHeight="1" spans="1:11">
      <c r="A72" s="601">
        <v>21</v>
      </c>
      <c r="B72" s="602" t="e">
        <f t="array" ref="B72">LOOKUP(1,0/(('5.21出货明细'!X:X=$D$54)*('5.21出货明细'!A:A=A72)),'5.21出货明细'!D:D)</f>
        <v>#N/A</v>
      </c>
      <c r="C72" s="603" t="e">
        <f t="array" ref="C72">LOOKUP(1,0/(('5.21出货明细'!X:X=$D$54)*('5.21出货明细'!A:A=A72)),'5.21出货明细'!G:G&amp;'5.21出货明细'!F:F)</f>
        <v>#N/A</v>
      </c>
      <c r="D72" s="604" t="e">
        <f t="array" ref="D72">LOOKUP(1,0/(('5.21出货明细'!X:X=$D$54)*('5.21出货明细'!A:A=A72)),'5.21出货明细'!K:K)</f>
        <v>#N/A</v>
      </c>
      <c r="E72" s="604" t="e">
        <f t="array" ref="E72">LOOKUP(1,0/(('5.21出货明细'!X:X=$D$54)*('5.21出货明细'!A:A=A72)),'5.21出货明细'!J:J)</f>
        <v>#N/A</v>
      </c>
      <c r="F72" s="604" t="e">
        <f t="array" ref="F72">LOOKUP(1,0/(('5.21出货明细'!X:X=$D$54)*('5.21出货明细'!A:A=A72)),'5.21出货明细'!L:L)</f>
        <v>#N/A</v>
      </c>
      <c r="G72" s="604" t="e">
        <f t="array" ref="G72">LOOKUP(1,0/(('5.21出货明细'!X:X=$D$54)*('5.21出货明细'!A:A=A72)),'5.21出货明细'!M:M)</f>
        <v>#N/A</v>
      </c>
      <c r="H72" s="605" t="e">
        <f t="array" ref="H72">LOOKUP(1,0/(('5.21出货明细'!X:X=$D$54)*('5.21出货明细'!A:A=A72)),'5.21出货明细'!P:P)</f>
        <v>#N/A</v>
      </c>
      <c r="I72" s="606" t="e">
        <f t="array" ref="I72">LOOKUP(1,0/(('5.21出货明细'!X:X=$D$54)*('5.21出货明细'!A:A=A72)),'5.21出货明细'!Q:Q)</f>
        <v>#N/A</v>
      </c>
      <c r="J72" s="606" t="e">
        <f t="array" ref="J72">LOOKUP(1,0/(('5.21出货明细'!X:X=$D$54)*('5.21出货明细'!A:A=A72)),'5.21出货明细'!AT:AT)</f>
        <v>#N/A</v>
      </c>
      <c r="K72" s="607" t="e">
        <f t="array" ref="K72">LOOKUP(1,0/(('5.21出货明细'!X:X=$D$54)*('5.21出货明细'!A:A=A72)),'5.21出货明细'!S:S)</f>
        <v>#N/A</v>
      </c>
    </row>
    <row r="73" customFormat="1" ht="55" customHeight="1" spans="1:11">
      <c r="A73" s="601">
        <v>22</v>
      </c>
      <c r="B73" s="602" t="e">
        <f t="array" ref="B73">LOOKUP(1,0/(('5.21出货明细'!X:X=$D$54)*('5.21出货明细'!A:A=A73)),'5.21出货明细'!D:D)</f>
        <v>#N/A</v>
      </c>
      <c r="C73" s="603" t="e">
        <f t="array" ref="C73">LOOKUP(1,0/(('5.21出货明细'!X:X=$D$54)*('5.21出货明细'!A:A=A73)),'5.21出货明细'!G:G&amp;'5.21出货明细'!F:F)</f>
        <v>#N/A</v>
      </c>
      <c r="D73" s="604" t="e">
        <f t="array" ref="D73">LOOKUP(1,0/(('5.21出货明细'!X:X=$D$54)*('5.21出货明细'!A:A=A73)),'5.21出货明细'!K:K)</f>
        <v>#N/A</v>
      </c>
      <c r="E73" s="604" t="e">
        <f t="array" ref="E73">LOOKUP(1,0/(('5.21出货明细'!X:X=$D$54)*('5.21出货明细'!A:A=A73)),'5.21出货明细'!J:J)</f>
        <v>#N/A</v>
      </c>
      <c r="F73" s="604" t="e">
        <f t="array" ref="F73">LOOKUP(1,0/(('5.21出货明细'!X:X=$D$54)*('5.21出货明细'!A:A=A73)),'5.21出货明细'!L:L)</f>
        <v>#N/A</v>
      </c>
      <c r="G73" s="604" t="e">
        <f t="array" ref="G73">LOOKUP(1,0/(('5.21出货明细'!X:X=$D$54)*('5.21出货明细'!A:A=A73)),'5.21出货明细'!M:M)</f>
        <v>#N/A</v>
      </c>
      <c r="H73" s="605" t="e">
        <f t="array" ref="H73">LOOKUP(1,0/(('5.21出货明细'!X:X=$D$54)*('5.21出货明细'!A:A=A73)),'5.21出货明细'!P:P)</f>
        <v>#N/A</v>
      </c>
      <c r="I73" s="606" t="e">
        <f t="array" ref="I73">LOOKUP(1,0/(('5.21出货明细'!X:X=$D$54)*('5.21出货明细'!A:A=A73)),'5.21出货明细'!Q:Q)</f>
        <v>#N/A</v>
      </c>
      <c r="J73" s="606" t="e">
        <f t="array" ref="J73">LOOKUP(1,0/(('5.21出货明细'!X:X=$D$54)*('5.21出货明细'!A:A=A73)),'5.21出货明细'!AT:AT)</f>
        <v>#N/A</v>
      </c>
      <c r="K73" s="607" t="e">
        <f t="array" ref="K73">LOOKUP(1,0/(('5.21出货明细'!X:X=$D$54)*('5.21出货明细'!A:A=A73)),'5.21出货明细'!S:S)</f>
        <v>#N/A</v>
      </c>
    </row>
    <row r="74" customFormat="1" ht="55" customHeight="1" spans="1:11">
      <c r="A74" s="601">
        <v>23</v>
      </c>
      <c r="B74" s="602" t="e">
        <f t="array" ref="B74">LOOKUP(1,0/(('5.21出货明细'!X:X=$D$54)*('5.21出货明细'!A:A=A74)),'5.21出货明细'!D:D)</f>
        <v>#N/A</v>
      </c>
      <c r="C74" s="603" t="e">
        <f t="array" ref="C74">LOOKUP(1,0/(('5.21出货明细'!X:X=$D$54)*('5.21出货明细'!A:A=A74)),'5.21出货明细'!G:G&amp;'5.21出货明细'!F:F)</f>
        <v>#N/A</v>
      </c>
      <c r="D74" s="604" t="e">
        <f t="array" ref="D74">LOOKUP(1,0/(('5.21出货明细'!X:X=$D$54)*('5.21出货明细'!A:A=A74)),'5.21出货明细'!K:K)</f>
        <v>#N/A</v>
      </c>
      <c r="E74" s="604" t="e">
        <f t="array" ref="E74">LOOKUP(1,0/(('5.21出货明细'!X:X=$D$54)*('5.21出货明细'!A:A=A74)),'5.21出货明细'!J:J)</f>
        <v>#N/A</v>
      </c>
      <c r="F74" s="604" t="e">
        <f t="array" ref="F74">LOOKUP(1,0/(('5.21出货明细'!X:X=$D$54)*('5.21出货明细'!A:A=A74)),'5.21出货明细'!L:L)</f>
        <v>#N/A</v>
      </c>
      <c r="G74" s="604" t="e">
        <f t="array" ref="G74">LOOKUP(1,0/(('5.21出货明细'!X:X=$D$54)*('5.21出货明细'!A:A=A74)),'5.21出货明细'!M:M)</f>
        <v>#N/A</v>
      </c>
      <c r="H74" s="605" t="e">
        <f t="array" ref="H74">LOOKUP(1,0/(('5.21出货明细'!X:X=$D$54)*('5.21出货明细'!A:A=A74)),'5.21出货明细'!P:P)</f>
        <v>#N/A</v>
      </c>
      <c r="I74" s="606" t="e">
        <f t="array" ref="I74">LOOKUP(1,0/(('5.21出货明细'!X:X=$D$54)*('5.21出货明细'!A:A=A74)),'5.21出货明细'!Q:Q)</f>
        <v>#N/A</v>
      </c>
      <c r="J74" s="606" t="e">
        <f t="array" ref="J74">LOOKUP(1,0/(('5.21出货明细'!X:X=$D$54)*('5.21出货明细'!A:A=A74)),'5.21出货明细'!AT:AT)</f>
        <v>#N/A</v>
      </c>
      <c r="K74" s="607" t="e">
        <f t="array" ref="K74">LOOKUP(1,0/(('5.21出货明细'!X:X=$D$54)*('5.21出货明细'!A:A=A74)),'5.21出货明细'!S:S)</f>
        <v>#N/A</v>
      </c>
    </row>
    <row r="75" customFormat="1" ht="55" customHeight="1" spans="1:11">
      <c r="A75" s="601">
        <v>24</v>
      </c>
      <c r="B75" s="602" t="e">
        <f t="array" ref="B75">LOOKUP(1,0/(('5.21出货明细'!X:X=$D$54)*('5.21出货明细'!A:A=A75)),'5.21出货明细'!D:D)</f>
        <v>#N/A</v>
      </c>
      <c r="C75" s="603" t="e">
        <f t="array" ref="C75">LOOKUP(1,0/(('5.21出货明细'!X:X=$D$54)*('5.21出货明细'!A:A=A75)),'5.21出货明细'!G:G&amp;'5.21出货明细'!F:F)</f>
        <v>#N/A</v>
      </c>
      <c r="D75" s="604" t="e">
        <f t="array" ref="D75">LOOKUP(1,0/(('5.21出货明细'!X:X=$D$54)*('5.21出货明细'!A:A=A75)),'5.21出货明细'!K:K)</f>
        <v>#N/A</v>
      </c>
      <c r="E75" s="604" t="e">
        <f t="array" ref="E75">LOOKUP(1,0/(('5.21出货明细'!X:X=$D$54)*('5.21出货明细'!A:A=A75)),'5.21出货明细'!J:J)</f>
        <v>#N/A</v>
      </c>
      <c r="F75" s="604" t="e">
        <f t="array" ref="F75">LOOKUP(1,0/(('5.21出货明细'!X:X=$D$54)*('5.21出货明细'!A:A=A75)),'5.21出货明细'!L:L)</f>
        <v>#N/A</v>
      </c>
      <c r="G75" s="604" t="e">
        <f t="array" ref="G75">LOOKUP(1,0/(('5.21出货明细'!X:X=$D$54)*('5.21出货明细'!A:A=A75)),'5.21出货明细'!M:M)</f>
        <v>#N/A</v>
      </c>
      <c r="H75" s="605" t="e">
        <f t="array" ref="H75">LOOKUP(1,0/(('5.21出货明细'!X:X=$D$54)*('5.21出货明细'!A:A=A75)),'5.21出货明细'!P:P)</f>
        <v>#N/A</v>
      </c>
      <c r="I75" s="606" t="e">
        <f t="array" ref="I75">LOOKUP(1,0/(('5.21出货明细'!X:X=$D$54)*('5.21出货明细'!A:A=A75)),'5.21出货明细'!Q:Q)</f>
        <v>#N/A</v>
      </c>
      <c r="J75" s="606" t="e">
        <f t="array" ref="J75">LOOKUP(1,0/(('5.21出货明细'!X:X=$D$54)*('5.21出货明细'!A:A=A75)),'5.21出货明细'!AT:AT)</f>
        <v>#N/A</v>
      </c>
      <c r="K75" s="607" t="e">
        <f t="array" ref="K75">LOOKUP(1,0/(('5.21出货明细'!X:X=$D$54)*('5.21出货明细'!A:A=A75)),'5.21出货明细'!S:S)</f>
        <v>#N/A</v>
      </c>
    </row>
    <row r="76" customFormat="1" ht="55" customHeight="1" spans="1:11">
      <c r="A76" s="601">
        <v>25</v>
      </c>
      <c r="B76" s="602" t="e">
        <f t="array" ref="B76">LOOKUP(1,0/(('5.21出货明细'!X:X=$D$54)*('5.21出货明细'!A:A=A76)),'5.21出货明细'!D:D)</f>
        <v>#N/A</v>
      </c>
      <c r="C76" s="603" t="e">
        <f t="array" ref="C76">LOOKUP(1,0/(('5.21出货明细'!X:X=$D$54)*('5.21出货明细'!A:A=A76)),'5.21出货明细'!G:G&amp;'5.21出货明细'!F:F)</f>
        <v>#N/A</v>
      </c>
      <c r="D76" s="604" t="e">
        <f t="array" ref="D76">LOOKUP(1,0/(('5.21出货明细'!X:X=$D$54)*('5.21出货明细'!A:A=A76)),'5.21出货明细'!K:K)</f>
        <v>#N/A</v>
      </c>
      <c r="E76" s="604" t="e">
        <f t="array" ref="E76">LOOKUP(1,0/(('5.21出货明细'!X:X=$D$54)*('5.21出货明细'!A:A=A76)),'5.21出货明细'!J:J)</f>
        <v>#N/A</v>
      </c>
      <c r="F76" s="604" t="e">
        <f t="array" ref="F76">LOOKUP(1,0/(('5.21出货明细'!X:X=$D$54)*('5.21出货明细'!A:A=A76)),'5.21出货明细'!L:L)</f>
        <v>#N/A</v>
      </c>
      <c r="G76" s="604" t="e">
        <f t="array" ref="G76">LOOKUP(1,0/(('5.21出货明细'!X:X=$D$54)*('5.21出货明细'!A:A=A76)),'5.21出货明细'!M:M)</f>
        <v>#N/A</v>
      </c>
      <c r="H76" s="605" t="e">
        <f t="array" ref="H76">LOOKUP(1,0/(('5.21出货明细'!X:X=$D$54)*('5.21出货明细'!A:A=A76)),'5.21出货明细'!P:P)</f>
        <v>#N/A</v>
      </c>
      <c r="I76" s="606" t="e">
        <f t="array" ref="I76">LOOKUP(1,0/(('5.21出货明细'!X:X=$D$54)*('5.21出货明细'!A:A=A76)),'5.21出货明细'!Q:Q)</f>
        <v>#N/A</v>
      </c>
      <c r="J76" s="606" t="e">
        <f t="array" ref="J76">LOOKUP(1,0/(('5.21出货明细'!X:X=$D$54)*('5.21出货明细'!A:A=A76)),'5.21出货明细'!AT:AT)</f>
        <v>#N/A</v>
      </c>
      <c r="K76" s="607" t="e">
        <f t="array" ref="K76">LOOKUP(1,0/(('5.21出货明细'!X:X=$D$54)*('5.21出货明细'!A:A=A76)),'5.21出货明细'!S:S)</f>
        <v>#N/A</v>
      </c>
    </row>
    <row r="77" customFormat="1" ht="55" customHeight="1" spans="1:11">
      <c r="A77" s="601">
        <v>26</v>
      </c>
      <c r="B77" s="602" t="e">
        <f t="array" ref="B77">LOOKUP(1,0/(('5.21出货明细'!X:X=$D$54)*('5.21出货明细'!A:A=A77)),'5.21出货明细'!D:D)</f>
        <v>#N/A</v>
      </c>
      <c r="C77" s="603" t="e">
        <f t="array" ref="C77">LOOKUP(1,0/(('5.21出货明细'!X:X=$D$54)*('5.21出货明细'!A:A=A77)),'5.21出货明细'!G:G&amp;'5.21出货明细'!F:F)</f>
        <v>#N/A</v>
      </c>
      <c r="D77" s="604" t="e">
        <f t="array" ref="D77">LOOKUP(1,0/(('5.21出货明细'!X:X=$D$54)*('5.21出货明细'!A:A=A77)),'5.21出货明细'!K:K)</f>
        <v>#N/A</v>
      </c>
      <c r="E77" s="604" t="e">
        <f t="array" ref="E77">LOOKUP(1,0/(('5.21出货明细'!X:X=$D$54)*('5.21出货明细'!A:A=A77)),'5.21出货明细'!J:J)</f>
        <v>#N/A</v>
      </c>
      <c r="F77" s="604" t="e">
        <f t="array" ref="F77">LOOKUP(1,0/(('5.21出货明细'!X:X=$D$54)*('5.21出货明细'!A:A=A77)),'5.21出货明细'!L:L)</f>
        <v>#N/A</v>
      </c>
      <c r="G77" s="604" t="e">
        <f t="array" ref="G77">LOOKUP(1,0/(('5.21出货明细'!X:X=$D$54)*('5.21出货明细'!A:A=A77)),'5.21出货明细'!M:M)</f>
        <v>#N/A</v>
      </c>
      <c r="H77" s="605" t="e">
        <f t="array" ref="H77">LOOKUP(1,0/(('5.21出货明细'!X:X=$D$54)*('5.21出货明细'!A:A=A77)),'5.21出货明细'!P:P)</f>
        <v>#N/A</v>
      </c>
      <c r="I77" s="606" t="e">
        <f t="array" ref="I77">LOOKUP(1,0/(('5.21出货明细'!X:X=$D$54)*('5.21出货明细'!A:A=A77)),'5.21出货明细'!Q:Q)</f>
        <v>#N/A</v>
      </c>
      <c r="J77" s="606" t="e">
        <f t="array" ref="J77">LOOKUP(1,0/(('5.21出货明细'!X:X=$D$54)*('5.21出货明细'!A:A=A77)),'5.21出货明细'!AT:AT)</f>
        <v>#N/A</v>
      </c>
      <c r="K77" s="607" t="e">
        <f t="array" ref="K77">LOOKUP(1,0/(('5.21出货明细'!X:X=$D$54)*('5.21出货明细'!A:A=A77)),'5.21出货明细'!S:S)</f>
        <v>#N/A</v>
      </c>
    </row>
    <row r="78" customFormat="1" ht="55" customHeight="1" spans="1:11">
      <c r="A78" s="601">
        <v>27</v>
      </c>
      <c r="B78" s="602" t="e">
        <f t="array" ref="B78">LOOKUP(1,0/(('5.21出货明细'!X:X=$D$54)*('5.21出货明细'!A:A=A78)),'5.21出货明细'!D:D)</f>
        <v>#N/A</v>
      </c>
      <c r="C78" s="603" t="e">
        <f t="array" ref="C78">LOOKUP(1,0/(('5.21出货明细'!X:X=$D$54)*('5.21出货明细'!A:A=A78)),'5.21出货明细'!G:G&amp;'5.21出货明细'!F:F)</f>
        <v>#N/A</v>
      </c>
      <c r="D78" s="604" t="e">
        <f t="array" ref="D78">LOOKUP(1,0/(('5.21出货明细'!X:X=$D$54)*('5.21出货明细'!A:A=A78)),'5.21出货明细'!K:K)</f>
        <v>#N/A</v>
      </c>
      <c r="E78" s="604" t="e">
        <f t="array" ref="E78">LOOKUP(1,0/(('5.21出货明细'!X:X=$D$54)*('5.21出货明细'!A:A=A78)),'5.21出货明细'!J:J)</f>
        <v>#N/A</v>
      </c>
      <c r="F78" s="604" t="e">
        <f t="array" ref="F78">LOOKUP(1,0/(('5.21出货明细'!X:X=$D$54)*('5.21出货明细'!A:A=A78)),'5.21出货明细'!L:L)</f>
        <v>#N/A</v>
      </c>
      <c r="G78" s="604" t="e">
        <f t="array" ref="G78">LOOKUP(1,0/(('5.21出货明细'!X:X=$D$54)*('5.21出货明细'!A:A=A78)),'5.21出货明细'!M:M)</f>
        <v>#N/A</v>
      </c>
      <c r="H78" s="605" t="e">
        <f t="array" ref="H78">LOOKUP(1,0/(('5.21出货明细'!X:X=$D$54)*('5.21出货明细'!A:A=A78)),'5.21出货明细'!P:P)</f>
        <v>#N/A</v>
      </c>
      <c r="I78" s="606" t="e">
        <f t="array" ref="I78">LOOKUP(1,0/(('5.21出货明细'!X:X=$D$54)*('5.21出货明细'!A:A=A78)),'5.21出货明细'!Q:Q)</f>
        <v>#N/A</v>
      </c>
      <c r="J78" s="606" t="e">
        <f t="array" ref="J78">LOOKUP(1,0/(('5.21出货明细'!X:X=$D$54)*('5.21出货明细'!A:A=A78)),'5.21出货明细'!AT:AT)</f>
        <v>#N/A</v>
      </c>
      <c r="K78" s="607" t="e">
        <f t="array" ref="K78">LOOKUP(1,0/(('5.21出货明细'!X:X=$D$54)*('5.21出货明细'!A:A=A78)),'5.21出货明细'!S:S)</f>
        <v>#N/A</v>
      </c>
    </row>
    <row r="79" customFormat="1" ht="55" customHeight="1" spans="1:11">
      <c r="A79" s="601">
        <v>28</v>
      </c>
      <c r="B79" s="602" t="e">
        <f t="array" ref="B79">LOOKUP(1,0/(('5.21出货明细'!X:X=$D$54)*('5.21出货明细'!A:A=A79)),'5.21出货明细'!D:D)</f>
        <v>#N/A</v>
      </c>
      <c r="C79" s="603" t="e">
        <f t="array" ref="C79">LOOKUP(1,0/(('5.21出货明细'!X:X=$D$54)*('5.21出货明细'!A:A=A79)),'5.21出货明细'!G:G&amp;'5.21出货明细'!F:F)</f>
        <v>#N/A</v>
      </c>
      <c r="D79" s="604" t="e">
        <f t="array" ref="D79">LOOKUP(1,0/(('5.21出货明细'!X:X=$D$54)*('5.21出货明细'!A:A=A79)),'5.21出货明细'!K:K)</f>
        <v>#N/A</v>
      </c>
      <c r="E79" s="604" t="e">
        <f t="array" ref="E79">LOOKUP(1,0/(('5.21出货明细'!X:X=$D$54)*('5.21出货明细'!A:A=A79)),'5.21出货明细'!J:J)</f>
        <v>#N/A</v>
      </c>
      <c r="F79" s="604" t="e">
        <f t="array" ref="F79">LOOKUP(1,0/(('5.21出货明细'!X:X=$D$54)*('5.21出货明细'!A:A=A79)),'5.21出货明细'!L:L)</f>
        <v>#N/A</v>
      </c>
      <c r="G79" s="604" t="e">
        <f t="array" ref="G79">LOOKUP(1,0/(('5.21出货明细'!X:X=$D$54)*('5.21出货明细'!A:A=A79)),'5.21出货明细'!M:M)</f>
        <v>#N/A</v>
      </c>
      <c r="H79" s="605" t="e">
        <f t="array" ref="H79">LOOKUP(1,0/(('5.21出货明细'!X:X=$D$54)*('5.21出货明细'!A:A=A79)),'5.21出货明细'!P:P)</f>
        <v>#N/A</v>
      </c>
      <c r="I79" s="606" t="e">
        <f t="array" ref="I79">LOOKUP(1,0/(('5.21出货明细'!X:X=$D$54)*('5.21出货明细'!A:A=A79)),'5.21出货明细'!Q:Q)</f>
        <v>#N/A</v>
      </c>
      <c r="J79" s="606" t="e">
        <f t="array" ref="J79">LOOKUP(1,0/(('5.21出货明细'!X:X=$D$54)*('5.21出货明细'!A:A=A79)),'5.21出货明细'!AT:AT)</f>
        <v>#N/A</v>
      </c>
      <c r="K79" s="607" t="e">
        <f t="array" ref="K79">LOOKUP(1,0/(('5.21出货明细'!X:X=$D$54)*('5.21出货明细'!A:A=A79)),'5.21出货明细'!S:S)</f>
        <v>#N/A</v>
      </c>
    </row>
    <row r="80" customFormat="1" ht="55" customHeight="1" spans="1:11">
      <c r="A80" s="601">
        <v>29</v>
      </c>
      <c r="B80" s="602" t="e">
        <f t="array" ref="B80">LOOKUP(1,0/(('5.21出货明细'!X:X=$D$54)*('5.21出货明细'!A:A=A80)),'5.21出货明细'!D:D)</f>
        <v>#N/A</v>
      </c>
      <c r="C80" s="603" t="e">
        <f t="array" ref="C80">LOOKUP(1,0/(('5.21出货明细'!X:X=$D$54)*('5.21出货明细'!A:A=A80)),'5.21出货明细'!G:G&amp;'5.21出货明细'!F:F)</f>
        <v>#N/A</v>
      </c>
      <c r="D80" s="604" t="e">
        <f t="array" ref="D80">LOOKUP(1,0/(('5.21出货明细'!X:X=$D$54)*('5.21出货明细'!A:A=A80)),'5.21出货明细'!K:K)</f>
        <v>#N/A</v>
      </c>
      <c r="E80" s="604" t="e">
        <f t="array" ref="E80">LOOKUP(1,0/(('5.21出货明细'!X:X=$D$54)*('5.21出货明细'!A:A=A80)),'5.21出货明细'!J:J)</f>
        <v>#N/A</v>
      </c>
      <c r="F80" s="604" t="e">
        <f t="array" ref="F80">LOOKUP(1,0/(('5.21出货明细'!X:X=$D$54)*('5.21出货明细'!A:A=A80)),'5.21出货明细'!L:L)</f>
        <v>#N/A</v>
      </c>
      <c r="G80" s="604" t="e">
        <f t="array" ref="G80">LOOKUP(1,0/(('5.21出货明细'!X:X=$D$54)*('5.21出货明细'!A:A=A80)),'5.21出货明细'!M:M)</f>
        <v>#N/A</v>
      </c>
      <c r="H80" s="605" t="e">
        <f t="array" ref="H80">LOOKUP(1,0/(('5.21出货明细'!X:X=$D$54)*('5.21出货明细'!A:A=A80)),'5.21出货明细'!P:P)</f>
        <v>#N/A</v>
      </c>
      <c r="I80" s="606" t="e">
        <f t="array" ref="I80">LOOKUP(1,0/(('5.21出货明细'!X:X=$D$54)*('5.21出货明细'!A:A=A80)),'5.21出货明细'!Q:Q)</f>
        <v>#N/A</v>
      </c>
      <c r="J80" s="606" t="e">
        <f t="array" ref="J80">LOOKUP(1,0/(('5.21出货明细'!X:X=$D$54)*('5.21出货明细'!A:A=A80)),'5.21出货明细'!AT:AT)</f>
        <v>#N/A</v>
      </c>
      <c r="K80" s="607" t="e">
        <f t="array" ref="K80">LOOKUP(1,0/(('5.21出货明细'!X:X=$D$54)*('5.21出货明细'!A:A=A80)),'5.21出货明细'!S:S)</f>
        <v>#N/A</v>
      </c>
    </row>
    <row r="81" customFormat="1" ht="18" spans="1:11">
      <c r="A81" s="608"/>
      <c r="B81" s="609"/>
      <c r="C81" s="603"/>
      <c r="D81" s="610" t="e">
        <f>SUM(D70:D80)</f>
        <v>#N/A</v>
      </c>
      <c r="E81" s="611"/>
      <c r="F81" s="610"/>
      <c r="G81" s="610"/>
      <c r="H81" s="612" t="e">
        <f>SUM(H70:H80)</f>
        <v>#N/A</v>
      </c>
      <c r="I81" s="612" t="e">
        <f>SUM(I70:I80)</f>
        <v>#N/A</v>
      </c>
      <c r="J81" s="612" t="e">
        <f>SUM(J70:J80)</f>
        <v>#N/A</v>
      </c>
      <c r="K81" s="613" t="e">
        <f>SUM(K70:K80)</f>
        <v>#N/A</v>
      </c>
    </row>
    <row r="82" customFormat="1" ht="18.75" spans="1:11">
      <c r="A82" s="614"/>
      <c r="B82" s="615"/>
      <c r="C82" s="616"/>
      <c r="D82" s="617"/>
      <c r="E82" s="618" t="s">
        <v>1553</v>
      </c>
      <c r="F82" s="618"/>
      <c r="G82" s="618"/>
      <c r="H82" s="618" t="s">
        <v>1553</v>
      </c>
      <c r="I82" s="618" t="s">
        <v>1553</v>
      </c>
      <c r="J82" s="618" t="s">
        <v>1553</v>
      </c>
      <c r="K82" s="618" t="s">
        <v>1553</v>
      </c>
    </row>
    <row r="83" ht="14.25"/>
    <row r="84" customFormat="1" ht="25.5" spans="1:11">
      <c r="A84" s="515" t="s">
        <v>1546</v>
      </c>
      <c r="B84" s="516"/>
      <c r="C84" s="516"/>
      <c r="D84" s="516"/>
      <c r="E84" s="516"/>
      <c r="F84" s="516"/>
      <c r="G84" s="516"/>
      <c r="H84" s="516"/>
      <c r="I84" s="516"/>
      <c r="J84" s="516"/>
      <c r="K84" s="517"/>
    </row>
    <row r="85" customFormat="1" spans="1:11">
      <c r="A85" s="518" t="s">
        <v>1656</v>
      </c>
      <c r="B85" s="519"/>
      <c r="C85" s="519"/>
      <c r="D85" s="519"/>
      <c r="E85" s="519"/>
      <c r="F85" s="519"/>
      <c r="G85" s="519"/>
      <c r="H85" s="519"/>
      <c r="I85" s="519"/>
      <c r="J85" s="519"/>
      <c r="K85" s="520"/>
    </row>
    <row r="86" customFormat="1" spans="1:11">
      <c r="A86" s="518"/>
      <c r="B86" s="519"/>
      <c r="C86" s="519"/>
      <c r="D86" s="519"/>
      <c r="E86" s="519"/>
      <c r="F86" s="519"/>
      <c r="G86" s="519"/>
      <c r="H86" s="519"/>
      <c r="I86" s="519"/>
      <c r="J86" s="519"/>
      <c r="K86" s="520"/>
    </row>
    <row r="87" customFormat="1" ht="18" spans="1:11">
      <c r="A87" s="521"/>
      <c r="B87" s="522"/>
      <c r="C87" s="522"/>
      <c r="D87" s="522"/>
      <c r="E87" s="522"/>
      <c r="F87" s="522"/>
      <c r="G87" s="522"/>
      <c r="H87" s="522"/>
      <c r="I87" s="522"/>
      <c r="J87" s="522"/>
      <c r="K87" s="523"/>
    </row>
    <row r="88" customFormat="1" ht="18" spans="1:11">
      <c r="A88" s="521"/>
      <c r="B88" s="522"/>
      <c r="C88" s="522"/>
      <c r="D88" s="522"/>
      <c r="E88" s="522"/>
      <c r="F88" s="522"/>
      <c r="G88" s="522"/>
      <c r="H88" s="522"/>
      <c r="I88" s="522"/>
      <c r="J88" s="522"/>
      <c r="K88" s="523"/>
    </row>
    <row r="89" customFormat="1" spans="1:11">
      <c r="A89" s="524" t="s">
        <v>1667</v>
      </c>
      <c r="B89" s="525"/>
      <c r="C89" s="525"/>
      <c r="D89" s="525"/>
      <c r="E89" s="525"/>
      <c r="F89" s="525"/>
      <c r="G89" s="525"/>
      <c r="H89" s="525"/>
      <c r="I89" s="525"/>
      <c r="J89" s="525"/>
      <c r="K89" s="526"/>
    </row>
    <row r="90" customFormat="1" ht="14.25" spans="1:11">
      <c r="A90" s="524"/>
      <c r="B90" s="525"/>
      <c r="C90" s="525"/>
      <c r="D90" s="525"/>
      <c r="E90" s="525"/>
      <c r="F90" s="525"/>
      <c r="G90" s="525"/>
      <c r="H90" s="525"/>
      <c r="I90" s="525"/>
      <c r="J90" s="525"/>
      <c r="K90" s="526"/>
    </row>
    <row r="91" customFormat="1" ht="16.5" spans="1:11">
      <c r="A91" s="527" t="s">
        <v>1668</v>
      </c>
      <c r="B91" s="528"/>
      <c r="C91" s="528"/>
      <c r="D91" s="529" t="s">
        <v>1669</v>
      </c>
      <c r="E91" s="530"/>
      <c r="F91" s="530"/>
      <c r="G91" s="530"/>
      <c r="H91" s="529" t="s">
        <v>1670</v>
      </c>
      <c r="I91" s="531"/>
      <c r="J91" s="531"/>
      <c r="K91" s="532"/>
    </row>
    <row r="92" customFormat="1" ht="16" customHeight="1" spans="1:11">
      <c r="A92" s="533" t="s">
        <v>1671</v>
      </c>
      <c r="B92" s="534"/>
      <c r="C92" s="534"/>
      <c r="D92" s="535" t="str">
        <f>实业发票!H106</f>
        <v>PR202600278</v>
      </c>
      <c r="E92" s="536"/>
      <c r="F92" s="536"/>
      <c r="G92" s="536"/>
      <c r="H92" s="537"/>
      <c r="I92" s="538"/>
      <c r="J92" s="538"/>
      <c r="K92" s="539"/>
    </row>
    <row r="93" customFormat="1" ht="16" customHeight="1" spans="1:11">
      <c r="A93" s="533"/>
      <c r="B93" s="534"/>
      <c r="C93" s="534"/>
      <c r="D93" s="540" t="s">
        <v>1672</v>
      </c>
      <c r="E93" s="541"/>
      <c r="F93" s="541"/>
      <c r="G93" s="542"/>
      <c r="H93" s="543"/>
      <c r="I93" s="543"/>
      <c r="J93" s="543"/>
      <c r="K93" s="544"/>
    </row>
    <row r="94" customFormat="1" ht="16" customHeight="1" spans="1:11">
      <c r="A94" s="533"/>
      <c r="B94" s="534"/>
      <c r="C94" s="534"/>
      <c r="D94" s="545">
        <f>D11</f>
        <v>46134</v>
      </c>
      <c r="E94" s="546"/>
      <c r="F94" s="546"/>
      <c r="G94" s="547"/>
      <c r="H94" s="548"/>
      <c r="I94" s="549"/>
      <c r="J94" s="549"/>
      <c r="K94" s="550"/>
    </row>
    <row r="95" customFormat="1" ht="16.5" spans="1:11">
      <c r="A95" s="551" t="s">
        <v>1673</v>
      </c>
      <c r="B95" s="552"/>
      <c r="C95" s="553"/>
      <c r="D95" s="554" t="s">
        <v>1674</v>
      </c>
      <c r="E95" s="555"/>
      <c r="F95" s="555"/>
      <c r="G95" s="555"/>
      <c r="H95" s="556" t="s">
        <v>1675</v>
      </c>
      <c r="I95" s="543"/>
      <c r="J95" s="557"/>
      <c r="K95" s="558"/>
    </row>
    <row r="96" customFormat="1" ht="16.5" spans="1:11">
      <c r="A96" s="551" t="s">
        <v>1676</v>
      </c>
      <c r="B96" s="552"/>
      <c r="C96" s="553"/>
      <c r="D96" s="559" t="str">
        <f>实业合同!H107</f>
        <v>RPIRRI260278</v>
      </c>
      <c r="E96" s="559"/>
      <c r="F96" s="559"/>
      <c r="G96" s="559"/>
      <c r="H96" s="560"/>
      <c r="I96" s="560"/>
      <c r="J96" s="560"/>
      <c r="K96" s="561"/>
    </row>
    <row r="97" customFormat="1" ht="16.5" spans="1:11">
      <c r="A97" s="562" t="s">
        <v>1677</v>
      </c>
      <c r="B97" s="563"/>
      <c r="C97" s="563"/>
      <c r="D97" s="564"/>
      <c r="E97" s="564"/>
      <c r="F97" s="564"/>
      <c r="G97" s="564"/>
      <c r="H97" s="560"/>
      <c r="I97" s="560"/>
      <c r="J97" s="560"/>
      <c r="K97" s="561"/>
    </row>
    <row r="98" customFormat="1" ht="16.5" spans="1:11">
      <c r="A98" s="565" t="s">
        <v>1678</v>
      </c>
      <c r="B98" s="566"/>
      <c r="C98" s="567"/>
      <c r="D98" s="564"/>
      <c r="E98" s="564"/>
      <c r="F98" s="564"/>
      <c r="G98" s="564"/>
      <c r="H98" s="568"/>
      <c r="I98" s="568"/>
      <c r="J98" s="568"/>
      <c r="K98" s="569"/>
    </row>
    <row r="99" customFormat="1" ht="16.5" spans="1:11">
      <c r="A99" s="570" t="s">
        <v>1558</v>
      </c>
      <c r="B99" s="571"/>
      <c r="C99" s="553"/>
      <c r="D99" s="554" t="s">
        <v>1679</v>
      </c>
      <c r="E99" s="541"/>
      <c r="F99" s="541"/>
      <c r="G99" s="542"/>
      <c r="H99" s="543" t="s">
        <v>1680</v>
      </c>
      <c r="I99" s="543"/>
      <c r="J99" s="557"/>
      <c r="K99" s="558"/>
    </row>
    <row r="100" customFormat="1" ht="16.5" spans="1:11">
      <c r="A100" s="570" t="s">
        <v>1681</v>
      </c>
      <c r="B100" s="553"/>
      <c r="C100" s="572"/>
      <c r="D100" s="573" t="str">
        <f>D17</f>
        <v>BMOU6019197</v>
      </c>
      <c r="E100" s="574"/>
      <c r="F100" s="574"/>
      <c r="G100" s="575"/>
      <c r="H100" s="574" t="str">
        <f>H17</f>
        <v>EMCRZS9184</v>
      </c>
      <c r="I100" s="574"/>
      <c r="J100" s="574"/>
      <c r="K100" s="576"/>
    </row>
    <row r="101" customFormat="1" ht="16.5" spans="1:11">
      <c r="A101" s="577" t="s">
        <v>1684</v>
      </c>
      <c r="B101" s="578"/>
      <c r="C101" s="579"/>
      <c r="D101" s="573"/>
      <c r="E101" s="574"/>
      <c r="F101" s="574"/>
      <c r="G101" s="575"/>
      <c r="H101" s="574"/>
      <c r="I101" s="574"/>
      <c r="J101" s="574"/>
      <c r="K101" s="576"/>
    </row>
    <row r="102" customFormat="1" ht="16.5" spans="1:11">
      <c r="A102" s="577" t="s">
        <v>1685</v>
      </c>
      <c r="B102" s="578"/>
      <c r="C102" s="579"/>
      <c r="D102" s="573"/>
      <c r="E102" s="574"/>
      <c r="F102" s="574"/>
      <c r="G102" s="575"/>
      <c r="H102" s="574"/>
      <c r="I102" s="574"/>
      <c r="J102" s="574"/>
      <c r="K102" s="576"/>
    </row>
    <row r="103" customFormat="1" ht="16.5" spans="1:11">
      <c r="A103" s="580" t="s">
        <v>1686</v>
      </c>
      <c r="B103" s="581"/>
      <c r="C103" s="579"/>
      <c r="D103" s="573"/>
      <c r="E103" s="574"/>
      <c r="F103" s="574"/>
      <c r="G103" s="575"/>
      <c r="H103" s="574"/>
      <c r="I103" s="574"/>
      <c r="J103" s="574"/>
      <c r="K103" s="576"/>
    </row>
    <row r="104" customFormat="1" ht="16.5" spans="1:11">
      <c r="A104" s="577" t="s">
        <v>1687</v>
      </c>
      <c r="B104" s="572"/>
      <c r="C104" s="572"/>
      <c r="D104" s="582"/>
      <c r="E104" s="583"/>
      <c r="F104" s="583"/>
      <c r="G104" s="584"/>
      <c r="H104" s="583"/>
      <c r="I104" s="583"/>
      <c r="J104" s="583"/>
      <c r="K104" s="585"/>
    </row>
    <row r="105" customFormat="1" ht="16.5" spans="1:11">
      <c r="A105" s="577" t="s">
        <v>1561</v>
      </c>
      <c r="B105" s="572"/>
      <c r="C105" s="572"/>
      <c r="D105" s="554"/>
      <c r="E105" s="541"/>
      <c r="F105" s="541"/>
      <c r="G105" s="541"/>
      <c r="H105" s="586"/>
      <c r="I105" s="541"/>
      <c r="J105" s="541"/>
      <c r="K105" s="587"/>
    </row>
    <row r="106" customFormat="1" ht="18" customHeight="1" spans="1:11">
      <c r="A106" s="588" t="s">
        <v>1688</v>
      </c>
      <c r="B106" s="589"/>
      <c r="C106" s="590"/>
      <c r="D106" s="591"/>
      <c r="E106" s="592"/>
      <c r="F106" s="592"/>
      <c r="G106" s="592"/>
      <c r="H106" s="592"/>
      <c r="I106" s="592"/>
      <c r="J106" s="592"/>
      <c r="K106" s="593"/>
    </row>
    <row r="107" customFormat="1" ht="38.25" spans="1:11">
      <c r="A107" s="594" t="s">
        <v>1689</v>
      </c>
      <c r="B107" s="595" t="s">
        <v>1641</v>
      </c>
      <c r="C107" s="596" t="s">
        <v>1642</v>
      </c>
      <c r="D107" s="597" t="s">
        <v>1644</v>
      </c>
      <c r="E107" s="597" t="s">
        <v>8</v>
      </c>
      <c r="F107" s="597" t="s">
        <v>1644</v>
      </c>
      <c r="G107" s="595" t="s">
        <v>8</v>
      </c>
      <c r="H107" s="598" t="s">
        <v>1690</v>
      </c>
      <c r="I107" s="599" t="s">
        <v>1691</v>
      </c>
      <c r="J107" s="599" t="s">
        <v>23</v>
      </c>
      <c r="K107" s="600" t="s">
        <v>1692</v>
      </c>
    </row>
    <row r="108" s="429" customFormat="1" ht="52" customHeight="1" spans="1:11">
      <c r="A108" s="601">
        <v>30</v>
      </c>
      <c r="B108" s="602" t="e">
        <f t="array" ref="B108">LOOKUP(1,0/(('5.21出货明细'!X:X=$D$92)*('5.21出货明细'!A:A=A108)),'5.21出货明细'!D:D)</f>
        <v>#N/A</v>
      </c>
      <c r="C108" s="603" t="e">
        <f t="array" ref="C108">LOOKUP(1,0/(('5.21出货明细'!X:X=$D$92)*('5.21出货明细'!A:A=A108)),'5.21出货明细'!G:G&amp;'5.21出货明细'!F:F)</f>
        <v>#N/A</v>
      </c>
      <c r="D108" s="604" t="e">
        <f t="array" ref="D108">LOOKUP(1,0/(('5.21出货明细'!X:X=$D$92)*('5.21出货明细'!A:A=A108)),'5.21出货明细'!K:K)</f>
        <v>#N/A</v>
      </c>
      <c r="E108" s="604" t="e">
        <f t="array" ref="E108">LOOKUP(1,0/(('5.21出货明细'!X:X=$D$92)*('5.21出货明细'!A:A=A108)),'5.21出货明细'!J:J)</f>
        <v>#N/A</v>
      </c>
      <c r="F108" s="604" t="e">
        <f t="array" ref="F108">LOOKUP(1,0/(('5.21出货明细'!X:X=$D$92)*('5.21出货明细'!A:A=A108)),'5.21出货明细'!L:L)</f>
        <v>#N/A</v>
      </c>
      <c r="G108" s="604" t="e">
        <f t="array" ref="G108">LOOKUP(1,0/(('5.21出货明细'!X:X=$D$92)*('5.21出货明细'!A:A=A108)),'5.21出货明细'!M:M)</f>
        <v>#N/A</v>
      </c>
      <c r="H108" s="605" t="e">
        <f t="array" ref="H108">LOOKUP(1,0/(('5.21出货明细'!X:X=$D$92)*('5.21出货明细'!A:A=A108)),'5.21出货明细'!P:P)</f>
        <v>#N/A</v>
      </c>
      <c r="I108" s="606" t="e">
        <f t="array" ref="I108">LOOKUP(1,0/(('5.21出货明细'!X:X=$D$92)*('5.21出货明细'!A:A=A108)),'5.21出货明细'!Q:Q)</f>
        <v>#N/A</v>
      </c>
      <c r="J108" s="606" t="e">
        <f t="array" ref="J108">LOOKUP(1,0/(('5.21出货明细'!X:X=$D$92)*('5.21出货明细'!A:A=A108)),'5.21出货明细'!AT:AT)</f>
        <v>#N/A</v>
      </c>
      <c r="K108" s="607" t="e">
        <f t="array" ref="K108">LOOKUP(1,0/(('5.21出货明细'!X:X=$D$92)*('5.21出货明细'!A:A=A108)),'5.21出货明细'!S:S)</f>
        <v>#N/A</v>
      </c>
    </row>
    <row r="109" customFormat="1" ht="52" customHeight="1" spans="1:11">
      <c r="A109" s="601">
        <v>31</v>
      </c>
      <c r="B109" s="602" t="e">
        <f t="array" ref="B109">LOOKUP(1,0/(('5.21出货明细'!X:X=$D$92)*('5.21出货明细'!A:A=A109)),'5.21出货明细'!D:D)</f>
        <v>#N/A</v>
      </c>
      <c r="C109" s="603" t="e">
        <f t="array" ref="C109">LOOKUP(1,0/(('5.21出货明细'!X:X=$D$92)*('5.21出货明细'!A:A=A109)),'5.21出货明细'!G:G&amp;'5.21出货明细'!F:F)</f>
        <v>#N/A</v>
      </c>
      <c r="D109" s="604" t="e">
        <f t="array" ref="D109">LOOKUP(1,0/(('5.21出货明细'!X:X=$D$92)*('5.21出货明细'!A:A=A109)),'5.21出货明细'!K:K)</f>
        <v>#N/A</v>
      </c>
      <c r="E109" s="604" t="e">
        <f t="array" ref="E109">LOOKUP(1,0/(('5.21出货明细'!X:X=$D$92)*('5.21出货明细'!A:A=A109)),'5.21出货明细'!J:J)</f>
        <v>#N/A</v>
      </c>
      <c r="F109" s="604" t="e">
        <f t="array" ref="F109">LOOKUP(1,0/(('5.21出货明细'!X:X=$D$92)*('5.21出货明细'!A:A=A109)),'5.21出货明细'!L:L)</f>
        <v>#N/A</v>
      </c>
      <c r="G109" s="604" t="e">
        <f t="array" ref="G109">LOOKUP(1,0/(('5.21出货明细'!X:X=$D$92)*('5.21出货明细'!A:A=A109)),'5.21出货明细'!M:M)</f>
        <v>#N/A</v>
      </c>
      <c r="H109" s="605" t="e">
        <f t="array" ref="H109">LOOKUP(1,0/(('5.21出货明细'!X:X=$D$92)*('5.21出货明细'!A:A=A109)),'5.21出货明细'!P:P)</f>
        <v>#N/A</v>
      </c>
      <c r="I109" s="606" t="e">
        <f t="array" ref="I109">LOOKUP(1,0/(('5.21出货明细'!X:X=$D$92)*('5.21出货明细'!A:A=A109)),'5.21出货明细'!Q:Q)</f>
        <v>#N/A</v>
      </c>
      <c r="J109" s="606" t="e">
        <f t="array" ref="J109">LOOKUP(1,0/(('5.21出货明细'!X:X=$D$92)*('5.21出货明细'!A:A=A109)),'5.21出货明细'!AT:AT)</f>
        <v>#N/A</v>
      </c>
      <c r="K109" s="607" t="e">
        <f t="array" ref="K109">LOOKUP(1,0/(('5.21出货明细'!X:X=$D$92)*('5.21出货明细'!A:A=A109)),'5.21出货明细'!S:S)</f>
        <v>#N/A</v>
      </c>
    </row>
    <row r="110" customFormat="1" ht="52" customHeight="1" spans="1:11">
      <c r="A110" s="601">
        <v>32</v>
      </c>
      <c r="B110" s="602" t="e">
        <f t="array" ref="B110">LOOKUP(1,0/(('5.21出货明细'!X:X=$D$92)*('5.21出货明细'!A:A=A110)),'5.21出货明细'!D:D)</f>
        <v>#N/A</v>
      </c>
      <c r="C110" s="603" t="e">
        <f t="array" ref="C110">LOOKUP(1,0/(('5.21出货明细'!X:X=$D$92)*('5.21出货明细'!A:A=A110)),'5.21出货明细'!G:G&amp;'5.21出货明细'!F:F)</f>
        <v>#N/A</v>
      </c>
      <c r="D110" s="604" t="e">
        <f t="array" ref="D110">LOOKUP(1,0/(('5.21出货明细'!X:X=$D$92)*('5.21出货明细'!A:A=A110)),'5.21出货明细'!K:K)</f>
        <v>#N/A</v>
      </c>
      <c r="E110" s="604" t="e">
        <f t="array" ref="E110">LOOKUP(1,0/(('5.21出货明细'!X:X=$D$92)*('5.21出货明细'!A:A=A110)),'5.21出货明细'!J:J)</f>
        <v>#N/A</v>
      </c>
      <c r="F110" s="604" t="e">
        <f t="array" ref="F110">LOOKUP(1,0/(('5.21出货明细'!X:X=$D$92)*('5.21出货明细'!A:A=A110)),'5.21出货明细'!L:L)</f>
        <v>#N/A</v>
      </c>
      <c r="G110" s="604" t="e">
        <f t="array" ref="G110">LOOKUP(1,0/(('5.21出货明细'!X:X=$D$92)*('5.21出货明细'!A:A=A110)),'5.21出货明细'!M:M)</f>
        <v>#N/A</v>
      </c>
      <c r="H110" s="605" t="e">
        <f t="array" ref="H110">LOOKUP(1,0/(('5.21出货明细'!X:X=$D$92)*('5.21出货明细'!A:A=A110)),'5.21出货明细'!P:P)</f>
        <v>#N/A</v>
      </c>
      <c r="I110" s="606" t="e">
        <f t="array" ref="I110">LOOKUP(1,0/(('5.21出货明细'!X:X=$D$92)*('5.21出货明细'!A:A=A110)),'5.21出货明细'!Q:Q)</f>
        <v>#N/A</v>
      </c>
      <c r="J110" s="606" t="e">
        <f t="array" ref="J110">LOOKUP(1,0/(('5.21出货明细'!X:X=$D$92)*('5.21出货明细'!A:A=A110)),'5.21出货明细'!AT:AT)</f>
        <v>#N/A</v>
      </c>
      <c r="K110" s="607" t="e">
        <f t="array" ref="K110">LOOKUP(1,0/(('5.21出货明细'!X:X=$D$92)*('5.21出货明细'!A:A=A110)),'5.21出货明细'!S:S)</f>
        <v>#N/A</v>
      </c>
    </row>
    <row r="111" customFormat="1" ht="52" customHeight="1" spans="1:11">
      <c r="A111" s="601">
        <v>33</v>
      </c>
      <c r="B111" s="602" t="e">
        <f t="array" ref="B111">LOOKUP(1,0/(('5.21出货明细'!X:X=$D$92)*('5.21出货明细'!A:A=A111)),'5.21出货明细'!D:D)</f>
        <v>#N/A</v>
      </c>
      <c r="C111" s="603" t="e">
        <f t="array" ref="C111">LOOKUP(1,0/(('5.21出货明细'!X:X=$D$92)*('5.21出货明细'!A:A=A111)),'5.21出货明细'!G:G&amp;'5.21出货明细'!F:F)</f>
        <v>#N/A</v>
      </c>
      <c r="D111" s="604" t="e">
        <f t="array" ref="D111">LOOKUP(1,0/(('5.21出货明细'!X:X=$D$92)*('5.21出货明细'!A:A=A111)),'5.21出货明细'!K:K)</f>
        <v>#N/A</v>
      </c>
      <c r="E111" s="604" t="e">
        <f t="array" ref="E111">LOOKUP(1,0/(('5.21出货明细'!X:X=$D$92)*('5.21出货明细'!A:A=A111)),'5.21出货明细'!J:J)</f>
        <v>#N/A</v>
      </c>
      <c r="F111" s="604" t="e">
        <f t="array" ref="F111">LOOKUP(1,0/(('5.21出货明细'!X:X=$D$92)*('5.21出货明细'!A:A=A111)),'5.21出货明细'!L:L)</f>
        <v>#N/A</v>
      </c>
      <c r="G111" s="604" t="e">
        <f t="array" ref="G111">LOOKUP(1,0/(('5.21出货明细'!X:X=$D$92)*('5.21出货明细'!A:A=A111)),'5.21出货明细'!M:M)</f>
        <v>#N/A</v>
      </c>
      <c r="H111" s="605" t="e">
        <f t="array" ref="H111">LOOKUP(1,0/(('5.21出货明细'!X:X=$D$92)*('5.21出货明细'!A:A=A111)),'5.21出货明细'!P:P)</f>
        <v>#N/A</v>
      </c>
      <c r="I111" s="606" t="e">
        <f t="array" ref="I111">LOOKUP(1,0/(('5.21出货明细'!X:X=$D$92)*('5.21出货明细'!A:A=A111)),'5.21出货明细'!Q:Q)</f>
        <v>#N/A</v>
      </c>
      <c r="J111" s="606" t="e">
        <f t="array" ref="J111">LOOKUP(1,0/(('5.21出货明细'!X:X=$D$92)*('5.21出货明细'!A:A=A111)),'5.21出货明细'!AT:AT)</f>
        <v>#N/A</v>
      </c>
      <c r="K111" s="607" t="e">
        <f t="array" ref="K111">LOOKUP(1,0/(('5.21出货明细'!X:X=$D$92)*('5.21出货明细'!A:A=A111)),'5.21出货明细'!S:S)</f>
        <v>#N/A</v>
      </c>
    </row>
    <row r="112" customFormat="1" ht="52" customHeight="1" spans="1:11">
      <c r="A112" s="601">
        <v>34</v>
      </c>
      <c r="B112" s="602" t="e">
        <f t="array" ref="B112">LOOKUP(1,0/(('5.21出货明细'!X:X=$D$92)*('5.21出货明细'!A:A=A112)),'5.21出货明细'!D:D)</f>
        <v>#N/A</v>
      </c>
      <c r="C112" s="603" t="e">
        <f t="array" ref="C112">LOOKUP(1,0/(('5.21出货明细'!X:X=$D$92)*('5.21出货明细'!A:A=A112)),'5.21出货明细'!G:G&amp;'5.21出货明细'!F:F)</f>
        <v>#N/A</v>
      </c>
      <c r="D112" s="604" t="e">
        <f t="array" ref="D112">LOOKUP(1,0/(('5.21出货明细'!X:X=$D$92)*('5.21出货明细'!A:A=A112)),'5.21出货明细'!K:K)</f>
        <v>#N/A</v>
      </c>
      <c r="E112" s="604" t="e">
        <f t="array" ref="E112">LOOKUP(1,0/(('5.21出货明细'!X:X=$D$92)*('5.21出货明细'!A:A=A112)),'5.21出货明细'!J:J)</f>
        <v>#N/A</v>
      </c>
      <c r="F112" s="604" t="e">
        <f t="array" ref="F112">LOOKUP(1,0/(('5.21出货明细'!X:X=$D$92)*('5.21出货明细'!A:A=A112)),'5.21出货明细'!L:L)</f>
        <v>#N/A</v>
      </c>
      <c r="G112" s="604" t="e">
        <f t="array" ref="G112">LOOKUP(1,0/(('5.21出货明细'!X:X=$D$92)*('5.21出货明细'!A:A=A112)),'5.21出货明细'!M:M)</f>
        <v>#N/A</v>
      </c>
      <c r="H112" s="605" t="e">
        <f t="array" ref="H112">LOOKUP(1,0/(('5.21出货明细'!X:X=$D$92)*('5.21出货明细'!A:A=A112)),'5.21出货明细'!P:P)</f>
        <v>#N/A</v>
      </c>
      <c r="I112" s="606" t="e">
        <f t="array" ref="I112">LOOKUP(1,0/(('5.21出货明细'!X:X=$D$92)*('5.21出货明细'!A:A=A112)),'5.21出货明细'!Q:Q)</f>
        <v>#N/A</v>
      </c>
      <c r="J112" s="606" t="e">
        <f t="array" ref="J112">LOOKUP(1,0/(('5.21出货明细'!X:X=$D$92)*('5.21出货明细'!A:A=A112)),'5.21出货明细'!AT:AT)</f>
        <v>#N/A</v>
      </c>
      <c r="K112" s="607" t="e">
        <f t="array" ref="K112">LOOKUP(1,0/(('5.21出货明细'!X:X=$D$92)*('5.21出货明细'!A:A=A112)),'5.21出货明细'!S:S)</f>
        <v>#N/A</v>
      </c>
    </row>
    <row r="113" customFormat="1" ht="52" customHeight="1" spans="1:11">
      <c r="A113" s="601">
        <v>35</v>
      </c>
      <c r="B113" s="602" t="e">
        <f t="array" ref="B113">LOOKUP(1,0/(('5.21出货明细'!X:X=$D$92)*('5.21出货明细'!A:A=A113)),'5.21出货明细'!D:D)</f>
        <v>#N/A</v>
      </c>
      <c r="C113" s="603" t="e">
        <f t="array" ref="C113">LOOKUP(1,0/(('5.21出货明细'!X:X=$D$92)*('5.21出货明细'!A:A=A113)),'5.21出货明细'!G:G&amp;'5.21出货明细'!F:F)</f>
        <v>#N/A</v>
      </c>
      <c r="D113" s="604" t="e">
        <f t="array" ref="D113">LOOKUP(1,0/(('5.21出货明细'!X:X=$D$92)*('5.21出货明细'!A:A=A113)),'5.21出货明细'!K:K)</f>
        <v>#N/A</v>
      </c>
      <c r="E113" s="604" t="e">
        <f t="array" ref="E113">LOOKUP(1,0/(('5.21出货明细'!X:X=$D$92)*('5.21出货明细'!A:A=A113)),'5.21出货明细'!J:J)</f>
        <v>#N/A</v>
      </c>
      <c r="F113" s="604" t="e">
        <f t="array" ref="F113">LOOKUP(1,0/(('5.21出货明细'!X:X=$D$92)*('5.21出货明细'!A:A=A113)),'5.21出货明细'!L:L)</f>
        <v>#N/A</v>
      </c>
      <c r="G113" s="604" t="e">
        <f t="array" ref="G113">LOOKUP(1,0/(('5.21出货明细'!X:X=$D$92)*('5.21出货明细'!A:A=A113)),'5.21出货明细'!M:M)</f>
        <v>#N/A</v>
      </c>
      <c r="H113" s="605" t="e">
        <f t="array" ref="H113">LOOKUP(1,0/(('5.21出货明细'!X:X=$D$92)*('5.21出货明细'!A:A=A113)),'5.21出货明细'!P:P)</f>
        <v>#N/A</v>
      </c>
      <c r="I113" s="606" t="e">
        <f t="array" ref="I113">LOOKUP(1,0/(('5.21出货明细'!X:X=$D$92)*('5.21出货明细'!A:A=A113)),'5.21出货明细'!Q:Q)</f>
        <v>#N/A</v>
      </c>
      <c r="J113" s="606" t="e">
        <f t="array" ref="J113">LOOKUP(1,0/(('5.21出货明细'!X:X=$D$92)*('5.21出货明细'!A:A=A113)),'5.21出货明细'!AT:AT)</f>
        <v>#N/A</v>
      </c>
      <c r="K113" s="607" t="e">
        <f t="array" ref="K113">LOOKUP(1,0/(('5.21出货明细'!X:X=$D$92)*('5.21出货明细'!A:A=A113)),'5.21出货明细'!S:S)</f>
        <v>#N/A</v>
      </c>
    </row>
    <row r="114" customFormat="1" ht="52" customHeight="1" spans="1:11">
      <c r="A114" s="601">
        <v>36</v>
      </c>
      <c r="B114" s="602" t="e">
        <f t="array" ref="B114">LOOKUP(1,0/(('5.21出货明细'!X:X=$D$92)*('5.21出货明细'!A:A=A114)),'5.21出货明细'!D:D)</f>
        <v>#N/A</v>
      </c>
      <c r="C114" s="603" t="e">
        <f t="array" ref="C114">LOOKUP(1,0/(('5.21出货明细'!X:X=$D$92)*('5.21出货明细'!A:A=A114)),'5.21出货明细'!G:G&amp;'5.21出货明细'!F:F)</f>
        <v>#N/A</v>
      </c>
      <c r="D114" s="604" t="e">
        <f t="array" ref="D114">LOOKUP(1,0/(('5.21出货明细'!X:X=$D$92)*('5.21出货明细'!A:A=A114)),'5.21出货明细'!K:K)</f>
        <v>#N/A</v>
      </c>
      <c r="E114" s="604" t="e">
        <f t="array" ref="E114">LOOKUP(1,0/(('5.21出货明细'!X:X=$D$92)*('5.21出货明细'!A:A=A114)),'5.21出货明细'!J:J)</f>
        <v>#N/A</v>
      </c>
      <c r="F114" s="604" t="e">
        <f t="array" ref="F114">LOOKUP(1,0/(('5.21出货明细'!X:X=$D$92)*('5.21出货明细'!A:A=A114)),'5.21出货明细'!L:L)</f>
        <v>#N/A</v>
      </c>
      <c r="G114" s="604" t="e">
        <f t="array" ref="G114">LOOKUP(1,0/(('5.21出货明细'!X:X=$D$92)*('5.21出货明细'!A:A=A114)),'5.21出货明细'!M:M)</f>
        <v>#N/A</v>
      </c>
      <c r="H114" s="605" t="e">
        <f t="array" ref="H114">LOOKUP(1,0/(('5.21出货明细'!X:X=$D$92)*('5.21出货明细'!A:A=A114)),'5.21出货明细'!P:P)</f>
        <v>#N/A</v>
      </c>
      <c r="I114" s="606" t="e">
        <f t="array" ref="I114">LOOKUP(1,0/(('5.21出货明细'!X:X=$D$92)*('5.21出货明细'!A:A=A114)),'5.21出货明细'!Q:Q)</f>
        <v>#N/A</v>
      </c>
      <c r="J114" s="606" t="e">
        <f t="array" ref="J114">LOOKUP(1,0/(('5.21出货明细'!X:X=$D$92)*('5.21出货明细'!A:A=A114)),'5.21出货明细'!AT:AT)</f>
        <v>#N/A</v>
      </c>
      <c r="K114" s="607" t="e">
        <f t="array" ref="K114">LOOKUP(1,0/(('5.21出货明细'!X:X=$D$92)*('5.21出货明细'!A:A=A114)),'5.21出货明细'!S:S)</f>
        <v>#N/A</v>
      </c>
    </row>
    <row r="115" customFormat="1" ht="52" customHeight="1" spans="1:11">
      <c r="A115" s="601">
        <v>37</v>
      </c>
      <c r="B115" s="602" t="e">
        <f t="array" ref="B115">LOOKUP(1,0/(('5.21出货明细'!X:X=$D$92)*('5.21出货明细'!A:A=A115)),'5.21出货明细'!D:D)</f>
        <v>#N/A</v>
      </c>
      <c r="C115" s="603" t="e">
        <f t="array" ref="C115">LOOKUP(1,0/(('5.21出货明细'!X:X=$D$92)*('5.21出货明细'!A:A=A115)),'5.21出货明细'!G:G&amp;'5.21出货明细'!F:F)</f>
        <v>#N/A</v>
      </c>
      <c r="D115" s="604" t="e">
        <f t="array" ref="D115">LOOKUP(1,0/(('5.21出货明细'!X:X=$D$92)*('5.21出货明细'!A:A=A115)),'5.21出货明细'!K:K)</f>
        <v>#N/A</v>
      </c>
      <c r="E115" s="604" t="e">
        <f t="array" ref="E115">LOOKUP(1,0/(('5.21出货明细'!X:X=$D$92)*('5.21出货明细'!A:A=A115)),'5.21出货明细'!J:J)</f>
        <v>#N/A</v>
      </c>
      <c r="F115" s="604" t="e">
        <f t="array" ref="F115">LOOKUP(1,0/(('5.21出货明细'!X:X=$D$92)*('5.21出货明细'!A:A=A115)),'5.21出货明细'!L:L)</f>
        <v>#N/A</v>
      </c>
      <c r="G115" s="604" t="e">
        <f t="array" ref="G115">LOOKUP(1,0/(('5.21出货明细'!X:X=$D$92)*('5.21出货明细'!A:A=A115)),'5.21出货明细'!M:M)</f>
        <v>#N/A</v>
      </c>
      <c r="H115" s="605" t="e">
        <f t="array" ref="H115">LOOKUP(1,0/(('5.21出货明细'!X:X=$D$92)*('5.21出货明细'!A:A=A115)),'5.21出货明细'!P:P)</f>
        <v>#N/A</v>
      </c>
      <c r="I115" s="606" t="e">
        <f t="array" ref="I115">LOOKUP(1,0/(('5.21出货明细'!X:X=$D$92)*('5.21出货明细'!A:A=A115)),'5.21出货明细'!Q:Q)</f>
        <v>#N/A</v>
      </c>
      <c r="J115" s="606" t="e">
        <f t="array" ref="J115">LOOKUP(1,0/(('5.21出货明细'!X:X=$D$92)*('5.21出货明细'!A:A=A115)),'5.21出货明细'!AT:AT)</f>
        <v>#N/A</v>
      </c>
      <c r="K115" s="607" t="e">
        <f t="array" ref="K115">LOOKUP(1,0/(('5.21出货明细'!X:X=$D$92)*('5.21出货明细'!A:A=A115)),'5.21出货明细'!S:S)</f>
        <v>#N/A</v>
      </c>
    </row>
    <row r="116" customFormat="1" ht="52" customHeight="1" spans="1:11">
      <c r="A116" s="601">
        <v>38</v>
      </c>
      <c r="B116" s="602" t="e">
        <f t="array" ref="B116">LOOKUP(1,0/(('5.21出货明细'!X:X=$D$92)*('5.21出货明细'!A:A=A116)),'5.21出货明细'!D:D)</f>
        <v>#N/A</v>
      </c>
      <c r="C116" s="603" t="e">
        <f t="array" ref="C116">LOOKUP(1,0/(('5.21出货明细'!X:X=$D$92)*('5.21出货明细'!A:A=A116)),'5.21出货明细'!G:G&amp;'5.21出货明细'!F:F)</f>
        <v>#N/A</v>
      </c>
      <c r="D116" s="604" t="e">
        <f t="array" ref="D116">LOOKUP(1,0/(('5.21出货明细'!X:X=$D$92)*('5.21出货明细'!A:A=A116)),'5.21出货明细'!K:K)</f>
        <v>#N/A</v>
      </c>
      <c r="E116" s="604" t="e">
        <f t="array" ref="E116">LOOKUP(1,0/(('5.21出货明细'!X:X=$D$92)*('5.21出货明细'!A:A=A116)),'5.21出货明细'!J:J)</f>
        <v>#N/A</v>
      </c>
      <c r="F116" s="604" t="e">
        <f t="array" ref="F116">LOOKUP(1,0/(('5.21出货明细'!X:X=$D$92)*('5.21出货明细'!A:A=A116)),'5.21出货明细'!L:L)</f>
        <v>#N/A</v>
      </c>
      <c r="G116" s="604" t="e">
        <f t="array" ref="G116">LOOKUP(1,0/(('5.21出货明细'!X:X=$D$92)*('5.21出货明细'!A:A=A116)),'5.21出货明细'!M:M)</f>
        <v>#N/A</v>
      </c>
      <c r="H116" s="605" t="e">
        <f t="array" ref="H116">LOOKUP(1,0/(('5.21出货明细'!X:X=$D$92)*('5.21出货明细'!A:A=A116)),'5.21出货明细'!P:P)</f>
        <v>#N/A</v>
      </c>
      <c r="I116" s="606" t="e">
        <f t="array" ref="I116">LOOKUP(1,0/(('5.21出货明细'!X:X=$D$92)*('5.21出货明细'!A:A=A116)),'5.21出货明细'!Q:Q)</f>
        <v>#N/A</v>
      </c>
      <c r="J116" s="606" t="e">
        <f t="array" ref="J116">LOOKUP(1,0/(('5.21出货明细'!X:X=$D$92)*('5.21出货明细'!A:A=A116)),'5.21出货明细'!AT:AT)</f>
        <v>#N/A</v>
      </c>
      <c r="K116" s="607" t="e">
        <f t="array" ref="K116">LOOKUP(1,0/(('5.21出货明细'!X:X=$D$92)*('5.21出货明细'!A:A=A116)),'5.21出货明细'!S:S)</f>
        <v>#N/A</v>
      </c>
    </row>
    <row r="117" customFormat="1" ht="52" customHeight="1" spans="1:11">
      <c r="A117" s="601">
        <v>39</v>
      </c>
      <c r="B117" s="602" t="e">
        <f t="array" ref="B117">LOOKUP(1,0/(('5.21出货明细'!X:X=$D$92)*('5.21出货明细'!A:A=A117)),'5.21出货明细'!D:D)</f>
        <v>#N/A</v>
      </c>
      <c r="C117" s="603" t="e">
        <f t="array" ref="C117">LOOKUP(1,0/(('5.21出货明细'!X:X=$D$92)*('5.21出货明细'!A:A=A117)),'5.21出货明细'!G:G&amp;'5.21出货明细'!F:F)</f>
        <v>#N/A</v>
      </c>
      <c r="D117" s="604" t="e">
        <f t="array" ref="D117">LOOKUP(1,0/(('5.21出货明细'!X:X=$D$92)*('5.21出货明细'!A:A=A117)),'5.21出货明细'!K:K)</f>
        <v>#N/A</v>
      </c>
      <c r="E117" s="604" t="e">
        <f t="array" ref="E117">LOOKUP(1,0/(('5.21出货明细'!X:X=$D$92)*('5.21出货明细'!A:A=A117)),'5.21出货明细'!J:J)</f>
        <v>#N/A</v>
      </c>
      <c r="F117" s="604" t="e">
        <f t="array" ref="F117">LOOKUP(1,0/(('5.21出货明细'!X:X=$D$92)*('5.21出货明细'!A:A=A117)),'5.21出货明细'!L:L)</f>
        <v>#N/A</v>
      </c>
      <c r="G117" s="604" t="e">
        <f t="array" ref="G117">LOOKUP(1,0/(('5.21出货明细'!X:X=$D$92)*('5.21出货明细'!A:A=A117)),'5.21出货明细'!M:M)</f>
        <v>#N/A</v>
      </c>
      <c r="H117" s="605" t="e">
        <f t="array" ref="H117">LOOKUP(1,0/(('5.21出货明细'!X:X=$D$92)*('5.21出货明细'!A:A=A117)),'5.21出货明细'!P:P)</f>
        <v>#N/A</v>
      </c>
      <c r="I117" s="606" t="e">
        <f t="array" ref="I117">LOOKUP(1,0/(('5.21出货明细'!X:X=$D$92)*('5.21出货明细'!A:A=A117)),'5.21出货明细'!Q:Q)</f>
        <v>#N/A</v>
      </c>
      <c r="J117" s="606" t="e">
        <f t="array" ref="J117">LOOKUP(1,0/(('5.21出货明细'!X:X=$D$92)*('5.21出货明细'!A:A=A117)),'5.21出货明细'!AT:AT)</f>
        <v>#N/A</v>
      </c>
      <c r="K117" s="607" t="e">
        <f t="array" ref="K117">LOOKUP(1,0/(('5.21出货明细'!X:X=$D$92)*('5.21出货明细'!A:A=A117)),'5.21出货明细'!S:S)</f>
        <v>#N/A</v>
      </c>
    </row>
    <row r="118" customFormat="1" ht="52" customHeight="1" spans="1:11">
      <c r="A118" s="601">
        <v>40</v>
      </c>
      <c r="B118" s="602" t="e">
        <f t="array" ref="B118">LOOKUP(1,0/(('5.21出货明细'!X:X=$D$92)*('5.21出货明细'!A:A=A118)),'5.21出货明细'!D:D)</f>
        <v>#N/A</v>
      </c>
      <c r="C118" s="603" t="e">
        <f t="array" ref="C118">LOOKUP(1,0/(('5.21出货明细'!X:X=$D$92)*('5.21出货明细'!A:A=A118)),'5.21出货明细'!G:G&amp;'5.21出货明细'!F:F)</f>
        <v>#N/A</v>
      </c>
      <c r="D118" s="604" t="e">
        <f t="array" ref="D118">LOOKUP(1,0/(('5.21出货明细'!X:X=$D$92)*('5.21出货明细'!A:A=A118)),'5.21出货明细'!K:K)</f>
        <v>#N/A</v>
      </c>
      <c r="E118" s="604" t="e">
        <f t="array" ref="E118">LOOKUP(1,0/(('5.21出货明细'!X:X=$D$92)*('5.21出货明细'!A:A=A118)),'5.21出货明细'!J:J)</f>
        <v>#N/A</v>
      </c>
      <c r="F118" s="604" t="e">
        <f t="array" ref="F118">LOOKUP(1,0/(('5.21出货明细'!X:X=$D$92)*('5.21出货明细'!A:A=A118)),'5.21出货明细'!L:L)</f>
        <v>#N/A</v>
      </c>
      <c r="G118" s="604" t="e">
        <f t="array" ref="G118">LOOKUP(1,0/(('5.21出货明细'!X:X=$D$92)*('5.21出货明细'!A:A=A118)),'5.21出货明细'!M:M)</f>
        <v>#N/A</v>
      </c>
      <c r="H118" s="605" t="e">
        <f t="array" ref="H118">LOOKUP(1,0/(('5.21出货明细'!X:X=$D$92)*('5.21出货明细'!A:A=A118)),'5.21出货明细'!P:P)</f>
        <v>#N/A</v>
      </c>
      <c r="I118" s="606" t="e">
        <f t="array" ref="I118">LOOKUP(1,0/(('5.21出货明细'!X:X=$D$92)*('5.21出货明细'!A:A=A118)),'5.21出货明细'!Q:Q)</f>
        <v>#N/A</v>
      </c>
      <c r="J118" s="606" t="e">
        <f t="array" ref="J118">LOOKUP(1,0/(('5.21出货明细'!X:X=$D$92)*('5.21出货明细'!A:A=A118)),'5.21出货明细'!AT:AT)</f>
        <v>#N/A</v>
      </c>
      <c r="K118" s="607" t="e">
        <f t="array" ref="K118">LOOKUP(1,0/(('5.21出货明细'!X:X=$D$92)*('5.21出货明细'!A:A=A118)),'5.21出货明细'!S:S)</f>
        <v>#N/A</v>
      </c>
    </row>
    <row r="119" customFormat="1" ht="52" customHeight="1" spans="1:11">
      <c r="A119" s="601">
        <v>41</v>
      </c>
      <c r="B119" s="602" t="e">
        <f t="array" ref="B119">LOOKUP(1,0/(('5.21出货明细'!X:X=$D$92)*('5.21出货明细'!A:A=A119)),'5.21出货明细'!D:D)</f>
        <v>#N/A</v>
      </c>
      <c r="C119" s="603" t="e">
        <f t="array" ref="C119">LOOKUP(1,0/(('5.21出货明细'!X:X=$D$92)*('5.21出货明细'!A:A=A119)),'5.21出货明细'!G:G&amp;'5.21出货明细'!F:F)</f>
        <v>#N/A</v>
      </c>
      <c r="D119" s="604" t="e">
        <f t="array" ref="D119">LOOKUP(1,0/(('5.21出货明细'!X:X=$D$92)*('5.21出货明细'!A:A=A119)),'5.21出货明细'!K:K)</f>
        <v>#N/A</v>
      </c>
      <c r="E119" s="604" t="e">
        <f t="array" ref="E119">LOOKUP(1,0/(('5.21出货明细'!X:X=$D$92)*('5.21出货明细'!A:A=A119)),'5.21出货明细'!J:J)</f>
        <v>#N/A</v>
      </c>
      <c r="F119" s="604" t="e">
        <f t="array" ref="F119">LOOKUP(1,0/(('5.21出货明细'!X:X=$D$92)*('5.21出货明细'!A:A=A119)),'5.21出货明细'!L:L)</f>
        <v>#N/A</v>
      </c>
      <c r="G119" s="604" t="e">
        <f t="array" ref="G119">LOOKUP(1,0/(('5.21出货明细'!X:X=$D$92)*('5.21出货明细'!A:A=A119)),'5.21出货明细'!M:M)</f>
        <v>#N/A</v>
      </c>
      <c r="H119" s="605" t="e">
        <f t="array" ref="H119">LOOKUP(1,0/(('5.21出货明细'!X:X=$D$92)*('5.21出货明细'!A:A=A119)),'5.21出货明细'!P:P)</f>
        <v>#N/A</v>
      </c>
      <c r="I119" s="606" t="e">
        <f t="array" ref="I119">LOOKUP(1,0/(('5.21出货明细'!X:X=$D$92)*('5.21出货明细'!A:A=A119)),'5.21出货明细'!Q:Q)</f>
        <v>#N/A</v>
      </c>
      <c r="J119" s="606" t="e">
        <f t="array" ref="J119">LOOKUP(1,0/(('5.21出货明细'!X:X=$D$92)*('5.21出货明细'!A:A=A119)),'5.21出货明细'!AT:AT)</f>
        <v>#N/A</v>
      </c>
      <c r="K119" s="607" t="e">
        <f t="array" ref="K119">LOOKUP(1,0/(('5.21出货明细'!X:X=$D$92)*('5.21出货明细'!A:A=A119)),'5.21出货明细'!S:S)</f>
        <v>#N/A</v>
      </c>
    </row>
    <row r="120" customFormat="1" ht="18" spans="1:11">
      <c r="A120" s="608"/>
      <c r="B120" s="609"/>
      <c r="C120" s="603"/>
      <c r="D120" s="610" t="e">
        <f>SUM(D108:D119)</f>
        <v>#N/A</v>
      </c>
      <c r="E120" s="611"/>
      <c r="F120" s="610"/>
      <c r="G120" s="610"/>
      <c r="H120" s="612" t="e">
        <f>SUM(H108:H119)</f>
        <v>#N/A</v>
      </c>
      <c r="I120" s="612" t="e">
        <f>SUM(I108:I119)</f>
        <v>#N/A</v>
      </c>
      <c r="J120" s="612" t="e">
        <f>SUM(J108:J119)</f>
        <v>#N/A</v>
      </c>
      <c r="K120" s="613" t="e">
        <f>SUM(K108:K119)</f>
        <v>#N/A</v>
      </c>
    </row>
    <row r="121" customFormat="1" ht="18.75" spans="1:11">
      <c r="A121" s="614"/>
      <c r="B121" s="615"/>
      <c r="C121" s="616"/>
      <c r="D121" s="617"/>
      <c r="E121" s="618" t="s">
        <v>1553</v>
      </c>
      <c r="F121" s="618"/>
      <c r="G121" s="618"/>
      <c r="H121" s="618" t="s">
        <v>1553</v>
      </c>
      <c r="I121" s="618" t="s">
        <v>1553</v>
      </c>
      <c r="J121" s="618" t="s">
        <v>1553</v>
      </c>
      <c r="K121" s="618" t="s">
        <v>1553</v>
      </c>
    </row>
    <row r="122" ht="14.25"/>
    <row r="123" customFormat="1" ht="25.5" spans="1:11">
      <c r="A123" s="515" t="s">
        <v>1546</v>
      </c>
      <c r="B123" s="516"/>
      <c r="C123" s="516"/>
      <c r="D123" s="516"/>
      <c r="E123" s="516"/>
      <c r="F123" s="516"/>
      <c r="G123" s="516"/>
      <c r="H123" s="516"/>
      <c r="I123" s="516"/>
      <c r="J123" s="516"/>
      <c r="K123" s="517"/>
    </row>
    <row r="124" customFormat="1" spans="1:11">
      <c r="A124" s="518" t="s">
        <v>1656</v>
      </c>
      <c r="B124" s="519"/>
      <c r="C124" s="519"/>
      <c r="D124" s="519"/>
      <c r="E124" s="519"/>
      <c r="F124" s="519"/>
      <c r="G124" s="519"/>
      <c r="H124" s="519"/>
      <c r="I124" s="519"/>
      <c r="J124" s="519"/>
      <c r="K124" s="520"/>
    </row>
    <row r="125" customFormat="1" spans="1:11">
      <c r="A125" s="518"/>
      <c r="B125" s="519"/>
      <c r="C125" s="519"/>
      <c r="D125" s="519"/>
      <c r="E125" s="519"/>
      <c r="F125" s="519"/>
      <c r="G125" s="519"/>
      <c r="H125" s="519"/>
      <c r="I125" s="519"/>
      <c r="J125" s="519"/>
      <c r="K125" s="520"/>
    </row>
    <row r="126" customFormat="1" ht="18" spans="1:11">
      <c r="A126" s="521"/>
      <c r="B126" s="522"/>
      <c r="C126" s="522"/>
      <c r="D126" s="522"/>
      <c r="E126" s="522"/>
      <c r="F126" s="522"/>
      <c r="G126" s="522"/>
      <c r="H126" s="522"/>
      <c r="I126" s="522"/>
      <c r="J126" s="522"/>
      <c r="K126" s="523"/>
    </row>
    <row r="127" customFormat="1" ht="18" spans="1:11">
      <c r="A127" s="521"/>
      <c r="B127" s="522"/>
      <c r="C127" s="522"/>
      <c r="D127" s="522"/>
      <c r="E127" s="522"/>
      <c r="F127" s="522"/>
      <c r="G127" s="522"/>
      <c r="H127" s="522"/>
      <c r="I127" s="522"/>
      <c r="J127" s="522"/>
      <c r="K127" s="523"/>
    </row>
    <row r="128" customFormat="1" spans="1:11">
      <c r="A128" s="524" t="s">
        <v>1667</v>
      </c>
      <c r="B128" s="525"/>
      <c r="C128" s="525"/>
      <c r="D128" s="525"/>
      <c r="E128" s="525"/>
      <c r="F128" s="525"/>
      <c r="G128" s="525"/>
      <c r="H128" s="525"/>
      <c r="I128" s="525"/>
      <c r="J128" s="525"/>
      <c r="K128" s="526"/>
    </row>
    <row r="129" customFormat="1" ht="14.25" spans="1:11">
      <c r="A129" s="524"/>
      <c r="B129" s="525"/>
      <c r="C129" s="525"/>
      <c r="D129" s="525"/>
      <c r="E129" s="525"/>
      <c r="F129" s="525"/>
      <c r="G129" s="525"/>
      <c r="H129" s="525"/>
      <c r="I129" s="525"/>
      <c r="J129" s="525"/>
      <c r="K129" s="526"/>
    </row>
    <row r="130" customFormat="1" ht="16.5" spans="1:11">
      <c r="A130" s="527" t="s">
        <v>1668</v>
      </c>
      <c r="B130" s="528"/>
      <c r="C130" s="528"/>
      <c r="D130" s="529" t="s">
        <v>1669</v>
      </c>
      <c r="E130" s="530"/>
      <c r="F130" s="530"/>
      <c r="G130" s="530"/>
      <c r="H130" s="529" t="s">
        <v>1670</v>
      </c>
      <c r="I130" s="531"/>
      <c r="J130" s="531"/>
      <c r="K130" s="532"/>
    </row>
    <row r="131" customFormat="1" ht="16" customHeight="1" spans="1:11">
      <c r="A131" s="533" t="s">
        <v>1671</v>
      </c>
      <c r="B131" s="534"/>
      <c r="C131" s="534"/>
      <c r="D131" s="535" t="str">
        <f>实业发票!H148</f>
        <v>PR202600279</v>
      </c>
      <c r="E131" s="536"/>
      <c r="F131" s="536"/>
      <c r="G131" s="536"/>
      <c r="H131" s="537"/>
      <c r="I131" s="538"/>
      <c r="J131" s="538"/>
      <c r="K131" s="539"/>
    </row>
    <row r="132" customFormat="1" ht="16" customHeight="1" spans="1:11">
      <c r="A132" s="533"/>
      <c r="B132" s="534"/>
      <c r="C132" s="534"/>
      <c r="D132" s="540" t="s">
        <v>1672</v>
      </c>
      <c r="E132" s="541"/>
      <c r="F132" s="541"/>
      <c r="G132" s="542"/>
      <c r="H132" s="543"/>
      <c r="I132" s="543"/>
      <c r="J132" s="543"/>
      <c r="K132" s="544"/>
    </row>
    <row r="133" customFormat="1" ht="16" customHeight="1" spans="1:11">
      <c r="A133" s="533"/>
      <c r="B133" s="534"/>
      <c r="C133" s="534"/>
      <c r="D133" s="545">
        <f>D11</f>
        <v>46134</v>
      </c>
      <c r="E133" s="546"/>
      <c r="F133" s="546"/>
      <c r="G133" s="547"/>
      <c r="H133" s="548"/>
      <c r="I133" s="549"/>
      <c r="J133" s="549"/>
      <c r="K133" s="550"/>
    </row>
    <row r="134" customFormat="1" ht="16.5" spans="1:11">
      <c r="A134" s="551" t="s">
        <v>1673</v>
      </c>
      <c r="B134" s="552"/>
      <c r="C134" s="553"/>
      <c r="D134" s="554" t="s">
        <v>1674</v>
      </c>
      <c r="E134" s="555"/>
      <c r="F134" s="555"/>
      <c r="G134" s="555"/>
      <c r="H134" s="556" t="s">
        <v>1675</v>
      </c>
      <c r="I134" s="543"/>
      <c r="J134" s="557"/>
      <c r="K134" s="558"/>
    </row>
    <row r="135" customFormat="1" ht="16.5" spans="1:11">
      <c r="A135" s="551" t="s">
        <v>1676</v>
      </c>
      <c r="B135" s="552"/>
      <c r="C135" s="553"/>
      <c r="D135" s="559" t="str">
        <f>实业合同!H155</f>
        <v>RPIRRI260279</v>
      </c>
      <c r="E135" s="559"/>
      <c r="F135" s="559"/>
      <c r="G135" s="559"/>
      <c r="H135" s="560"/>
      <c r="I135" s="560"/>
      <c r="J135" s="560"/>
      <c r="K135" s="561"/>
    </row>
    <row r="136" customFormat="1" ht="16.5" spans="1:11">
      <c r="A136" s="562" t="s">
        <v>1677</v>
      </c>
      <c r="B136" s="563"/>
      <c r="C136" s="563"/>
      <c r="D136" s="564"/>
      <c r="E136" s="564"/>
      <c r="F136" s="564"/>
      <c r="G136" s="564"/>
      <c r="H136" s="560"/>
      <c r="I136" s="560"/>
      <c r="J136" s="560"/>
      <c r="K136" s="561"/>
    </row>
    <row r="137" customFormat="1" ht="16.5" spans="1:11">
      <c r="A137" s="565" t="s">
        <v>1678</v>
      </c>
      <c r="B137" s="566"/>
      <c r="C137" s="567"/>
      <c r="D137" s="564"/>
      <c r="E137" s="564"/>
      <c r="F137" s="564"/>
      <c r="G137" s="564"/>
      <c r="H137" s="568"/>
      <c r="I137" s="568"/>
      <c r="J137" s="568"/>
      <c r="K137" s="569"/>
    </row>
    <row r="138" customFormat="1" ht="16.5" spans="1:11">
      <c r="A138" s="570" t="s">
        <v>1558</v>
      </c>
      <c r="B138" s="571"/>
      <c r="C138" s="553"/>
      <c r="D138" s="554" t="s">
        <v>1679</v>
      </c>
      <c r="E138" s="541"/>
      <c r="F138" s="541"/>
      <c r="G138" s="542"/>
      <c r="H138" s="543" t="s">
        <v>1680</v>
      </c>
      <c r="I138" s="543"/>
      <c r="J138" s="557"/>
      <c r="K138" s="558"/>
    </row>
    <row r="139" customFormat="1" ht="16.5" spans="1:11">
      <c r="A139" s="570" t="s">
        <v>1681</v>
      </c>
      <c r="B139" s="553"/>
      <c r="C139" s="572"/>
      <c r="D139" s="573" t="str">
        <f>D17</f>
        <v>BMOU6019197</v>
      </c>
      <c r="E139" s="574"/>
      <c r="F139" s="574"/>
      <c r="G139" s="575"/>
      <c r="H139" s="574" t="str">
        <f>H17</f>
        <v>EMCRZS9184</v>
      </c>
      <c r="I139" s="574"/>
      <c r="J139" s="574"/>
      <c r="K139" s="576"/>
    </row>
    <row r="140" customFormat="1" ht="16.5" spans="1:11">
      <c r="A140" s="577" t="s">
        <v>1684</v>
      </c>
      <c r="B140" s="578"/>
      <c r="C140" s="579"/>
      <c r="D140" s="573"/>
      <c r="E140" s="574"/>
      <c r="F140" s="574"/>
      <c r="G140" s="575"/>
      <c r="H140" s="574"/>
      <c r="I140" s="574"/>
      <c r="J140" s="574"/>
      <c r="K140" s="576"/>
    </row>
    <row r="141" customFormat="1" ht="16.5" spans="1:11">
      <c r="A141" s="577" t="s">
        <v>1685</v>
      </c>
      <c r="B141" s="578"/>
      <c r="C141" s="579"/>
      <c r="D141" s="573"/>
      <c r="E141" s="574"/>
      <c r="F141" s="574"/>
      <c r="G141" s="575"/>
      <c r="H141" s="574"/>
      <c r="I141" s="574"/>
      <c r="J141" s="574"/>
      <c r="K141" s="576"/>
    </row>
    <row r="142" customFormat="1" ht="16.5" spans="1:11">
      <c r="A142" s="580" t="s">
        <v>1686</v>
      </c>
      <c r="B142" s="581"/>
      <c r="C142" s="579"/>
      <c r="D142" s="573"/>
      <c r="E142" s="574"/>
      <c r="F142" s="574"/>
      <c r="G142" s="575"/>
      <c r="H142" s="574"/>
      <c r="I142" s="574"/>
      <c r="J142" s="574"/>
      <c r="K142" s="576"/>
    </row>
    <row r="143" customFormat="1" ht="16.5" spans="1:11">
      <c r="A143" s="577" t="s">
        <v>1687</v>
      </c>
      <c r="B143" s="572"/>
      <c r="C143" s="572"/>
      <c r="D143" s="582"/>
      <c r="E143" s="583"/>
      <c r="F143" s="583"/>
      <c r="G143" s="584"/>
      <c r="H143" s="583"/>
      <c r="I143" s="583"/>
      <c r="J143" s="583"/>
      <c r="K143" s="585"/>
    </row>
    <row r="144" customFormat="1" ht="16.5" spans="1:11">
      <c r="A144" s="577" t="s">
        <v>1561</v>
      </c>
      <c r="B144" s="572"/>
      <c r="C144" s="572"/>
      <c r="D144" s="554"/>
      <c r="E144" s="541"/>
      <c r="F144" s="541"/>
      <c r="G144" s="541"/>
      <c r="H144" s="586"/>
      <c r="I144" s="541"/>
      <c r="J144" s="541"/>
      <c r="K144" s="587"/>
    </row>
    <row r="145" customFormat="1" ht="18" customHeight="1" spans="1:11">
      <c r="A145" s="588" t="s">
        <v>1688</v>
      </c>
      <c r="B145" s="589"/>
      <c r="C145" s="590"/>
      <c r="D145" s="591"/>
      <c r="E145" s="592"/>
      <c r="F145" s="592"/>
      <c r="G145" s="592"/>
      <c r="H145" s="592"/>
      <c r="I145" s="592"/>
      <c r="J145" s="592"/>
      <c r="K145" s="593"/>
    </row>
    <row r="146" customFormat="1" ht="38.25" spans="1:11">
      <c r="A146" s="594" t="s">
        <v>1689</v>
      </c>
      <c r="B146" s="595" t="s">
        <v>1641</v>
      </c>
      <c r="C146" s="596" t="s">
        <v>1642</v>
      </c>
      <c r="D146" s="597" t="s">
        <v>1644</v>
      </c>
      <c r="E146" s="597" t="s">
        <v>8</v>
      </c>
      <c r="F146" s="597" t="s">
        <v>1644</v>
      </c>
      <c r="G146" s="595" t="s">
        <v>8</v>
      </c>
      <c r="H146" s="598" t="s">
        <v>1690</v>
      </c>
      <c r="I146" s="599" t="s">
        <v>1691</v>
      </c>
      <c r="J146" s="599" t="s">
        <v>23</v>
      </c>
      <c r="K146" s="600" t="s">
        <v>1692</v>
      </c>
    </row>
    <row r="147" s="429" customFormat="1" ht="78" customHeight="1" spans="1:11">
      <c r="A147" s="601">
        <v>42</v>
      </c>
      <c r="B147" s="602" t="e">
        <f t="array" ref="B147">LOOKUP(1,0/(('5.21出货明细'!X:X=$D$131)*('5.21出货明细'!A:A=A147)),'5.21出货明细'!D:D)</f>
        <v>#N/A</v>
      </c>
      <c r="C147" s="603" t="e">
        <f t="array" ref="C147">LOOKUP(1,0/(('5.21出货明细'!X:X=$D$131)*('5.21出货明细'!A:A=A147)),'5.21出货明细'!G:G&amp;'5.21出货明细'!F:F)</f>
        <v>#N/A</v>
      </c>
      <c r="D147" s="604" t="e">
        <f t="array" ref="D147">LOOKUP(1,0/(('5.21出货明细'!X:X=$D$131)*('5.21出货明细'!A:A=A147)),'5.21出货明细'!K:K)</f>
        <v>#N/A</v>
      </c>
      <c r="E147" s="604" t="e">
        <f t="array" ref="E147">LOOKUP(1,0/(('5.21出货明细'!X:X=$D$131)*('5.21出货明细'!A:A=A147)),'5.21出货明细'!J:J)</f>
        <v>#N/A</v>
      </c>
      <c r="F147" s="604" t="e">
        <f t="array" ref="F147">LOOKUP(1,0/(('5.21出货明细'!X:X=$D$131)*('5.21出货明细'!A:A=A147)),'5.21出货明细'!L:L)</f>
        <v>#N/A</v>
      </c>
      <c r="G147" s="604" t="e">
        <f t="array" ref="G147">LOOKUP(1,0/(('5.21出货明细'!X:X=$D$131)*('5.21出货明细'!A:A=A147)),'5.21出货明细'!M:M)</f>
        <v>#N/A</v>
      </c>
      <c r="H147" s="605" t="e">
        <f t="array" ref="H147">LOOKUP(1,0/(('5.21出货明细'!X:X=$D$131)*('5.21出货明细'!A:A=A147)),'5.21出货明细'!P:P)</f>
        <v>#N/A</v>
      </c>
      <c r="I147" s="606" t="e">
        <f t="array" ref="I147">LOOKUP(1,0/(('5.21出货明细'!X:X=$D$131)*('5.21出货明细'!A:A=A147)),'5.21出货明细'!Q:Q)</f>
        <v>#N/A</v>
      </c>
      <c r="J147" s="606" t="e">
        <f t="array" ref="J147">LOOKUP(1,0/(('5.21出货明细'!X:X=$D$131)*('5.21出货明细'!A:A=A147)),'5.21出货明细'!AT:AT)</f>
        <v>#N/A</v>
      </c>
      <c r="K147" s="607" t="e">
        <f t="array" ref="K147">LOOKUP(1,0/(('5.21出货明细'!X:X=$D$131)*('5.21出货明细'!A:A=A147)),'5.21出货明细'!S:S)</f>
        <v>#N/A</v>
      </c>
    </row>
    <row r="148" customFormat="1" ht="52" customHeight="1" spans="1:11">
      <c r="A148" s="601">
        <v>43</v>
      </c>
      <c r="B148" s="602" t="e">
        <f t="array" ref="B148">LOOKUP(1,0/(('5.21出货明细'!X:X=$D$131)*('5.21出货明细'!A:A=A148)),'5.21出货明细'!D:D)</f>
        <v>#N/A</v>
      </c>
      <c r="C148" s="603" t="e">
        <f t="array" ref="C148">LOOKUP(1,0/(('5.21出货明细'!X:X=$D$131)*('5.21出货明细'!A:A=A148)),'5.21出货明细'!G:G&amp;'5.21出货明细'!F:F)</f>
        <v>#N/A</v>
      </c>
      <c r="D148" s="604" t="e">
        <f t="array" ref="D148">LOOKUP(1,0/(('5.21出货明细'!X:X=$D$131)*('5.21出货明细'!A:A=A148)),'5.21出货明细'!K:K)</f>
        <v>#N/A</v>
      </c>
      <c r="E148" s="604" t="e">
        <f t="array" ref="E148">LOOKUP(1,0/(('5.21出货明细'!X:X=$D$131)*('5.21出货明细'!A:A=A148)),'5.21出货明细'!J:J)</f>
        <v>#N/A</v>
      </c>
      <c r="F148" s="604" t="e">
        <f t="array" ref="F148">LOOKUP(1,0/(('5.21出货明细'!X:X=$D$131)*('5.21出货明细'!A:A=A148)),'5.21出货明细'!L:L)</f>
        <v>#N/A</v>
      </c>
      <c r="G148" s="604" t="e">
        <f t="array" ref="G148">LOOKUP(1,0/(('5.21出货明细'!X:X=$D$131)*('5.21出货明细'!A:A=A148)),'5.21出货明细'!M:M)</f>
        <v>#N/A</v>
      </c>
      <c r="H148" s="605" t="e">
        <f t="array" ref="H148">LOOKUP(1,0/(('5.21出货明细'!X:X=$D$131)*('5.21出货明细'!A:A=A148)),'5.21出货明细'!P:P)</f>
        <v>#N/A</v>
      </c>
      <c r="I148" s="606" t="e">
        <f t="array" ref="I148">LOOKUP(1,0/(('5.21出货明细'!X:X=$D$131)*('5.21出货明细'!A:A=A148)),'5.21出货明细'!Q:Q)</f>
        <v>#N/A</v>
      </c>
      <c r="J148" s="606" t="e">
        <f t="array" ref="J148">LOOKUP(1,0/(('5.21出货明细'!X:X=$D$131)*('5.21出货明细'!A:A=A148)),'5.21出货明细'!AT:AT)</f>
        <v>#N/A</v>
      </c>
      <c r="K148" s="607" t="e">
        <f t="array" ref="K148">LOOKUP(1,0/(('5.21出货明细'!X:X=$D$131)*('5.21出货明细'!A:A=A148)),'5.21出货明细'!S:S)</f>
        <v>#N/A</v>
      </c>
    </row>
    <row r="149" customFormat="1" ht="52" customHeight="1" spans="1:11">
      <c r="A149" s="601">
        <v>44</v>
      </c>
      <c r="B149" s="602" t="e">
        <f t="array" ref="B149">LOOKUP(1,0/(('5.21出货明细'!X:X=$D$131)*('5.21出货明细'!A:A=A149)),'5.21出货明细'!D:D)</f>
        <v>#N/A</v>
      </c>
      <c r="C149" s="603" t="e">
        <f t="array" ref="C149">LOOKUP(1,0/(('5.21出货明细'!X:X=$D$131)*('5.21出货明细'!A:A=A149)),'5.21出货明细'!G:G&amp;'5.21出货明细'!F:F)</f>
        <v>#N/A</v>
      </c>
      <c r="D149" s="604" t="e">
        <f t="array" ref="D149">LOOKUP(1,0/(('5.21出货明细'!X:X=$D$131)*('5.21出货明细'!A:A=A149)),'5.21出货明细'!K:K)</f>
        <v>#N/A</v>
      </c>
      <c r="E149" s="604" t="e">
        <f t="array" ref="E149">LOOKUP(1,0/(('5.21出货明细'!X:X=$D$131)*('5.21出货明细'!A:A=A149)),'5.21出货明细'!J:J)</f>
        <v>#N/A</v>
      </c>
      <c r="F149" s="604" t="e">
        <f t="array" ref="F149">LOOKUP(1,0/(('5.21出货明细'!X:X=$D$131)*('5.21出货明细'!A:A=A149)),'5.21出货明细'!L:L)</f>
        <v>#N/A</v>
      </c>
      <c r="G149" s="604" t="e">
        <f t="array" ref="G149">LOOKUP(1,0/(('5.21出货明细'!X:X=$D$131)*('5.21出货明细'!A:A=A149)),'5.21出货明细'!M:M)</f>
        <v>#N/A</v>
      </c>
      <c r="H149" s="605" t="e">
        <f t="array" ref="H149">LOOKUP(1,0/(('5.21出货明细'!X:X=$D$131)*('5.21出货明细'!A:A=A149)),'5.21出货明细'!P:P)</f>
        <v>#N/A</v>
      </c>
      <c r="I149" s="606" t="e">
        <f t="array" ref="I149">LOOKUP(1,0/(('5.21出货明细'!X:X=$D$131)*('5.21出货明细'!A:A=A149)),'5.21出货明细'!Q:Q)</f>
        <v>#N/A</v>
      </c>
      <c r="J149" s="606" t="e">
        <f t="array" ref="J149">LOOKUP(1,0/(('5.21出货明细'!X:X=$D$131)*('5.21出货明细'!A:A=A149)),'5.21出货明细'!AT:AT)</f>
        <v>#N/A</v>
      </c>
      <c r="K149" s="607" t="e">
        <f t="array" ref="K149">LOOKUP(1,0/(('5.21出货明细'!X:X=$D$131)*('5.21出货明细'!A:A=A149)),'5.21出货明细'!S:S)</f>
        <v>#N/A</v>
      </c>
    </row>
    <row r="150" customFormat="1" ht="38" customHeight="1" spans="1:11">
      <c r="A150" s="601">
        <v>45</v>
      </c>
      <c r="B150" s="602" t="e">
        <f t="array" ref="B150">LOOKUP(1,0/(('5.21出货明细'!X:X=$D$131)*('5.21出货明细'!A:A=A150)),'5.21出货明细'!D:D)</f>
        <v>#N/A</v>
      </c>
      <c r="C150" s="603" t="e">
        <f t="array" ref="C150">LOOKUP(1,0/(('5.21出货明细'!X:X=$D$131)*('5.21出货明细'!A:A=A150)),'5.21出货明细'!G:G&amp;'5.21出货明细'!F:F)</f>
        <v>#N/A</v>
      </c>
      <c r="D150" s="604" t="e">
        <f t="array" ref="D150">LOOKUP(1,0/(('5.21出货明细'!X:X=$D$131)*('5.21出货明细'!A:A=A150)),'5.21出货明细'!K:K)</f>
        <v>#N/A</v>
      </c>
      <c r="E150" s="604" t="e">
        <f t="array" ref="E150">LOOKUP(1,0/(('5.21出货明细'!X:X=$D$131)*('5.21出货明细'!A:A=A150)),'5.21出货明细'!J:J)</f>
        <v>#N/A</v>
      </c>
      <c r="F150" s="604" t="e">
        <f t="array" ref="F150">LOOKUP(1,0/(('5.21出货明细'!X:X=$D$131)*('5.21出货明细'!A:A=A150)),'5.21出货明细'!L:L)</f>
        <v>#N/A</v>
      </c>
      <c r="G150" s="604" t="e">
        <f t="array" ref="G150">LOOKUP(1,0/(('5.21出货明细'!X:X=$D$131)*('5.21出货明细'!A:A=A150)),'5.21出货明细'!M:M)</f>
        <v>#N/A</v>
      </c>
      <c r="H150" s="605" t="e">
        <f t="array" ref="H150">LOOKUP(1,0/(('5.21出货明细'!X:X=$D$131)*('5.21出货明细'!A:A=A150)),'5.21出货明细'!P:P)</f>
        <v>#N/A</v>
      </c>
      <c r="I150" s="606" t="e">
        <f t="array" ref="I150">LOOKUP(1,0/(('5.21出货明细'!X:X=$D$131)*('5.21出货明细'!A:A=A150)),'5.21出货明细'!Q:Q)</f>
        <v>#N/A</v>
      </c>
      <c r="J150" s="606" t="e">
        <f t="array" ref="J150">LOOKUP(1,0/(('5.21出货明细'!X:X=$D$131)*('5.21出货明细'!A:A=A150)),'5.21出货明细'!AT:AT)</f>
        <v>#N/A</v>
      </c>
      <c r="K150" s="607" t="e">
        <f t="array" ref="K150">LOOKUP(1,0/(('5.21出货明细'!X:X=$D$131)*('5.21出货明细'!A:A=A150)),'5.21出货明细'!S:S)</f>
        <v>#N/A</v>
      </c>
    </row>
    <row r="151" customFormat="1" ht="38" customHeight="1" spans="1:11">
      <c r="A151" s="601">
        <v>46</v>
      </c>
      <c r="B151" s="602" t="e">
        <f t="array" ref="B151">LOOKUP(1,0/(('5.21出货明细'!X:X=$D$131)*('5.21出货明细'!A:A=A151)),'5.21出货明细'!D:D)</f>
        <v>#N/A</v>
      </c>
      <c r="C151" s="603" t="e">
        <f t="array" ref="C151">LOOKUP(1,0/(('5.21出货明细'!X:X=$D$131)*('5.21出货明细'!A:A=A151)),'5.21出货明细'!G:G&amp;'5.21出货明细'!F:F)</f>
        <v>#N/A</v>
      </c>
      <c r="D151" s="604" t="e">
        <f t="array" ref="D151">LOOKUP(1,0/(('5.21出货明细'!X:X=$D$131)*('5.21出货明细'!A:A=A151)),'5.21出货明细'!K:K)</f>
        <v>#N/A</v>
      </c>
      <c r="E151" s="604" t="e">
        <f t="array" ref="E151">LOOKUP(1,0/(('5.21出货明细'!X:X=$D$131)*('5.21出货明细'!A:A=A151)),'5.21出货明细'!J:J)</f>
        <v>#N/A</v>
      </c>
      <c r="F151" s="604" t="e">
        <f t="array" ref="F151">LOOKUP(1,0/(('5.21出货明细'!X:X=$D$131)*('5.21出货明细'!A:A=A151)),'5.21出货明细'!L:L)</f>
        <v>#N/A</v>
      </c>
      <c r="G151" s="604" t="e">
        <f t="array" ref="G151">LOOKUP(1,0/(('5.21出货明细'!X:X=$D$131)*('5.21出货明细'!A:A=A151)),'5.21出货明细'!M:M)</f>
        <v>#N/A</v>
      </c>
      <c r="H151" s="605" t="e">
        <f t="array" ref="H151">LOOKUP(1,0/(('5.21出货明细'!X:X=$D$131)*('5.21出货明细'!A:A=A151)),'5.21出货明细'!P:P)</f>
        <v>#N/A</v>
      </c>
      <c r="I151" s="606" t="e">
        <f t="array" ref="I151">LOOKUP(1,0/(('5.21出货明细'!X:X=$D$131)*('5.21出货明细'!A:A=A151)),'5.21出货明细'!Q:Q)</f>
        <v>#N/A</v>
      </c>
      <c r="J151" s="606" t="e">
        <f t="array" ref="J151">LOOKUP(1,0/(('5.21出货明细'!X:X=$D$131)*('5.21出货明细'!A:A=A151)),'5.21出货明细'!AT:AT)</f>
        <v>#N/A</v>
      </c>
      <c r="K151" s="607" t="e">
        <f t="array" ref="K151">LOOKUP(1,0/(('5.21出货明细'!X:X=$D$131)*('5.21出货明细'!A:A=A151)),'5.21出货明细'!S:S)</f>
        <v>#N/A</v>
      </c>
    </row>
    <row r="152" customFormat="1" ht="38" customHeight="1" spans="1:11">
      <c r="A152" s="601">
        <v>47</v>
      </c>
      <c r="B152" s="602" t="e">
        <f t="array" ref="B152">LOOKUP(1,0/(('5.21出货明细'!X:X=$D$131)*('5.21出货明细'!A:A=A152)),'5.21出货明细'!D:D)</f>
        <v>#N/A</v>
      </c>
      <c r="C152" s="603" t="e">
        <f t="array" ref="C152">LOOKUP(1,0/(('5.21出货明细'!X:X=$D$131)*('5.21出货明细'!A:A=A152)),'5.21出货明细'!G:G&amp;'5.21出货明细'!F:F)</f>
        <v>#N/A</v>
      </c>
      <c r="D152" s="604" t="e">
        <f t="array" ref="D152">LOOKUP(1,0/(('5.21出货明细'!X:X=$D$131)*('5.21出货明细'!A:A=A152)),'5.21出货明细'!K:K)</f>
        <v>#N/A</v>
      </c>
      <c r="E152" s="604" t="e">
        <f t="array" ref="E152">LOOKUP(1,0/(('5.21出货明细'!X:X=$D$131)*('5.21出货明细'!A:A=A152)),'5.21出货明细'!J:J)</f>
        <v>#N/A</v>
      </c>
      <c r="F152" s="604" t="e">
        <f t="array" ref="F152">LOOKUP(1,0/(('5.21出货明细'!X:X=$D$131)*('5.21出货明细'!A:A=A152)),'5.21出货明细'!L:L)</f>
        <v>#N/A</v>
      </c>
      <c r="G152" s="604" t="e">
        <f t="array" ref="G152">LOOKUP(1,0/(('5.21出货明细'!X:X=$D$131)*('5.21出货明细'!A:A=A152)),'5.21出货明细'!M:M)</f>
        <v>#N/A</v>
      </c>
      <c r="H152" s="605" t="e">
        <f t="array" ref="H152">LOOKUP(1,0/(('5.21出货明细'!X:X=$D$131)*('5.21出货明细'!A:A=A152)),'5.21出货明细'!P:P)</f>
        <v>#N/A</v>
      </c>
      <c r="I152" s="606" t="e">
        <f t="array" ref="I152">LOOKUP(1,0/(('5.21出货明细'!X:X=$D$131)*('5.21出货明细'!A:A=A152)),'5.21出货明细'!Q:Q)</f>
        <v>#N/A</v>
      </c>
      <c r="J152" s="606" t="e">
        <f t="array" ref="J152">LOOKUP(1,0/(('5.21出货明细'!X:X=$D$131)*('5.21出货明细'!A:A=A152)),'5.21出货明细'!AT:AT)</f>
        <v>#N/A</v>
      </c>
      <c r="K152" s="607" t="e">
        <f t="array" ref="K152">LOOKUP(1,0/(('5.21出货明细'!X:X=$D$131)*('5.21出货明细'!A:A=A152)),'5.21出货明细'!S:S)</f>
        <v>#N/A</v>
      </c>
    </row>
    <row r="153" customFormat="1" ht="38" customHeight="1" spans="1:11">
      <c r="A153" s="601">
        <v>48</v>
      </c>
      <c r="B153" s="602" t="e">
        <f t="array" ref="B153">LOOKUP(1,0/(('5.21出货明细'!X:X=$D$131)*('5.21出货明细'!A:A=A153)),'5.21出货明细'!D:D)</f>
        <v>#N/A</v>
      </c>
      <c r="C153" s="603" t="e">
        <f t="array" ref="C153">LOOKUP(1,0/(('5.21出货明细'!X:X=$D$131)*('5.21出货明细'!A:A=A153)),'5.21出货明细'!G:G&amp;'5.21出货明细'!F:F)</f>
        <v>#N/A</v>
      </c>
      <c r="D153" s="604" t="e">
        <f t="array" ref="D153">LOOKUP(1,0/(('5.21出货明细'!X:X=$D$131)*('5.21出货明细'!A:A=A153)),'5.21出货明细'!K:K)</f>
        <v>#N/A</v>
      </c>
      <c r="E153" s="604" t="e">
        <f t="array" ref="E153">LOOKUP(1,0/(('5.21出货明细'!X:X=$D$131)*('5.21出货明细'!A:A=A153)),'5.21出货明细'!J:J)</f>
        <v>#N/A</v>
      </c>
      <c r="F153" s="604" t="e">
        <f t="array" ref="F153">LOOKUP(1,0/(('5.21出货明细'!X:X=$D$131)*('5.21出货明细'!A:A=A153)),'5.21出货明细'!L:L)</f>
        <v>#N/A</v>
      </c>
      <c r="G153" s="604" t="e">
        <f t="array" ref="G153">LOOKUP(1,0/(('5.21出货明细'!X:X=$D$131)*('5.21出货明细'!A:A=A153)),'5.21出货明细'!M:M)</f>
        <v>#N/A</v>
      </c>
      <c r="H153" s="605" t="e">
        <f t="array" ref="H153">LOOKUP(1,0/(('5.21出货明细'!X:X=$D$131)*('5.21出货明细'!A:A=A153)),'5.21出货明细'!P:P)</f>
        <v>#N/A</v>
      </c>
      <c r="I153" s="606" t="e">
        <f t="array" ref="I153">LOOKUP(1,0/(('5.21出货明细'!X:X=$D$131)*('5.21出货明细'!A:A=A153)),'5.21出货明细'!Q:Q)</f>
        <v>#N/A</v>
      </c>
      <c r="J153" s="606" t="e">
        <f t="array" ref="J153">LOOKUP(1,0/(('5.21出货明细'!X:X=$D$131)*('5.21出货明细'!A:A=A153)),'5.21出货明细'!AT:AT)</f>
        <v>#N/A</v>
      </c>
      <c r="K153" s="607" t="e">
        <f t="array" ref="K153">LOOKUP(1,0/(('5.21出货明细'!X:X=$D$131)*('5.21出货明细'!A:A=A153)),'5.21出货明细'!S:S)</f>
        <v>#N/A</v>
      </c>
    </row>
    <row r="154" customFormat="1" ht="38" customHeight="1" spans="1:11">
      <c r="A154" s="601">
        <v>49</v>
      </c>
      <c r="B154" s="602" t="e">
        <f t="array" ref="B154">LOOKUP(1,0/(('5.21出货明细'!X:X=$D$131)*('5.21出货明细'!A:A=A154)),'5.21出货明细'!D:D)</f>
        <v>#N/A</v>
      </c>
      <c r="C154" s="603" t="e">
        <f t="array" ref="C154">LOOKUP(1,0/(('5.21出货明细'!X:X=$D$131)*('5.21出货明细'!A:A=A154)),'5.21出货明细'!G:G&amp;'5.21出货明细'!F:F)</f>
        <v>#N/A</v>
      </c>
      <c r="D154" s="604" t="e">
        <f t="array" ref="D154">LOOKUP(1,0/(('5.21出货明细'!X:X=$D$131)*('5.21出货明细'!A:A=A154)),'5.21出货明细'!K:K)</f>
        <v>#N/A</v>
      </c>
      <c r="E154" s="604" t="e">
        <f t="array" ref="E154">LOOKUP(1,0/(('5.21出货明细'!X:X=$D$131)*('5.21出货明细'!A:A=A154)),'5.21出货明细'!J:J)</f>
        <v>#N/A</v>
      </c>
      <c r="F154" s="604" t="e">
        <f t="array" ref="F154">LOOKUP(1,0/(('5.21出货明细'!X:X=$D$131)*('5.21出货明细'!A:A=A154)),'5.21出货明细'!L:L)</f>
        <v>#N/A</v>
      </c>
      <c r="G154" s="604" t="e">
        <f t="array" ref="G154">LOOKUP(1,0/(('5.21出货明细'!X:X=$D$131)*('5.21出货明细'!A:A=A154)),'5.21出货明细'!M:M)</f>
        <v>#N/A</v>
      </c>
      <c r="H154" s="605" t="e">
        <f t="array" ref="H154">LOOKUP(1,0/(('5.21出货明细'!X:X=$D$131)*('5.21出货明细'!A:A=A154)),'5.21出货明细'!P:P)</f>
        <v>#N/A</v>
      </c>
      <c r="I154" s="606" t="e">
        <f t="array" ref="I154">LOOKUP(1,0/(('5.21出货明细'!X:X=$D$131)*('5.21出货明细'!A:A=A154)),'5.21出货明细'!Q:Q)</f>
        <v>#N/A</v>
      </c>
      <c r="J154" s="606" t="e">
        <f t="array" ref="J154">LOOKUP(1,0/(('5.21出货明细'!X:X=$D$131)*('5.21出货明细'!A:A=A154)),'5.21出货明细'!AT:AT)</f>
        <v>#N/A</v>
      </c>
      <c r="K154" s="607" t="e">
        <f t="array" ref="K154">LOOKUP(1,0/(('5.21出货明细'!X:X=$D$131)*('5.21出货明细'!A:A=A154)),'5.21出货明细'!S:S)</f>
        <v>#N/A</v>
      </c>
    </row>
    <row r="155" customFormat="1" ht="38" customHeight="1" spans="1:11">
      <c r="A155" s="601">
        <v>50</v>
      </c>
      <c r="B155" s="602" t="e">
        <f t="array" ref="B155">LOOKUP(1,0/(('5.21出货明细'!X:X=$D$131)*('5.21出货明细'!A:A=A155)),'5.21出货明细'!D:D)</f>
        <v>#N/A</v>
      </c>
      <c r="C155" s="603" t="e">
        <f t="array" ref="C155">LOOKUP(1,0/(('5.21出货明细'!X:X=$D$131)*('5.21出货明细'!A:A=A155)),'5.21出货明细'!G:G&amp;'5.21出货明细'!F:F)</f>
        <v>#N/A</v>
      </c>
      <c r="D155" s="604" t="e">
        <f t="array" ref="D155">LOOKUP(1,0/(('5.21出货明细'!X:X=$D$131)*('5.21出货明细'!A:A=A155)),'5.21出货明细'!K:K)</f>
        <v>#N/A</v>
      </c>
      <c r="E155" s="604" t="e">
        <f t="array" ref="E155">LOOKUP(1,0/(('5.21出货明细'!X:X=$D$131)*('5.21出货明细'!A:A=A155)),'5.21出货明细'!J:J)</f>
        <v>#N/A</v>
      </c>
      <c r="F155" s="604" t="e">
        <f t="array" ref="F155">LOOKUP(1,0/(('5.21出货明细'!X:X=$D$131)*('5.21出货明细'!A:A=A155)),'5.21出货明细'!L:L)</f>
        <v>#N/A</v>
      </c>
      <c r="G155" s="604" t="e">
        <f t="array" ref="G155">LOOKUP(1,0/(('5.21出货明细'!X:X=$D$131)*('5.21出货明细'!A:A=A155)),'5.21出货明细'!M:M)</f>
        <v>#N/A</v>
      </c>
      <c r="H155" s="605" t="e">
        <f t="array" ref="H155">LOOKUP(1,0/(('5.21出货明细'!X:X=$D$131)*('5.21出货明细'!A:A=A155)),'5.21出货明细'!P:P)</f>
        <v>#N/A</v>
      </c>
      <c r="I155" s="606" t="e">
        <f t="array" ref="I155">LOOKUP(1,0/(('5.21出货明细'!X:X=$D$131)*('5.21出货明细'!A:A=A155)),'5.21出货明细'!Q:Q)</f>
        <v>#N/A</v>
      </c>
      <c r="J155" s="606" t="e">
        <f t="array" ref="J155">LOOKUP(1,0/(('5.21出货明细'!X:X=$D$131)*('5.21出货明细'!A:A=A155)),'5.21出货明细'!AT:AT)</f>
        <v>#N/A</v>
      </c>
      <c r="K155" s="607" t="e">
        <f t="array" ref="K155">LOOKUP(1,0/(('5.21出货明细'!X:X=$D$131)*('5.21出货明细'!A:A=A155)),'5.21出货明细'!S:S)</f>
        <v>#N/A</v>
      </c>
    </row>
    <row r="156" customFormat="1" ht="38" customHeight="1" spans="1:11">
      <c r="A156" s="601">
        <v>51</v>
      </c>
      <c r="B156" s="602" t="e">
        <f t="array" ref="B156">LOOKUP(1,0/(('5.21出货明细'!X:X=$D$131)*('5.21出货明细'!A:A=A156)),'5.21出货明细'!D:D)</f>
        <v>#N/A</v>
      </c>
      <c r="C156" s="603" t="e">
        <f t="array" ref="C156">LOOKUP(1,0/(('5.21出货明细'!X:X=$D$131)*('5.21出货明细'!A:A=A156)),'5.21出货明细'!G:G&amp;'5.21出货明细'!F:F)</f>
        <v>#N/A</v>
      </c>
      <c r="D156" s="604" t="e">
        <f t="array" ref="D156">LOOKUP(1,0/(('5.21出货明细'!X:X=$D$131)*('5.21出货明细'!A:A=A156)),'5.21出货明细'!K:K)</f>
        <v>#N/A</v>
      </c>
      <c r="E156" s="604" t="e">
        <f t="array" ref="E156">LOOKUP(1,0/(('5.21出货明细'!X:X=$D$131)*('5.21出货明细'!A:A=A156)),'5.21出货明细'!J:J)</f>
        <v>#N/A</v>
      </c>
      <c r="F156" s="604" t="e">
        <f t="array" ref="F156">LOOKUP(1,0/(('5.21出货明细'!X:X=$D$131)*('5.21出货明细'!A:A=A156)),'5.21出货明细'!L:L)</f>
        <v>#N/A</v>
      </c>
      <c r="G156" s="604" t="e">
        <f t="array" ref="G156">LOOKUP(1,0/(('5.21出货明细'!X:X=$D$131)*('5.21出货明细'!A:A=A156)),'5.21出货明细'!M:M)</f>
        <v>#N/A</v>
      </c>
      <c r="H156" s="605" t="e">
        <f t="array" ref="H156">LOOKUP(1,0/(('5.21出货明细'!X:X=$D$131)*('5.21出货明细'!A:A=A156)),'5.21出货明细'!P:P)</f>
        <v>#N/A</v>
      </c>
      <c r="I156" s="606" t="e">
        <f t="array" ref="I156">LOOKUP(1,0/(('5.21出货明细'!X:X=$D$131)*('5.21出货明细'!A:A=A156)),'5.21出货明细'!Q:Q)</f>
        <v>#N/A</v>
      </c>
      <c r="J156" s="606" t="e">
        <f t="array" ref="J156">LOOKUP(1,0/(('5.21出货明细'!X:X=$D$131)*('5.21出货明细'!A:A=A156)),'5.21出货明细'!AT:AT)</f>
        <v>#N/A</v>
      </c>
      <c r="K156" s="607" t="e">
        <f t="array" ref="K156">LOOKUP(1,0/(('5.21出货明细'!X:X=$D$131)*('5.21出货明细'!A:A=A156)),'5.21出货明细'!S:S)</f>
        <v>#N/A</v>
      </c>
    </row>
    <row r="157" customFormat="1" ht="38" customHeight="1" spans="1:11">
      <c r="A157" s="601">
        <v>52</v>
      </c>
      <c r="B157" s="602" t="e">
        <f t="array" ref="B157">LOOKUP(1,0/(('5.21出货明细'!X:X=$D$131)*('5.21出货明细'!A:A=A157)),'5.21出货明细'!D:D)</f>
        <v>#N/A</v>
      </c>
      <c r="C157" s="603" t="e">
        <f t="array" ref="C157">LOOKUP(1,0/(('5.21出货明细'!X:X=$D$131)*('5.21出货明细'!A:A=A157)),'5.21出货明细'!G:G&amp;'5.21出货明细'!F:F)</f>
        <v>#N/A</v>
      </c>
      <c r="D157" s="604" t="e">
        <f t="array" ref="D157">LOOKUP(1,0/(('5.21出货明细'!X:X=$D$131)*('5.21出货明细'!A:A=A157)),'5.21出货明细'!K:K)</f>
        <v>#N/A</v>
      </c>
      <c r="E157" s="604" t="e">
        <f t="array" ref="E157">LOOKUP(1,0/(('5.21出货明细'!X:X=$D$131)*('5.21出货明细'!A:A=A157)),'5.21出货明细'!J:J)</f>
        <v>#N/A</v>
      </c>
      <c r="F157" s="604" t="e">
        <f t="array" ref="F157">LOOKUP(1,0/(('5.21出货明细'!X:X=$D$131)*('5.21出货明细'!A:A=A157)),'5.21出货明细'!L:L)</f>
        <v>#N/A</v>
      </c>
      <c r="G157" s="604" t="e">
        <f t="array" ref="G157">LOOKUP(1,0/(('5.21出货明细'!X:X=$D$131)*('5.21出货明细'!A:A=A157)),'5.21出货明细'!M:M)</f>
        <v>#N/A</v>
      </c>
      <c r="H157" s="605" t="e">
        <f t="array" ref="H157">LOOKUP(1,0/(('5.21出货明细'!X:X=$D$131)*('5.21出货明细'!A:A=A157)),'5.21出货明细'!P:P)</f>
        <v>#N/A</v>
      </c>
      <c r="I157" s="606" t="e">
        <f t="array" ref="I157">LOOKUP(1,0/(('5.21出货明细'!X:X=$D$131)*('5.21出货明细'!A:A=A157)),'5.21出货明细'!Q:Q)</f>
        <v>#N/A</v>
      </c>
      <c r="J157" s="606" t="e">
        <f t="array" ref="J157">LOOKUP(1,0/(('5.21出货明细'!X:X=$D$131)*('5.21出货明细'!A:A=A157)),'5.21出货明细'!AT:AT)</f>
        <v>#N/A</v>
      </c>
      <c r="K157" s="607" t="e">
        <f t="array" ref="K157">LOOKUP(1,0/(('5.21出货明细'!X:X=$D$131)*('5.21出货明细'!A:A=A157)),'5.21出货明细'!S:S)</f>
        <v>#N/A</v>
      </c>
    </row>
    <row r="158" customFormat="1" ht="38" customHeight="1" spans="1:11">
      <c r="A158" s="601">
        <v>53</v>
      </c>
      <c r="B158" s="602" t="e">
        <f t="array" ref="B158">LOOKUP(1,0/(('5.21出货明细'!X:X=$D$131)*('5.21出货明细'!A:A=A158)),'5.21出货明细'!D:D)</f>
        <v>#N/A</v>
      </c>
      <c r="C158" s="603" t="e">
        <f t="array" ref="C158">LOOKUP(1,0/(('5.21出货明细'!X:X=$D$131)*('5.21出货明细'!A:A=A158)),'5.21出货明细'!G:G&amp;'5.21出货明细'!F:F)</f>
        <v>#N/A</v>
      </c>
      <c r="D158" s="604" t="e">
        <f t="array" ref="D158">LOOKUP(1,0/(('5.21出货明细'!X:X=$D$131)*('5.21出货明细'!A:A=A158)),'5.21出货明细'!K:K)</f>
        <v>#N/A</v>
      </c>
      <c r="E158" s="604" t="e">
        <f t="array" ref="E158">LOOKUP(1,0/(('5.21出货明细'!X:X=$D$131)*('5.21出货明细'!A:A=A158)),'5.21出货明细'!J:J)</f>
        <v>#N/A</v>
      </c>
      <c r="F158" s="604" t="e">
        <f t="array" ref="F158">LOOKUP(1,0/(('5.21出货明细'!X:X=$D$131)*('5.21出货明细'!A:A=A158)),'5.21出货明细'!L:L)</f>
        <v>#N/A</v>
      </c>
      <c r="G158" s="604" t="e">
        <f t="array" ref="G158">LOOKUP(1,0/(('5.21出货明细'!X:X=$D$131)*('5.21出货明细'!A:A=A158)),'5.21出货明细'!M:M)</f>
        <v>#N/A</v>
      </c>
      <c r="H158" s="605" t="e">
        <f t="array" ref="H158">LOOKUP(1,0/(('5.21出货明细'!X:X=$D$131)*('5.21出货明细'!A:A=A158)),'5.21出货明细'!P:P)</f>
        <v>#N/A</v>
      </c>
      <c r="I158" s="606" t="e">
        <f t="array" ref="I158">LOOKUP(1,0/(('5.21出货明细'!X:X=$D$131)*('5.21出货明细'!A:A=A158)),'5.21出货明细'!Q:Q)</f>
        <v>#N/A</v>
      </c>
      <c r="J158" s="606" t="e">
        <f t="array" ref="J158">LOOKUP(1,0/(('5.21出货明细'!X:X=$D$131)*('5.21出货明细'!A:A=A158)),'5.21出货明细'!AT:AT)</f>
        <v>#N/A</v>
      </c>
      <c r="K158" s="607" t="e">
        <f t="array" ref="K158">LOOKUP(1,0/(('5.21出货明细'!X:X=$D$131)*('5.21出货明细'!A:A=A158)),'5.21出货明细'!S:S)</f>
        <v>#N/A</v>
      </c>
    </row>
    <row r="159" customFormat="1" ht="38" customHeight="1" spans="1:11">
      <c r="A159" s="601">
        <v>54</v>
      </c>
      <c r="B159" s="602" t="e">
        <f t="array" ref="B159">LOOKUP(1,0/(('5.21出货明细'!X:X=$D$131)*('5.21出货明细'!A:A=A159)),'5.21出货明细'!D:D)</f>
        <v>#N/A</v>
      </c>
      <c r="C159" s="603" t="e">
        <f t="array" ref="C159">LOOKUP(1,0/(('5.21出货明细'!X:X=$D$131)*('5.21出货明细'!A:A=A159)),'5.21出货明细'!G:G&amp;'5.21出货明细'!F:F)</f>
        <v>#N/A</v>
      </c>
      <c r="D159" s="604" t="e">
        <f t="array" ref="D159">LOOKUP(1,0/(('5.21出货明细'!X:X=$D$131)*('5.21出货明细'!A:A=A159)),'5.21出货明细'!K:K)</f>
        <v>#N/A</v>
      </c>
      <c r="E159" s="604" t="e">
        <f t="array" ref="E159">LOOKUP(1,0/(('5.21出货明细'!X:X=$D$131)*('5.21出货明细'!A:A=A159)),'5.21出货明细'!J:J)</f>
        <v>#N/A</v>
      </c>
      <c r="F159" s="604" t="e">
        <f t="array" ref="F159">LOOKUP(1,0/(('5.21出货明细'!X:X=$D$131)*('5.21出货明细'!A:A=A159)),'5.21出货明细'!L:L)</f>
        <v>#N/A</v>
      </c>
      <c r="G159" s="604" t="e">
        <f t="array" ref="G159">LOOKUP(1,0/(('5.21出货明细'!X:X=$D$131)*('5.21出货明细'!A:A=A159)),'5.21出货明细'!M:M)</f>
        <v>#N/A</v>
      </c>
      <c r="H159" s="605" t="e">
        <f t="array" ref="H159">LOOKUP(1,0/(('5.21出货明细'!X:X=$D$131)*('5.21出货明细'!A:A=A159)),'5.21出货明细'!P:P)</f>
        <v>#N/A</v>
      </c>
      <c r="I159" s="606" t="e">
        <f t="array" ref="I159">LOOKUP(1,0/(('5.21出货明细'!X:X=$D$131)*('5.21出货明细'!A:A=A159)),'5.21出货明细'!Q:Q)</f>
        <v>#N/A</v>
      </c>
      <c r="J159" s="606" t="e">
        <f t="array" ref="J159">LOOKUP(1,0/(('5.21出货明细'!X:X=$D$131)*('5.21出货明细'!A:A=A159)),'5.21出货明细'!AT:AT)</f>
        <v>#N/A</v>
      </c>
      <c r="K159" s="607" t="e">
        <f t="array" ref="K159">LOOKUP(1,0/(('5.21出货明细'!X:X=$D$131)*('5.21出货明细'!A:A=A159)),'5.21出货明细'!S:S)</f>
        <v>#N/A</v>
      </c>
    </row>
    <row r="160" customFormat="1" ht="38" customHeight="1" spans="1:11">
      <c r="A160" s="601">
        <v>55</v>
      </c>
      <c r="B160" s="602" t="e">
        <f t="array" ref="B160">LOOKUP(1,0/(('5.21出货明细'!X:X=$D$131)*('5.21出货明细'!A:A=A160)),'5.21出货明细'!D:D)</f>
        <v>#N/A</v>
      </c>
      <c r="C160" s="603" t="e">
        <f t="array" ref="C160">LOOKUP(1,0/(('5.21出货明细'!X:X=$D$131)*('5.21出货明细'!A:A=A160)),'5.21出货明细'!G:G&amp;'5.21出货明细'!F:F)</f>
        <v>#N/A</v>
      </c>
      <c r="D160" s="604" t="e">
        <f t="array" ref="D160">LOOKUP(1,0/(('5.21出货明细'!X:X=$D$131)*('5.21出货明细'!A:A=A160)),'5.21出货明细'!K:K)</f>
        <v>#N/A</v>
      </c>
      <c r="E160" s="604" t="e">
        <f t="array" ref="E160">LOOKUP(1,0/(('5.21出货明细'!X:X=$D$131)*('5.21出货明细'!A:A=A160)),'5.21出货明细'!J:J)</f>
        <v>#N/A</v>
      </c>
      <c r="F160" s="604" t="e">
        <f t="array" ref="F160">LOOKUP(1,0/(('5.21出货明细'!X:X=$D$131)*('5.21出货明细'!A:A=A160)),'5.21出货明细'!L:L)</f>
        <v>#N/A</v>
      </c>
      <c r="G160" s="604" t="e">
        <f t="array" ref="G160">LOOKUP(1,0/(('5.21出货明细'!X:X=$D$131)*('5.21出货明细'!A:A=A160)),'5.21出货明细'!M:M)</f>
        <v>#N/A</v>
      </c>
      <c r="H160" s="605" t="e">
        <f t="array" ref="H160">LOOKUP(1,0/(('5.21出货明细'!X:X=$D$131)*('5.21出货明细'!A:A=A160)),'5.21出货明细'!P:P)</f>
        <v>#N/A</v>
      </c>
      <c r="I160" s="606" t="e">
        <f t="array" ref="I160">LOOKUP(1,0/(('5.21出货明细'!X:X=$D$131)*('5.21出货明细'!A:A=A160)),'5.21出货明细'!Q:Q)</f>
        <v>#N/A</v>
      </c>
      <c r="J160" s="606" t="e">
        <f t="array" ref="J160">LOOKUP(1,0/(('5.21出货明细'!X:X=$D$131)*('5.21出货明细'!A:A=A160)),'5.21出货明细'!AT:AT)</f>
        <v>#N/A</v>
      </c>
      <c r="K160" s="607" t="e">
        <f t="array" ref="K160">LOOKUP(1,0/(('5.21出货明细'!X:X=$D$131)*('5.21出货明细'!A:A=A160)),'5.21出货明细'!S:S)</f>
        <v>#N/A</v>
      </c>
    </row>
    <row r="161" customFormat="1" ht="38" customHeight="1" spans="1:11">
      <c r="A161" s="601">
        <v>56</v>
      </c>
      <c r="B161" s="602" t="e">
        <f t="array" ref="B161">LOOKUP(1,0/(('5.21出货明细'!X:X=$D$131)*('5.21出货明细'!A:A=A161)),'5.21出货明细'!D:D)</f>
        <v>#N/A</v>
      </c>
      <c r="C161" s="603" t="e">
        <f t="array" ref="C161">LOOKUP(1,0/(('5.21出货明细'!X:X=$D$131)*('5.21出货明细'!A:A=A161)),'5.21出货明细'!G:G&amp;'5.21出货明细'!F:F)</f>
        <v>#N/A</v>
      </c>
      <c r="D161" s="604" t="e">
        <f t="array" ref="D161">LOOKUP(1,0/(('5.21出货明细'!X:X=$D$131)*('5.21出货明细'!A:A=A161)),'5.21出货明细'!K:K)</f>
        <v>#N/A</v>
      </c>
      <c r="E161" s="604" t="e">
        <f t="array" ref="E161">LOOKUP(1,0/(('5.21出货明细'!X:X=$D$131)*('5.21出货明细'!A:A=A161)),'5.21出货明细'!J:J)</f>
        <v>#N/A</v>
      </c>
      <c r="F161" s="604" t="e">
        <f t="array" ref="F161">LOOKUP(1,0/(('5.21出货明细'!X:X=$D$131)*('5.21出货明细'!A:A=A161)),'5.21出货明细'!L:L)</f>
        <v>#N/A</v>
      </c>
      <c r="G161" s="604" t="e">
        <f t="array" ref="G161">LOOKUP(1,0/(('5.21出货明细'!X:X=$D$131)*('5.21出货明细'!A:A=A161)),'5.21出货明细'!M:M)</f>
        <v>#N/A</v>
      </c>
      <c r="H161" s="605" t="e">
        <f t="array" ref="H161">LOOKUP(1,0/(('5.21出货明细'!X:X=$D$131)*('5.21出货明细'!A:A=A161)),'5.21出货明细'!P:P)</f>
        <v>#N/A</v>
      </c>
      <c r="I161" s="606" t="e">
        <f t="array" ref="I161">LOOKUP(1,0/(('5.21出货明细'!X:X=$D$131)*('5.21出货明细'!A:A=A161)),'5.21出货明细'!Q:Q)</f>
        <v>#N/A</v>
      </c>
      <c r="J161" s="606" t="e">
        <f t="array" ref="J161">LOOKUP(1,0/(('5.21出货明细'!X:X=$D$131)*('5.21出货明细'!A:A=A161)),'5.21出货明细'!AT:AT)</f>
        <v>#N/A</v>
      </c>
      <c r="K161" s="607" t="e">
        <f t="array" ref="K161">LOOKUP(1,0/(('5.21出货明细'!X:X=$D$131)*('5.21出货明细'!A:A=A161)),'5.21出货明细'!S:S)</f>
        <v>#N/A</v>
      </c>
    </row>
    <row r="162" customFormat="1" ht="38" customHeight="1" spans="1:11">
      <c r="A162" s="601">
        <v>57</v>
      </c>
      <c r="B162" s="602" t="e">
        <f t="array" ref="B162">LOOKUP(1,0/(('5.21出货明细'!X:X=$D$131)*('5.21出货明细'!A:A=A162)),'5.21出货明细'!D:D)</f>
        <v>#N/A</v>
      </c>
      <c r="C162" s="603" t="e">
        <f t="array" ref="C162">LOOKUP(1,0/(('5.21出货明细'!X:X=$D$131)*('5.21出货明细'!A:A=A162)),'5.21出货明细'!G:G&amp;'5.21出货明细'!F:F)</f>
        <v>#N/A</v>
      </c>
      <c r="D162" s="604" t="e">
        <f t="array" ref="D162">LOOKUP(1,0/(('5.21出货明细'!X:X=$D$131)*('5.21出货明细'!A:A=A162)),'5.21出货明细'!K:K)</f>
        <v>#N/A</v>
      </c>
      <c r="E162" s="604" t="e">
        <f t="array" ref="E162">LOOKUP(1,0/(('5.21出货明细'!X:X=$D$131)*('5.21出货明细'!A:A=A162)),'5.21出货明细'!J:J)</f>
        <v>#N/A</v>
      </c>
      <c r="F162" s="604" t="e">
        <f t="array" ref="F162">LOOKUP(1,0/(('5.21出货明细'!X:X=$D$131)*('5.21出货明细'!A:A=A162)),'5.21出货明细'!L:L)</f>
        <v>#N/A</v>
      </c>
      <c r="G162" s="604" t="e">
        <f t="array" ref="G162">LOOKUP(1,0/(('5.21出货明细'!X:X=$D$131)*('5.21出货明细'!A:A=A162)),'5.21出货明细'!M:M)</f>
        <v>#N/A</v>
      </c>
      <c r="H162" s="605" t="e">
        <f t="array" ref="H162">LOOKUP(1,0/(('5.21出货明细'!X:X=$D$131)*('5.21出货明细'!A:A=A162)),'5.21出货明细'!P:P)</f>
        <v>#N/A</v>
      </c>
      <c r="I162" s="606" t="e">
        <f t="array" ref="I162">LOOKUP(1,0/(('5.21出货明细'!X:X=$D$131)*('5.21出货明细'!A:A=A162)),'5.21出货明细'!Q:Q)</f>
        <v>#N/A</v>
      </c>
      <c r="J162" s="606" t="e">
        <f t="array" ref="J162">LOOKUP(1,0/(('5.21出货明细'!X:X=$D$131)*('5.21出货明细'!A:A=A162)),'5.21出货明细'!AT:AT)</f>
        <v>#N/A</v>
      </c>
      <c r="K162" s="607" t="e">
        <f t="array" ref="K162">LOOKUP(1,0/(('5.21出货明细'!X:X=$D$131)*('5.21出货明细'!A:A=A162)),'5.21出货明细'!S:S)</f>
        <v>#N/A</v>
      </c>
    </row>
    <row r="163" customFormat="1" ht="38" customHeight="1" spans="1:11">
      <c r="A163" s="601">
        <v>58</v>
      </c>
      <c r="B163" s="602" t="e">
        <f t="array" ref="B163">LOOKUP(1,0/(('5.21出货明细'!X:X=$D$131)*('5.21出货明细'!A:A=A163)),'5.21出货明细'!D:D)</f>
        <v>#N/A</v>
      </c>
      <c r="C163" s="603" t="e">
        <f t="array" ref="C163">LOOKUP(1,0/(('5.21出货明细'!X:X=$D$131)*('5.21出货明细'!A:A=A163)),'5.21出货明细'!G:G&amp;'5.21出货明细'!F:F)</f>
        <v>#N/A</v>
      </c>
      <c r="D163" s="604" t="e">
        <f t="array" ref="D163">LOOKUP(1,0/(('5.21出货明细'!X:X=$D$131)*('5.21出货明细'!A:A=A163)),'5.21出货明细'!K:K)</f>
        <v>#N/A</v>
      </c>
      <c r="E163" s="604" t="e">
        <f t="array" ref="E163">LOOKUP(1,0/(('5.21出货明细'!X:X=$D$131)*('5.21出货明细'!A:A=A163)),'5.21出货明细'!J:J)</f>
        <v>#N/A</v>
      </c>
      <c r="F163" s="604" t="e">
        <f t="array" ref="F163">LOOKUP(1,0/(('5.21出货明细'!X:X=$D$131)*('5.21出货明细'!A:A=A163)),'5.21出货明细'!L:L)</f>
        <v>#N/A</v>
      </c>
      <c r="G163" s="604" t="e">
        <f t="array" ref="G163">LOOKUP(1,0/(('5.21出货明细'!X:X=$D$131)*('5.21出货明细'!A:A=A163)),'5.21出货明细'!M:M)</f>
        <v>#N/A</v>
      </c>
      <c r="H163" s="605" t="e">
        <f t="array" ref="H163">LOOKUP(1,0/(('5.21出货明细'!X:X=$D$131)*('5.21出货明细'!A:A=A163)),'5.21出货明细'!P:P)</f>
        <v>#N/A</v>
      </c>
      <c r="I163" s="606" t="e">
        <f t="array" ref="I163">LOOKUP(1,0/(('5.21出货明细'!X:X=$D$131)*('5.21出货明细'!A:A=A163)),'5.21出货明细'!Q:Q)</f>
        <v>#N/A</v>
      </c>
      <c r="J163" s="606" t="e">
        <f t="array" ref="J163">LOOKUP(1,0/(('5.21出货明细'!X:X=$D$131)*('5.21出货明细'!A:A=A163)),'5.21出货明细'!AT:AT)</f>
        <v>#N/A</v>
      </c>
      <c r="K163" s="607" t="e">
        <f t="array" ref="K163">LOOKUP(1,0/(('5.21出货明细'!X:X=$D$131)*('5.21出货明细'!A:A=A163)),'5.21出货明细'!S:S)</f>
        <v>#N/A</v>
      </c>
    </row>
    <row r="164" customFormat="1" ht="18" spans="1:11">
      <c r="A164" s="608"/>
      <c r="B164" s="609"/>
      <c r="C164" s="603"/>
      <c r="D164" s="610" t="e">
        <f>SUM(D147:D163)</f>
        <v>#N/A</v>
      </c>
      <c r="E164" s="611"/>
      <c r="F164" s="610"/>
      <c r="G164" s="610"/>
      <c r="H164" s="612" t="e">
        <f>SUM(H147:H163)</f>
        <v>#N/A</v>
      </c>
      <c r="I164" s="612" t="e">
        <f>SUM(I147:I163)</f>
        <v>#N/A</v>
      </c>
      <c r="J164" s="612" t="e">
        <f>SUM(J147:J163)</f>
        <v>#N/A</v>
      </c>
      <c r="K164" s="613" t="e">
        <f>SUM(K147:K163)</f>
        <v>#N/A</v>
      </c>
    </row>
    <row r="165" customFormat="1" ht="18.75" spans="1:11">
      <c r="A165" s="614"/>
      <c r="B165" s="615"/>
      <c r="C165" s="616"/>
      <c r="D165" s="617"/>
      <c r="E165" s="618" t="s">
        <v>1553</v>
      </c>
      <c r="F165" s="618"/>
      <c r="G165" s="618"/>
      <c r="H165" s="618" t="s">
        <v>1553</v>
      </c>
      <c r="I165" s="618" t="s">
        <v>1553</v>
      </c>
      <c r="J165" s="618" t="s">
        <v>1553</v>
      </c>
      <c r="K165" s="618" t="s">
        <v>1553</v>
      </c>
    </row>
    <row r="166" ht="14.25"/>
    <row r="167" customFormat="1" ht="25.5" spans="1:11">
      <c r="A167" s="515" t="s">
        <v>1546</v>
      </c>
      <c r="B167" s="516"/>
      <c r="C167" s="516"/>
      <c r="D167" s="516"/>
      <c r="E167" s="516"/>
      <c r="F167" s="516"/>
      <c r="G167" s="516"/>
      <c r="H167" s="516"/>
      <c r="I167" s="516"/>
      <c r="J167" s="516"/>
      <c r="K167" s="517"/>
    </row>
    <row r="168" customFormat="1" spans="1:11">
      <c r="A168" s="518" t="s">
        <v>1656</v>
      </c>
      <c r="B168" s="519"/>
      <c r="C168" s="519"/>
      <c r="D168" s="519"/>
      <c r="E168" s="519"/>
      <c r="F168" s="519"/>
      <c r="G168" s="519"/>
      <c r="H168" s="519"/>
      <c r="I168" s="519"/>
      <c r="J168" s="519"/>
      <c r="K168" s="520"/>
    </row>
    <row r="169" customFormat="1" spans="1:11">
      <c r="A169" s="518"/>
      <c r="B169" s="519"/>
      <c r="C169" s="519"/>
      <c r="D169" s="519"/>
      <c r="E169" s="519"/>
      <c r="F169" s="519"/>
      <c r="G169" s="519"/>
      <c r="H169" s="519"/>
      <c r="I169" s="519"/>
      <c r="J169" s="519"/>
      <c r="K169" s="520"/>
    </row>
    <row r="170" customFormat="1" ht="18" spans="1:11">
      <c r="A170" s="521"/>
      <c r="B170" s="522"/>
      <c r="C170" s="522"/>
      <c r="D170" s="522"/>
      <c r="E170" s="522"/>
      <c r="F170" s="522"/>
      <c r="G170" s="522"/>
      <c r="H170" s="522"/>
      <c r="I170" s="522"/>
      <c r="J170" s="522"/>
      <c r="K170" s="523"/>
    </row>
    <row r="171" customFormat="1" ht="18" spans="1:11">
      <c r="A171" s="521"/>
      <c r="B171" s="522"/>
      <c r="C171" s="522"/>
      <c r="D171" s="522"/>
      <c r="E171" s="522"/>
      <c r="F171" s="522"/>
      <c r="G171" s="522"/>
      <c r="H171" s="522"/>
      <c r="I171" s="522"/>
      <c r="J171" s="522"/>
      <c r="K171" s="523"/>
    </row>
    <row r="172" customFormat="1" spans="1:11">
      <c r="A172" s="524" t="s">
        <v>1667</v>
      </c>
      <c r="B172" s="525"/>
      <c r="C172" s="525"/>
      <c r="D172" s="525"/>
      <c r="E172" s="525"/>
      <c r="F172" s="525"/>
      <c r="G172" s="525"/>
      <c r="H172" s="525"/>
      <c r="I172" s="525"/>
      <c r="J172" s="525"/>
      <c r="K172" s="526"/>
    </row>
    <row r="173" customFormat="1" ht="14.25" spans="1:11">
      <c r="A173" s="524"/>
      <c r="B173" s="525"/>
      <c r="C173" s="525"/>
      <c r="D173" s="525"/>
      <c r="E173" s="525"/>
      <c r="F173" s="525"/>
      <c r="G173" s="525"/>
      <c r="H173" s="525"/>
      <c r="I173" s="525"/>
      <c r="J173" s="525"/>
      <c r="K173" s="526"/>
    </row>
    <row r="174" customFormat="1" ht="16.5" spans="1:11">
      <c r="A174" s="527" t="s">
        <v>1668</v>
      </c>
      <c r="B174" s="528"/>
      <c r="C174" s="528"/>
      <c r="D174" s="529" t="s">
        <v>1669</v>
      </c>
      <c r="E174" s="530"/>
      <c r="F174" s="530"/>
      <c r="G174" s="530"/>
      <c r="H174" s="529" t="s">
        <v>1670</v>
      </c>
      <c r="I174" s="531"/>
      <c r="J174" s="531"/>
      <c r="K174" s="532"/>
    </row>
    <row r="175" customFormat="1" ht="16" customHeight="1" spans="1:11">
      <c r="A175" s="533" t="s">
        <v>1671</v>
      </c>
      <c r="B175" s="534"/>
      <c r="C175" s="534"/>
      <c r="D175" s="535" t="str">
        <f>实业发票!H195</f>
        <v>PR202600280</v>
      </c>
      <c r="E175" s="536"/>
      <c r="F175" s="536"/>
      <c r="G175" s="536"/>
      <c r="H175" s="537"/>
      <c r="I175" s="538"/>
      <c r="J175" s="538"/>
      <c r="K175" s="539"/>
    </row>
    <row r="176" customFormat="1" ht="16" customHeight="1" spans="1:11">
      <c r="A176" s="533"/>
      <c r="B176" s="534"/>
      <c r="C176" s="534"/>
      <c r="D176" s="540" t="s">
        <v>1672</v>
      </c>
      <c r="E176" s="541"/>
      <c r="F176" s="541"/>
      <c r="G176" s="542"/>
      <c r="H176" s="543"/>
      <c r="I176" s="543"/>
      <c r="J176" s="543"/>
      <c r="K176" s="544"/>
    </row>
    <row r="177" customFormat="1" ht="16" customHeight="1" spans="1:11">
      <c r="A177" s="533"/>
      <c r="B177" s="534"/>
      <c r="C177" s="534"/>
      <c r="D177" s="545">
        <f>D11</f>
        <v>46134</v>
      </c>
      <c r="E177" s="546"/>
      <c r="F177" s="546"/>
      <c r="G177" s="547"/>
      <c r="H177" s="548"/>
      <c r="I177" s="549"/>
      <c r="J177" s="549"/>
      <c r="K177" s="550"/>
    </row>
    <row r="178" customFormat="1" ht="16.5" spans="1:11">
      <c r="A178" s="551" t="s">
        <v>1673</v>
      </c>
      <c r="B178" s="552"/>
      <c r="C178" s="553"/>
      <c r="D178" s="554" t="s">
        <v>1674</v>
      </c>
      <c r="E178" s="555"/>
      <c r="F178" s="555"/>
      <c r="G178" s="555"/>
      <c r="H178" s="556" t="s">
        <v>1675</v>
      </c>
      <c r="I178" s="543"/>
      <c r="J178" s="557"/>
      <c r="K178" s="558"/>
    </row>
    <row r="179" customFormat="1" ht="16.5" spans="1:11">
      <c r="A179" s="551" t="s">
        <v>1676</v>
      </c>
      <c r="B179" s="552"/>
      <c r="C179" s="553"/>
      <c r="D179" s="559" t="str">
        <f>实业发票!H199</f>
        <v>RPIRRI260280</v>
      </c>
      <c r="E179" s="559"/>
      <c r="F179" s="559"/>
      <c r="G179" s="559"/>
      <c r="H179" s="560"/>
      <c r="I179" s="560"/>
      <c r="J179" s="560"/>
      <c r="K179" s="561"/>
    </row>
    <row r="180" customFormat="1" ht="16.5" spans="1:11">
      <c r="A180" s="562" t="s">
        <v>1677</v>
      </c>
      <c r="B180" s="563"/>
      <c r="C180" s="563"/>
      <c r="D180" s="564"/>
      <c r="E180" s="564"/>
      <c r="F180" s="564"/>
      <c r="G180" s="564"/>
      <c r="H180" s="560"/>
      <c r="I180" s="560"/>
      <c r="J180" s="560"/>
      <c r="K180" s="561"/>
    </row>
    <row r="181" customFormat="1" ht="16.5" spans="1:11">
      <c r="A181" s="565" t="s">
        <v>1678</v>
      </c>
      <c r="B181" s="566"/>
      <c r="C181" s="567"/>
      <c r="D181" s="564"/>
      <c r="E181" s="564"/>
      <c r="F181" s="564"/>
      <c r="G181" s="564"/>
      <c r="H181" s="568"/>
      <c r="I181" s="568"/>
      <c r="J181" s="568"/>
      <c r="K181" s="569"/>
    </row>
    <row r="182" customFormat="1" ht="16.5" spans="1:11">
      <c r="A182" s="570" t="s">
        <v>1558</v>
      </c>
      <c r="B182" s="571"/>
      <c r="C182" s="553"/>
      <c r="D182" s="554" t="s">
        <v>1679</v>
      </c>
      <c r="E182" s="541"/>
      <c r="F182" s="541"/>
      <c r="G182" s="542"/>
      <c r="H182" s="543" t="s">
        <v>1680</v>
      </c>
      <c r="I182" s="543"/>
      <c r="J182" s="557"/>
      <c r="K182" s="558"/>
    </row>
    <row r="183" customFormat="1" ht="16.5" spans="1:11">
      <c r="A183" s="570" t="s">
        <v>1681</v>
      </c>
      <c r="B183" s="553"/>
      <c r="C183" s="572"/>
      <c r="D183" s="573" t="str">
        <f>D17</f>
        <v>BMOU6019197</v>
      </c>
      <c r="E183" s="574"/>
      <c r="F183" s="574"/>
      <c r="G183" s="575"/>
      <c r="H183" s="574" t="str">
        <f>H17</f>
        <v>EMCRZS9184</v>
      </c>
      <c r="I183" s="574"/>
      <c r="J183" s="574"/>
      <c r="K183" s="576"/>
    </row>
    <row r="184" customFormat="1" ht="16.5" spans="1:11">
      <c r="A184" s="577" t="s">
        <v>1684</v>
      </c>
      <c r="B184" s="578"/>
      <c r="C184" s="579"/>
      <c r="D184" s="573"/>
      <c r="E184" s="574"/>
      <c r="F184" s="574"/>
      <c r="G184" s="575"/>
      <c r="H184" s="574"/>
      <c r="I184" s="574"/>
      <c r="J184" s="574"/>
      <c r="K184" s="576"/>
    </row>
    <row r="185" customFormat="1" ht="16.5" spans="1:11">
      <c r="A185" s="577" t="s">
        <v>1685</v>
      </c>
      <c r="B185" s="578"/>
      <c r="C185" s="579"/>
      <c r="D185" s="573"/>
      <c r="E185" s="574"/>
      <c r="F185" s="574"/>
      <c r="G185" s="575"/>
      <c r="H185" s="574"/>
      <c r="I185" s="574"/>
      <c r="J185" s="574"/>
      <c r="K185" s="576"/>
    </row>
    <row r="186" customFormat="1" ht="16.5" spans="1:11">
      <c r="A186" s="580" t="s">
        <v>1686</v>
      </c>
      <c r="B186" s="581"/>
      <c r="C186" s="579"/>
      <c r="D186" s="573"/>
      <c r="E186" s="574"/>
      <c r="F186" s="574"/>
      <c r="G186" s="575"/>
      <c r="H186" s="574"/>
      <c r="I186" s="574"/>
      <c r="J186" s="574"/>
      <c r="K186" s="576"/>
    </row>
    <row r="187" customFormat="1" ht="16.5" spans="1:11">
      <c r="A187" s="577" t="s">
        <v>1687</v>
      </c>
      <c r="B187" s="572"/>
      <c r="C187" s="572"/>
      <c r="D187" s="582"/>
      <c r="E187" s="583"/>
      <c r="F187" s="583"/>
      <c r="G187" s="584"/>
      <c r="H187" s="583"/>
      <c r="I187" s="583"/>
      <c r="J187" s="583"/>
      <c r="K187" s="585"/>
    </row>
    <row r="188" customFormat="1" ht="16.5" spans="1:11">
      <c r="A188" s="577" t="s">
        <v>1561</v>
      </c>
      <c r="B188" s="572"/>
      <c r="C188" s="572"/>
      <c r="D188" s="554"/>
      <c r="E188" s="541"/>
      <c r="F188" s="541"/>
      <c r="G188" s="541"/>
      <c r="H188" s="586"/>
      <c r="I188" s="541"/>
      <c r="J188" s="541"/>
      <c r="K188" s="587"/>
    </row>
    <row r="189" customFormat="1" ht="18" customHeight="1" spans="1:11">
      <c r="A189" s="588" t="s">
        <v>1688</v>
      </c>
      <c r="B189" s="589"/>
      <c r="C189" s="590"/>
      <c r="D189" s="591"/>
      <c r="E189" s="592"/>
      <c r="F189" s="592"/>
      <c r="G189" s="592"/>
      <c r="H189" s="592"/>
      <c r="I189" s="592"/>
      <c r="J189" s="592"/>
      <c r="K189" s="593"/>
    </row>
    <row r="190" customFormat="1" ht="38.25" spans="1:11">
      <c r="A190" s="594" t="s">
        <v>1689</v>
      </c>
      <c r="B190" s="595" t="s">
        <v>1641</v>
      </c>
      <c r="C190" s="596" t="s">
        <v>1642</v>
      </c>
      <c r="D190" s="597" t="s">
        <v>1644</v>
      </c>
      <c r="E190" s="597" t="s">
        <v>8</v>
      </c>
      <c r="F190" s="597" t="s">
        <v>1644</v>
      </c>
      <c r="G190" s="595" t="s">
        <v>8</v>
      </c>
      <c r="H190" s="598" t="s">
        <v>1690</v>
      </c>
      <c r="I190" s="599" t="s">
        <v>1691</v>
      </c>
      <c r="J190" s="599" t="s">
        <v>23</v>
      </c>
      <c r="K190" s="600" t="s">
        <v>1692</v>
      </c>
    </row>
    <row r="191" s="429" customFormat="1" ht="46" customHeight="1" spans="1:11">
      <c r="A191" s="601">
        <v>59</v>
      </c>
      <c r="B191" s="602" t="e">
        <f t="array" ref="B191">LOOKUP(1,0/(('5.21出货明细'!X:X=$D$175)*('5.21出货明细'!A:A=A191)),'5.21出货明细'!D:D)</f>
        <v>#N/A</v>
      </c>
      <c r="C191" s="603" t="e">
        <f t="array" ref="C191">LOOKUP(1,0/(('5.21出货明细'!X:X=$D$175)*('5.21出货明细'!A:A=A191)),'5.21出货明细'!G:G&amp;'5.21出货明细'!F:F)</f>
        <v>#N/A</v>
      </c>
      <c r="D191" s="604" t="e">
        <f t="array" ref="D191">LOOKUP(1,0/(('5.21出货明细'!X:X=$D$175)*('5.21出货明细'!A:A=A191)),'5.21出货明细'!K:K)</f>
        <v>#N/A</v>
      </c>
      <c r="E191" s="604" t="e">
        <f t="array" ref="E191">LOOKUP(1,0/(('5.21出货明细'!X:X=$D$175)*('5.21出货明细'!A:A=A191)),'5.21出货明细'!J:J)</f>
        <v>#N/A</v>
      </c>
      <c r="F191" s="604" t="e">
        <f t="array" ref="F191">LOOKUP(1,0/(('5.21出货明细'!X:X=$D$175)*('5.21出货明细'!A:A=A191)),'5.21出货明细'!L:L)</f>
        <v>#N/A</v>
      </c>
      <c r="G191" s="604" t="e">
        <f t="array" ref="G191">LOOKUP(1,0/(('5.21出货明细'!X:X=$D$175)*('5.21出货明细'!A:A=A191)),'5.21出货明细'!M:M)</f>
        <v>#N/A</v>
      </c>
      <c r="H191" s="605" t="e">
        <f t="array" ref="H191">LOOKUP(1,0/(('5.21出货明细'!X:X=$D$175)*('5.21出货明细'!A:A=A191)),'5.21出货明细'!P:P)</f>
        <v>#N/A</v>
      </c>
      <c r="I191" s="606" t="e">
        <f t="array" ref="I191">LOOKUP(1,0/(('5.21出货明细'!X:X=$D$175)*('5.21出货明细'!A:A=A191)),'5.21出货明细'!Q:Q)</f>
        <v>#N/A</v>
      </c>
      <c r="J191" s="606" t="e">
        <f t="array" ref="J191">LOOKUP(1,0/(('5.21出货明细'!X:X=$D$175)*('5.21出货明细'!A:A=A191)),'5.21出货明细'!AT:AT)</f>
        <v>#N/A</v>
      </c>
      <c r="K191" s="607" t="e">
        <f t="array" ref="K191">LOOKUP(1,0/(('5.21出货明细'!X:X=$D$175)*('5.21出货明细'!A:A=A191)),'5.21出货明细'!S:S)</f>
        <v>#N/A</v>
      </c>
    </row>
    <row r="192" customFormat="1" ht="33" customHeight="1" spans="1:11">
      <c r="A192" s="601">
        <v>60</v>
      </c>
      <c r="B192" s="602" t="e">
        <f t="array" ref="B192">LOOKUP(1,0/(('5.21出货明细'!X:X=$D$175)*('5.21出货明细'!A:A=A192)),'5.21出货明细'!D:D)</f>
        <v>#N/A</v>
      </c>
      <c r="C192" s="603" t="e">
        <f t="array" ref="C192">LOOKUP(1,0/(('5.21出货明细'!X:X=$D$175)*('5.21出货明细'!A:A=A192)),'5.21出货明细'!G:G&amp;'5.21出货明细'!F:F)</f>
        <v>#N/A</v>
      </c>
      <c r="D192" s="604" t="e">
        <f t="array" ref="D192">LOOKUP(1,0/(('5.21出货明细'!X:X=$D$175)*('5.21出货明细'!A:A=A192)),'5.21出货明细'!K:K)</f>
        <v>#N/A</v>
      </c>
      <c r="E192" s="604" t="e">
        <f t="array" ref="E192">LOOKUP(1,0/(('5.21出货明细'!X:X=$D$175)*('5.21出货明细'!A:A=A192)),'5.21出货明细'!J:J)</f>
        <v>#N/A</v>
      </c>
      <c r="F192" s="604" t="e">
        <f t="array" ref="F192">LOOKUP(1,0/(('5.21出货明细'!X:X=$D$175)*('5.21出货明细'!A:A=A192)),'5.21出货明细'!L:L)</f>
        <v>#N/A</v>
      </c>
      <c r="G192" s="604" t="e">
        <f t="array" ref="G192">LOOKUP(1,0/(('5.21出货明细'!X:X=$D$175)*('5.21出货明细'!A:A=A192)),'5.21出货明细'!M:M)</f>
        <v>#N/A</v>
      </c>
      <c r="H192" s="605" t="e">
        <f t="array" ref="H192">LOOKUP(1,0/(('5.21出货明细'!X:X=$D$175)*('5.21出货明细'!A:A=A192)),'5.21出货明细'!P:P)</f>
        <v>#N/A</v>
      </c>
      <c r="I192" s="606" t="e">
        <f t="array" ref="I192">LOOKUP(1,0/(('5.21出货明细'!X:X=$D$175)*('5.21出货明细'!A:A=A192)),'5.21出货明细'!Q:Q)</f>
        <v>#N/A</v>
      </c>
      <c r="J192" s="606" t="e">
        <f t="array" ref="J192">LOOKUP(1,0/(('5.21出货明细'!X:X=$D$175)*('5.21出货明细'!A:A=A192)),'5.21出货明细'!AT:AT)</f>
        <v>#N/A</v>
      </c>
      <c r="K192" s="607" t="e">
        <f t="array" ref="K192">LOOKUP(1,0/(('5.21出货明细'!X:X=$D$175)*('5.21出货明细'!A:A=A192)),'5.21出货明细'!S:S)</f>
        <v>#N/A</v>
      </c>
    </row>
    <row r="193" customFormat="1" ht="38" customHeight="1" spans="1:11">
      <c r="A193" s="601">
        <v>61</v>
      </c>
      <c r="B193" s="602" t="e">
        <f t="array" ref="B193">LOOKUP(1,0/(('5.21出货明细'!X:X=$D$175)*('5.21出货明细'!A:A=A193)),'5.21出货明细'!D:D)</f>
        <v>#N/A</v>
      </c>
      <c r="C193" s="603" t="e">
        <f t="array" ref="C193">LOOKUP(1,0/(('5.21出货明细'!X:X=$D$175)*('5.21出货明细'!A:A=A193)),'5.21出货明细'!G:G&amp;'5.21出货明细'!F:F)</f>
        <v>#N/A</v>
      </c>
      <c r="D193" s="604" t="e">
        <f t="array" ref="D193">LOOKUP(1,0/(('5.21出货明细'!X:X=$D$175)*('5.21出货明细'!A:A=A193)),'5.21出货明细'!K:K)</f>
        <v>#N/A</v>
      </c>
      <c r="E193" s="604" t="e">
        <f t="array" ref="E193">LOOKUP(1,0/(('5.21出货明细'!X:X=$D$175)*('5.21出货明细'!A:A=A193)),'5.21出货明细'!J:J)</f>
        <v>#N/A</v>
      </c>
      <c r="F193" s="604" t="e">
        <f t="array" ref="F193">LOOKUP(1,0/(('5.21出货明细'!X:X=$D$175)*('5.21出货明细'!A:A=A193)),'5.21出货明细'!L:L)</f>
        <v>#N/A</v>
      </c>
      <c r="G193" s="604" t="e">
        <f t="array" ref="G193">LOOKUP(1,0/(('5.21出货明细'!X:X=$D$175)*('5.21出货明细'!A:A=A193)),'5.21出货明细'!M:M)</f>
        <v>#N/A</v>
      </c>
      <c r="H193" s="605" t="e">
        <f t="array" ref="H193">LOOKUP(1,0/(('5.21出货明细'!X:X=$D$175)*('5.21出货明细'!A:A=A193)),'5.21出货明细'!P:P)</f>
        <v>#N/A</v>
      </c>
      <c r="I193" s="606" t="e">
        <f t="array" ref="I193">LOOKUP(1,0/(('5.21出货明细'!X:X=$D$175)*('5.21出货明细'!A:A=A193)),'5.21出货明细'!Q:Q)</f>
        <v>#N/A</v>
      </c>
      <c r="J193" s="606" t="e">
        <f t="array" ref="J193">LOOKUP(1,0/(('5.21出货明细'!X:X=$D$175)*('5.21出货明细'!A:A=A193)),'5.21出货明细'!AT:AT)</f>
        <v>#N/A</v>
      </c>
      <c r="K193" s="607" t="e">
        <f t="array" ref="K193">LOOKUP(1,0/(('5.21出货明细'!X:X=$D$175)*('5.21出货明细'!A:A=A193)),'5.21出货明细'!S:S)</f>
        <v>#N/A</v>
      </c>
    </row>
    <row r="194" customFormat="1" ht="38" customHeight="1" spans="1:11">
      <c r="A194" s="601">
        <v>62</v>
      </c>
      <c r="B194" s="602" t="e">
        <f t="array" ref="B194">LOOKUP(1,0/(('5.21出货明细'!X:X=$D$175)*('5.21出货明细'!A:A=A194)),'5.21出货明细'!D:D)</f>
        <v>#N/A</v>
      </c>
      <c r="C194" s="603" t="e">
        <f t="array" ref="C194">LOOKUP(1,0/(('5.21出货明细'!X:X=$D$175)*('5.21出货明细'!A:A=A194)),'5.21出货明细'!G:G&amp;'5.21出货明细'!F:F)</f>
        <v>#N/A</v>
      </c>
      <c r="D194" s="604" t="e">
        <f t="array" ref="D194">LOOKUP(1,0/(('5.21出货明细'!X:X=$D$175)*('5.21出货明细'!A:A=A194)),'5.21出货明细'!K:K)</f>
        <v>#N/A</v>
      </c>
      <c r="E194" s="604" t="e">
        <f t="array" ref="E194">LOOKUP(1,0/(('5.21出货明细'!X:X=$D$175)*('5.21出货明细'!A:A=A194)),'5.21出货明细'!J:J)</f>
        <v>#N/A</v>
      </c>
      <c r="F194" s="604" t="e">
        <f t="array" ref="F194">LOOKUP(1,0/(('5.21出货明细'!X:X=$D$175)*('5.21出货明细'!A:A=A194)),'5.21出货明细'!L:L)</f>
        <v>#N/A</v>
      </c>
      <c r="G194" s="604" t="e">
        <f t="array" ref="G194">LOOKUP(1,0/(('5.21出货明细'!X:X=$D$175)*('5.21出货明细'!A:A=A194)),'5.21出货明细'!M:M)</f>
        <v>#N/A</v>
      </c>
      <c r="H194" s="605" t="e">
        <f t="array" ref="H194">LOOKUP(1,0/(('5.21出货明细'!X:X=$D$175)*('5.21出货明细'!A:A=A194)),'5.21出货明细'!P:P)</f>
        <v>#N/A</v>
      </c>
      <c r="I194" s="606" t="e">
        <f t="array" ref="I194">LOOKUP(1,0/(('5.21出货明细'!X:X=$D$175)*('5.21出货明细'!A:A=A194)),'5.21出货明细'!Q:Q)</f>
        <v>#N/A</v>
      </c>
      <c r="J194" s="606" t="e">
        <f t="array" ref="J194">LOOKUP(1,0/(('5.21出货明细'!X:X=$D$175)*('5.21出货明细'!A:A=A194)),'5.21出货明细'!AT:AT)</f>
        <v>#N/A</v>
      </c>
      <c r="K194" s="607" t="e">
        <f t="array" ref="K194">LOOKUP(1,0/(('5.21出货明细'!X:X=$D$175)*('5.21出货明细'!A:A=A194)),'5.21出货明细'!S:S)</f>
        <v>#N/A</v>
      </c>
    </row>
    <row r="195" customFormat="1" ht="38" customHeight="1" spans="1:11">
      <c r="A195" s="601">
        <v>63</v>
      </c>
      <c r="B195" s="602" t="e">
        <f t="array" ref="B195">LOOKUP(1,0/(('5.21出货明细'!X:X=$D$175)*('5.21出货明细'!A:A=A195)),'5.21出货明细'!D:D)</f>
        <v>#N/A</v>
      </c>
      <c r="C195" s="603" t="e">
        <f t="array" ref="C195">LOOKUP(1,0/(('5.21出货明细'!X:X=$D$175)*('5.21出货明细'!A:A=A195)),'5.21出货明细'!G:G&amp;'5.21出货明细'!F:F)</f>
        <v>#N/A</v>
      </c>
      <c r="D195" s="604" t="e">
        <f t="array" ref="D195">LOOKUP(1,0/(('5.21出货明细'!X:X=$D$175)*('5.21出货明细'!A:A=A195)),'5.21出货明细'!K:K)</f>
        <v>#N/A</v>
      </c>
      <c r="E195" s="604" t="e">
        <f t="array" ref="E195">LOOKUP(1,0/(('5.21出货明细'!X:X=$D$175)*('5.21出货明细'!A:A=A195)),'5.21出货明细'!J:J)</f>
        <v>#N/A</v>
      </c>
      <c r="F195" s="604" t="e">
        <f t="array" ref="F195">LOOKUP(1,0/(('5.21出货明细'!X:X=$D$175)*('5.21出货明细'!A:A=A195)),'5.21出货明细'!L:L)</f>
        <v>#N/A</v>
      </c>
      <c r="G195" s="604" t="e">
        <f t="array" ref="G195">LOOKUP(1,0/(('5.21出货明细'!X:X=$D$175)*('5.21出货明细'!A:A=A195)),'5.21出货明细'!M:M)</f>
        <v>#N/A</v>
      </c>
      <c r="H195" s="605" t="e">
        <f t="array" ref="H195">LOOKUP(1,0/(('5.21出货明细'!X:X=$D$175)*('5.21出货明细'!A:A=A195)),'5.21出货明细'!P:P)</f>
        <v>#N/A</v>
      </c>
      <c r="I195" s="606" t="e">
        <f t="array" ref="I195">LOOKUP(1,0/(('5.21出货明细'!X:X=$D$175)*('5.21出货明细'!A:A=A195)),'5.21出货明细'!Q:Q)</f>
        <v>#N/A</v>
      </c>
      <c r="J195" s="606" t="e">
        <f t="array" ref="J195">LOOKUP(1,0/(('5.21出货明细'!X:X=$D$175)*('5.21出货明细'!A:A=A195)),'5.21出货明细'!AT:AT)</f>
        <v>#N/A</v>
      </c>
      <c r="K195" s="607" t="e">
        <f t="array" ref="K195">LOOKUP(1,0/(('5.21出货明细'!X:X=$D$175)*('5.21出货明细'!A:A=A195)),'5.21出货明细'!S:S)</f>
        <v>#N/A</v>
      </c>
    </row>
    <row r="196" customFormat="1" ht="38" customHeight="1" spans="1:11">
      <c r="A196" s="601">
        <v>64</v>
      </c>
      <c r="B196" s="602" t="e">
        <f t="array" ref="B196">LOOKUP(1,0/(('5.21出货明细'!X:X=$D$175)*('5.21出货明细'!A:A=A196)),'5.21出货明细'!D:D)</f>
        <v>#N/A</v>
      </c>
      <c r="C196" s="603" t="e">
        <f t="array" ref="C196">LOOKUP(1,0/(('5.21出货明细'!X:X=$D$175)*('5.21出货明细'!A:A=A196)),'5.21出货明细'!G:G&amp;'5.21出货明细'!F:F)</f>
        <v>#N/A</v>
      </c>
      <c r="D196" s="604" t="e">
        <f t="array" ref="D196">LOOKUP(1,0/(('5.21出货明细'!X:X=$D$175)*('5.21出货明细'!A:A=A196)),'5.21出货明细'!K:K)</f>
        <v>#N/A</v>
      </c>
      <c r="E196" s="604" t="e">
        <f t="array" ref="E196">LOOKUP(1,0/(('5.21出货明细'!X:X=$D$175)*('5.21出货明细'!A:A=A196)),'5.21出货明细'!J:J)</f>
        <v>#N/A</v>
      </c>
      <c r="F196" s="604" t="e">
        <f t="array" ref="F196">LOOKUP(1,0/(('5.21出货明细'!X:X=$D$175)*('5.21出货明细'!A:A=A196)),'5.21出货明细'!L:L)</f>
        <v>#N/A</v>
      </c>
      <c r="G196" s="604" t="e">
        <f t="array" ref="G196">LOOKUP(1,0/(('5.21出货明细'!X:X=$D$175)*('5.21出货明细'!A:A=A196)),'5.21出货明细'!M:M)</f>
        <v>#N/A</v>
      </c>
      <c r="H196" s="605" t="e">
        <f t="array" ref="H196">LOOKUP(1,0/(('5.21出货明细'!X:X=$D$175)*('5.21出货明细'!A:A=A196)),'5.21出货明细'!P:P)</f>
        <v>#N/A</v>
      </c>
      <c r="I196" s="606" t="e">
        <f t="array" ref="I196">LOOKUP(1,0/(('5.21出货明细'!X:X=$D$175)*('5.21出货明细'!A:A=A196)),'5.21出货明细'!Q:Q)</f>
        <v>#N/A</v>
      </c>
      <c r="J196" s="606" t="e">
        <f t="array" ref="J196">LOOKUP(1,0/(('5.21出货明细'!X:X=$D$175)*('5.21出货明细'!A:A=A196)),'5.21出货明细'!AT:AT)</f>
        <v>#N/A</v>
      </c>
      <c r="K196" s="607" t="e">
        <f t="array" ref="K196">LOOKUP(1,0/(('5.21出货明细'!X:X=$D$175)*('5.21出货明细'!A:A=A196)),'5.21出货明细'!S:S)</f>
        <v>#N/A</v>
      </c>
    </row>
    <row r="197" customFormat="1" ht="38" customHeight="1" spans="1:11">
      <c r="A197" s="601">
        <v>65</v>
      </c>
      <c r="B197" s="602" t="e">
        <f t="array" ref="B197">LOOKUP(1,0/(('5.21出货明细'!X:X=$D$175)*('5.21出货明细'!A:A=A197)),'5.21出货明细'!D:D)</f>
        <v>#N/A</v>
      </c>
      <c r="C197" s="603" t="e">
        <f t="array" ref="C197">LOOKUP(1,0/(('5.21出货明细'!X:X=$D$175)*('5.21出货明细'!A:A=A197)),'5.21出货明细'!G:G&amp;'5.21出货明细'!F:F)</f>
        <v>#N/A</v>
      </c>
      <c r="D197" s="604" t="e">
        <f t="array" ref="D197">LOOKUP(1,0/(('5.21出货明细'!X:X=$D$175)*('5.21出货明细'!A:A=A197)),'5.21出货明细'!K:K)</f>
        <v>#N/A</v>
      </c>
      <c r="E197" s="604" t="e">
        <f t="array" ref="E197">LOOKUP(1,0/(('5.21出货明细'!X:X=$D$175)*('5.21出货明细'!A:A=A197)),'5.21出货明细'!J:J)</f>
        <v>#N/A</v>
      </c>
      <c r="F197" s="604" t="e">
        <f t="array" ref="F197">LOOKUP(1,0/(('5.21出货明细'!X:X=$D$175)*('5.21出货明细'!A:A=A197)),'5.21出货明细'!L:L)</f>
        <v>#N/A</v>
      </c>
      <c r="G197" s="604" t="e">
        <f t="array" ref="G197">LOOKUP(1,0/(('5.21出货明细'!X:X=$D$175)*('5.21出货明细'!A:A=A197)),'5.21出货明细'!M:M)</f>
        <v>#N/A</v>
      </c>
      <c r="H197" s="605" t="e">
        <f t="array" ref="H197">LOOKUP(1,0/(('5.21出货明细'!X:X=$D$175)*('5.21出货明细'!A:A=A197)),'5.21出货明细'!P:P)</f>
        <v>#N/A</v>
      </c>
      <c r="I197" s="606" t="e">
        <f t="array" ref="I197">LOOKUP(1,0/(('5.21出货明细'!X:X=$D$175)*('5.21出货明细'!A:A=A197)),'5.21出货明细'!Q:Q)</f>
        <v>#N/A</v>
      </c>
      <c r="J197" s="606" t="e">
        <f t="array" ref="J197">LOOKUP(1,0/(('5.21出货明细'!X:X=$D$175)*('5.21出货明细'!A:A=A197)),'5.21出货明细'!AT:AT)</f>
        <v>#N/A</v>
      </c>
      <c r="K197" s="607" t="e">
        <f t="array" ref="K197">LOOKUP(1,0/(('5.21出货明细'!X:X=$D$175)*('5.21出货明细'!A:A=A197)),'5.21出货明细'!S:S)</f>
        <v>#N/A</v>
      </c>
    </row>
    <row r="198" customFormat="1" ht="38" customHeight="1" spans="1:11">
      <c r="A198" s="601">
        <v>66</v>
      </c>
      <c r="B198" s="602" t="e">
        <f t="array" ref="B198">LOOKUP(1,0/(('5.21出货明细'!X:X=$D$175)*('5.21出货明细'!A:A=A198)),'5.21出货明细'!D:D)</f>
        <v>#N/A</v>
      </c>
      <c r="C198" s="603" t="e">
        <f t="array" ref="C198">LOOKUP(1,0/(('5.21出货明细'!X:X=$D$175)*('5.21出货明细'!A:A=A198)),'5.21出货明细'!G:G&amp;'5.21出货明细'!F:F)</f>
        <v>#N/A</v>
      </c>
      <c r="D198" s="604" t="e">
        <f t="array" ref="D198">LOOKUP(1,0/(('5.21出货明细'!X:X=$D$175)*('5.21出货明细'!A:A=A198)),'5.21出货明细'!K:K)</f>
        <v>#N/A</v>
      </c>
      <c r="E198" s="604" t="e">
        <f t="array" ref="E198">LOOKUP(1,0/(('5.21出货明细'!X:X=$D$175)*('5.21出货明细'!A:A=A198)),'5.21出货明细'!J:J)</f>
        <v>#N/A</v>
      </c>
      <c r="F198" s="604" t="e">
        <f t="array" ref="F198">LOOKUP(1,0/(('5.21出货明细'!X:X=$D$175)*('5.21出货明细'!A:A=A198)),'5.21出货明细'!L:L)</f>
        <v>#N/A</v>
      </c>
      <c r="G198" s="604" t="e">
        <f t="array" ref="G198">LOOKUP(1,0/(('5.21出货明细'!X:X=$D$175)*('5.21出货明细'!A:A=A198)),'5.21出货明细'!M:M)</f>
        <v>#N/A</v>
      </c>
      <c r="H198" s="605" t="e">
        <f t="array" ref="H198">LOOKUP(1,0/(('5.21出货明细'!X:X=$D$175)*('5.21出货明细'!A:A=A198)),'5.21出货明细'!P:P)</f>
        <v>#N/A</v>
      </c>
      <c r="I198" s="606" t="e">
        <f t="array" ref="I198">LOOKUP(1,0/(('5.21出货明细'!X:X=$D$175)*('5.21出货明细'!A:A=A198)),'5.21出货明细'!Q:Q)</f>
        <v>#N/A</v>
      </c>
      <c r="J198" s="606" t="e">
        <f t="array" ref="J198">LOOKUP(1,0/(('5.21出货明细'!X:X=$D$175)*('5.21出货明细'!A:A=A198)),'5.21出货明细'!AT:AT)</f>
        <v>#N/A</v>
      </c>
      <c r="K198" s="607" t="e">
        <f t="array" ref="K198">LOOKUP(1,0/(('5.21出货明细'!X:X=$D$175)*('5.21出货明细'!A:A=A198)),'5.21出货明细'!S:S)</f>
        <v>#N/A</v>
      </c>
    </row>
    <row r="199" customFormat="1" ht="38" customHeight="1" spans="1:11">
      <c r="A199" s="601">
        <v>67</v>
      </c>
      <c r="B199" s="602" t="e">
        <f t="array" ref="B199">LOOKUP(1,0/(('5.21出货明细'!X:X=$D$175)*('5.21出货明细'!A:A=A199)),'5.21出货明细'!D:D)</f>
        <v>#N/A</v>
      </c>
      <c r="C199" s="603" t="e">
        <f t="array" ref="C199">LOOKUP(1,0/(('5.21出货明细'!X:X=$D$175)*('5.21出货明细'!A:A=A199)),'5.21出货明细'!G:G&amp;'5.21出货明细'!F:F)</f>
        <v>#N/A</v>
      </c>
      <c r="D199" s="604" t="e">
        <f t="array" ref="D199">LOOKUP(1,0/(('5.21出货明细'!X:X=$D$175)*('5.21出货明细'!A:A=A199)),'5.21出货明细'!K:K)</f>
        <v>#N/A</v>
      </c>
      <c r="E199" s="604" t="e">
        <f t="array" ref="E199">LOOKUP(1,0/(('5.21出货明细'!X:X=$D$175)*('5.21出货明细'!A:A=A199)),'5.21出货明细'!J:J)</f>
        <v>#N/A</v>
      </c>
      <c r="F199" s="604" t="e">
        <f t="array" ref="F199">LOOKUP(1,0/(('5.21出货明细'!X:X=$D$175)*('5.21出货明细'!A:A=A199)),'5.21出货明细'!L:L)</f>
        <v>#N/A</v>
      </c>
      <c r="G199" s="604" t="e">
        <f t="array" ref="G199">LOOKUP(1,0/(('5.21出货明细'!X:X=$D$175)*('5.21出货明细'!A:A=A199)),'5.21出货明细'!M:M)</f>
        <v>#N/A</v>
      </c>
      <c r="H199" s="605" t="e">
        <f t="array" ref="H199">LOOKUP(1,0/(('5.21出货明细'!X:X=$D$175)*('5.21出货明细'!A:A=A199)),'5.21出货明细'!P:P)</f>
        <v>#N/A</v>
      </c>
      <c r="I199" s="606" t="e">
        <f t="array" ref="I199">LOOKUP(1,0/(('5.21出货明细'!X:X=$D$175)*('5.21出货明细'!A:A=A199)),'5.21出货明细'!Q:Q)</f>
        <v>#N/A</v>
      </c>
      <c r="J199" s="606" t="e">
        <f t="array" ref="J199">LOOKUP(1,0/(('5.21出货明细'!X:X=$D$175)*('5.21出货明细'!A:A=A199)),'5.21出货明细'!AT:AT)</f>
        <v>#N/A</v>
      </c>
      <c r="K199" s="607" t="e">
        <f t="array" ref="K199">LOOKUP(1,0/(('5.21出货明细'!X:X=$D$175)*('5.21出货明细'!A:A=A199)),'5.21出货明细'!S:S)</f>
        <v>#N/A</v>
      </c>
    </row>
    <row r="200" customFormat="1" ht="38" customHeight="1" spans="1:11">
      <c r="A200" s="601">
        <v>68</v>
      </c>
      <c r="B200" s="602" t="e">
        <f t="array" ref="B200">LOOKUP(1,0/(('5.21出货明细'!X:X=$D$175)*('5.21出货明细'!A:A=A200)),'5.21出货明细'!D:D)</f>
        <v>#N/A</v>
      </c>
      <c r="C200" s="603" t="e">
        <f t="array" ref="C200">LOOKUP(1,0/(('5.21出货明细'!X:X=$D$175)*('5.21出货明细'!A:A=A200)),'5.21出货明细'!G:G&amp;'5.21出货明细'!F:F)</f>
        <v>#N/A</v>
      </c>
      <c r="D200" s="604" t="e">
        <f t="array" ref="D200">LOOKUP(1,0/(('5.21出货明细'!X:X=$D$175)*('5.21出货明细'!A:A=A200)),'5.21出货明细'!K:K)</f>
        <v>#N/A</v>
      </c>
      <c r="E200" s="604" t="e">
        <f t="array" ref="E200">LOOKUP(1,0/(('5.21出货明细'!X:X=$D$175)*('5.21出货明细'!A:A=A200)),'5.21出货明细'!J:J)</f>
        <v>#N/A</v>
      </c>
      <c r="F200" s="604" t="e">
        <f t="array" ref="F200">LOOKUP(1,0/(('5.21出货明细'!X:X=$D$175)*('5.21出货明细'!A:A=A200)),'5.21出货明细'!L:L)</f>
        <v>#N/A</v>
      </c>
      <c r="G200" s="604" t="e">
        <f t="array" ref="G200">LOOKUP(1,0/(('5.21出货明细'!X:X=$D$175)*('5.21出货明细'!A:A=A200)),'5.21出货明细'!M:M)</f>
        <v>#N/A</v>
      </c>
      <c r="H200" s="605" t="e">
        <f t="array" ref="H200">LOOKUP(1,0/(('5.21出货明细'!X:X=$D$175)*('5.21出货明细'!A:A=A200)),'5.21出货明细'!P:P)</f>
        <v>#N/A</v>
      </c>
      <c r="I200" s="606" t="e">
        <f t="array" ref="I200">LOOKUP(1,0/(('5.21出货明细'!X:X=$D$175)*('5.21出货明细'!A:A=A200)),'5.21出货明细'!Q:Q)</f>
        <v>#N/A</v>
      </c>
      <c r="J200" s="606" t="e">
        <f t="array" ref="J200">LOOKUP(1,0/(('5.21出货明细'!X:X=$D$175)*('5.21出货明细'!A:A=A200)),'5.21出货明细'!AT:AT)</f>
        <v>#N/A</v>
      </c>
      <c r="K200" s="607" t="e">
        <f t="array" ref="K200">LOOKUP(1,0/(('5.21出货明细'!X:X=$D$175)*('5.21出货明细'!A:A=A200)),'5.21出货明细'!S:S)</f>
        <v>#N/A</v>
      </c>
    </row>
    <row r="201" customFormat="1" ht="38" customHeight="1" spans="1:11">
      <c r="A201" s="601">
        <v>69</v>
      </c>
      <c r="B201" s="602" t="e">
        <f t="array" ref="B201">LOOKUP(1,0/(('5.21出货明细'!X:X=$D$175)*('5.21出货明细'!A:A=A201)),'5.21出货明细'!D:D)</f>
        <v>#N/A</v>
      </c>
      <c r="C201" s="603" t="e">
        <f t="array" ref="C201">LOOKUP(1,0/(('5.21出货明细'!X:X=$D$175)*('5.21出货明细'!A:A=A201)),'5.21出货明细'!G:G&amp;'5.21出货明细'!F:F)</f>
        <v>#N/A</v>
      </c>
      <c r="D201" s="604" t="e">
        <f t="array" ref="D201">LOOKUP(1,0/(('5.21出货明细'!X:X=$D$175)*('5.21出货明细'!A:A=A201)),'5.21出货明细'!K:K)</f>
        <v>#N/A</v>
      </c>
      <c r="E201" s="604" t="e">
        <f t="array" ref="E201">LOOKUP(1,0/(('5.21出货明细'!X:X=$D$175)*('5.21出货明细'!A:A=A201)),'5.21出货明细'!J:J)</f>
        <v>#N/A</v>
      </c>
      <c r="F201" s="604" t="e">
        <f t="array" ref="F201">LOOKUP(1,0/(('5.21出货明细'!X:X=$D$175)*('5.21出货明细'!A:A=A201)),'5.21出货明细'!L:L)</f>
        <v>#N/A</v>
      </c>
      <c r="G201" s="604" t="e">
        <f t="array" ref="G201">LOOKUP(1,0/(('5.21出货明细'!X:X=$D$175)*('5.21出货明细'!A:A=A201)),'5.21出货明细'!M:M)</f>
        <v>#N/A</v>
      </c>
      <c r="H201" s="605" t="e">
        <f t="array" ref="H201">LOOKUP(1,0/(('5.21出货明细'!X:X=$D$175)*('5.21出货明细'!A:A=A201)),'5.21出货明细'!P:P)</f>
        <v>#N/A</v>
      </c>
      <c r="I201" s="606" t="e">
        <f t="array" ref="I201">LOOKUP(1,0/(('5.21出货明细'!X:X=$D$175)*('5.21出货明细'!A:A=A201)),'5.21出货明细'!Q:Q)</f>
        <v>#N/A</v>
      </c>
      <c r="J201" s="606" t="e">
        <f t="array" ref="J201">LOOKUP(1,0/(('5.21出货明细'!X:X=$D$175)*('5.21出货明细'!A:A=A201)),'5.21出货明细'!AT:AT)</f>
        <v>#N/A</v>
      </c>
      <c r="K201" s="607" t="e">
        <f t="array" ref="K201">LOOKUP(1,0/(('5.21出货明细'!X:X=$D$175)*('5.21出货明细'!A:A=A201)),'5.21出货明细'!S:S)</f>
        <v>#N/A</v>
      </c>
    </row>
    <row r="202" customFormat="1" ht="38" customHeight="1" spans="1:11">
      <c r="A202" s="601">
        <v>70</v>
      </c>
      <c r="B202" s="602" t="e">
        <f t="array" ref="B202">LOOKUP(1,0/(('5.21出货明细'!X:X=$D$175)*('5.21出货明细'!A:A=A202)),'5.21出货明细'!D:D)</f>
        <v>#N/A</v>
      </c>
      <c r="C202" s="603" t="e">
        <f t="array" ref="C202">LOOKUP(1,0/(('5.21出货明细'!X:X=$D$175)*('5.21出货明细'!A:A=A202)),'5.21出货明细'!G:G&amp;'5.21出货明细'!F:F)</f>
        <v>#N/A</v>
      </c>
      <c r="D202" s="604" t="e">
        <f t="array" ref="D202">LOOKUP(1,0/(('5.21出货明细'!X:X=$D$175)*('5.21出货明细'!A:A=A202)),'5.21出货明细'!K:K)</f>
        <v>#N/A</v>
      </c>
      <c r="E202" s="604" t="e">
        <f t="array" ref="E202">LOOKUP(1,0/(('5.21出货明细'!X:X=$D$175)*('5.21出货明细'!A:A=A202)),'5.21出货明细'!J:J)</f>
        <v>#N/A</v>
      </c>
      <c r="F202" s="604" t="e">
        <f t="array" ref="F202">LOOKUP(1,0/(('5.21出货明细'!X:X=$D$175)*('5.21出货明细'!A:A=A202)),'5.21出货明细'!L:L)</f>
        <v>#N/A</v>
      </c>
      <c r="G202" s="604" t="e">
        <f t="array" ref="G202">LOOKUP(1,0/(('5.21出货明细'!X:X=$D$175)*('5.21出货明细'!A:A=A202)),'5.21出货明细'!M:M)</f>
        <v>#N/A</v>
      </c>
      <c r="H202" s="605" t="e">
        <f t="array" ref="H202">LOOKUP(1,0/(('5.21出货明细'!X:X=$D$175)*('5.21出货明细'!A:A=A202)),'5.21出货明细'!P:P)</f>
        <v>#N/A</v>
      </c>
      <c r="I202" s="606" t="e">
        <f t="array" ref="I202">LOOKUP(1,0/(('5.21出货明细'!X:X=$D$175)*('5.21出货明细'!A:A=A202)),'5.21出货明细'!Q:Q)</f>
        <v>#N/A</v>
      </c>
      <c r="J202" s="606" t="e">
        <f t="array" ref="J202">LOOKUP(1,0/(('5.21出货明细'!X:X=$D$175)*('5.21出货明细'!A:A=A202)),'5.21出货明细'!AT:AT)</f>
        <v>#N/A</v>
      </c>
      <c r="K202" s="607" t="e">
        <f t="array" ref="K202">LOOKUP(1,0/(('5.21出货明细'!X:X=$D$175)*('5.21出货明细'!A:A=A202)),'5.21出货明细'!S:S)</f>
        <v>#N/A</v>
      </c>
    </row>
    <row r="203" customFormat="1" ht="38" customHeight="1" spans="1:11">
      <c r="A203" s="601">
        <v>71</v>
      </c>
      <c r="B203" s="602" t="e">
        <f t="array" ref="B203">LOOKUP(1,0/(('5.21出货明细'!X:X=$D$175)*('5.21出货明细'!A:A=A203)),'5.21出货明细'!D:D)</f>
        <v>#N/A</v>
      </c>
      <c r="C203" s="603" t="e">
        <f t="array" ref="C203">LOOKUP(1,0/(('5.21出货明细'!X:X=$D$175)*('5.21出货明细'!A:A=A203)),'5.21出货明细'!G:G&amp;'5.21出货明细'!F:F)</f>
        <v>#N/A</v>
      </c>
      <c r="D203" s="604" t="e">
        <f t="array" ref="D203">LOOKUP(1,0/(('5.21出货明细'!X:X=$D$175)*('5.21出货明细'!A:A=A203)),'5.21出货明细'!K:K)</f>
        <v>#N/A</v>
      </c>
      <c r="E203" s="604" t="e">
        <f t="array" ref="E203">LOOKUP(1,0/(('5.21出货明细'!X:X=$D$175)*('5.21出货明细'!A:A=A203)),'5.21出货明细'!J:J)</f>
        <v>#N/A</v>
      </c>
      <c r="F203" s="604" t="e">
        <f t="array" ref="F203">LOOKUP(1,0/(('5.21出货明细'!X:X=$D$175)*('5.21出货明细'!A:A=A203)),'5.21出货明细'!L:L)</f>
        <v>#N/A</v>
      </c>
      <c r="G203" s="604" t="e">
        <f t="array" ref="G203">LOOKUP(1,0/(('5.21出货明细'!X:X=$D$175)*('5.21出货明细'!A:A=A203)),'5.21出货明细'!M:M)</f>
        <v>#N/A</v>
      </c>
      <c r="H203" s="605" t="e">
        <f t="array" ref="H203">LOOKUP(1,0/(('5.21出货明细'!X:X=$D$175)*('5.21出货明细'!A:A=A203)),'5.21出货明细'!P:P)</f>
        <v>#N/A</v>
      </c>
      <c r="I203" s="606" t="e">
        <f t="array" ref="I203">LOOKUP(1,0/(('5.21出货明细'!X:X=$D$175)*('5.21出货明细'!A:A=A203)),'5.21出货明细'!Q:Q)</f>
        <v>#N/A</v>
      </c>
      <c r="J203" s="606" t="e">
        <f t="array" ref="J203">LOOKUP(1,0/(('5.21出货明细'!X:X=$D$175)*('5.21出货明细'!A:A=A203)),'5.21出货明细'!AT:AT)</f>
        <v>#N/A</v>
      </c>
      <c r="K203" s="607" t="e">
        <f t="array" ref="K203">LOOKUP(1,0/(('5.21出货明细'!X:X=$D$175)*('5.21出货明细'!A:A=A203)),'5.21出货明细'!S:S)</f>
        <v>#N/A</v>
      </c>
    </row>
    <row r="204" customFormat="1" ht="38" customHeight="1" spans="1:11">
      <c r="A204" s="601">
        <v>72</v>
      </c>
      <c r="B204" s="602" t="e">
        <f t="array" ref="B204">LOOKUP(1,0/(('5.21出货明细'!X:X=$D$175)*('5.21出货明细'!A:A=A204)),'5.21出货明细'!D:D)</f>
        <v>#N/A</v>
      </c>
      <c r="C204" s="603" t="e">
        <f t="array" ref="C204">LOOKUP(1,0/(('5.21出货明细'!X:X=$D$175)*('5.21出货明细'!A:A=A204)),'5.21出货明细'!G:G&amp;'5.21出货明细'!F:F)</f>
        <v>#N/A</v>
      </c>
      <c r="D204" s="604" t="e">
        <f t="array" ref="D204">LOOKUP(1,0/(('5.21出货明细'!X:X=$D$175)*('5.21出货明细'!A:A=A204)),'5.21出货明细'!K:K)</f>
        <v>#N/A</v>
      </c>
      <c r="E204" s="604" t="e">
        <f t="array" ref="E204">LOOKUP(1,0/(('5.21出货明细'!X:X=$D$175)*('5.21出货明细'!A:A=A204)),'5.21出货明细'!J:J)</f>
        <v>#N/A</v>
      </c>
      <c r="F204" s="604" t="e">
        <f t="array" ref="F204">LOOKUP(1,0/(('5.21出货明细'!X:X=$D$175)*('5.21出货明细'!A:A=A204)),'5.21出货明细'!L:L)</f>
        <v>#N/A</v>
      </c>
      <c r="G204" s="604" t="e">
        <f t="array" ref="G204">LOOKUP(1,0/(('5.21出货明细'!X:X=$D$175)*('5.21出货明细'!A:A=A204)),'5.21出货明细'!M:M)</f>
        <v>#N/A</v>
      </c>
      <c r="H204" s="605" t="e">
        <f t="array" ref="H204">LOOKUP(1,0/(('5.21出货明细'!X:X=$D$175)*('5.21出货明细'!A:A=A204)),'5.21出货明细'!P:P)</f>
        <v>#N/A</v>
      </c>
      <c r="I204" s="606" t="e">
        <f t="array" ref="I204">LOOKUP(1,0/(('5.21出货明细'!X:X=$D$175)*('5.21出货明细'!A:A=A204)),'5.21出货明细'!Q:Q)</f>
        <v>#N/A</v>
      </c>
      <c r="J204" s="606" t="e">
        <f t="array" ref="J204">LOOKUP(1,0/(('5.21出货明细'!X:X=$D$175)*('5.21出货明细'!A:A=A204)),'5.21出货明细'!AT:AT)</f>
        <v>#N/A</v>
      </c>
      <c r="K204" s="607" t="e">
        <f t="array" ref="K204">LOOKUP(1,0/(('5.21出货明细'!X:X=$D$175)*('5.21出货明细'!A:A=A204)),'5.21出货明细'!S:S)</f>
        <v>#N/A</v>
      </c>
    </row>
    <row r="205" customFormat="1" ht="38" customHeight="1" spans="1:11">
      <c r="A205" s="601">
        <v>73</v>
      </c>
      <c r="B205" s="602" t="e">
        <f t="array" ref="B205">LOOKUP(1,0/(('5.21出货明细'!X:X=$D$175)*('5.21出货明细'!A:A=A205)),'5.21出货明细'!D:D)</f>
        <v>#N/A</v>
      </c>
      <c r="C205" s="603" t="e">
        <f t="array" ref="C205">LOOKUP(1,0/(('5.21出货明细'!X:X=$D$175)*('5.21出货明细'!A:A=A205)),'5.21出货明细'!G:G&amp;'5.21出货明细'!F:F)</f>
        <v>#N/A</v>
      </c>
      <c r="D205" s="604" t="e">
        <f t="array" ref="D205">LOOKUP(1,0/(('5.21出货明细'!X:X=$D$175)*('5.21出货明细'!A:A=A205)),'5.21出货明细'!K:K)</f>
        <v>#N/A</v>
      </c>
      <c r="E205" s="604" t="e">
        <f t="array" ref="E205">LOOKUP(1,0/(('5.21出货明细'!X:X=$D$175)*('5.21出货明细'!A:A=A205)),'5.21出货明细'!J:J)</f>
        <v>#N/A</v>
      </c>
      <c r="F205" s="604" t="e">
        <f t="array" ref="F205">LOOKUP(1,0/(('5.21出货明细'!X:X=$D$175)*('5.21出货明细'!A:A=A205)),'5.21出货明细'!L:L)</f>
        <v>#N/A</v>
      </c>
      <c r="G205" s="604" t="e">
        <f t="array" ref="G205">LOOKUP(1,0/(('5.21出货明细'!X:X=$D$175)*('5.21出货明细'!A:A=A205)),'5.21出货明细'!M:M)</f>
        <v>#N/A</v>
      </c>
      <c r="H205" s="605" t="e">
        <f t="array" ref="H205">LOOKUP(1,0/(('5.21出货明细'!X:X=$D$175)*('5.21出货明细'!A:A=A205)),'5.21出货明细'!P:P)</f>
        <v>#N/A</v>
      </c>
      <c r="I205" s="606" t="e">
        <f t="array" ref="I205">LOOKUP(1,0/(('5.21出货明细'!X:X=$D$175)*('5.21出货明细'!A:A=A205)),'5.21出货明细'!Q:Q)</f>
        <v>#N/A</v>
      </c>
      <c r="J205" s="606" t="e">
        <f t="array" ref="J205">LOOKUP(1,0/(('5.21出货明细'!X:X=$D$175)*('5.21出货明细'!A:A=A205)),'5.21出货明细'!AT:AT)</f>
        <v>#N/A</v>
      </c>
      <c r="K205" s="607" t="e">
        <f t="array" ref="K205">LOOKUP(1,0/(('5.21出货明细'!X:X=$D$175)*('5.21出货明细'!A:A=A205)),'5.21出货明细'!S:S)</f>
        <v>#N/A</v>
      </c>
    </row>
    <row r="206" customFormat="1" ht="38" customHeight="1" spans="1:11">
      <c r="A206" s="601">
        <v>74</v>
      </c>
      <c r="B206" s="602" t="e">
        <f t="array" ref="B206">LOOKUP(1,0/(('5.21出货明细'!X:X=$D$175)*('5.21出货明细'!A:A=A206)),'5.21出货明细'!D:D)</f>
        <v>#N/A</v>
      </c>
      <c r="C206" s="603" t="e">
        <f t="array" ref="C206">LOOKUP(1,0/(('5.21出货明细'!X:X=$D$175)*('5.21出货明细'!A:A=A206)),'5.21出货明细'!G:G&amp;'5.21出货明细'!F:F)</f>
        <v>#N/A</v>
      </c>
      <c r="D206" s="604" t="e">
        <f t="array" ref="D206">LOOKUP(1,0/(('5.21出货明细'!X:X=$D$175)*('5.21出货明细'!A:A=A206)),'5.21出货明细'!K:K)</f>
        <v>#N/A</v>
      </c>
      <c r="E206" s="604" t="e">
        <f t="array" ref="E206">LOOKUP(1,0/(('5.21出货明细'!X:X=$D$175)*('5.21出货明细'!A:A=A206)),'5.21出货明细'!J:J)</f>
        <v>#N/A</v>
      </c>
      <c r="F206" s="604" t="e">
        <f t="array" ref="F206">LOOKUP(1,0/(('5.21出货明细'!X:X=$D$175)*('5.21出货明细'!A:A=A206)),'5.21出货明细'!L:L)</f>
        <v>#N/A</v>
      </c>
      <c r="G206" s="604" t="e">
        <f t="array" ref="G206">LOOKUP(1,0/(('5.21出货明细'!X:X=$D$175)*('5.21出货明细'!A:A=A206)),'5.21出货明细'!M:M)</f>
        <v>#N/A</v>
      </c>
      <c r="H206" s="605" t="e">
        <f t="array" ref="H206">LOOKUP(1,0/(('5.21出货明细'!X:X=$D$175)*('5.21出货明细'!A:A=A206)),'5.21出货明细'!P:P)</f>
        <v>#N/A</v>
      </c>
      <c r="I206" s="606" t="e">
        <f t="array" ref="I206">LOOKUP(1,0/(('5.21出货明细'!X:X=$D$175)*('5.21出货明细'!A:A=A206)),'5.21出货明细'!Q:Q)</f>
        <v>#N/A</v>
      </c>
      <c r="J206" s="606" t="e">
        <f t="array" ref="J206">LOOKUP(1,0/(('5.21出货明细'!X:X=$D$175)*('5.21出货明细'!A:A=A206)),'5.21出货明细'!AT:AT)</f>
        <v>#N/A</v>
      </c>
      <c r="K206" s="607" t="e">
        <f t="array" ref="K206">LOOKUP(1,0/(('5.21出货明细'!X:X=$D$175)*('5.21出货明细'!A:A=A206)),'5.21出货明细'!S:S)</f>
        <v>#N/A</v>
      </c>
    </row>
    <row r="207" customFormat="1" ht="38" customHeight="1" spans="1:11">
      <c r="A207" s="601">
        <v>75</v>
      </c>
      <c r="B207" s="602" t="e">
        <f t="array" ref="B207">LOOKUP(1,0/(('5.21出货明细'!X:X=$D$175)*('5.21出货明细'!A:A=A207)),'5.21出货明细'!D:D)</f>
        <v>#N/A</v>
      </c>
      <c r="C207" s="603" t="e">
        <f t="array" ref="C207">LOOKUP(1,0/(('5.21出货明细'!X:X=$D$175)*('5.21出货明细'!A:A=A207)),'5.21出货明细'!G:G&amp;'5.21出货明细'!F:F)</f>
        <v>#N/A</v>
      </c>
      <c r="D207" s="604" t="e">
        <f t="array" ref="D207">LOOKUP(1,0/(('5.21出货明细'!X:X=$D$175)*('5.21出货明细'!A:A=A207)),'5.21出货明细'!K:K)</f>
        <v>#N/A</v>
      </c>
      <c r="E207" s="604" t="e">
        <f t="array" ref="E207">LOOKUP(1,0/(('5.21出货明细'!X:X=$D$175)*('5.21出货明细'!A:A=A207)),'5.21出货明细'!J:J)</f>
        <v>#N/A</v>
      </c>
      <c r="F207" s="604" t="e">
        <f t="array" ref="F207">LOOKUP(1,0/(('5.21出货明细'!X:X=$D$175)*('5.21出货明细'!A:A=A207)),'5.21出货明细'!L:L)</f>
        <v>#N/A</v>
      </c>
      <c r="G207" s="604" t="e">
        <f t="array" ref="G207">LOOKUP(1,0/(('5.21出货明细'!X:X=$D$175)*('5.21出货明细'!A:A=A207)),'5.21出货明细'!M:M)</f>
        <v>#N/A</v>
      </c>
      <c r="H207" s="605" t="e">
        <f t="array" ref="H207">LOOKUP(1,0/(('5.21出货明细'!X:X=$D$175)*('5.21出货明细'!A:A=A207)),'5.21出货明细'!P:P)</f>
        <v>#N/A</v>
      </c>
      <c r="I207" s="606" t="e">
        <f t="array" ref="I207">LOOKUP(1,0/(('5.21出货明细'!X:X=$D$175)*('5.21出货明细'!A:A=A207)),'5.21出货明细'!Q:Q)</f>
        <v>#N/A</v>
      </c>
      <c r="J207" s="606" t="e">
        <f t="array" ref="J207">LOOKUP(1,0/(('5.21出货明细'!X:X=$D$175)*('5.21出货明细'!A:A=A207)),'5.21出货明细'!AT:AT)</f>
        <v>#N/A</v>
      </c>
      <c r="K207" s="607" t="e">
        <f t="array" ref="K207">LOOKUP(1,0/(('5.21出货明细'!X:X=$D$175)*('5.21出货明细'!A:A=A207)),'5.21出货明细'!S:S)</f>
        <v>#N/A</v>
      </c>
    </row>
    <row r="208" customFormat="1" ht="18" spans="1:11">
      <c r="A208" s="608"/>
      <c r="B208" s="609"/>
      <c r="C208" s="603"/>
      <c r="D208" s="610" t="e">
        <f>SUM(D191:D207)</f>
        <v>#N/A</v>
      </c>
      <c r="E208" s="611"/>
      <c r="F208" s="610"/>
      <c r="G208" s="610"/>
      <c r="H208" s="612" t="e">
        <f>SUM(H191:H207)</f>
        <v>#N/A</v>
      </c>
      <c r="I208" s="612" t="e">
        <f>SUM(I191:I207)</f>
        <v>#N/A</v>
      </c>
      <c r="J208" s="612" t="e">
        <f>SUM(J191:J207)</f>
        <v>#N/A</v>
      </c>
      <c r="K208" s="613" t="e">
        <f>SUM(K191:K207)</f>
        <v>#N/A</v>
      </c>
    </row>
    <row r="209" customFormat="1" ht="18.75" spans="1:11">
      <c r="A209" s="614"/>
      <c r="B209" s="615"/>
      <c r="C209" s="616"/>
      <c r="D209" s="617"/>
      <c r="E209" s="618" t="s">
        <v>1553</v>
      </c>
      <c r="F209" s="618"/>
      <c r="G209" s="618"/>
      <c r="H209" s="618" t="s">
        <v>1553</v>
      </c>
      <c r="I209" s="618" t="s">
        <v>1553</v>
      </c>
      <c r="J209" s="618" t="s">
        <v>1553</v>
      </c>
      <c r="K209" s="618" t="s">
        <v>1553</v>
      </c>
    </row>
    <row r="210" s="514" customFormat="1" ht="26.25" spans="1:11">
      <c r="A210" s="619"/>
      <c r="B210" s="620"/>
      <c r="C210" s="620"/>
      <c r="D210" s="620"/>
      <c r="E210" s="620"/>
      <c r="F210" s="620"/>
      <c r="G210" s="620"/>
      <c r="H210" s="620"/>
      <c r="I210" s="620"/>
      <c r="J210" s="620"/>
      <c r="K210" s="620"/>
    </row>
    <row r="211" customFormat="1" ht="25.5" spans="1:11">
      <c r="A211" s="515" t="s">
        <v>1546</v>
      </c>
      <c r="B211" s="516"/>
      <c r="C211" s="516"/>
      <c r="D211" s="516"/>
      <c r="E211" s="516"/>
      <c r="F211" s="516"/>
      <c r="G211" s="516"/>
      <c r="H211" s="516"/>
      <c r="I211" s="516"/>
      <c r="J211" s="516"/>
      <c r="K211" s="517"/>
    </row>
    <row r="212" customFormat="1" spans="1:11">
      <c r="A212" s="518" t="s">
        <v>1656</v>
      </c>
      <c r="B212" s="519"/>
      <c r="C212" s="519"/>
      <c r="D212" s="519"/>
      <c r="E212" s="519"/>
      <c r="F212" s="519"/>
      <c r="G212" s="519"/>
      <c r="H212" s="519"/>
      <c r="I212" s="519"/>
      <c r="J212" s="519"/>
      <c r="K212" s="520"/>
    </row>
    <row r="213" customFormat="1" spans="1:11">
      <c r="A213" s="518"/>
      <c r="B213" s="519"/>
      <c r="C213" s="519"/>
      <c r="D213" s="519"/>
      <c r="E213" s="519"/>
      <c r="F213" s="519"/>
      <c r="G213" s="519"/>
      <c r="H213" s="519"/>
      <c r="I213" s="519"/>
      <c r="J213" s="519"/>
      <c r="K213" s="520"/>
    </row>
    <row r="214" customFormat="1" ht="18" spans="1:11">
      <c r="A214" s="521"/>
      <c r="B214" s="522"/>
      <c r="C214" s="522"/>
      <c r="D214" s="522"/>
      <c r="E214" s="522"/>
      <c r="F214" s="522"/>
      <c r="G214" s="522"/>
      <c r="H214" s="522"/>
      <c r="I214" s="522"/>
      <c r="J214" s="522"/>
      <c r="K214" s="523"/>
    </row>
    <row r="215" customFormat="1" ht="18" spans="1:11">
      <c r="A215" s="521"/>
      <c r="B215" s="522"/>
      <c r="C215" s="522"/>
      <c r="D215" s="522"/>
      <c r="E215" s="522"/>
      <c r="F215" s="522"/>
      <c r="G215" s="522"/>
      <c r="H215" s="522"/>
      <c r="I215" s="522"/>
      <c r="J215" s="522"/>
      <c r="K215" s="523"/>
    </row>
    <row r="216" customFormat="1" spans="1:11">
      <c r="A216" s="524" t="s">
        <v>1667</v>
      </c>
      <c r="B216" s="525"/>
      <c r="C216" s="525"/>
      <c r="D216" s="525"/>
      <c r="E216" s="525"/>
      <c r="F216" s="525"/>
      <c r="G216" s="525"/>
      <c r="H216" s="525"/>
      <c r="I216" s="525"/>
      <c r="J216" s="525"/>
      <c r="K216" s="526"/>
    </row>
    <row r="217" customFormat="1" ht="14.25" spans="1:11">
      <c r="A217" s="524"/>
      <c r="B217" s="525"/>
      <c r="C217" s="525"/>
      <c r="D217" s="525"/>
      <c r="E217" s="525"/>
      <c r="F217" s="525"/>
      <c r="G217" s="525"/>
      <c r="H217" s="525"/>
      <c r="I217" s="525"/>
      <c r="J217" s="525"/>
      <c r="K217" s="526"/>
    </row>
    <row r="218" customFormat="1" ht="16.5" spans="1:11">
      <c r="A218" s="527" t="s">
        <v>1668</v>
      </c>
      <c r="B218" s="528"/>
      <c r="C218" s="528"/>
      <c r="D218" s="529" t="s">
        <v>1669</v>
      </c>
      <c r="E218" s="530"/>
      <c r="F218" s="530"/>
      <c r="G218" s="530"/>
      <c r="H218" s="529" t="s">
        <v>1670</v>
      </c>
      <c r="I218" s="531"/>
      <c r="J218" s="531"/>
      <c r="K218" s="532"/>
    </row>
    <row r="219" customFormat="1" ht="16" customHeight="1" spans="1:11">
      <c r="A219" s="533" t="s">
        <v>1671</v>
      </c>
      <c r="B219" s="534"/>
      <c r="C219" s="534"/>
      <c r="D219" s="535" t="str">
        <f>实业发票!H242</f>
        <v>PR202600281</v>
      </c>
      <c r="E219" s="536"/>
      <c r="F219" s="536"/>
      <c r="G219" s="536"/>
      <c r="H219" s="537"/>
      <c r="I219" s="538"/>
      <c r="J219" s="538"/>
      <c r="K219" s="539"/>
    </row>
    <row r="220" customFormat="1" ht="16" customHeight="1" spans="1:11">
      <c r="A220" s="533"/>
      <c r="B220" s="534"/>
      <c r="C220" s="534"/>
      <c r="D220" s="540" t="s">
        <v>1672</v>
      </c>
      <c r="E220" s="541"/>
      <c r="F220" s="541"/>
      <c r="G220" s="542"/>
      <c r="H220" s="543"/>
      <c r="I220" s="543"/>
      <c r="J220" s="543"/>
      <c r="K220" s="544"/>
    </row>
    <row r="221" customFormat="1" ht="16" customHeight="1" spans="1:11">
      <c r="A221" s="533"/>
      <c r="B221" s="534"/>
      <c r="C221" s="534"/>
      <c r="D221" s="545">
        <f>D11</f>
        <v>46134</v>
      </c>
      <c r="E221" s="546"/>
      <c r="F221" s="546"/>
      <c r="G221" s="547"/>
      <c r="H221" s="548"/>
      <c r="I221" s="549"/>
      <c r="J221" s="549"/>
      <c r="K221" s="550"/>
    </row>
    <row r="222" customFormat="1" ht="16.5" spans="1:11">
      <c r="A222" s="551" t="s">
        <v>1673</v>
      </c>
      <c r="B222" s="552"/>
      <c r="C222" s="553"/>
      <c r="D222" s="554" t="s">
        <v>1674</v>
      </c>
      <c r="E222" s="555"/>
      <c r="F222" s="555"/>
      <c r="G222" s="555"/>
      <c r="H222" s="556" t="s">
        <v>1675</v>
      </c>
      <c r="I222" s="543"/>
      <c r="J222" s="557"/>
      <c r="K222" s="558"/>
    </row>
    <row r="223" customFormat="1" ht="16.5" spans="1:11">
      <c r="A223" s="551" t="s">
        <v>1676</v>
      </c>
      <c r="B223" s="552"/>
      <c r="C223" s="553"/>
      <c r="D223" s="559" t="str">
        <f>实业合同!H261</f>
        <v>RPIRRI260281</v>
      </c>
      <c r="E223" s="559"/>
      <c r="F223" s="559"/>
      <c r="G223" s="559"/>
      <c r="H223" s="560"/>
      <c r="I223" s="560"/>
      <c r="J223" s="560"/>
      <c r="K223" s="561"/>
    </row>
    <row r="224" customFormat="1" ht="16.5" spans="1:11">
      <c r="A224" s="562" t="s">
        <v>1677</v>
      </c>
      <c r="B224" s="563"/>
      <c r="C224" s="563"/>
      <c r="D224" s="564"/>
      <c r="E224" s="564"/>
      <c r="F224" s="564"/>
      <c r="G224" s="564"/>
      <c r="H224" s="560"/>
      <c r="I224" s="560"/>
      <c r="J224" s="560"/>
      <c r="K224" s="561"/>
    </row>
    <row r="225" customFormat="1" ht="16.5" spans="1:11">
      <c r="A225" s="565" t="s">
        <v>1678</v>
      </c>
      <c r="B225" s="566"/>
      <c r="C225" s="567"/>
      <c r="D225" s="564"/>
      <c r="E225" s="564"/>
      <c r="F225" s="564"/>
      <c r="G225" s="564"/>
      <c r="H225" s="568"/>
      <c r="I225" s="568"/>
      <c r="J225" s="568"/>
      <c r="K225" s="569"/>
    </row>
    <row r="226" customFormat="1" ht="16.5" spans="1:11">
      <c r="A226" s="570" t="s">
        <v>1558</v>
      </c>
      <c r="B226" s="571"/>
      <c r="C226" s="553"/>
      <c r="D226" s="554" t="s">
        <v>1679</v>
      </c>
      <c r="E226" s="541"/>
      <c r="F226" s="541"/>
      <c r="G226" s="542"/>
      <c r="H226" s="556" t="s">
        <v>1680</v>
      </c>
      <c r="I226" s="543"/>
      <c r="J226" s="557"/>
      <c r="K226" s="558"/>
    </row>
    <row r="227" customFormat="1" ht="16.5" spans="1:11">
      <c r="A227" s="570" t="s">
        <v>1681</v>
      </c>
      <c r="B227" s="553"/>
      <c r="C227" s="572"/>
      <c r="D227" s="573" t="str">
        <f>D17</f>
        <v>BMOU6019197</v>
      </c>
      <c r="E227" s="574"/>
      <c r="F227" s="574"/>
      <c r="G227" s="575"/>
      <c r="H227" s="574" t="str">
        <f>H17</f>
        <v>EMCRZS9184</v>
      </c>
      <c r="I227" s="574"/>
      <c r="J227" s="574"/>
      <c r="K227" s="576"/>
    </row>
    <row r="228" customFormat="1" ht="16.5" spans="1:11">
      <c r="A228" s="577" t="s">
        <v>1684</v>
      </c>
      <c r="B228" s="578"/>
      <c r="C228" s="579"/>
      <c r="D228" s="573"/>
      <c r="E228" s="574"/>
      <c r="F228" s="574"/>
      <c r="G228" s="575"/>
      <c r="H228" s="574"/>
      <c r="I228" s="574"/>
      <c r="J228" s="574"/>
      <c r="K228" s="576"/>
    </row>
    <row r="229" customFormat="1" ht="16.5" spans="1:11">
      <c r="A229" s="577" t="s">
        <v>1685</v>
      </c>
      <c r="B229" s="578"/>
      <c r="C229" s="579"/>
      <c r="D229" s="573"/>
      <c r="E229" s="574"/>
      <c r="F229" s="574"/>
      <c r="G229" s="575"/>
      <c r="H229" s="574"/>
      <c r="I229" s="574"/>
      <c r="J229" s="574"/>
      <c r="K229" s="576"/>
    </row>
    <row r="230" customFormat="1" ht="16.5" spans="1:11">
      <c r="A230" s="580" t="s">
        <v>1686</v>
      </c>
      <c r="B230" s="581"/>
      <c r="C230" s="579"/>
      <c r="D230" s="573"/>
      <c r="E230" s="574"/>
      <c r="F230" s="574"/>
      <c r="G230" s="575"/>
      <c r="H230" s="574"/>
      <c r="I230" s="574"/>
      <c r="J230" s="574"/>
      <c r="K230" s="576"/>
    </row>
    <row r="231" customFormat="1" ht="16.5" spans="1:11">
      <c r="A231" s="577" t="s">
        <v>1687</v>
      </c>
      <c r="B231" s="572"/>
      <c r="C231" s="572"/>
      <c r="D231" s="582"/>
      <c r="E231" s="583"/>
      <c r="F231" s="583"/>
      <c r="G231" s="584"/>
      <c r="H231" s="583"/>
      <c r="I231" s="583"/>
      <c r="J231" s="583"/>
      <c r="K231" s="585"/>
    </row>
    <row r="232" customFormat="1" ht="16.5" spans="1:11">
      <c r="A232" s="577" t="s">
        <v>1561</v>
      </c>
      <c r="B232" s="572"/>
      <c r="C232" s="572"/>
      <c r="D232" s="554"/>
      <c r="E232" s="541"/>
      <c r="F232" s="541"/>
      <c r="G232" s="541"/>
      <c r="H232" s="586"/>
      <c r="I232" s="541"/>
      <c r="J232" s="541"/>
      <c r="K232" s="587"/>
    </row>
    <row r="233" customFormat="1" ht="18" customHeight="1" spans="1:11">
      <c r="A233" s="588" t="s">
        <v>1688</v>
      </c>
      <c r="B233" s="589"/>
      <c r="C233" s="590"/>
      <c r="D233" s="591"/>
      <c r="E233" s="592"/>
      <c r="F233" s="592"/>
      <c r="G233" s="592"/>
      <c r="H233" s="592"/>
      <c r="I233" s="592"/>
      <c r="J233" s="592"/>
      <c r="K233" s="593"/>
    </row>
    <row r="234" customFormat="1" ht="38.25" spans="1:11">
      <c r="A234" s="594" t="s">
        <v>1689</v>
      </c>
      <c r="B234" s="595" t="s">
        <v>1641</v>
      </c>
      <c r="C234" s="596" t="s">
        <v>1642</v>
      </c>
      <c r="D234" s="597" t="s">
        <v>1644</v>
      </c>
      <c r="E234" s="597" t="s">
        <v>8</v>
      </c>
      <c r="F234" s="597" t="s">
        <v>1644</v>
      </c>
      <c r="G234" s="595" t="s">
        <v>8</v>
      </c>
      <c r="H234" s="598" t="s">
        <v>1690</v>
      </c>
      <c r="I234" s="599" t="s">
        <v>1691</v>
      </c>
      <c r="J234" s="599" t="s">
        <v>23</v>
      </c>
      <c r="K234" s="600" t="s">
        <v>1692</v>
      </c>
    </row>
    <row r="235" s="429" customFormat="1" ht="54" customHeight="1" spans="1:11">
      <c r="A235" s="601">
        <v>76</v>
      </c>
      <c r="B235" s="602" t="e">
        <f t="array" ref="B235">LOOKUP(1,0/(('5.21出货明细'!X:X=$D$219)*('5.21出货明细'!A:A=A235)),'5.21出货明细'!D:D)</f>
        <v>#N/A</v>
      </c>
      <c r="C235" s="603" t="e">
        <f t="array" ref="C235">LOOKUP(1,0/(('5.21出货明细'!X:X=$D$219)*('5.21出货明细'!A:A=A235)),'5.21出货明细'!G:G&amp;'5.21出货明细'!F:F)</f>
        <v>#N/A</v>
      </c>
      <c r="D235" s="604" t="e">
        <f t="array" ref="D235">LOOKUP(1,0/(('5.21出货明细'!X:X=$D$219)*('5.21出货明细'!A:A=A235)),'5.21出货明细'!K:K)</f>
        <v>#N/A</v>
      </c>
      <c r="E235" s="604" t="e">
        <f t="array" ref="E235">LOOKUP(1,0/(('5.21出货明细'!X:X=$D$219)*('5.21出货明细'!A:A=A235)),'5.21出货明细'!J:J)</f>
        <v>#N/A</v>
      </c>
      <c r="F235" s="604" t="e">
        <f t="array" ref="F235">LOOKUP(1,0/(('5.21出货明细'!X:X=$D$219)*('5.21出货明细'!A:A=A235)),'5.21出货明细'!L:L)</f>
        <v>#N/A</v>
      </c>
      <c r="G235" s="604" t="e">
        <f t="array" ref="G235">LOOKUP(1,0/(('5.21出货明细'!X:X=$D$219)*('5.21出货明细'!A:A=A235)),'5.21出货明细'!M:M)</f>
        <v>#N/A</v>
      </c>
      <c r="H235" s="605" t="e">
        <f t="array" ref="H235">LOOKUP(1,0/(('5.21出货明细'!X:X=$D$219)*('5.21出货明细'!A:A=A235)),'5.21出货明细'!P:P)</f>
        <v>#N/A</v>
      </c>
      <c r="I235" s="606" t="e">
        <f t="array" ref="I235">LOOKUP(1,0/(('5.21出货明细'!X:X=$D$219)*('5.21出货明细'!A:A=A235)),'5.21出货明细'!Q:Q)</f>
        <v>#N/A</v>
      </c>
      <c r="J235" s="606" t="e">
        <f t="array" ref="J235">LOOKUP(1,0/(('5.21出货明细'!X:X=$D$219)*('5.21出货明细'!A:A=A235)),'5.21出货明细'!AT:AT)</f>
        <v>#N/A</v>
      </c>
      <c r="K235" s="607" t="e">
        <f t="array" ref="K235">LOOKUP(1,0/(('5.21出货明细'!X:X=$D$219)*('5.21出货明细'!A:A=A235)),'5.21出货明细'!S:S)</f>
        <v>#N/A</v>
      </c>
    </row>
    <row r="236" customFormat="1" ht="54" customHeight="1" spans="1:11">
      <c r="A236" s="601">
        <v>77</v>
      </c>
      <c r="B236" s="602" t="e">
        <f t="array" ref="B236">LOOKUP(1,0/(('5.21出货明细'!X:X=$D$219)*('5.21出货明细'!A:A=A236)),'5.21出货明细'!D:D)</f>
        <v>#N/A</v>
      </c>
      <c r="C236" s="603" t="e">
        <f t="array" ref="C236">LOOKUP(1,0/(('5.21出货明细'!X:X=$D$219)*('5.21出货明细'!A:A=A236)),'5.21出货明细'!G:G&amp;'5.21出货明细'!F:F)</f>
        <v>#N/A</v>
      </c>
      <c r="D236" s="604" t="e">
        <f t="array" ref="D236">LOOKUP(1,0/(('5.21出货明细'!X:X=$D$219)*('5.21出货明细'!A:A=A236)),'5.21出货明细'!K:K)</f>
        <v>#N/A</v>
      </c>
      <c r="E236" s="604" t="e">
        <f t="array" ref="E236">LOOKUP(1,0/(('5.21出货明细'!X:X=$D$219)*('5.21出货明细'!A:A=A236)),'5.21出货明细'!J:J)</f>
        <v>#N/A</v>
      </c>
      <c r="F236" s="604" t="e">
        <f t="array" ref="F236">LOOKUP(1,0/(('5.21出货明细'!X:X=$D$219)*('5.21出货明细'!A:A=A236)),'5.21出货明细'!L:L)</f>
        <v>#N/A</v>
      </c>
      <c r="G236" s="604" t="e">
        <f t="array" ref="G236">LOOKUP(1,0/(('5.21出货明细'!X:X=$D$219)*('5.21出货明细'!A:A=A236)),'5.21出货明细'!M:M)</f>
        <v>#N/A</v>
      </c>
      <c r="H236" s="605" t="e">
        <f t="array" ref="H236">LOOKUP(1,0/(('5.21出货明细'!X:X=$D$219)*('5.21出货明细'!A:A=A236)),'5.21出货明细'!P:P)</f>
        <v>#N/A</v>
      </c>
      <c r="I236" s="606" t="e">
        <f t="array" ref="I236">LOOKUP(1,0/(('5.21出货明细'!X:X=$D$219)*('5.21出货明细'!A:A=A236)),'5.21出货明细'!Q:Q)</f>
        <v>#N/A</v>
      </c>
      <c r="J236" s="606" t="e">
        <f t="array" ref="J236">LOOKUP(1,0/(('5.21出货明细'!X:X=$D$219)*('5.21出货明细'!A:A=A236)),'5.21出货明细'!AT:AT)</f>
        <v>#N/A</v>
      </c>
      <c r="K236" s="607" t="e">
        <f t="array" ref="K236">LOOKUP(1,0/(('5.21出货明细'!X:X=$D$219)*('5.21出货明细'!A:A=A236)),'5.21出货明细'!S:S)</f>
        <v>#N/A</v>
      </c>
    </row>
    <row r="237" customFormat="1" ht="54" customHeight="1" spans="1:11">
      <c r="A237" s="601">
        <v>78</v>
      </c>
      <c r="B237" s="602" t="e">
        <f t="array" ref="B237">LOOKUP(1,0/(('5.21出货明细'!X:X=$D$219)*('5.21出货明细'!A:A=A237)),'5.21出货明细'!D:D)</f>
        <v>#N/A</v>
      </c>
      <c r="C237" s="603" t="e">
        <f t="array" ref="C237">LOOKUP(1,0/(('5.21出货明细'!X:X=$D$219)*('5.21出货明细'!A:A=A237)),'5.21出货明细'!G:G&amp;'5.21出货明细'!F:F)</f>
        <v>#N/A</v>
      </c>
      <c r="D237" s="604" t="e">
        <f t="array" ref="D237">LOOKUP(1,0/(('5.21出货明细'!X:X=$D$219)*('5.21出货明细'!A:A=A237)),'5.21出货明细'!K:K)</f>
        <v>#N/A</v>
      </c>
      <c r="E237" s="604" t="e">
        <f t="array" ref="E237">LOOKUP(1,0/(('5.21出货明细'!X:X=$D$219)*('5.21出货明细'!A:A=A237)),'5.21出货明细'!J:J)</f>
        <v>#N/A</v>
      </c>
      <c r="F237" s="604" t="e">
        <f t="array" ref="F237">LOOKUP(1,0/(('5.21出货明细'!X:X=$D$219)*('5.21出货明细'!A:A=A237)),'5.21出货明细'!L:L)</f>
        <v>#N/A</v>
      </c>
      <c r="G237" s="604" t="e">
        <f t="array" ref="G237">LOOKUP(1,0/(('5.21出货明细'!X:X=$D$219)*('5.21出货明细'!A:A=A237)),'5.21出货明细'!M:M)</f>
        <v>#N/A</v>
      </c>
      <c r="H237" s="605" t="e">
        <f t="array" ref="H237">LOOKUP(1,0/(('5.21出货明细'!X:X=$D$219)*('5.21出货明细'!A:A=A237)),'5.21出货明细'!P:P)</f>
        <v>#N/A</v>
      </c>
      <c r="I237" s="606" t="e">
        <f t="array" ref="I237">LOOKUP(1,0/(('5.21出货明细'!X:X=$D$219)*('5.21出货明细'!A:A=A237)),'5.21出货明细'!Q:Q)</f>
        <v>#N/A</v>
      </c>
      <c r="J237" s="606" t="e">
        <f t="array" ref="J237">LOOKUP(1,0/(('5.21出货明细'!X:X=$D$219)*('5.21出货明细'!A:A=A237)),'5.21出货明细'!AT:AT)</f>
        <v>#N/A</v>
      </c>
      <c r="K237" s="607" t="e">
        <f t="array" ref="K237">LOOKUP(1,0/(('5.21出货明细'!X:X=$D$219)*('5.21出货明细'!A:A=A237)),'5.21出货明细'!S:S)</f>
        <v>#N/A</v>
      </c>
    </row>
    <row r="238" customFormat="1" ht="54" customHeight="1" spans="1:11">
      <c r="A238" s="601">
        <v>79</v>
      </c>
      <c r="B238" s="602" t="e">
        <f t="array" ref="B238">LOOKUP(1,0/(('5.21出货明细'!X:X=$D$219)*('5.21出货明细'!A:A=A238)),'5.21出货明细'!D:D)</f>
        <v>#N/A</v>
      </c>
      <c r="C238" s="603" t="e">
        <f t="array" ref="C238">LOOKUP(1,0/(('5.21出货明细'!X:X=$D$219)*('5.21出货明细'!A:A=A238)),'5.21出货明细'!G:G&amp;'5.21出货明细'!F:F)</f>
        <v>#N/A</v>
      </c>
      <c r="D238" s="604" t="e">
        <f t="array" ref="D238">LOOKUP(1,0/(('5.21出货明细'!X:X=$D$219)*('5.21出货明细'!A:A=A238)),'5.21出货明细'!K:K)</f>
        <v>#N/A</v>
      </c>
      <c r="E238" s="604" t="e">
        <f t="array" ref="E238">LOOKUP(1,0/(('5.21出货明细'!X:X=$D$219)*('5.21出货明细'!A:A=A238)),'5.21出货明细'!J:J)</f>
        <v>#N/A</v>
      </c>
      <c r="F238" s="604" t="e">
        <f t="array" ref="F238">LOOKUP(1,0/(('5.21出货明细'!X:X=$D$219)*('5.21出货明细'!A:A=A238)),'5.21出货明细'!L:L)</f>
        <v>#N/A</v>
      </c>
      <c r="G238" s="604" t="e">
        <f t="array" ref="G238">LOOKUP(1,0/(('5.21出货明细'!X:X=$D$219)*('5.21出货明细'!A:A=A238)),'5.21出货明细'!M:M)</f>
        <v>#N/A</v>
      </c>
      <c r="H238" s="605" t="e">
        <f t="array" ref="H238">LOOKUP(1,0/(('5.21出货明细'!X:X=$D$219)*('5.21出货明细'!A:A=A238)),'5.21出货明细'!P:P)</f>
        <v>#N/A</v>
      </c>
      <c r="I238" s="606" t="e">
        <f t="array" ref="I238">LOOKUP(1,0/(('5.21出货明细'!X:X=$D$219)*('5.21出货明细'!A:A=A238)),'5.21出货明细'!Q:Q)</f>
        <v>#N/A</v>
      </c>
      <c r="J238" s="606" t="e">
        <f t="array" ref="J238">LOOKUP(1,0/(('5.21出货明细'!X:X=$D$219)*('5.21出货明细'!A:A=A238)),'5.21出货明细'!AT:AT)</f>
        <v>#N/A</v>
      </c>
      <c r="K238" s="607" t="e">
        <f t="array" ref="K238">LOOKUP(1,0/(('5.21出货明细'!X:X=$D$219)*('5.21出货明细'!A:A=A238)),'5.21出货明细'!S:S)</f>
        <v>#N/A</v>
      </c>
    </row>
    <row r="239" customFormat="1" ht="54" customHeight="1" spans="1:11">
      <c r="A239" s="601">
        <v>80</v>
      </c>
      <c r="B239" s="602" t="e">
        <f t="array" ref="B239">LOOKUP(1,0/(('5.21出货明细'!X:X=$D$219)*('5.21出货明细'!A:A=A239)),'5.21出货明细'!D:D)</f>
        <v>#N/A</v>
      </c>
      <c r="C239" s="603" t="e">
        <f t="array" ref="C239">LOOKUP(1,0/(('5.21出货明细'!X:X=$D$219)*('5.21出货明细'!A:A=A239)),'5.21出货明细'!G:G&amp;'5.21出货明细'!F:F)</f>
        <v>#N/A</v>
      </c>
      <c r="D239" s="604" t="e">
        <f t="array" ref="D239">LOOKUP(1,0/(('5.21出货明细'!X:X=$D$219)*('5.21出货明细'!A:A=A239)),'5.21出货明细'!K:K)</f>
        <v>#N/A</v>
      </c>
      <c r="E239" s="604" t="e">
        <f t="array" ref="E239">LOOKUP(1,0/(('5.21出货明细'!X:X=$D$219)*('5.21出货明细'!A:A=A239)),'5.21出货明细'!J:J)</f>
        <v>#N/A</v>
      </c>
      <c r="F239" s="604" t="e">
        <f t="array" ref="F239">LOOKUP(1,0/(('5.21出货明细'!X:X=$D$219)*('5.21出货明细'!A:A=A239)),'5.21出货明细'!L:L)</f>
        <v>#N/A</v>
      </c>
      <c r="G239" s="604" t="e">
        <f t="array" ref="G239">LOOKUP(1,0/(('5.21出货明细'!X:X=$D$219)*('5.21出货明细'!A:A=A239)),'5.21出货明细'!M:M)</f>
        <v>#N/A</v>
      </c>
      <c r="H239" s="605" t="e">
        <f t="array" ref="H239">LOOKUP(1,0/(('5.21出货明细'!X:X=$D$219)*('5.21出货明细'!A:A=A239)),'5.21出货明细'!P:P)</f>
        <v>#N/A</v>
      </c>
      <c r="I239" s="606" t="e">
        <f t="array" ref="I239">LOOKUP(1,0/(('5.21出货明细'!X:X=$D$219)*('5.21出货明细'!A:A=A239)),'5.21出货明细'!Q:Q)</f>
        <v>#N/A</v>
      </c>
      <c r="J239" s="606" t="e">
        <f t="array" ref="J239">LOOKUP(1,0/(('5.21出货明细'!X:X=$D$219)*('5.21出货明细'!A:A=A239)),'5.21出货明细'!AT:AT)</f>
        <v>#N/A</v>
      </c>
      <c r="K239" s="607" t="e">
        <f t="array" ref="K239">LOOKUP(1,0/(('5.21出货明细'!X:X=$D$219)*('5.21出货明细'!A:A=A239)),'5.21出货明细'!S:S)</f>
        <v>#N/A</v>
      </c>
    </row>
    <row r="240" customFormat="1" ht="54" customHeight="1" spans="1:11">
      <c r="A240" s="601">
        <v>81</v>
      </c>
      <c r="B240" s="602" t="e">
        <f t="array" ref="B240">LOOKUP(1,0/(('5.21出货明细'!X:X=$D$219)*('5.21出货明细'!A:A=A240)),'5.21出货明细'!D:D)</f>
        <v>#N/A</v>
      </c>
      <c r="C240" s="603" t="e">
        <f t="array" ref="C240">LOOKUP(1,0/(('5.21出货明细'!X:X=$D$219)*('5.21出货明细'!A:A=A240)),'5.21出货明细'!G:G&amp;'5.21出货明细'!F:F)</f>
        <v>#N/A</v>
      </c>
      <c r="D240" s="604" t="e">
        <f t="array" ref="D240">LOOKUP(1,0/(('5.21出货明细'!X:X=$D$219)*('5.21出货明细'!A:A=A240)),'5.21出货明细'!K:K)</f>
        <v>#N/A</v>
      </c>
      <c r="E240" s="604" t="e">
        <f t="array" ref="E240">LOOKUP(1,0/(('5.21出货明细'!X:X=$D$219)*('5.21出货明细'!A:A=A240)),'5.21出货明细'!J:J)</f>
        <v>#N/A</v>
      </c>
      <c r="F240" s="604" t="e">
        <f t="array" ref="F240">LOOKUP(1,0/(('5.21出货明细'!X:X=$D$219)*('5.21出货明细'!A:A=A240)),'5.21出货明细'!L:L)</f>
        <v>#N/A</v>
      </c>
      <c r="G240" s="604" t="e">
        <f t="array" ref="G240">LOOKUP(1,0/(('5.21出货明细'!X:X=$D$219)*('5.21出货明细'!A:A=A240)),'5.21出货明细'!M:M)</f>
        <v>#N/A</v>
      </c>
      <c r="H240" s="605" t="e">
        <f t="array" ref="H240">LOOKUP(1,0/(('5.21出货明细'!X:X=$D$219)*('5.21出货明细'!A:A=A240)),'5.21出货明细'!P:P)</f>
        <v>#N/A</v>
      </c>
      <c r="I240" s="606" t="e">
        <f t="array" ref="I240">LOOKUP(1,0/(('5.21出货明细'!X:X=$D$219)*('5.21出货明细'!A:A=A240)),'5.21出货明细'!Q:Q)</f>
        <v>#N/A</v>
      </c>
      <c r="J240" s="606" t="e">
        <f t="array" ref="J240">LOOKUP(1,0/(('5.21出货明细'!X:X=$D$219)*('5.21出货明细'!A:A=A240)),'5.21出货明细'!AT:AT)</f>
        <v>#N/A</v>
      </c>
      <c r="K240" s="607" t="e">
        <f t="array" ref="K240">LOOKUP(1,0/(('5.21出货明细'!X:X=$D$219)*('5.21出货明细'!A:A=A240)),'5.21出货明细'!S:S)</f>
        <v>#N/A</v>
      </c>
    </row>
    <row r="241" customFormat="1" ht="54" customHeight="1" spans="1:11">
      <c r="A241" s="601">
        <v>82</v>
      </c>
      <c r="B241" s="602" t="e">
        <f t="array" ref="B241">LOOKUP(1,0/(('5.21出货明细'!X:X=$D$219)*('5.21出货明细'!A:A=A241)),'5.21出货明细'!D:D)</f>
        <v>#N/A</v>
      </c>
      <c r="C241" s="603" t="e">
        <f t="array" ref="C241">LOOKUP(1,0/(('5.21出货明细'!X:X=$D$219)*('5.21出货明细'!A:A=A241)),'5.21出货明细'!G:G&amp;'5.21出货明细'!F:F)</f>
        <v>#N/A</v>
      </c>
      <c r="D241" s="604" t="e">
        <f t="array" ref="D241">LOOKUP(1,0/(('5.21出货明细'!X:X=$D$219)*('5.21出货明细'!A:A=A241)),'5.21出货明细'!K:K)</f>
        <v>#N/A</v>
      </c>
      <c r="E241" s="604" t="e">
        <f t="array" ref="E241">LOOKUP(1,0/(('5.21出货明细'!X:X=$D$219)*('5.21出货明细'!A:A=A241)),'5.21出货明细'!J:J)</f>
        <v>#N/A</v>
      </c>
      <c r="F241" s="604" t="e">
        <f t="array" ref="F241">LOOKUP(1,0/(('5.21出货明细'!X:X=$D$219)*('5.21出货明细'!A:A=A241)),'5.21出货明细'!L:L)</f>
        <v>#N/A</v>
      </c>
      <c r="G241" s="604" t="e">
        <f t="array" ref="G241">LOOKUP(1,0/(('5.21出货明细'!X:X=$D$219)*('5.21出货明细'!A:A=A241)),'5.21出货明细'!M:M)</f>
        <v>#N/A</v>
      </c>
      <c r="H241" s="605" t="e">
        <f t="array" ref="H241">LOOKUP(1,0/(('5.21出货明细'!X:X=$D$219)*('5.21出货明细'!A:A=A241)),'5.21出货明细'!P:P)</f>
        <v>#N/A</v>
      </c>
      <c r="I241" s="606" t="e">
        <f t="array" ref="I241">LOOKUP(1,0/(('5.21出货明细'!X:X=$D$219)*('5.21出货明细'!A:A=A241)),'5.21出货明细'!Q:Q)</f>
        <v>#N/A</v>
      </c>
      <c r="J241" s="606" t="e">
        <f t="array" ref="J241">LOOKUP(1,0/(('5.21出货明细'!X:X=$D$219)*('5.21出货明细'!A:A=A241)),'5.21出货明细'!AT:AT)</f>
        <v>#N/A</v>
      </c>
      <c r="K241" s="607" t="e">
        <f t="array" ref="K241">LOOKUP(1,0/(('5.21出货明细'!X:X=$D$219)*('5.21出货明细'!A:A=A241)),'5.21出货明细'!S:S)</f>
        <v>#N/A</v>
      </c>
    </row>
    <row r="242" customFormat="1" ht="54" customHeight="1" spans="1:11">
      <c r="A242" s="601">
        <v>83</v>
      </c>
      <c r="B242" s="602" t="e">
        <f t="array" ref="B242">LOOKUP(1,0/(('5.21出货明细'!X:X=$D$219)*('5.21出货明细'!A:A=A242)),'5.21出货明细'!D:D)</f>
        <v>#N/A</v>
      </c>
      <c r="C242" s="603" t="e">
        <f t="array" ref="C242">LOOKUP(1,0/(('5.21出货明细'!X:X=$D$219)*('5.21出货明细'!A:A=A242)),'5.21出货明细'!G:G&amp;'5.21出货明细'!F:F)</f>
        <v>#N/A</v>
      </c>
      <c r="D242" s="604" t="e">
        <f t="array" ref="D242">LOOKUP(1,0/(('5.21出货明细'!X:X=$D$219)*('5.21出货明细'!A:A=A242)),'5.21出货明细'!K:K)</f>
        <v>#N/A</v>
      </c>
      <c r="E242" s="604" t="e">
        <f t="array" ref="E242">LOOKUP(1,0/(('5.21出货明细'!X:X=$D$219)*('5.21出货明细'!A:A=A242)),'5.21出货明细'!J:J)</f>
        <v>#N/A</v>
      </c>
      <c r="F242" s="604" t="e">
        <f t="array" ref="F242">LOOKUP(1,0/(('5.21出货明细'!X:X=$D$219)*('5.21出货明细'!A:A=A242)),'5.21出货明细'!L:L)</f>
        <v>#N/A</v>
      </c>
      <c r="G242" s="604" t="e">
        <f t="array" ref="G242">LOOKUP(1,0/(('5.21出货明细'!X:X=$D$219)*('5.21出货明细'!A:A=A242)),'5.21出货明细'!M:M)</f>
        <v>#N/A</v>
      </c>
      <c r="H242" s="605" t="e">
        <f t="array" ref="H242">LOOKUP(1,0/(('5.21出货明细'!X:X=$D$219)*('5.21出货明细'!A:A=A242)),'5.21出货明细'!P:P)</f>
        <v>#N/A</v>
      </c>
      <c r="I242" s="606" t="e">
        <f t="array" ref="I242">LOOKUP(1,0/(('5.21出货明细'!X:X=$D$219)*('5.21出货明细'!A:A=A242)),'5.21出货明细'!Q:Q)</f>
        <v>#N/A</v>
      </c>
      <c r="J242" s="606" t="e">
        <f t="array" ref="J242">LOOKUP(1,0/(('5.21出货明细'!X:X=$D$219)*('5.21出货明细'!A:A=A242)),'5.21出货明细'!AT:AT)</f>
        <v>#N/A</v>
      </c>
      <c r="K242" s="607" t="e">
        <f t="array" ref="K242">LOOKUP(1,0/(('5.21出货明细'!X:X=$D$219)*('5.21出货明细'!A:A=A242)),'5.21出货明细'!S:S)</f>
        <v>#N/A</v>
      </c>
    </row>
    <row r="243" customFormat="1" ht="54" customHeight="1" spans="1:11">
      <c r="A243" s="601">
        <v>84</v>
      </c>
      <c r="B243" s="602" t="e">
        <f t="array" ref="B243">LOOKUP(1,0/(('5.21出货明细'!X:X=$D$219)*('5.21出货明细'!A:A=A243)),'5.21出货明细'!D:D)</f>
        <v>#N/A</v>
      </c>
      <c r="C243" s="603" t="e">
        <f t="array" ref="C243">LOOKUP(1,0/(('5.21出货明细'!X:X=$D$219)*('5.21出货明细'!A:A=A243)),'5.21出货明细'!G:G&amp;'5.21出货明细'!F:F)</f>
        <v>#N/A</v>
      </c>
      <c r="D243" s="604" t="e">
        <f t="array" ref="D243">LOOKUP(1,0/(('5.21出货明细'!X:X=$D$219)*('5.21出货明细'!A:A=A243)),'5.21出货明细'!K:K)</f>
        <v>#N/A</v>
      </c>
      <c r="E243" s="604" t="e">
        <f t="array" ref="E243">LOOKUP(1,0/(('5.21出货明细'!X:X=$D$219)*('5.21出货明细'!A:A=A243)),'5.21出货明细'!J:J)</f>
        <v>#N/A</v>
      </c>
      <c r="F243" s="604" t="e">
        <f t="array" ref="F243">LOOKUP(1,0/(('5.21出货明细'!X:X=$D$219)*('5.21出货明细'!A:A=A243)),'5.21出货明细'!L:L)</f>
        <v>#N/A</v>
      </c>
      <c r="G243" s="604" t="e">
        <f t="array" ref="G243">LOOKUP(1,0/(('5.21出货明细'!X:X=$D$219)*('5.21出货明细'!A:A=A243)),'5.21出货明细'!M:M)</f>
        <v>#N/A</v>
      </c>
      <c r="H243" s="605" t="e">
        <f t="array" ref="H243">LOOKUP(1,0/(('5.21出货明细'!X:X=$D$219)*('5.21出货明细'!A:A=A243)),'5.21出货明细'!P:P)</f>
        <v>#N/A</v>
      </c>
      <c r="I243" s="606" t="e">
        <f t="array" ref="I243">LOOKUP(1,0/(('5.21出货明细'!X:X=$D$219)*('5.21出货明细'!A:A=A243)),'5.21出货明细'!Q:Q)</f>
        <v>#N/A</v>
      </c>
      <c r="J243" s="606" t="e">
        <f t="array" ref="J243">LOOKUP(1,0/(('5.21出货明细'!X:X=$D$219)*('5.21出货明细'!A:A=A243)),'5.21出货明细'!AT:AT)</f>
        <v>#N/A</v>
      </c>
      <c r="K243" s="607" t="e">
        <f t="array" ref="K243">LOOKUP(1,0/(('5.21出货明细'!X:X=$D$219)*('5.21出货明细'!A:A=A243)),'5.21出货明细'!S:S)</f>
        <v>#N/A</v>
      </c>
    </row>
    <row r="244" customFormat="1" ht="54" customHeight="1" spans="1:11">
      <c r="A244" s="601">
        <v>85</v>
      </c>
      <c r="B244" s="602" t="e">
        <f t="array" ref="B244">LOOKUP(1,0/(('5.21出货明细'!X:X=$D$219)*('5.21出货明细'!A:A=A244)),'5.21出货明细'!D:D)</f>
        <v>#N/A</v>
      </c>
      <c r="C244" s="603" t="e">
        <f t="array" ref="C244">LOOKUP(1,0/(('5.21出货明细'!X:X=$D$219)*('5.21出货明细'!A:A=A244)),'5.21出货明细'!G:G&amp;'5.21出货明细'!F:F)</f>
        <v>#N/A</v>
      </c>
      <c r="D244" s="604" t="e">
        <f t="array" ref="D244">LOOKUP(1,0/(('5.21出货明细'!X:X=$D$219)*('5.21出货明细'!A:A=A244)),'5.21出货明细'!K:K)</f>
        <v>#N/A</v>
      </c>
      <c r="E244" s="604" t="e">
        <f t="array" ref="E244">LOOKUP(1,0/(('5.21出货明细'!X:X=$D$219)*('5.21出货明细'!A:A=A244)),'5.21出货明细'!J:J)</f>
        <v>#N/A</v>
      </c>
      <c r="F244" s="604" t="e">
        <f t="array" ref="F244">LOOKUP(1,0/(('5.21出货明细'!X:X=$D$219)*('5.21出货明细'!A:A=A244)),'5.21出货明细'!L:L)</f>
        <v>#N/A</v>
      </c>
      <c r="G244" s="604" t="e">
        <f t="array" ref="G244">LOOKUP(1,0/(('5.21出货明细'!X:X=$D$219)*('5.21出货明细'!A:A=A244)),'5.21出货明细'!M:M)</f>
        <v>#N/A</v>
      </c>
      <c r="H244" s="605" t="e">
        <f t="array" ref="H244">LOOKUP(1,0/(('5.21出货明细'!X:X=$D$219)*('5.21出货明细'!A:A=A244)),'5.21出货明细'!P:P)</f>
        <v>#N/A</v>
      </c>
      <c r="I244" s="606" t="e">
        <f t="array" ref="I244">LOOKUP(1,0/(('5.21出货明细'!X:X=$D$219)*('5.21出货明细'!A:A=A244)),'5.21出货明细'!Q:Q)</f>
        <v>#N/A</v>
      </c>
      <c r="J244" s="606" t="e">
        <f t="array" ref="J244">LOOKUP(1,0/(('5.21出货明细'!X:X=$D$219)*('5.21出货明细'!A:A=A244)),'5.21出货明细'!AT:AT)</f>
        <v>#N/A</v>
      </c>
      <c r="K244" s="607" t="e">
        <f t="array" ref="K244">LOOKUP(1,0/(('5.21出货明细'!X:X=$D$219)*('5.21出货明细'!A:A=A244)),'5.21出货明细'!S:S)</f>
        <v>#N/A</v>
      </c>
    </row>
    <row r="245" customFormat="1" ht="54" customHeight="1" spans="1:11">
      <c r="A245" s="601">
        <v>86</v>
      </c>
      <c r="B245" s="602" t="e">
        <f t="array" ref="B245">LOOKUP(1,0/(('5.21出货明细'!X:X=$D$219)*('5.21出货明细'!A:A=A245)),'5.21出货明细'!D:D)</f>
        <v>#N/A</v>
      </c>
      <c r="C245" s="603" t="e">
        <f t="array" ref="C245">LOOKUP(1,0/(('5.21出货明细'!X:X=$D$219)*('5.21出货明细'!A:A=A245)),'5.21出货明细'!G:G&amp;'5.21出货明细'!F:F)</f>
        <v>#N/A</v>
      </c>
      <c r="D245" s="604" t="e">
        <f t="array" ref="D245">LOOKUP(1,0/(('5.21出货明细'!X:X=$D$219)*('5.21出货明细'!A:A=A245)),'5.21出货明细'!K:K)</f>
        <v>#N/A</v>
      </c>
      <c r="E245" s="604" t="e">
        <f t="array" ref="E245">LOOKUP(1,0/(('5.21出货明细'!X:X=$D$219)*('5.21出货明细'!A:A=A245)),'5.21出货明细'!J:J)</f>
        <v>#N/A</v>
      </c>
      <c r="F245" s="604" t="e">
        <f t="array" ref="F245">LOOKUP(1,0/(('5.21出货明细'!X:X=$D$219)*('5.21出货明细'!A:A=A245)),'5.21出货明细'!L:L)</f>
        <v>#N/A</v>
      </c>
      <c r="G245" s="604" t="e">
        <f t="array" ref="G245">LOOKUP(1,0/(('5.21出货明细'!X:X=$D$219)*('5.21出货明细'!A:A=A245)),'5.21出货明细'!M:M)</f>
        <v>#N/A</v>
      </c>
      <c r="H245" s="605" t="e">
        <f t="array" ref="H245">LOOKUP(1,0/(('5.21出货明细'!X:X=$D$219)*('5.21出货明细'!A:A=A245)),'5.21出货明细'!P:P)</f>
        <v>#N/A</v>
      </c>
      <c r="I245" s="606" t="e">
        <f t="array" ref="I245">LOOKUP(1,0/(('5.21出货明细'!X:X=$D$219)*('5.21出货明细'!A:A=A245)),'5.21出货明细'!Q:Q)</f>
        <v>#N/A</v>
      </c>
      <c r="J245" s="606" t="e">
        <f t="array" ref="J245">LOOKUP(1,0/(('5.21出货明细'!X:X=$D$219)*('5.21出货明细'!A:A=A245)),'5.21出货明细'!AT:AT)</f>
        <v>#N/A</v>
      </c>
      <c r="K245" s="607" t="e">
        <f t="array" ref="K245">LOOKUP(1,0/(('5.21出货明细'!X:X=$D$219)*('5.21出货明细'!A:A=A245)),'5.21出货明细'!S:S)</f>
        <v>#N/A</v>
      </c>
    </row>
    <row r="246" customFormat="1" ht="54" customHeight="1" spans="1:11">
      <c r="A246" s="601">
        <v>87</v>
      </c>
      <c r="B246" s="602" t="e">
        <f t="array" ref="B246">LOOKUP(1,0/(('5.21出货明细'!X:X=$D$219)*('5.21出货明细'!A:A=A246)),'5.21出货明细'!D:D)</f>
        <v>#N/A</v>
      </c>
      <c r="C246" s="603" t="e">
        <f t="array" ref="C246">LOOKUP(1,0/(('5.21出货明细'!X:X=$D$219)*('5.21出货明细'!A:A=A246)),'5.21出货明细'!G:G&amp;'5.21出货明细'!F:F)</f>
        <v>#N/A</v>
      </c>
      <c r="D246" s="604" t="e">
        <f t="array" ref="D246">LOOKUP(1,0/(('5.21出货明细'!X:X=$D$219)*('5.21出货明细'!A:A=A246)),'5.21出货明细'!K:K)</f>
        <v>#N/A</v>
      </c>
      <c r="E246" s="604" t="e">
        <f t="array" ref="E246">LOOKUP(1,0/(('5.21出货明细'!X:X=$D$219)*('5.21出货明细'!A:A=A246)),'5.21出货明细'!J:J)</f>
        <v>#N/A</v>
      </c>
      <c r="F246" s="604" t="e">
        <f t="array" ref="F246">LOOKUP(1,0/(('5.21出货明细'!X:X=$D$219)*('5.21出货明细'!A:A=A246)),'5.21出货明细'!L:L)</f>
        <v>#N/A</v>
      </c>
      <c r="G246" s="604" t="e">
        <f t="array" ref="G246">LOOKUP(1,0/(('5.21出货明细'!X:X=$D$219)*('5.21出货明细'!A:A=A246)),'5.21出货明细'!M:M)</f>
        <v>#N/A</v>
      </c>
      <c r="H246" s="605" t="e">
        <f t="array" ref="H246">LOOKUP(1,0/(('5.21出货明细'!X:X=$D$219)*('5.21出货明细'!A:A=A246)),'5.21出货明细'!P:P)</f>
        <v>#N/A</v>
      </c>
      <c r="I246" s="606" t="e">
        <f t="array" ref="I246">LOOKUP(1,0/(('5.21出货明细'!X:X=$D$219)*('5.21出货明细'!A:A=A246)),'5.21出货明细'!Q:Q)</f>
        <v>#N/A</v>
      </c>
      <c r="J246" s="606" t="e">
        <f t="array" ref="J246">LOOKUP(1,0/(('5.21出货明细'!X:X=$D$219)*('5.21出货明细'!A:A=A246)),'5.21出货明细'!AT:AT)</f>
        <v>#N/A</v>
      </c>
      <c r="K246" s="607" t="e">
        <f t="array" ref="K246">LOOKUP(1,0/(('5.21出货明细'!X:X=$D$219)*('5.21出货明细'!A:A=A246)),'5.21出货明细'!S:S)</f>
        <v>#N/A</v>
      </c>
    </row>
    <row r="247" customFormat="1" ht="54" customHeight="1" spans="1:11">
      <c r="A247" s="601">
        <v>88</v>
      </c>
      <c r="B247" s="602" t="e">
        <f t="array" ref="B247">LOOKUP(1,0/(('5.21出货明细'!X:X=$D$219)*('5.21出货明细'!A:A=A247)),'5.21出货明细'!D:D)</f>
        <v>#N/A</v>
      </c>
      <c r="C247" s="603" t="e">
        <f t="array" ref="C247">LOOKUP(1,0/(('5.21出货明细'!X:X=$D$219)*('5.21出货明细'!A:A=A247)),'5.21出货明细'!G:G&amp;'5.21出货明细'!F:F)</f>
        <v>#N/A</v>
      </c>
      <c r="D247" s="604" t="e">
        <f t="array" ref="D247">LOOKUP(1,0/(('5.21出货明细'!X:X=$D$219)*('5.21出货明细'!A:A=A247)),'5.21出货明细'!K:K)</f>
        <v>#N/A</v>
      </c>
      <c r="E247" s="604" t="e">
        <f t="array" ref="E247">LOOKUP(1,0/(('5.21出货明细'!X:X=$D$219)*('5.21出货明细'!A:A=A247)),'5.21出货明细'!J:J)</f>
        <v>#N/A</v>
      </c>
      <c r="F247" s="604" t="e">
        <f t="array" ref="F247">LOOKUP(1,0/(('5.21出货明细'!X:X=$D$219)*('5.21出货明细'!A:A=A247)),'5.21出货明细'!L:L)</f>
        <v>#N/A</v>
      </c>
      <c r="G247" s="604" t="e">
        <f t="array" ref="G247">LOOKUP(1,0/(('5.21出货明细'!X:X=$D$219)*('5.21出货明细'!A:A=A247)),'5.21出货明细'!M:M)</f>
        <v>#N/A</v>
      </c>
      <c r="H247" s="605" t="e">
        <f t="array" ref="H247">LOOKUP(1,0/(('5.21出货明细'!X:X=$D$219)*('5.21出货明细'!A:A=A247)),'5.21出货明细'!P:P)</f>
        <v>#N/A</v>
      </c>
      <c r="I247" s="606" t="e">
        <f t="array" ref="I247">LOOKUP(1,0/(('5.21出货明细'!X:X=$D$219)*('5.21出货明细'!A:A=A247)),'5.21出货明细'!Q:Q)</f>
        <v>#N/A</v>
      </c>
      <c r="J247" s="606" t="e">
        <f t="array" ref="J247">LOOKUP(1,0/(('5.21出货明细'!X:X=$D$219)*('5.21出货明细'!A:A=A247)),'5.21出货明细'!AT:AT)</f>
        <v>#N/A</v>
      </c>
      <c r="K247" s="607" t="e">
        <f t="array" ref="K247">LOOKUP(1,0/(('5.21出货明细'!X:X=$D$219)*('5.21出货明细'!A:A=A247)),'5.21出货明细'!S:S)</f>
        <v>#N/A</v>
      </c>
    </row>
    <row r="248" customFormat="1" ht="54" customHeight="1" spans="1:11">
      <c r="A248" s="601">
        <v>89</v>
      </c>
      <c r="B248" s="602" t="e">
        <f t="array" ref="B248">LOOKUP(1,0/(('5.21出货明细'!X:X=$D$219)*('5.21出货明细'!A:A=A248)),'5.21出货明细'!D:D)</f>
        <v>#N/A</v>
      </c>
      <c r="C248" s="603" t="e">
        <f t="array" ref="C248">LOOKUP(1,0/(('5.21出货明细'!X:X=$D$219)*('5.21出货明细'!A:A=A248)),'5.21出货明细'!G:G&amp;'5.21出货明细'!F:F)</f>
        <v>#N/A</v>
      </c>
      <c r="D248" s="604" t="e">
        <f t="array" ref="D248">LOOKUP(1,0/(('5.21出货明细'!X:X=$D$219)*('5.21出货明细'!A:A=A248)),'5.21出货明细'!K:K)</f>
        <v>#N/A</v>
      </c>
      <c r="E248" s="604" t="e">
        <f t="array" ref="E248">LOOKUP(1,0/(('5.21出货明细'!X:X=$D$219)*('5.21出货明细'!A:A=A248)),'5.21出货明细'!J:J)</f>
        <v>#N/A</v>
      </c>
      <c r="F248" s="604" t="e">
        <f t="array" ref="F248">LOOKUP(1,0/(('5.21出货明细'!X:X=$D$219)*('5.21出货明细'!A:A=A248)),'5.21出货明细'!L:L)</f>
        <v>#N/A</v>
      </c>
      <c r="G248" s="604" t="e">
        <f t="array" ref="G248">LOOKUP(1,0/(('5.21出货明细'!X:X=$D$219)*('5.21出货明细'!A:A=A248)),'5.21出货明细'!M:M)</f>
        <v>#N/A</v>
      </c>
      <c r="H248" s="605" t="e">
        <f t="array" ref="H248">LOOKUP(1,0/(('5.21出货明细'!X:X=$D$219)*('5.21出货明细'!A:A=A248)),'5.21出货明细'!P:P)</f>
        <v>#N/A</v>
      </c>
      <c r="I248" s="606" t="e">
        <f t="array" ref="I248">LOOKUP(1,0/(('5.21出货明细'!X:X=$D$219)*('5.21出货明细'!A:A=A248)),'5.21出货明细'!Q:Q)</f>
        <v>#N/A</v>
      </c>
      <c r="J248" s="606" t="e">
        <f t="array" ref="J248">LOOKUP(1,0/(('5.21出货明细'!X:X=$D$219)*('5.21出货明细'!A:A=A248)),'5.21出货明细'!AT:AT)</f>
        <v>#N/A</v>
      </c>
      <c r="K248" s="607" t="e">
        <f t="array" ref="K248">LOOKUP(1,0/(('5.21出货明细'!X:X=$D$219)*('5.21出货明细'!A:A=A248)),'5.21出货明细'!S:S)</f>
        <v>#N/A</v>
      </c>
    </row>
    <row r="249" customFormat="1" ht="54" customHeight="1" spans="1:11">
      <c r="A249" s="601">
        <v>90</v>
      </c>
      <c r="B249" s="602" t="e">
        <f t="array" ref="B249">LOOKUP(1,0/(('5.21出货明细'!X:X=$D$219)*('5.21出货明细'!A:A=A249)),'5.21出货明细'!D:D)</f>
        <v>#N/A</v>
      </c>
      <c r="C249" s="603" t="e">
        <f t="array" ref="C249">LOOKUP(1,0/(('5.21出货明细'!X:X=$D$219)*('5.21出货明细'!A:A=A249)),'5.21出货明细'!G:G&amp;'5.21出货明细'!F:F)</f>
        <v>#N/A</v>
      </c>
      <c r="D249" s="604" t="e">
        <f t="array" ref="D249">LOOKUP(1,0/(('5.21出货明细'!X:X=$D$219)*('5.21出货明细'!A:A=A249)),'5.21出货明细'!K:K)</f>
        <v>#N/A</v>
      </c>
      <c r="E249" s="604" t="e">
        <f t="array" ref="E249">LOOKUP(1,0/(('5.21出货明细'!X:X=$D$219)*('5.21出货明细'!A:A=A249)),'5.21出货明细'!J:J)</f>
        <v>#N/A</v>
      </c>
      <c r="F249" s="604" t="e">
        <f t="array" ref="F249">LOOKUP(1,0/(('5.21出货明细'!X:X=$D$219)*('5.21出货明细'!A:A=A249)),'5.21出货明细'!L:L)</f>
        <v>#N/A</v>
      </c>
      <c r="G249" s="604" t="e">
        <f t="array" ref="G249">LOOKUP(1,0/(('5.21出货明细'!X:X=$D$219)*('5.21出货明细'!A:A=A249)),'5.21出货明细'!M:M)</f>
        <v>#N/A</v>
      </c>
      <c r="H249" s="605" t="e">
        <f t="array" ref="H249">LOOKUP(1,0/(('5.21出货明细'!X:X=$D$219)*('5.21出货明细'!A:A=A249)),'5.21出货明细'!P:P)</f>
        <v>#N/A</v>
      </c>
      <c r="I249" s="606" t="e">
        <f t="array" ref="I249">LOOKUP(1,0/(('5.21出货明细'!X:X=$D$219)*('5.21出货明细'!A:A=A249)),'5.21出货明细'!Q:Q)</f>
        <v>#N/A</v>
      </c>
      <c r="J249" s="606" t="e">
        <f t="array" ref="J249">LOOKUP(1,0/(('5.21出货明细'!X:X=$D$219)*('5.21出货明细'!A:A=A249)),'5.21出货明细'!AT:AT)</f>
        <v>#N/A</v>
      </c>
      <c r="K249" s="607" t="e">
        <f t="array" ref="K249">LOOKUP(1,0/(('5.21出货明细'!X:X=$D$219)*('5.21出货明细'!A:A=A249)),'5.21出货明细'!S:S)</f>
        <v>#N/A</v>
      </c>
    </row>
    <row r="250" customFormat="1" ht="54" customHeight="1" spans="1:11">
      <c r="A250" s="601">
        <v>91</v>
      </c>
      <c r="B250" s="602" t="e">
        <f t="array" ref="B250">LOOKUP(1,0/(('5.21出货明细'!X:X=$D$219)*('5.21出货明细'!A:A=A250)),'5.21出货明细'!D:D)</f>
        <v>#N/A</v>
      </c>
      <c r="C250" s="603" t="e">
        <f t="array" ref="C250">LOOKUP(1,0/(('5.21出货明细'!X:X=$D$219)*('5.21出货明细'!A:A=A250)),'5.21出货明细'!G:G&amp;'5.21出货明细'!F:F)</f>
        <v>#N/A</v>
      </c>
      <c r="D250" s="604" t="e">
        <f t="array" ref="D250">LOOKUP(1,0/(('5.21出货明细'!X:X=$D$219)*('5.21出货明细'!A:A=A250)),'5.21出货明细'!K:K)</f>
        <v>#N/A</v>
      </c>
      <c r="E250" s="604" t="e">
        <f t="array" ref="E250">LOOKUP(1,0/(('5.21出货明细'!X:X=$D$219)*('5.21出货明细'!A:A=A250)),'5.21出货明细'!J:J)</f>
        <v>#N/A</v>
      </c>
      <c r="F250" s="604" t="e">
        <f t="array" ref="F250">LOOKUP(1,0/(('5.21出货明细'!X:X=$D$219)*('5.21出货明细'!A:A=A250)),'5.21出货明细'!L:L)</f>
        <v>#N/A</v>
      </c>
      <c r="G250" s="604" t="e">
        <f t="array" ref="G250">LOOKUP(1,0/(('5.21出货明细'!X:X=$D$219)*('5.21出货明细'!A:A=A250)),'5.21出货明细'!M:M)</f>
        <v>#N/A</v>
      </c>
      <c r="H250" s="605" t="e">
        <f t="array" ref="H250">LOOKUP(1,0/(('5.21出货明细'!X:X=$D$219)*('5.21出货明细'!A:A=A250)),'5.21出货明细'!P:P)</f>
        <v>#N/A</v>
      </c>
      <c r="I250" s="606" t="e">
        <f t="array" ref="I250">LOOKUP(1,0/(('5.21出货明细'!X:X=$D$219)*('5.21出货明细'!A:A=A250)),'5.21出货明细'!Q:Q)</f>
        <v>#N/A</v>
      </c>
      <c r="J250" s="606" t="e">
        <f t="array" ref="J250">LOOKUP(1,0/(('5.21出货明细'!X:X=$D$219)*('5.21出货明细'!A:A=A250)),'5.21出货明细'!AT:AT)</f>
        <v>#N/A</v>
      </c>
      <c r="K250" s="607" t="e">
        <f t="array" ref="K250">LOOKUP(1,0/(('5.21出货明细'!X:X=$D$219)*('5.21出货明细'!A:A=A250)),'5.21出货明细'!S:S)</f>
        <v>#N/A</v>
      </c>
    </row>
    <row r="251" customFormat="1" ht="54" customHeight="1" spans="1:11">
      <c r="A251" s="601">
        <v>92</v>
      </c>
      <c r="B251" s="602" t="e">
        <f t="array" ref="B251">LOOKUP(1,0/(('5.21出货明细'!X:X=$D$219)*('5.21出货明细'!A:A=A251)),'5.21出货明细'!D:D)</f>
        <v>#N/A</v>
      </c>
      <c r="C251" s="603" t="e">
        <f t="array" ref="C251">LOOKUP(1,0/(('5.21出货明细'!X:X=$D$219)*('5.21出货明细'!A:A=A251)),'5.21出货明细'!G:G&amp;'5.21出货明细'!F:F)</f>
        <v>#N/A</v>
      </c>
      <c r="D251" s="604" t="e">
        <f t="array" ref="D251">LOOKUP(1,0/(('5.21出货明细'!X:X=$D$219)*('5.21出货明细'!A:A=A251)),'5.21出货明细'!K:K)</f>
        <v>#N/A</v>
      </c>
      <c r="E251" s="604" t="e">
        <f t="array" ref="E251">LOOKUP(1,0/(('5.21出货明细'!X:X=$D$219)*('5.21出货明细'!A:A=A251)),'5.21出货明细'!J:J)</f>
        <v>#N/A</v>
      </c>
      <c r="F251" s="604" t="e">
        <f t="array" ref="F251">LOOKUP(1,0/(('5.21出货明细'!X:X=$D$219)*('5.21出货明细'!A:A=A251)),'5.21出货明细'!L:L)</f>
        <v>#N/A</v>
      </c>
      <c r="G251" s="604" t="e">
        <f t="array" ref="G251">LOOKUP(1,0/(('5.21出货明细'!X:X=$D$219)*('5.21出货明细'!A:A=A251)),'5.21出货明细'!M:M)</f>
        <v>#N/A</v>
      </c>
      <c r="H251" s="605" t="e">
        <f t="array" ref="H251">LOOKUP(1,0/(('5.21出货明细'!X:X=$D$219)*('5.21出货明细'!A:A=A251)),'5.21出货明细'!P:P)</f>
        <v>#N/A</v>
      </c>
      <c r="I251" s="606" t="e">
        <f t="array" ref="I251">LOOKUP(1,0/(('5.21出货明细'!X:X=$D$219)*('5.21出货明细'!A:A=A251)),'5.21出货明细'!Q:Q)</f>
        <v>#N/A</v>
      </c>
      <c r="J251" s="606" t="e">
        <f t="array" ref="J251">LOOKUP(1,0/(('5.21出货明细'!X:X=$D$219)*('5.21出货明细'!A:A=A251)),'5.21出货明细'!AT:AT)</f>
        <v>#N/A</v>
      </c>
      <c r="K251" s="607" t="e">
        <f t="array" ref="K251">LOOKUP(1,0/(('5.21出货明细'!X:X=$D$219)*('5.21出货明细'!A:A=A251)),'5.21出货明细'!S:S)</f>
        <v>#N/A</v>
      </c>
    </row>
    <row r="252" customFormat="1" ht="18" spans="1:11">
      <c r="A252" s="608"/>
      <c r="B252" s="609"/>
      <c r="C252" s="603"/>
      <c r="D252" s="610" t="e">
        <f>SUM(D235:D251)</f>
        <v>#N/A</v>
      </c>
      <c r="E252" s="611"/>
      <c r="F252" s="610"/>
      <c r="G252" s="610"/>
      <c r="H252" s="612" t="e">
        <f>SUM(H235:H251)</f>
        <v>#N/A</v>
      </c>
      <c r="I252" s="612" t="e">
        <f>SUM(I235:I251)</f>
        <v>#N/A</v>
      </c>
      <c r="J252" s="612" t="e">
        <f>SUM(J235:J251)</f>
        <v>#N/A</v>
      </c>
      <c r="K252" s="613" t="e">
        <f>SUM(K235:K251)</f>
        <v>#N/A</v>
      </c>
    </row>
    <row r="253" customFormat="1" ht="18.75" spans="1:11">
      <c r="A253" s="614"/>
      <c r="B253" s="615"/>
      <c r="C253" s="616"/>
      <c r="D253" s="617"/>
      <c r="E253" s="618" t="s">
        <v>1553</v>
      </c>
      <c r="F253" s="618"/>
      <c r="G253" s="618"/>
      <c r="H253" s="618" t="s">
        <v>1553</v>
      </c>
      <c r="I253" s="618" t="s">
        <v>1553</v>
      </c>
      <c r="J253" s="618" t="s">
        <v>1553</v>
      </c>
      <c r="K253" s="618" t="s">
        <v>1553</v>
      </c>
    </row>
    <row r="254" s="514" customFormat="1" ht="26.25" spans="1:11">
      <c r="A254" s="619"/>
      <c r="B254" s="620"/>
      <c r="C254" s="620"/>
      <c r="D254" s="620"/>
      <c r="E254" s="620"/>
      <c r="F254" s="620"/>
      <c r="G254" s="620"/>
      <c r="H254" s="620"/>
      <c r="I254" s="620"/>
      <c r="J254" s="620"/>
      <c r="K254" s="620"/>
    </row>
    <row r="255" customFormat="1" ht="25.5" spans="1:11">
      <c r="A255" s="515" t="s">
        <v>1546</v>
      </c>
      <c r="B255" s="516"/>
      <c r="C255" s="516"/>
      <c r="D255" s="516"/>
      <c r="E255" s="516"/>
      <c r="F255" s="516"/>
      <c r="G255" s="516"/>
      <c r="H255" s="516"/>
      <c r="I255" s="516"/>
      <c r="J255" s="516"/>
      <c r="K255" s="517"/>
    </row>
    <row r="256" customFormat="1" spans="1:11">
      <c r="A256" s="518" t="s">
        <v>1656</v>
      </c>
      <c r="B256" s="519"/>
      <c r="C256" s="519"/>
      <c r="D256" s="519"/>
      <c r="E256" s="519"/>
      <c r="F256" s="519"/>
      <c r="G256" s="519"/>
      <c r="H256" s="519"/>
      <c r="I256" s="519"/>
      <c r="J256" s="519"/>
      <c r="K256" s="520"/>
    </row>
    <row r="257" customFormat="1" spans="1:11">
      <c r="A257" s="518"/>
      <c r="B257" s="519"/>
      <c r="C257" s="519"/>
      <c r="D257" s="519"/>
      <c r="E257" s="519"/>
      <c r="F257" s="519"/>
      <c r="G257" s="519"/>
      <c r="H257" s="519"/>
      <c r="I257" s="519"/>
      <c r="J257" s="519"/>
      <c r="K257" s="520"/>
    </row>
    <row r="258" customFormat="1" ht="18" spans="1:11">
      <c r="A258" s="521"/>
      <c r="B258" s="522"/>
      <c r="C258" s="522"/>
      <c r="D258" s="522"/>
      <c r="E258" s="522"/>
      <c r="F258" s="522"/>
      <c r="G258" s="522"/>
      <c r="H258" s="522"/>
      <c r="I258" s="522"/>
      <c r="J258" s="522"/>
      <c r="K258" s="523"/>
    </row>
    <row r="259" customFormat="1" ht="18" spans="1:11">
      <c r="A259" s="521"/>
      <c r="B259" s="522"/>
      <c r="C259" s="522"/>
      <c r="D259" s="522"/>
      <c r="E259" s="522"/>
      <c r="F259" s="522"/>
      <c r="G259" s="522"/>
      <c r="H259" s="522"/>
      <c r="I259" s="522"/>
      <c r="J259" s="522"/>
      <c r="K259" s="523"/>
    </row>
    <row r="260" customFormat="1" spans="1:11">
      <c r="A260" s="524" t="s">
        <v>1667</v>
      </c>
      <c r="B260" s="525"/>
      <c r="C260" s="525"/>
      <c r="D260" s="525"/>
      <c r="E260" s="525"/>
      <c r="F260" s="525"/>
      <c r="G260" s="525"/>
      <c r="H260" s="525"/>
      <c r="I260" s="525"/>
      <c r="J260" s="525"/>
      <c r="K260" s="526"/>
    </row>
    <row r="261" customFormat="1" ht="14.25" spans="1:11">
      <c r="A261" s="524"/>
      <c r="B261" s="525"/>
      <c r="C261" s="525"/>
      <c r="D261" s="525"/>
      <c r="E261" s="525"/>
      <c r="F261" s="525"/>
      <c r="G261" s="525"/>
      <c r="H261" s="525"/>
      <c r="I261" s="525"/>
      <c r="J261" s="525"/>
      <c r="K261" s="526"/>
    </row>
    <row r="262" customFormat="1" ht="16.5" spans="1:11">
      <c r="A262" s="527" t="s">
        <v>1668</v>
      </c>
      <c r="B262" s="528"/>
      <c r="C262" s="528"/>
      <c r="D262" s="529" t="s">
        <v>1669</v>
      </c>
      <c r="E262" s="530"/>
      <c r="F262" s="530"/>
      <c r="G262" s="530"/>
      <c r="H262" s="529" t="s">
        <v>1670</v>
      </c>
      <c r="I262" s="531"/>
      <c r="J262" s="531"/>
      <c r="K262" s="532"/>
    </row>
    <row r="263" customFormat="1" ht="16" customHeight="1" spans="1:11">
      <c r="A263" s="533" t="s">
        <v>1671</v>
      </c>
      <c r="B263" s="534"/>
      <c r="C263" s="534"/>
      <c r="D263" s="535" t="str">
        <f>实业发票!H290</f>
        <v>PR202600282</v>
      </c>
      <c r="E263" s="536"/>
      <c r="F263" s="536"/>
      <c r="G263" s="536"/>
      <c r="H263" s="537"/>
      <c r="I263" s="538"/>
      <c r="J263" s="538"/>
      <c r="K263" s="539"/>
    </row>
    <row r="264" customFormat="1" ht="16" customHeight="1" spans="1:11">
      <c r="A264" s="533"/>
      <c r="B264" s="534"/>
      <c r="C264" s="534"/>
      <c r="D264" s="540" t="s">
        <v>1672</v>
      </c>
      <c r="E264" s="541"/>
      <c r="F264" s="541"/>
      <c r="G264" s="542"/>
      <c r="H264" s="543"/>
      <c r="I264" s="543"/>
      <c r="J264" s="543"/>
      <c r="K264" s="544"/>
    </row>
    <row r="265" customFormat="1" ht="16" customHeight="1" spans="1:11">
      <c r="A265" s="533"/>
      <c r="B265" s="534"/>
      <c r="C265" s="534"/>
      <c r="D265" s="545">
        <f>D11</f>
        <v>46134</v>
      </c>
      <c r="E265" s="546"/>
      <c r="F265" s="546"/>
      <c r="G265" s="547"/>
      <c r="H265" s="548"/>
      <c r="I265" s="549"/>
      <c r="J265" s="549"/>
      <c r="K265" s="550"/>
    </row>
    <row r="266" customFormat="1" ht="16.5" spans="1:11">
      <c r="A266" s="551" t="s">
        <v>1673</v>
      </c>
      <c r="B266" s="552"/>
      <c r="C266" s="553"/>
      <c r="D266" s="554" t="s">
        <v>1674</v>
      </c>
      <c r="E266" s="555"/>
      <c r="F266" s="555"/>
      <c r="G266" s="555"/>
      <c r="H266" s="556" t="s">
        <v>1675</v>
      </c>
      <c r="I266" s="543"/>
      <c r="J266" s="557"/>
      <c r="K266" s="558"/>
    </row>
    <row r="267" customFormat="1" ht="16.5" spans="1:11">
      <c r="A267" s="551" t="s">
        <v>1676</v>
      </c>
      <c r="B267" s="552"/>
      <c r="C267" s="553"/>
      <c r="D267" s="559" t="str">
        <f>实业发票!H294</f>
        <v>RPIRRI260282</v>
      </c>
      <c r="E267" s="559"/>
      <c r="F267" s="559"/>
      <c r="G267" s="559"/>
      <c r="H267" s="560"/>
      <c r="I267" s="560"/>
      <c r="J267" s="560"/>
      <c r="K267" s="561"/>
    </row>
    <row r="268" customFormat="1" ht="16.5" spans="1:11">
      <c r="A268" s="562" t="s">
        <v>1677</v>
      </c>
      <c r="B268" s="563"/>
      <c r="C268" s="563"/>
      <c r="D268" s="564"/>
      <c r="E268" s="564"/>
      <c r="F268" s="564"/>
      <c r="G268" s="564"/>
      <c r="H268" s="560"/>
      <c r="I268" s="560"/>
      <c r="J268" s="560"/>
      <c r="K268" s="561"/>
    </row>
    <row r="269" customFormat="1" ht="16.5" spans="1:11">
      <c r="A269" s="565" t="s">
        <v>1678</v>
      </c>
      <c r="B269" s="566"/>
      <c r="C269" s="567"/>
      <c r="D269" s="564"/>
      <c r="E269" s="564"/>
      <c r="F269" s="564"/>
      <c r="G269" s="564"/>
      <c r="H269" s="568"/>
      <c r="I269" s="568"/>
      <c r="J269" s="568"/>
      <c r="K269" s="569"/>
    </row>
    <row r="270" customFormat="1" ht="16.5" spans="1:11">
      <c r="A270" s="570" t="s">
        <v>1558</v>
      </c>
      <c r="B270" s="571"/>
      <c r="C270" s="553"/>
      <c r="D270" s="554" t="s">
        <v>1679</v>
      </c>
      <c r="E270" s="541"/>
      <c r="F270" s="541"/>
      <c r="G270" s="542"/>
      <c r="H270" s="556" t="s">
        <v>1680</v>
      </c>
      <c r="I270" s="543"/>
      <c r="J270" s="557"/>
      <c r="K270" s="558"/>
    </row>
    <row r="271" customFormat="1" ht="16.5" spans="1:11">
      <c r="A271" s="570" t="s">
        <v>1681</v>
      </c>
      <c r="B271" s="553"/>
      <c r="C271" s="572"/>
      <c r="D271" s="573" t="str">
        <f>D17</f>
        <v>BMOU6019197</v>
      </c>
      <c r="E271" s="574"/>
      <c r="F271" s="574"/>
      <c r="G271" s="575"/>
      <c r="H271" s="574" t="str">
        <f>H17</f>
        <v>EMCRZS9184</v>
      </c>
      <c r="I271" s="574"/>
      <c r="J271" s="574"/>
      <c r="K271" s="576"/>
    </row>
    <row r="272" customFormat="1" ht="16.5" spans="1:11">
      <c r="A272" s="577" t="s">
        <v>1684</v>
      </c>
      <c r="B272" s="578"/>
      <c r="C272" s="579"/>
      <c r="D272" s="573"/>
      <c r="E272" s="574"/>
      <c r="F272" s="574"/>
      <c r="G272" s="575"/>
      <c r="H272" s="574"/>
      <c r="I272" s="574"/>
      <c r="J272" s="574"/>
      <c r="K272" s="576"/>
    </row>
    <row r="273" customFormat="1" ht="16.5" spans="1:11">
      <c r="A273" s="577" t="s">
        <v>1685</v>
      </c>
      <c r="B273" s="578"/>
      <c r="C273" s="579"/>
      <c r="D273" s="573"/>
      <c r="E273" s="574"/>
      <c r="F273" s="574"/>
      <c r="G273" s="575"/>
      <c r="H273" s="574"/>
      <c r="I273" s="574"/>
      <c r="J273" s="574"/>
      <c r="K273" s="576"/>
    </row>
    <row r="274" customFormat="1" ht="16.5" spans="1:11">
      <c r="A274" s="580" t="s">
        <v>1686</v>
      </c>
      <c r="B274" s="581"/>
      <c r="C274" s="579"/>
      <c r="D274" s="573"/>
      <c r="E274" s="574"/>
      <c r="F274" s="574"/>
      <c r="G274" s="575"/>
      <c r="H274" s="574"/>
      <c r="I274" s="574"/>
      <c r="J274" s="574"/>
      <c r="K274" s="576"/>
    </row>
    <row r="275" customFormat="1" ht="16.5" spans="1:11">
      <c r="A275" s="577" t="s">
        <v>1687</v>
      </c>
      <c r="B275" s="572"/>
      <c r="C275" s="572"/>
      <c r="D275" s="582"/>
      <c r="E275" s="583"/>
      <c r="F275" s="583"/>
      <c r="G275" s="584"/>
      <c r="H275" s="583"/>
      <c r="I275" s="583"/>
      <c r="J275" s="583"/>
      <c r="K275" s="585"/>
    </row>
    <row r="276" customFormat="1" ht="16.5" spans="1:11">
      <c r="A276" s="577" t="s">
        <v>1561</v>
      </c>
      <c r="B276" s="572"/>
      <c r="C276" s="572"/>
      <c r="D276" s="554"/>
      <c r="E276" s="541"/>
      <c r="F276" s="541"/>
      <c r="G276" s="541"/>
      <c r="H276" s="586"/>
      <c r="I276" s="541"/>
      <c r="J276" s="541"/>
      <c r="K276" s="587"/>
    </row>
    <row r="277" customFormat="1" ht="18" customHeight="1" spans="1:11">
      <c r="A277" s="588" t="s">
        <v>1688</v>
      </c>
      <c r="B277" s="589"/>
      <c r="C277" s="590"/>
      <c r="D277" s="591"/>
      <c r="E277" s="592"/>
      <c r="F277" s="592"/>
      <c r="G277" s="592"/>
      <c r="H277" s="592"/>
      <c r="I277" s="592"/>
      <c r="J277" s="592"/>
      <c r="K277" s="593"/>
    </row>
    <row r="278" customFormat="1" ht="38.25" spans="1:11">
      <c r="A278" s="594" t="s">
        <v>1689</v>
      </c>
      <c r="B278" s="595" t="s">
        <v>1641</v>
      </c>
      <c r="C278" s="596" t="s">
        <v>1642</v>
      </c>
      <c r="D278" s="597" t="s">
        <v>1644</v>
      </c>
      <c r="E278" s="597" t="s">
        <v>8</v>
      </c>
      <c r="F278" s="597" t="s">
        <v>1644</v>
      </c>
      <c r="G278" s="595" t="s">
        <v>8</v>
      </c>
      <c r="H278" s="598" t="s">
        <v>1690</v>
      </c>
      <c r="I278" s="599" t="s">
        <v>1691</v>
      </c>
      <c r="J278" s="599" t="s">
        <v>23</v>
      </c>
      <c r="K278" s="600" t="s">
        <v>1692</v>
      </c>
    </row>
    <row r="279" s="429" customFormat="1" ht="54" customHeight="1" spans="1:11">
      <c r="A279" s="601">
        <v>93</v>
      </c>
      <c r="B279" s="602" t="e">
        <f t="array" ref="B279">LOOKUP(1,0/(('5.21出货明细'!X:X=$D$263)*('5.21出货明细'!A:A=A279)),'5.21出货明细'!D:D)</f>
        <v>#N/A</v>
      </c>
      <c r="C279" s="603" t="e">
        <f t="array" ref="C279">LOOKUP(1,0/(('5.21出货明细'!X:X=$D$263)*('5.21出货明细'!A:A=A279)),'5.21出货明细'!G:G&amp;'5.21出货明细'!F:F)</f>
        <v>#N/A</v>
      </c>
      <c r="D279" s="604" t="e">
        <f t="array" ref="D279">LOOKUP(1,0/(('5.21出货明细'!X:X=$D$263)*('5.21出货明细'!A:A=A279)),'5.21出货明细'!K:K)</f>
        <v>#N/A</v>
      </c>
      <c r="E279" s="604" t="e">
        <f t="array" ref="E279">LOOKUP(1,0/(('5.21出货明细'!X:X=$D$263)*('5.21出货明细'!A:A=A279)),'5.21出货明细'!J:J)</f>
        <v>#N/A</v>
      </c>
      <c r="F279" s="604" t="e">
        <f t="array" ref="F279">LOOKUP(1,0/(('5.21出货明细'!X:X=$D$263)*('5.21出货明细'!A:A=A279)),'5.21出货明细'!L:L)</f>
        <v>#N/A</v>
      </c>
      <c r="G279" s="604" t="e">
        <f t="array" ref="G279">LOOKUP(1,0/(('5.21出货明细'!X:X=$D$263)*('5.21出货明细'!A:A=A279)),'5.21出货明细'!M:M)</f>
        <v>#N/A</v>
      </c>
      <c r="H279" s="605" t="e">
        <f t="array" ref="H279">LOOKUP(1,0/(('5.21出货明细'!X:X=$D$263)*('5.21出货明细'!A:A=A279)),'5.21出货明细'!P:P)</f>
        <v>#N/A</v>
      </c>
      <c r="I279" s="606" t="e">
        <f t="array" ref="I279">LOOKUP(1,0/(('5.21出货明细'!X:X=$D$263)*('5.21出货明细'!A:A=A279)),'5.21出货明细'!Q:Q)</f>
        <v>#N/A</v>
      </c>
      <c r="J279" s="606" t="e">
        <f t="array" ref="J279">LOOKUP(1,0/(('5.21出货明细'!X:X=$D$263)*('5.21出货明细'!A:A=A279)),'5.21出货明细'!AT:AT)</f>
        <v>#N/A</v>
      </c>
      <c r="K279" s="607" t="e">
        <f t="array" ref="K279">LOOKUP(1,0/(('5.21出货明细'!X:X=$D$263)*('5.21出货明细'!A:A=A279)),'5.21出货明细'!S:S)</f>
        <v>#N/A</v>
      </c>
    </row>
    <row r="280" customFormat="1" ht="54" customHeight="1" spans="1:11">
      <c r="A280" s="601">
        <v>94</v>
      </c>
      <c r="B280" s="602" t="e">
        <f t="array" ref="B280">LOOKUP(1,0/(('5.21出货明细'!X:X=$D$263)*('5.21出货明细'!A:A=A280)),'5.21出货明细'!D:D)</f>
        <v>#N/A</v>
      </c>
      <c r="C280" s="603" t="e">
        <f t="array" ref="C280">LOOKUP(1,0/(('5.21出货明细'!X:X=$D$263)*('5.21出货明细'!A:A=A280)),'5.21出货明细'!G:G&amp;'5.21出货明细'!F:F)</f>
        <v>#N/A</v>
      </c>
      <c r="D280" s="604" t="e">
        <f t="array" ref="D280">LOOKUP(1,0/(('5.21出货明细'!X:X=$D$263)*('5.21出货明细'!A:A=A280)),'5.21出货明细'!K:K)</f>
        <v>#N/A</v>
      </c>
      <c r="E280" s="604" t="e">
        <f t="array" ref="E280">LOOKUP(1,0/(('5.21出货明细'!X:X=$D$263)*('5.21出货明细'!A:A=A280)),'5.21出货明细'!J:J)</f>
        <v>#N/A</v>
      </c>
      <c r="F280" s="604" t="e">
        <f t="array" ref="F280">LOOKUP(1,0/(('5.21出货明细'!X:X=$D$263)*('5.21出货明细'!A:A=A280)),'5.21出货明细'!L:L)</f>
        <v>#N/A</v>
      </c>
      <c r="G280" s="604" t="e">
        <f t="array" ref="G280">LOOKUP(1,0/(('5.21出货明细'!X:X=$D$263)*('5.21出货明细'!A:A=A280)),'5.21出货明细'!M:M)</f>
        <v>#N/A</v>
      </c>
      <c r="H280" s="605" t="e">
        <f t="array" ref="H280">LOOKUP(1,0/(('5.21出货明细'!X:X=$D$263)*('5.21出货明细'!A:A=A280)),'5.21出货明细'!P:P)</f>
        <v>#N/A</v>
      </c>
      <c r="I280" s="606" t="e">
        <f t="array" ref="I280">LOOKUP(1,0/(('5.21出货明细'!X:X=$D$263)*('5.21出货明细'!A:A=A280)),'5.21出货明细'!Q:Q)</f>
        <v>#N/A</v>
      </c>
      <c r="J280" s="606" t="e">
        <f t="array" ref="J280">LOOKUP(1,0/(('5.21出货明细'!X:X=$D$263)*('5.21出货明细'!A:A=A280)),'5.21出货明细'!AT:AT)</f>
        <v>#N/A</v>
      </c>
      <c r="K280" s="607" t="e">
        <f t="array" ref="K280">LOOKUP(1,0/(('5.21出货明细'!X:X=$D$263)*('5.21出货明细'!A:A=A280)),'5.21出货明细'!S:S)</f>
        <v>#N/A</v>
      </c>
    </row>
    <row r="281" customFormat="1" ht="54" customHeight="1" spans="1:11">
      <c r="A281" s="601">
        <v>95</v>
      </c>
      <c r="B281" s="602" t="e">
        <f t="array" ref="B281">LOOKUP(1,0/(('5.21出货明细'!X:X=$D$263)*('5.21出货明细'!A:A=A281)),'5.21出货明细'!D:D)</f>
        <v>#N/A</v>
      </c>
      <c r="C281" s="603" t="e">
        <f t="array" ref="C281">LOOKUP(1,0/(('5.21出货明细'!X:X=$D$263)*('5.21出货明细'!A:A=A281)),'5.21出货明细'!G:G&amp;'5.21出货明细'!F:F)</f>
        <v>#N/A</v>
      </c>
      <c r="D281" s="604" t="e">
        <f t="array" ref="D281">LOOKUP(1,0/(('5.21出货明细'!X:X=$D$263)*('5.21出货明细'!A:A=A281)),'5.21出货明细'!K:K)</f>
        <v>#N/A</v>
      </c>
      <c r="E281" s="604" t="e">
        <f t="array" ref="E281">LOOKUP(1,0/(('5.21出货明细'!X:X=$D$263)*('5.21出货明细'!A:A=A281)),'5.21出货明细'!J:J)</f>
        <v>#N/A</v>
      </c>
      <c r="F281" s="604" t="e">
        <f t="array" ref="F281">LOOKUP(1,0/(('5.21出货明细'!X:X=$D$263)*('5.21出货明细'!A:A=A281)),'5.21出货明细'!L:L)</f>
        <v>#N/A</v>
      </c>
      <c r="G281" s="604" t="e">
        <f t="array" ref="G281">LOOKUP(1,0/(('5.21出货明细'!X:X=$D$263)*('5.21出货明细'!A:A=A281)),'5.21出货明细'!M:M)</f>
        <v>#N/A</v>
      </c>
      <c r="H281" s="605" t="e">
        <f t="array" ref="H281">LOOKUP(1,0/(('5.21出货明细'!X:X=$D$263)*('5.21出货明细'!A:A=A281)),'5.21出货明细'!P:P)</f>
        <v>#N/A</v>
      </c>
      <c r="I281" s="606" t="e">
        <f t="array" ref="I281">LOOKUP(1,0/(('5.21出货明细'!X:X=$D$263)*('5.21出货明细'!A:A=A281)),'5.21出货明细'!Q:Q)</f>
        <v>#N/A</v>
      </c>
      <c r="J281" s="606" t="e">
        <f t="array" ref="J281">LOOKUP(1,0/(('5.21出货明细'!X:X=$D$263)*('5.21出货明细'!A:A=A281)),'5.21出货明细'!AT:AT)</f>
        <v>#N/A</v>
      </c>
      <c r="K281" s="607" t="e">
        <f t="array" ref="K281">LOOKUP(1,0/(('5.21出货明细'!X:X=$D$263)*('5.21出货明细'!A:A=A281)),'5.21出货明细'!S:S)</f>
        <v>#N/A</v>
      </c>
    </row>
    <row r="282" customFormat="1" ht="54" customHeight="1" spans="1:11">
      <c r="A282" s="601">
        <v>96</v>
      </c>
      <c r="B282" s="602" t="e">
        <f t="array" ref="B282">LOOKUP(1,0/(('5.21出货明细'!X:X=$D$263)*('5.21出货明细'!A:A=A282)),'5.21出货明细'!D:D)</f>
        <v>#N/A</v>
      </c>
      <c r="C282" s="603" t="e">
        <f t="array" ref="C282">LOOKUP(1,0/(('5.21出货明细'!X:X=$D$263)*('5.21出货明细'!A:A=A282)),'5.21出货明细'!G:G&amp;'5.21出货明细'!F:F)</f>
        <v>#N/A</v>
      </c>
      <c r="D282" s="604" t="e">
        <f t="array" ref="D282">LOOKUP(1,0/(('5.21出货明细'!X:X=$D$263)*('5.21出货明细'!A:A=A282)),'5.21出货明细'!K:K)</f>
        <v>#N/A</v>
      </c>
      <c r="E282" s="604" t="e">
        <f t="array" ref="E282">LOOKUP(1,0/(('5.21出货明细'!X:X=$D$263)*('5.21出货明细'!A:A=A282)),'5.21出货明细'!J:J)</f>
        <v>#N/A</v>
      </c>
      <c r="F282" s="604" t="e">
        <f t="array" ref="F282">LOOKUP(1,0/(('5.21出货明细'!X:X=$D$263)*('5.21出货明细'!A:A=A282)),'5.21出货明细'!L:L)</f>
        <v>#N/A</v>
      </c>
      <c r="G282" s="604" t="e">
        <f t="array" ref="G282">LOOKUP(1,0/(('5.21出货明细'!X:X=$D$263)*('5.21出货明细'!A:A=A282)),'5.21出货明细'!M:M)</f>
        <v>#N/A</v>
      </c>
      <c r="H282" s="605" t="e">
        <f t="array" ref="H282">LOOKUP(1,0/(('5.21出货明细'!X:X=$D$263)*('5.21出货明细'!A:A=A282)),'5.21出货明细'!P:P)</f>
        <v>#N/A</v>
      </c>
      <c r="I282" s="606" t="e">
        <f t="array" ref="I282">LOOKUP(1,0/(('5.21出货明细'!X:X=$D$263)*('5.21出货明细'!A:A=A282)),'5.21出货明细'!Q:Q)</f>
        <v>#N/A</v>
      </c>
      <c r="J282" s="606" t="e">
        <f t="array" ref="J282">LOOKUP(1,0/(('5.21出货明细'!X:X=$D$263)*('5.21出货明细'!A:A=A282)),'5.21出货明细'!AT:AT)</f>
        <v>#N/A</v>
      </c>
      <c r="K282" s="607" t="e">
        <f t="array" ref="K282">LOOKUP(1,0/(('5.21出货明细'!X:X=$D$263)*('5.21出货明细'!A:A=A282)),'5.21出货明细'!S:S)</f>
        <v>#N/A</v>
      </c>
    </row>
    <row r="283" customFormat="1" ht="54" customHeight="1" spans="1:11">
      <c r="A283" s="601">
        <v>97</v>
      </c>
      <c r="B283" s="602" t="e">
        <f t="array" ref="B283">LOOKUP(1,0/(('5.21出货明细'!X:X=$D$263)*('5.21出货明细'!A:A=A283)),'5.21出货明细'!D:D)</f>
        <v>#N/A</v>
      </c>
      <c r="C283" s="603" t="e">
        <f t="array" ref="C283">LOOKUP(1,0/(('5.21出货明细'!X:X=$D$263)*('5.21出货明细'!A:A=A283)),'5.21出货明细'!G:G&amp;'5.21出货明细'!F:F)</f>
        <v>#N/A</v>
      </c>
      <c r="D283" s="604" t="e">
        <f t="array" ref="D283">LOOKUP(1,0/(('5.21出货明细'!X:X=$D$263)*('5.21出货明细'!A:A=A283)),'5.21出货明细'!K:K)</f>
        <v>#N/A</v>
      </c>
      <c r="E283" s="604" t="e">
        <f t="array" ref="E283">LOOKUP(1,0/(('5.21出货明细'!X:X=$D$263)*('5.21出货明细'!A:A=A283)),'5.21出货明细'!J:J)</f>
        <v>#N/A</v>
      </c>
      <c r="F283" s="604" t="e">
        <f t="array" ref="F283">LOOKUP(1,0/(('5.21出货明细'!X:X=$D$263)*('5.21出货明细'!A:A=A283)),'5.21出货明细'!L:L)</f>
        <v>#N/A</v>
      </c>
      <c r="G283" s="604" t="e">
        <f t="array" ref="G283">LOOKUP(1,0/(('5.21出货明细'!X:X=$D$263)*('5.21出货明细'!A:A=A283)),'5.21出货明细'!M:M)</f>
        <v>#N/A</v>
      </c>
      <c r="H283" s="605" t="e">
        <f t="array" ref="H283">LOOKUP(1,0/(('5.21出货明细'!X:X=$D$263)*('5.21出货明细'!A:A=A283)),'5.21出货明细'!P:P)</f>
        <v>#N/A</v>
      </c>
      <c r="I283" s="606" t="e">
        <f t="array" ref="I283">LOOKUP(1,0/(('5.21出货明细'!X:X=$D$263)*('5.21出货明细'!A:A=A283)),'5.21出货明细'!Q:Q)</f>
        <v>#N/A</v>
      </c>
      <c r="J283" s="606" t="e">
        <f t="array" ref="J283">LOOKUP(1,0/(('5.21出货明细'!X:X=$D$263)*('5.21出货明细'!A:A=A283)),'5.21出货明细'!AT:AT)</f>
        <v>#N/A</v>
      </c>
      <c r="K283" s="607" t="e">
        <f t="array" ref="K283">LOOKUP(1,0/(('5.21出货明细'!X:X=$D$263)*('5.21出货明细'!A:A=A283)),'5.21出货明细'!S:S)</f>
        <v>#N/A</v>
      </c>
    </row>
    <row r="284" customFormat="1" ht="54" customHeight="1" spans="1:11">
      <c r="A284" s="601">
        <v>98</v>
      </c>
      <c r="B284" s="602" t="e">
        <f t="array" ref="B284">LOOKUP(1,0/(('5.21出货明细'!X:X=$D$263)*('5.21出货明细'!A:A=A284)),'5.21出货明细'!D:D)</f>
        <v>#N/A</v>
      </c>
      <c r="C284" s="603" t="e">
        <f t="array" ref="C284">LOOKUP(1,0/(('5.21出货明细'!X:X=$D$263)*('5.21出货明细'!A:A=A284)),'5.21出货明细'!G:G&amp;'5.21出货明细'!F:F)</f>
        <v>#N/A</v>
      </c>
      <c r="D284" s="604" t="e">
        <f t="array" ref="D284">LOOKUP(1,0/(('5.21出货明细'!X:X=$D$263)*('5.21出货明细'!A:A=A284)),'5.21出货明细'!K:K)</f>
        <v>#N/A</v>
      </c>
      <c r="E284" s="604" t="e">
        <f t="array" ref="E284">LOOKUP(1,0/(('5.21出货明细'!X:X=$D$263)*('5.21出货明细'!A:A=A284)),'5.21出货明细'!J:J)</f>
        <v>#N/A</v>
      </c>
      <c r="F284" s="604" t="e">
        <f t="array" ref="F284">LOOKUP(1,0/(('5.21出货明细'!X:X=$D$263)*('5.21出货明细'!A:A=A284)),'5.21出货明细'!L:L)</f>
        <v>#N/A</v>
      </c>
      <c r="G284" s="604" t="e">
        <f t="array" ref="G284">LOOKUP(1,0/(('5.21出货明细'!X:X=$D$263)*('5.21出货明细'!A:A=A284)),'5.21出货明细'!M:M)</f>
        <v>#N/A</v>
      </c>
      <c r="H284" s="605" t="e">
        <f t="array" ref="H284">LOOKUP(1,0/(('5.21出货明细'!X:X=$D$263)*('5.21出货明细'!A:A=A284)),'5.21出货明细'!P:P)</f>
        <v>#N/A</v>
      </c>
      <c r="I284" s="606" t="e">
        <f t="array" ref="I284">LOOKUP(1,0/(('5.21出货明细'!X:X=$D$263)*('5.21出货明细'!A:A=A284)),'5.21出货明细'!Q:Q)</f>
        <v>#N/A</v>
      </c>
      <c r="J284" s="606" t="e">
        <f t="array" ref="J284">LOOKUP(1,0/(('5.21出货明细'!X:X=$D$263)*('5.21出货明细'!A:A=A284)),'5.21出货明细'!AT:AT)</f>
        <v>#N/A</v>
      </c>
      <c r="K284" s="607" t="e">
        <f t="array" ref="K284">LOOKUP(1,0/(('5.21出货明细'!X:X=$D$263)*('5.21出货明细'!A:A=A284)),'5.21出货明细'!S:S)</f>
        <v>#N/A</v>
      </c>
    </row>
    <row r="285" customFormat="1" ht="54" customHeight="1" spans="1:11">
      <c r="A285" s="601">
        <v>99</v>
      </c>
      <c r="B285" s="602" t="e">
        <f t="array" ref="B285">LOOKUP(1,0/(('5.21出货明细'!X:X=$D$263)*('5.21出货明细'!A:A=A285)),'5.21出货明细'!D:D)</f>
        <v>#N/A</v>
      </c>
      <c r="C285" s="603" t="e">
        <f t="array" ref="C285">LOOKUP(1,0/(('5.21出货明细'!X:X=$D$263)*('5.21出货明细'!A:A=A285)),'5.21出货明细'!G:G&amp;'5.21出货明细'!F:F)</f>
        <v>#N/A</v>
      </c>
      <c r="D285" s="604" t="e">
        <f t="array" ref="D285">LOOKUP(1,0/(('5.21出货明细'!X:X=$D$263)*('5.21出货明细'!A:A=A285)),'5.21出货明细'!K:K)</f>
        <v>#N/A</v>
      </c>
      <c r="E285" s="604" t="e">
        <f t="array" ref="E285">LOOKUP(1,0/(('5.21出货明细'!X:X=$D$263)*('5.21出货明细'!A:A=A285)),'5.21出货明细'!J:J)</f>
        <v>#N/A</v>
      </c>
      <c r="F285" s="604" t="e">
        <f t="array" ref="F285">LOOKUP(1,0/(('5.21出货明细'!X:X=$D$263)*('5.21出货明细'!A:A=A285)),'5.21出货明细'!L:L)</f>
        <v>#N/A</v>
      </c>
      <c r="G285" s="604" t="e">
        <f t="array" ref="G285">LOOKUP(1,0/(('5.21出货明细'!X:X=$D$263)*('5.21出货明细'!A:A=A285)),'5.21出货明细'!M:M)</f>
        <v>#N/A</v>
      </c>
      <c r="H285" s="605" t="e">
        <f t="array" ref="H285">LOOKUP(1,0/(('5.21出货明细'!X:X=$D$263)*('5.21出货明细'!A:A=A285)),'5.21出货明细'!P:P)</f>
        <v>#N/A</v>
      </c>
      <c r="I285" s="606" t="e">
        <f t="array" ref="I285">LOOKUP(1,0/(('5.21出货明细'!X:X=$D$263)*('5.21出货明细'!A:A=A285)),'5.21出货明细'!Q:Q)</f>
        <v>#N/A</v>
      </c>
      <c r="J285" s="606" t="e">
        <f t="array" ref="J285">LOOKUP(1,0/(('5.21出货明细'!X:X=$D$263)*('5.21出货明细'!A:A=A285)),'5.21出货明细'!AT:AT)</f>
        <v>#N/A</v>
      </c>
      <c r="K285" s="607" t="e">
        <f t="array" ref="K285">LOOKUP(1,0/(('5.21出货明细'!X:X=$D$263)*('5.21出货明细'!A:A=A285)),'5.21出货明细'!S:S)</f>
        <v>#N/A</v>
      </c>
    </row>
    <row r="286" customFormat="1" ht="54" customHeight="1" spans="1:11">
      <c r="A286" s="601">
        <v>100</v>
      </c>
      <c r="B286" s="602" t="e">
        <f t="array" ref="B286">LOOKUP(1,0/(('5.21出货明细'!X:X=$D$263)*('5.21出货明细'!A:A=A286)),'5.21出货明细'!D:D)</f>
        <v>#N/A</v>
      </c>
      <c r="C286" s="603" t="e">
        <f t="array" ref="C286">LOOKUP(1,0/(('5.21出货明细'!X:X=$D$263)*('5.21出货明细'!A:A=A286)),'5.21出货明细'!G:G&amp;'5.21出货明细'!F:F)</f>
        <v>#N/A</v>
      </c>
      <c r="D286" s="604" t="e">
        <f t="array" ref="D286">LOOKUP(1,0/(('5.21出货明细'!X:X=$D$263)*('5.21出货明细'!A:A=A286)),'5.21出货明细'!K:K)</f>
        <v>#N/A</v>
      </c>
      <c r="E286" s="604" t="e">
        <f t="array" ref="E286">LOOKUP(1,0/(('5.21出货明细'!X:X=$D$263)*('5.21出货明细'!A:A=A286)),'5.21出货明细'!J:J)</f>
        <v>#N/A</v>
      </c>
      <c r="F286" s="604" t="e">
        <f t="array" ref="F286">LOOKUP(1,0/(('5.21出货明细'!X:X=$D$263)*('5.21出货明细'!A:A=A286)),'5.21出货明细'!L:L)</f>
        <v>#N/A</v>
      </c>
      <c r="G286" s="604" t="e">
        <f t="array" ref="G286">LOOKUP(1,0/(('5.21出货明细'!X:X=$D$263)*('5.21出货明细'!A:A=A286)),'5.21出货明细'!M:M)</f>
        <v>#N/A</v>
      </c>
      <c r="H286" s="605" t="e">
        <f t="array" ref="H286">LOOKUP(1,0/(('5.21出货明细'!X:X=$D$263)*('5.21出货明细'!A:A=A286)),'5.21出货明细'!P:P)</f>
        <v>#N/A</v>
      </c>
      <c r="I286" s="606" t="e">
        <f t="array" ref="I286">LOOKUP(1,0/(('5.21出货明细'!X:X=$D$263)*('5.21出货明细'!A:A=A286)),'5.21出货明细'!Q:Q)</f>
        <v>#N/A</v>
      </c>
      <c r="J286" s="606" t="e">
        <f t="array" ref="J286">LOOKUP(1,0/(('5.21出货明细'!X:X=$D$263)*('5.21出货明细'!A:A=A286)),'5.21出货明细'!AT:AT)</f>
        <v>#N/A</v>
      </c>
      <c r="K286" s="607" t="e">
        <f t="array" ref="K286">LOOKUP(1,0/(('5.21出货明细'!X:X=$D$263)*('5.21出货明细'!A:A=A286)),'5.21出货明细'!S:S)</f>
        <v>#N/A</v>
      </c>
    </row>
    <row r="287" customFormat="1" ht="54" customHeight="1" spans="1:11">
      <c r="A287" s="601">
        <v>101</v>
      </c>
      <c r="B287" s="602" t="e">
        <f t="array" ref="B287">LOOKUP(1,0/(('5.21出货明细'!X:X=$D$263)*('5.21出货明细'!A:A=A287)),'5.21出货明细'!D:D)</f>
        <v>#N/A</v>
      </c>
      <c r="C287" s="603" t="e">
        <f t="array" ref="C287">LOOKUP(1,0/(('5.21出货明细'!X:X=$D$263)*('5.21出货明细'!A:A=A287)),'5.21出货明细'!G:G&amp;'5.21出货明细'!F:F)</f>
        <v>#N/A</v>
      </c>
      <c r="D287" s="604" t="e">
        <f t="array" ref="D287">LOOKUP(1,0/(('5.21出货明细'!X:X=$D$263)*('5.21出货明细'!A:A=A287)),'5.21出货明细'!K:K)</f>
        <v>#N/A</v>
      </c>
      <c r="E287" s="604" t="e">
        <f t="array" ref="E287">LOOKUP(1,0/(('5.21出货明细'!X:X=$D$263)*('5.21出货明细'!A:A=A287)),'5.21出货明细'!J:J)</f>
        <v>#N/A</v>
      </c>
      <c r="F287" s="604" t="e">
        <f t="array" ref="F287">LOOKUP(1,0/(('5.21出货明细'!X:X=$D$263)*('5.21出货明细'!A:A=A287)),'5.21出货明细'!L:L)</f>
        <v>#N/A</v>
      </c>
      <c r="G287" s="604" t="e">
        <f t="array" ref="G287">LOOKUP(1,0/(('5.21出货明细'!X:X=$D$263)*('5.21出货明细'!A:A=A287)),'5.21出货明细'!M:M)</f>
        <v>#N/A</v>
      </c>
      <c r="H287" s="605" t="e">
        <f t="array" ref="H287">LOOKUP(1,0/(('5.21出货明细'!X:X=$D$263)*('5.21出货明细'!A:A=A287)),'5.21出货明细'!P:P)</f>
        <v>#N/A</v>
      </c>
      <c r="I287" s="606" t="e">
        <f t="array" ref="I287">LOOKUP(1,0/(('5.21出货明细'!X:X=$D$263)*('5.21出货明细'!A:A=A287)),'5.21出货明细'!Q:Q)</f>
        <v>#N/A</v>
      </c>
      <c r="J287" s="606" t="e">
        <f t="array" ref="J287">LOOKUP(1,0/(('5.21出货明细'!X:X=$D$263)*('5.21出货明细'!A:A=A287)),'5.21出货明细'!AT:AT)</f>
        <v>#N/A</v>
      </c>
      <c r="K287" s="607" t="e">
        <f t="array" ref="K287">LOOKUP(1,0/(('5.21出货明细'!X:X=$D$263)*('5.21出货明细'!A:A=A287)),'5.21出货明细'!S:S)</f>
        <v>#N/A</v>
      </c>
    </row>
    <row r="288" customFormat="1" ht="54" customHeight="1" spans="1:11">
      <c r="A288" s="601">
        <v>102</v>
      </c>
      <c r="B288" s="602" t="e">
        <f t="array" ref="B288">LOOKUP(1,0/(('5.21出货明细'!X:X=$D$263)*('5.21出货明细'!A:A=A288)),'5.21出货明细'!D:D)</f>
        <v>#N/A</v>
      </c>
      <c r="C288" s="603" t="e">
        <f t="array" ref="C288">LOOKUP(1,0/(('5.21出货明细'!X:X=$D$263)*('5.21出货明细'!A:A=A288)),'5.21出货明细'!G:G&amp;'5.21出货明细'!F:F)</f>
        <v>#N/A</v>
      </c>
      <c r="D288" s="604" t="e">
        <f t="array" ref="D288">LOOKUP(1,0/(('5.21出货明细'!X:X=$D$263)*('5.21出货明细'!A:A=A288)),'5.21出货明细'!K:K)</f>
        <v>#N/A</v>
      </c>
      <c r="E288" s="604" t="e">
        <f t="array" ref="E288">LOOKUP(1,0/(('5.21出货明细'!X:X=$D$263)*('5.21出货明细'!A:A=A288)),'5.21出货明细'!J:J)</f>
        <v>#N/A</v>
      </c>
      <c r="F288" s="604" t="e">
        <f t="array" ref="F288">LOOKUP(1,0/(('5.21出货明细'!X:X=$D$263)*('5.21出货明细'!A:A=A288)),'5.21出货明细'!L:L)</f>
        <v>#N/A</v>
      </c>
      <c r="G288" s="604" t="e">
        <f t="array" ref="G288">LOOKUP(1,0/(('5.21出货明细'!X:X=$D$263)*('5.21出货明细'!A:A=A288)),'5.21出货明细'!M:M)</f>
        <v>#N/A</v>
      </c>
      <c r="H288" s="605" t="e">
        <f t="array" ref="H288">LOOKUP(1,0/(('5.21出货明细'!X:X=$D$263)*('5.21出货明细'!A:A=A288)),'5.21出货明细'!P:P)</f>
        <v>#N/A</v>
      </c>
      <c r="I288" s="606" t="e">
        <f t="array" ref="I288">LOOKUP(1,0/(('5.21出货明细'!X:X=$D$263)*('5.21出货明细'!A:A=A288)),'5.21出货明细'!Q:Q)</f>
        <v>#N/A</v>
      </c>
      <c r="J288" s="606" t="e">
        <f t="array" ref="J288">LOOKUP(1,0/(('5.21出货明细'!X:X=$D$263)*('5.21出货明细'!A:A=A288)),'5.21出货明细'!AT:AT)</f>
        <v>#N/A</v>
      </c>
      <c r="K288" s="607" t="e">
        <f t="array" ref="K288">LOOKUP(1,0/(('5.21出货明细'!X:X=$D$263)*('5.21出货明细'!A:A=A288)),'5.21出货明细'!S:S)</f>
        <v>#N/A</v>
      </c>
    </row>
    <row r="289" customFormat="1" ht="54" customHeight="1" spans="1:11">
      <c r="A289" s="601">
        <v>103</v>
      </c>
      <c r="B289" s="602" t="e">
        <f t="array" ref="B289">LOOKUP(1,0/(('5.21出货明细'!X:X=$D$263)*('5.21出货明细'!A:A=A289)),'5.21出货明细'!D:D)</f>
        <v>#N/A</v>
      </c>
      <c r="C289" s="603" t="e">
        <f t="array" ref="C289">LOOKUP(1,0/(('5.21出货明细'!X:X=$D$263)*('5.21出货明细'!A:A=A289)),'5.21出货明细'!G:G&amp;'5.21出货明细'!F:F)</f>
        <v>#N/A</v>
      </c>
      <c r="D289" s="604" t="e">
        <f t="array" ref="D289">LOOKUP(1,0/(('5.21出货明细'!X:X=$D$263)*('5.21出货明细'!A:A=A289)),'5.21出货明细'!K:K)</f>
        <v>#N/A</v>
      </c>
      <c r="E289" s="604" t="e">
        <f t="array" ref="E289">LOOKUP(1,0/(('5.21出货明细'!X:X=$D$263)*('5.21出货明细'!A:A=A289)),'5.21出货明细'!J:J)</f>
        <v>#N/A</v>
      </c>
      <c r="F289" s="604" t="e">
        <f t="array" ref="F289">LOOKUP(1,0/(('5.21出货明细'!X:X=$D$263)*('5.21出货明细'!A:A=A289)),'5.21出货明细'!L:L)</f>
        <v>#N/A</v>
      </c>
      <c r="G289" s="604" t="e">
        <f t="array" ref="G289">LOOKUP(1,0/(('5.21出货明细'!X:X=$D$263)*('5.21出货明细'!A:A=A289)),'5.21出货明细'!M:M)</f>
        <v>#N/A</v>
      </c>
      <c r="H289" s="605" t="e">
        <f t="array" ref="H289">LOOKUP(1,0/(('5.21出货明细'!X:X=$D$263)*('5.21出货明细'!A:A=A289)),'5.21出货明细'!P:P)</f>
        <v>#N/A</v>
      </c>
      <c r="I289" s="606" t="e">
        <f t="array" ref="I289">LOOKUP(1,0/(('5.21出货明细'!X:X=$D$263)*('5.21出货明细'!A:A=A289)),'5.21出货明细'!Q:Q)</f>
        <v>#N/A</v>
      </c>
      <c r="J289" s="606" t="e">
        <f t="array" ref="J289">LOOKUP(1,0/(('5.21出货明细'!X:X=$D$263)*('5.21出货明细'!A:A=A289)),'5.21出货明细'!AT:AT)</f>
        <v>#N/A</v>
      </c>
      <c r="K289" s="607" t="e">
        <f t="array" ref="K289">LOOKUP(1,0/(('5.21出货明细'!X:X=$D$263)*('5.21出货明细'!A:A=A289)),'5.21出货明细'!S:S)</f>
        <v>#N/A</v>
      </c>
    </row>
    <row r="290" customFormat="1" ht="54" customHeight="1" spans="1:11">
      <c r="A290" s="601">
        <v>104</v>
      </c>
      <c r="B290" s="602" t="e">
        <f t="array" ref="B290">LOOKUP(1,0/(('5.21出货明细'!X:X=$D$263)*('5.21出货明细'!A:A=A290)),'5.21出货明细'!D:D)</f>
        <v>#N/A</v>
      </c>
      <c r="C290" s="603" t="e">
        <f t="array" ref="C290">LOOKUP(1,0/(('5.21出货明细'!X:X=$D$263)*('5.21出货明细'!A:A=A290)),'5.21出货明细'!G:G&amp;'5.21出货明细'!F:F)</f>
        <v>#N/A</v>
      </c>
      <c r="D290" s="604" t="e">
        <f t="array" ref="D290">LOOKUP(1,0/(('5.21出货明细'!X:X=$D$263)*('5.21出货明细'!A:A=A290)),'5.21出货明细'!K:K)</f>
        <v>#N/A</v>
      </c>
      <c r="E290" s="604" t="e">
        <f t="array" ref="E290">LOOKUP(1,0/(('5.21出货明细'!X:X=$D$263)*('5.21出货明细'!A:A=A290)),'5.21出货明细'!J:J)</f>
        <v>#N/A</v>
      </c>
      <c r="F290" s="604" t="e">
        <f t="array" ref="F290">LOOKUP(1,0/(('5.21出货明细'!X:X=$D$263)*('5.21出货明细'!A:A=A290)),'5.21出货明细'!L:L)</f>
        <v>#N/A</v>
      </c>
      <c r="G290" s="604" t="e">
        <f t="array" ref="G290">LOOKUP(1,0/(('5.21出货明细'!X:X=$D$263)*('5.21出货明细'!A:A=A290)),'5.21出货明细'!M:M)</f>
        <v>#N/A</v>
      </c>
      <c r="H290" s="605" t="e">
        <f t="array" ref="H290">LOOKUP(1,0/(('5.21出货明细'!X:X=$D$263)*('5.21出货明细'!A:A=A290)),'5.21出货明细'!P:P)</f>
        <v>#N/A</v>
      </c>
      <c r="I290" s="606" t="e">
        <f t="array" ref="I290">LOOKUP(1,0/(('5.21出货明细'!X:X=$D$263)*('5.21出货明细'!A:A=A290)),'5.21出货明细'!Q:Q)</f>
        <v>#N/A</v>
      </c>
      <c r="J290" s="606" t="e">
        <f t="array" ref="J290">LOOKUP(1,0/(('5.21出货明细'!X:X=$D$263)*('5.21出货明细'!A:A=A290)),'5.21出货明细'!AT:AT)</f>
        <v>#N/A</v>
      </c>
      <c r="K290" s="607" t="e">
        <f t="array" ref="K290">LOOKUP(1,0/(('5.21出货明细'!X:X=$D$263)*('5.21出货明细'!A:A=A290)),'5.21出货明细'!S:S)</f>
        <v>#N/A</v>
      </c>
    </row>
    <row r="291" customFormat="1" ht="54" customHeight="1" spans="1:11">
      <c r="A291" s="601">
        <v>105</v>
      </c>
      <c r="B291" s="602" t="e">
        <f t="array" ref="B291">LOOKUP(1,0/(('5.21出货明细'!X:X=$D$263)*('5.21出货明细'!A:A=A291)),'5.21出货明细'!D:D)</f>
        <v>#N/A</v>
      </c>
      <c r="C291" s="603" t="e">
        <f t="array" ref="C291">LOOKUP(1,0/(('5.21出货明细'!X:X=$D$263)*('5.21出货明细'!A:A=A291)),'5.21出货明细'!G:G&amp;'5.21出货明细'!F:F)</f>
        <v>#N/A</v>
      </c>
      <c r="D291" s="604" t="e">
        <f t="array" ref="D291">LOOKUP(1,0/(('5.21出货明细'!X:X=$D$263)*('5.21出货明细'!A:A=A291)),'5.21出货明细'!K:K)</f>
        <v>#N/A</v>
      </c>
      <c r="E291" s="604" t="e">
        <f t="array" ref="E291">LOOKUP(1,0/(('5.21出货明细'!X:X=$D$263)*('5.21出货明细'!A:A=A291)),'5.21出货明细'!J:J)</f>
        <v>#N/A</v>
      </c>
      <c r="F291" s="604" t="e">
        <f t="array" ref="F291">LOOKUP(1,0/(('5.21出货明细'!X:X=$D$263)*('5.21出货明细'!A:A=A291)),'5.21出货明细'!L:L)</f>
        <v>#N/A</v>
      </c>
      <c r="G291" s="604" t="e">
        <f t="array" ref="G291">LOOKUP(1,0/(('5.21出货明细'!X:X=$D$263)*('5.21出货明细'!A:A=A291)),'5.21出货明细'!M:M)</f>
        <v>#N/A</v>
      </c>
      <c r="H291" s="605" t="e">
        <f t="array" ref="H291">LOOKUP(1,0/(('5.21出货明细'!X:X=$D$263)*('5.21出货明细'!A:A=A291)),'5.21出货明细'!P:P)</f>
        <v>#N/A</v>
      </c>
      <c r="I291" s="606" t="e">
        <f t="array" ref="I291">LOOKUP(1,0/(('5.21出货明细'!X:X=$D$263)*('5.21出货明细'!A:A=A291)),'5.21出货明细'!Q:Q)</f>
        <v>#N/A</v>
      </c>
      <c r="J291" s="606" t="e">
        <f t="array" ref="J291">LOOKUP(1,0/(('5.21出货明细'!X:X=$D$263)*('5.21出货明细'!A:A=A291)),'5.21出货明细'!AT:AT)</f>
        <v>#N/A</v>
      </c>
      <c r="K291" s="607" t="e">
        <f t="array" ref="K291">LOOKUP(1,0/(('5.21出货明细'!X:X=$D$263)*('5.21出货明细'!A:A=A291)),'5.21出货明细'!S:S)</f>
        <v>#N/A</v>
      </c>
    </row>
    <row r="292" customFormat="1" ht="54" customHeight="1" spans="1:11">
      <c r="A292" s="601">
        <v>106</v>
      </c>
      <c r="B292" s="602" t="e">
        <f t="array" ref="B292">LOOKUP(1,0/(('5.21出货明细'!X:X=$D$263)*('5.21出货明细'!A:A=A292)),'5.21出货明细'!D:D)</f>
        <v>#N/A</v>
      </c>
      <c r="C292" s="603" t="e">
        <f t="array" ref="C292">LOOKUP(1,0/(('5.21出货明细'!X:X=$D$263)*('5.21出货明细'!A:A=A292)),'5.21出货明细'!G:G&amp;'5.21出货明细'!F:F)</f>
        <v>#N/A</v>
      </c>
      <c r="D292" s="604" t="e">
        <f t="array" ref="D292">LOOKUP(1,0/(('5.21出货明细'!X:X=$D$263)*('5.21出货明细'!A:A=A292)),'5.21出货明细'!K:K)</f>
        <v>#N/A</v>
      </c>
      <c r="E292" s="604" t="e">
        <f t="array" ref="E292">LOOKUP(1,0/(('5.21出货明细'!X:X=$D$263)*('5.21出货明细'!A:A=A292)),'5.21出货明细'!J:J)</f>
        <v>#N/A</v>
      </c>
      <c r="F292" s="604" t="e">
        <f t="array" ref="F292">LOOKUP(1,0/(('5.21出货明细'!X:X=$D$263)*('5.21出货明细'!A:A=A292)),'5.21出货明细'!L:L)</f>
        <v>#N/A</v>
      </c>
      <c r="G292" s="604" t="e">
        <f t="array" ref="G292">LOOKUP(1,0/(('5.21出货明细'!X:X=$D$263)*('5.21出货明细'!A:A=A292)),'5.21出货明细'!M:M)</f>
        <v>#N/A</v>
      </c>
      <c r="H292" s="605" t="e">
        <f t="array" ref="H292">LOOKUP(1,0/(('5.21出货明细'!X:X=$D$263)*('5.21出货明细'!A:A=A292)),'5.21出货明细'!P:P)</f>
        <v>#N/A</v>
      </c>
      <c r="I292" s="606" t="e">
        <f t="array" ref="I292">LOOKUP(1,0/(('5.21出货明细'!X:X=$D$263)*('5.21出货明细'!A:A=A292)),'5.21出货明细'!Q:Q)</f>
        <v>#N/A</v>
      </c>
      <c r="J292" s="606" t="e">
        <f t="array" ref="J292">LOOKUP(1,0/(('5.21出货明细'!X:X=$D$263)*('5.21出货明细'!A:A=A292)),'5.21出货明细'!AT:AT)</f>
        <v>#N/A</v>
      </c>
      <c r="K292" s="607" t="e">
        <f t="array" ref="K292">LOOKUP(1,0/(('5.21出货明细'!X:X=$D$263)*('5.21出货明细'!A:A=A292)),'5.21出货明细'!S:S)</f>
        <v>#N/A</v>
      </c>
    </row>
    <row r="293" customFormat="1" ht="54" customHeight="1" spans="1:11">
      <c r="A293" s="601">
        <v>107</v>
      </c>
      <c r="B293" s="602" t="e">
        <f t="array" ref="B293">LOOKUP(1,0/(('5.21出货明细'!X:X=$D$263)*('5.21出货明细'!A:A=A293)),'5.21出货明细'!D:D)</f>
        <v>#N/A</v>
      </c>
      <c r="C293" s="603" t="e">
        <f t="array" ref="C293">LOOKUP(1,0/(('5.21出货明细'!X:X=$D$263)*('5.21出货明细'!A:A=A293)),'5.21出货明细'!G:G&amp;'5.21出货明细'!F:F)</f>
        <v>#N/A</v>
      </c>
      <c r="D293" s="604" t="e">
        <f t="array" ref="D293">LOOKUP(1,0/(('5.21出货明细'!X:X=$D$263)*('5.21出货明细'!A:A=A293)),'5.21出货明细'!K:K)</f>
        <v>#N/A</v>
      </c>
      <c r="E293" s="604" t="e">
        <f t="array" ref="E293">LOOKUP(1,0/(('5.21出货明细'!X:X=$D$263)*('5.21出货明细'!A:A=A293)),'5.21出货明细'!J:J)</f>
        <v>#N/A</v>
      </c>
      <c r="F293" s="604" t="e">
        <f t="array" ref="F293">LOOKUP(1,0/(('5.21出货明细'!X:X=$D$263)*('5.21出货明细'!A:A=A293)),'5.21出货明细'!L:L)</f>
        <v>#N/A</v>
      </c>
      <c r="G293" s="604" t="e">
        <f t="array" ref="G293">LOOKUP(1,0/(('5.21出货明细'!X:X=$D$263)*('5.21出货明细'!A:A=A293)),'5.21出货明细'!M:M)</f>
        <v>#N/A</v>
      </c>
      <c r="H293" s="605" t="e">
        <f t="array" ref="H293">LOOKUP(1,0/(('5.21出货明细'!X:X=$D$263)*('5.21出货明细'!A:A=A293)),'5.21出货明细'!P:P)</f>
        <v>#N/A</v>
      </c>
      <c r="I293" s="606" t="e">
        <f t="array" ref="I293">LOOKUP(1,0/(('5.21出货明细'!X:X=$D$263)*('5.21出货明细'!A:A=A293)),'5.21出货明细'!Q:Q)</f>
        <v>#N/A</v>
      </c>
      <c r="J293" s="606" t="e">
        <f t="array" ref="J293">LOOKUP(1,0/(('5.21出货明细'!X:X=$D$263)*('5.21出货明细'!A:A=A293)),'5.21出货明细'!AT:AT)</f>
        <v>#N/A</v>
      </c>
      <c r="K293" s="607" t="e">
        <f t="array" ref="K293">LOOKUP(1,0/(('5.21出货明细'!X:X=$D$263)*('5.21出货明细'!A:A=A293)),'5.21出货明细'!S:S)</f>
        <v>#N/A</v>
      </c>
    </row>
    <row r="294" customFormat="1" ht="54" customHeight="1" spans="1:11">
      <c r="A294" s="601">
        <v>108</v>
      </c>
      <c r="B294" s="602" t="e">
        <f t="array" ref="B294">LOOKUP(1,0/(('5.21出货明细'!X:X=$D$263)*('5.21出货明细'!A:A=A294)),'5.21出货明细'!D:D)</f>
        <v>#N/A</v>
      </c>
      <c r="C294" s="603" t="e">
        <f t="array" ref="C294">LOOKUP(1,0/(('5.21出货明细'!X:X=$D$263)*('5.21出货明细'!A:A=A294)),'5.21出货明细'!G:G&amp;'5.21出货明细'!F:F)</f>
        <v>#N/A</v>
      </c>
      <c r="D294" s="604" t="e">
        <f t="array" ref="D294">LOOKUP(1,0/(('5.21出货明细'!X:X=$D$263)*('5.21出货明细'!A:A=A294)),'5.21出货明细'!K:K)</f>
        <v>#N/A</v>
      </c>
      <c r="E294" s="604" t="e">
        <f t="array" ref="E294">LOOKUP(1,0/(('5.21出货明细'!X:X=$D$263)*('5.21出货明细'!A:A=A294)),'5.21出货明细'!J:J)</f>
        <v>#N/A</v>
      </c>
      <c r="F294" s="604" t="e">
        <f t="array" ref="F294">LOOKUP(1,0/(('5.21出货明细'!X:X=$D$263)*('5.21出货明细'!A:A=A294)),'5.21出货明细'!L:L)</f>
        <v>#N/A</v>
      </c>
      <c r="G294" s="604" t="e">
        <f t="array" ref="G294">LOOKUP(1,0/(('5.21出货明细'!X:X=$D$263)*('5.21出货明细'!A:A=A294)),'5.21出货明细'!M:M)</f>
        <v>#N/A</v>
      </c>
      <c r="H294" s="605" t="e">
        <f t="array" ref="H294">LOOKUP(1,0/(('5.21出货明细'!X:X=$D$263)*('5.21出货明细'!A:A=A294)),'5.21出货明细'!P:P)</f>
        <v>#N/A</v>
      </c>
      <c r="I294" s="606" t="e">
        <f t="array" ref="I294">LOOKUP(1,0/(('5.21出货明细'!X:X=$D$263)*('5.21出货明细'!A:A=A294)),'5.21出货明细'!Q:Q)</f>
        <v>#N/A</v>
      </c>
      <c r="J294" s="606" t="e">
        <f t="array" ref="J294">LOOKUP(1,0/(('5.21出货明细'!X:X=$D$263)*('5.21出货明细'!A:A=A294)),'5.21出货明细'!AT:AT)</f>
        <v>#N/A</v>
      </c>
      <c r="K294" s="607" t="e">
        <f t="array" ref="K294">LOOKUP(1,0/(('5.21出货明细'!X:X=$D$263)*('5.21出货明细'!A:A=A294)),'5.21出货明细'!S:S)</f>
        <v>#N/A</v>
      </c>
    </row>
    <row r="295" customFormat="1" ht="54" customHeight="1" spans="1:11">
      <c r="A295" s="601">
        <v>109</v>
      </c>
      <c r="B295" s="602" t="e">
        <f t="array" ref="B295">LOOKUP(1,0/(('5.21出货明细'!X:X=$D$263)*('5.21出货明细'!A:A=A295)),'5.21出货明细'!D:D)</f>
        <v>#N/A</v>
      </c>
      <c r="C295" s="603" t="e">
        <f t="array" ref="C295">LOOKUP(1,0/(('5.21出货明细'!X:X=$D$263)*('5.21出货明细'!A:A=A295)),'5.21出货明细'!G:G&amp;'5.21出货明细'!F:F)</f>
        <v>#N/A</v>
      </c>
      <c r="D295" s="604" t="e">
        <f t="array" ref="D295">LOOKUP(1,0/(('5.21出货明细'!X:X=$D$263)*('5.21出货明细'!A:A=A295)),'5.21出货明细'!K:K)</f>
        <v>#N/A</v>
      </c>
      <c r="E295" s="604" t="e">
        <f t="array" ref="E295">LOOKUP(1,0/(('5.21出货明细'!X:X=$D$263)*('5.21出货明细'!A:A=A295)),'5.21出货明细'!J:J)</f>
        <v>#N/A</v>
      </c>
      <c r="F295" s="604" t="e">
        <f t="array" ref="F295">LOOKUP(1,0/(('5.21出货明细'!X:X=$D$263)*('5.21出货明细'!A:A=A295)),'5.21出货明细'!L:L)</f>
        <v>#N/A</v>
      </c>
      <c r="G295" s="604" t="e">
        <f t="array" ref="G295">LOOKUP(1,0/(('5.21出货明细'!X:X=$D$263)*('5.21出货明细'!A:A=A295)),'5.21出货明细'!M:M)</f>
        <v>#N/A</v>
      </c>
      <c r="H295" s="605" t="e">
        <f t="array" ref="H295">LOOKUP(1,0/(('5.21出货明细'!X:X=$D$263)*('5.21出货明细'!A:A=A295)),'5.21出货明细'!P:P)</f>
        <v>#N/A</v>
      </c>
      <c r="I295" s="606" t="e">
        <f t="array" ref="I295">LOOKUP(1,0/(('5.21出货明细'!X:X=$D$263)*('5.21出货明细'!A:A=A295)),'5.21出货明细'!Q:Q)</f>
        <v>#N/A</v>
      </c>
      <c r="J295" s="606" t="e">
        <f t="array" ref="J295">LOOKUP(1,0/(('5.21出货明细'!X:X=$D$263)*('5.21出货明细'!A:A=A295)),'5.21出货明细'!AT:AT)</f>
        <v>#N/A</v>
      </c>
      <c r="K295" s="607" t="e">
        <f t="array" ref="K295">LOOKUP(1,0/(('5.21出货明细'!X:X=$D$263)*('5.21出货明细'!A:A=A295)),'5.21出货明细'!S:S)</f>
        <v>#N/A</v>
      </c>
    </row>
    <row r="296" customFormat="1" ht="18" spans="1:11">
      <c r="A296" s="608"/>
      <c r="B296" s="609"/>
      <c r="C296" s="603"/>
      <c r="D296" s="610" t="e">
        <f>SUM(D279:D295)</f>
        <v>#N/A</v>
      </c>
      <c r="E296" s="611"/>
      <c r="F296" s="610"/>
      <c r="G296" s="610"/>
      <c r="H296" s="612" t="e">
        <f>SUM(H279:H295)</f>
        <v>#N/A</v>
      </c>
      <c r="I296" s="612" t="e">
        <f>SUM(I279:I295)</f>
        <v>#N/A</v>
      </c>
      <c r="J296" s="612" t="e">
        <f>SUM(J279:J295)</f>
        <v>#N/A</v>
      </c>
      <c r="K296" s="613" t="e">
        <f>SUM(K279:K295)</f>
        <v>#N/A</v>
      </c>
    </row>
    <row r="297" customFormat="1" ht="18.75" spans="1:11">
      <c r="A297" s="614"/>
      <c r="B297" s="615"/>
      <c r="C297" s="616"/>
      <c r="D297" s="617"/>
      <c r="E297" s="618" t="s">
        <v>1553</v>
      </c>
      <c r="F297" s="618"/>
      <c r="G297" s="618"/>
      <c r="H297" s="618" t="s">
        <v>1553</v>
      </c>
      <c r="I297" s="618" t="s">
        <v>1553</v>
      </c>
      <c r="J297" s="618" t="s">
        <v>1553</v>
      </c>
      <c r="K297" s="618" t="s">
        <v>1553</v>
      </c>
    </row>
    <row r="298" s="514" customFormat="1" ht="26.25" spans="1:11">
      <c r="A298" s="619"/>
      <c r="B298" s="620"/>
      <c r="C298" s="620"/>
      <c r="D298" s="620"/>
      <c r="E298" s="620"/>
      <c r="F298" s="620"/>
      <c r="G298" s="620"/>
      <c r="H298" s="620"/>
      <c r="I298" s="620"/>
      <c r="J298" s="620"/>
      <c r="K298" s="620"/>
    </row>
    <row r="299" customFormat="1" ht="25.5" spans="1:11">
      <c r="A299" s="515" t="s">
        <v>1546</v>
      </c>
      <c r="B299" s="516"/>
      <c r="C299" s="516"/>
      <c r="D299" s="516"/>
      <c r="E299" s="516"/>
      <c r="F299" s="516"/>
      <c r="G299" s="516"/>
      <c r="H299" s="516"/>
      <c r="I299" s="516"/>
      <c r="J299" s="516"/>
      <c r="K299" s="517"/>
    </row>
    <row r="300" customFormat="1" spans="1:11">
      <c r="A300" s="518" t="s">
        <v>1656</v>
      </c>
      <c r="B300" s="519"/>
      <c r="C300" s="519"/>
      <c r="D300" s="519"/>
      <c r="E300" s="519"/>
      <c r="F300" s="519"/>
      <c r="G300" s="519"/>
      <c r="H300" s="519"/>
      <c r="I300" s="519"/>
      <c r="J300" s="519"/>
      <c r="K300" s="520"/>
    </row>
    <row r="301" customFormat="1" spans="1:11">
      <c r="A301" s="518"/>
      <c r="B301" s="519"/>
      <c r="C301" s="519"/>
      <c r="D301" s="519"/>
      <c r="E301" s="519"/>
      <c r="F301" s="519"/>
      <c r="G301" s="519"/>
      <c r="H301" s="519"/>
      <c r="I301" s="519"/>
      <c r="J301" s="519"/>
      <c r="K301" s="520"/>
    </row>
    <row r="302" customFormat="1" ht="18" spans="1:11">
      <c r="A302" s="521"/>
      <c r="B302" s="522"/>
      <c r="C302" s="522"/>
      <c r="D302" s="522"/>
      <c r="E302" s="522"/>
      <c r="F302" s="522"/>
      <c r="G302" s="522"/>
      <c r="H302" s="522"/>
      <c r="I302" s="522"/>
      <c r="J302" s="522"/>
      <c r="K302" s="523"/>
    </row>
    <row r="303" customFormat="1" ht="18" spans="1:11">
      <c r="A303" s="521"/>
      <c r="B303" s="522"/>
      <c r="C303" s="522"/>
      <c r="D303" s="522"/>
      <c r="E303" s="522"/>
      <c r="F303" s="522"/>
      <c r="G303" s="522"/>
      <c r="H303" s="522"/>
      <c r="I303" s="522"/>
      <c r="J303" s="522"/>
      <c r="K303" s="523"/>
    </row>
    <row r="304" customFormat="1" spans="1:11">
      <c r="A304" s="524" t="s">
        <v>1667</v>
      </c>
      <c r="B304" s="525"/>
      <c r="C304" s="525"/>
      <c r="D304" s="525"/>
      <c r="E304" s="525"/>
      <c r="F304" s="525"/>
      <c r="G304" s="525"/>
      <c r="H304" s="525"/>
      <c r="I304" s="525"/>
      <c r="J304" s="525"/>
      <c r="K304" s="526"/>
    </row>
    <row r="305" customFormat="1" ht="14.25" spans="1:11">
      <c r="A305" s="524"/>
      <c r="B305" s="525"/>
      <c r="C305" s="525"/>
      <c r="D305" s="525"/>
      <c r="E305" s="525"/>
      <c r="F305" s="525"/>
      <c r="G305" s="525"/>
      <c r="H305" s="525"/>
      <c r="I305" s="525"/>
      <c r="J305" s="525"/>
      <c r="K305" s="526"/>
    </row>
    <row r="306" customFormat="1" ht="16.5" spans="1:11">
      <c r="A306" s="527" t="s">
        <v>1668</v>
      </c>
      <c r="B306" s="528"/>
      <c r="C306" s="528"/>
      <c r="D306" s="529" t="s">
        <v>1669</v>
      </c>
      <c r="E306" s="530"/>
      <c r="F306" s="530"/>
      <c r="G306" s="530"/>
      <c r="H306" s="529" t="s">
        <v>1670</v>
      </c>
      <c r="I306" s="531"/>
      <c r="J306" s="531"/>
      <c r="K306" s="532"/>
    </row>
    <row r="307" customFormat="1" ht="16" customHeight="1" spans="1:11">
      <c r="A307" s="533" t="s">
        <v>1671</v>
      </c>
      <c r="B307" s="534"/>
      <c r="C307" s="534"/>
      <c r="D307" s="535" t="str">
        <f>实业发票!H338</f>
        <v>PR202600283</v>
      </c>
      <c r="E307" s="536"/>
      <c r="F307" s="536"/>
      <c r="G307" s="536"/>
      <c r="H307" s="537"/>
      <c r="I307" s="538"/>
      <c r="J307" s="538"/>
      <c r="K307" s="539"/>
    </row>
    <row r="308" customFormat="1" ht="16" customHeight="1" spans="1:11">
      <c r="A308" s="533"/>
      <c r="B308" s="534"/>
      <c r="C308" s="534"/>
      <c r="D308" s="540" t="s">
        <v>1672</v>
      </c>
      <c r="E308" s="541"/>
      <c r="F308" s="541"/>
      <c r="G308" s="542"/>
      <c r="H308" s="543"/>
      <c r="I308" s="543"/>
      <c r="J308" s="543"/>
      <c r="K308" s="544"/>
    </row>
    <row r="309" customFormat="1" ht="16" customHeight="1" spans="1:11">
      <c r="A309" s="533"/>
      <c r="B309" s="534"/>
      <c r="C309" s="534"/>
      <c r="D309" s="545">
        <f>D11</f>
        <v>46134</v>
      </c>
      <c r="E309" s="546"/>
      <c r="F309" s="546"/>
      <c r="G309" s="547"/>
      <c r="H309" s="548"/>
      <c r="I309" s="549"/>
      <c r="J309" s="549"/>
      <c r="K309" s="550"/>
    </row>
    <row r="310" customFormat="1" ht="16.5" spans="1:11">
      <c r="A310" s="551" t="s">
        <v>1673</v>
      </c>
      <c r="B310" s="552"/>
      <c r="C310" s="553"/>
      <c r="D310" s="554" t="s">
        <v>1674</v>
      </c>
      <c r="E310" s="555"/>
      <c r="F310" s="555"/>
      <c r="G310" s="555"/>
      <c r="H310" s="556" t="s">
        <v>1675</v>
      </c>
      <c r="I310" s="543"/>
      <c r="J310" s="557"/>
      <c r="K310" s="558"/>
    </row>
    <row r="311" customFormat="1" ht="16.5" spans="1:11">
      <c r="A311" s="551" t="s">
        <v>1676</v>
      </c>
      <c r="B311" s="552"/>
      <c r="C311" s="553"/>
      <c r="D311" s="559" t="str">
        <f>实业发票!H338</f>
        <v>PR202600283</v>
      </c>
      <c r="E311" s="559"/>
      <c r="F311" s="559"/>
      <c r="G311" s="559"/>
      <c r="H311" s="560"/>
      <c r="I311" s="560"/>
      <c r="J311" s="560"/>
      <c r="K311" s="561"/>
    </row>
    <row r="312" customFormat="1" ht="16.5" spans="1:11">
      <c r="A312" s="562" t="s">
        <v>1677</v>
      </c>
      <c r="B312" s="563"/>
      <c r="C312" s="563"/>
      <c r="D312" s="564"/>
      <c r="E312" s="564"/>
      <c r="F312" s="564"/>
      <c r="G312" s="564"/>
      <c r="H312" s="560"/>
      <c r="I312" s="560"/>
      <c r="J312" s="560"/>
      <c r="K312" s="561"/>
    </row>
    <row r="313" customFormat="1" ht="16.5" spans="1:11">
      <c r="A313" s="565" t="s">
        <v>1678</v>
      </c>
      <c r="B313" s="566"/>
      <c r="C313" s="567"/>
      <c r="D313" s="564"/>
      <c r="E313" s="564"/>
      <c r="F313" s="564"/>
      <c r="G313" s="564"/>
      <c r="H313" s="568"/>
      <c r="I313" s="568"/>
      <c r="J313" s="568"/>
      <c r="K313" s="569"/>
    </row>
    <row r="314" customFormat="1" ht="16.5" spans="1:11">
      <c r="A314" s="570" t="s">
        <v>1558</v>
      </c>
      <c r="B314" s="571"/>
      <c r="C314" s="553"/>
      <c r="D314" s="554" t="s">
        <v>1679</v>
      </c>
      <c r="E314" s="541"/>
      <c r="F314" s="541"/>
      <c r="G314" s="542"/>
      <c r="H314" s="556" t="s">
        <v>1680</v>
      </c>
      <c r="I314" s="543"/>
      <c r="J314" s="557"/>
      <c r="K314" s="558"/>
    </row>
    <row r="315" customFormat="1" ht="16.5" spans="1:11">
      <c r="A315" s="570" t="s">
        <v>1681</v>
      </c>
      <c r="B315" s="553"/>
      <c r="C315" s="572"/>
      <c r="D315" s="573" t="str">
        <f>D17</f>
        <v>BMOU6019197</v>
      </c>
      <c r="E315" s="574"/>
      <c r="F315" s="574"/>
      <c r="G315" s="575"/>
      <c r="H315" s="574" t="str">
        <f>H17</f>
        <v>EMCRZS9184</v>
      </c>
      <c r="I315" s="574"/>
      <c r="J315" s="574"/>
      <c r="K315" s="576"/>
    </row>
    <row r="316" customFormat="1" ht="16.5" spans="1:11">
      <c r="A316" s="577" t="s">
        <v>1684</v>
      </c>
      <c r="B316" s="578"/>
      <c r="C316" s="579"/>
      <c r="D316" s="573"/>
      <c r="E316" s="574"/>
      <c r="F316" s="574"/>
      <c r="G316" s="575"/>
      <c r="H316" s="574"/>
      <c r="I316" s="574"/>
      <c r="J316" s="574"/>
      <c r="K316" s="576"/>
    </row>
    <row r="317" customFormat="1" ht="16.5" spans="1:11">
      <c r="A317" s="577" t="s">
        <v>1685</v>
      </c>
      <c r="B317" s="578"/>
      <c r="C317" s="579"/>
      <c r="D317" s="573"/>
      <c r="E317" s="574"/>
      <c r="F317" s="574"/>
      <c r="G317" s="575"/>
      <c r="H317" s="574"/>
      <c r="I317" s="574"/>
      <c r="J317" s="574"/>
      <c r="K317" s="576"/>
    </row>
    <row r="318" customFormat="1" ht="16.5" spans="1:11">
      <c r="A318" s="580" t="s">
        <v>1686</v>
      </c>
      <c r="B318" s="581"/>
      <c r="C318" s="579"/>
      <c r="D318" s="573"/>
      <c r="E318" s="574"/>
      <c r="F318" s="574"/>
      <c r="G318" s="575"/>
      <c r="H318" s="574"/>
      <c r="I318" s="574"/>
      <c r="J318" s="574"/>
      <c r="K318" s="576"/>
    </row>
    <row r="319" customFormat="1" ht="16.5" spans="1:11">
      <c r="A319" s="577" t="s">
        <v>1687</v>
      </c>
      <c r="B319" s="572"/>
      <c r="C319" s="572"/>
      <c r="D319" s="582"/>
      <c r="E319" s="583"/>
      <c r="F319" s="583"/>
      <c r="G319" s="584"/>
      <c r="H319" s="583"/>
      <c r="I319" s="583"/>
      <c r="J319" s="583"/>
      <c r="K319" s="585"/>
    </row>
    <row r="320" customFormat="1" ht="16.5" spans="1:11">
      <c r="A320" s="577" t="s">
        <v>1561</v>
      </c>
      <c r="B320" s="572"/>
      <c r="C320" s="572"/>
      <c r="D320" s="554"/>
      <c r="E320" s="541"/>
      <c r="F320" s="541"/>
      <c r="G320" s="541"/>
      <c r="H320" s="586"/>
      <c r="I320" s="541"/>
      <c r="J320" s="541"/>
      <c r="K320" s="587"/>
    </row>
    <row r="321" customFormat="1" ht="18" customHeight="1" spans="1:11">
      <c r="A321" s="588" t="s">
        <v>1688</v>
      </c>
      <c r="B321" s="589"/>
      <c r="C321" s="590"/>
      <c r="D321" s="591"/>
      <c r="E321" s="592"/>
      <c r="F321" s="592"/>
      <c r="G321" s="592"/>
      <c r="H321" s="592"/>
      <c r="I321" s="592"/>
      <c r="J321" s="592"/>
      <c r="K321" s="593"/>
    </row>
    <row r="322" customFormat="1" ht="38.25" spans="1:11">
      <c r="A322" s="594" t="s">
        <v>1689</v>
      </c>
      <c r="B322" s="595" t="s">
        <v>1641</v>
      </c>
      <c r="C322" s="596" t="s">
        <v>1642</v>
      </c>
      <c r="D322" s="597" t="s">
        <v>1644</v>
      </c>
      <c r="E322" s="597" t="s">
        <v>8</v>
      </c>
      <c r="F322" s="597" t="s">
        <v>1644</v>
      </c>
      <c r="G322" s="595" t="s">
        <v>8</v>
      </c>
      <c r="H322" s="598" t="s">
        <v>1690</v>
      </c>
      <c r="I322" s="599" t="s">
        <v>1691</v>
      </c>
      <c r="J322" s="599" t="s">
        <v>23</v>
      </c>
      <c r="K322" s="600" t="s">
        <v>1692</v>
      </c>
    </row>
    <row r="323" s="429" customFormat="1" ht="54" customHeight="1" spans="1:11">
      <c r="A323" s="601">
        <v>110</v>
      </c>
      <c r="B323" s="602" t="e">
        <f t="array" ref="B323">LOOKUP(1,0/(('5.21出货明细'!X:X=$D$311)*('5.21出货明细'!A:A=A323)),'5.21出货明细'!D:D)</f>
        <v>#N/A</v>
      </c>
      <c r="C323" s="603" t="e">
        <f t="array" ref="C323">LOOKUP(1,0/(('5.21出货明细'!X:X=$D$311)*('5.21出货明细'!A:A=A323)),'5.21出货明细'!G:G&amp;'5.21出货明细'!F:F)</f>
        <v>#N/A</v>
      </c>
      <c r="D323" s="604" t="e">
        <f t="array" ref="D323">LOOKUP(1,0/(('5.21出货明细'!X:X=$D$311)*('5.21出货明细'!A:A=A323)),'5.21出货明细'!K:K)</f>
        <v>#N/A</v>
      </c>
      <c r="E323" s="604" t="e">
        <f t="array" ref="E323">LOOKUP(1,0/(('5.21出货明细'!X:X=$D$311)*('5.21出货明细'!A:A=A323)),'5.21出货明细'!J:J)</f>
        <v>#N/A</v>
      </c>
      <c r="F323" s="604" t="e">
        <f t="array" ref="F323">LOOKUP(1,0/(('5.21出货明细'!X:X=$D$311)*('5.21出货明细'!A:A=A323)),'5.21出货明细'!L:L)</f>
        <v>#N/A</v>
      </c>
      <c r="G323" s="604" t="e">
        <f t="array" ref="G323">LOOKUP(1,0/(('5.21出货明细'!X:X=$D$311)*('5.21出货明细'!A:A=A323)),'5.21出货明细'!M:M)</f>
        <v>#N/A</v>
      </c>
      <c r="H323" s="605" t="e">
        <f t="array" ref="H323">LOOKUP(1,0/(('5.21出货明细'!X:X=$D$311)*('5.21出货明细'!A:A=A323)),'5.21出货明细'!P:P)</f>
        <v>#N/A</v>
      </c>
      <c r="I323" s="606" t="e">
        <f t="array" ref="I323">LOOKUP(1,0/(('5.21出货明细'!X:X=$D$311)*('5.21出货明细'!A:A=A323)),'5.21出货明细'!Q:Q)</f>
        <v>#N/A</v>
      </c>
      <c r="J323" s="606" t="e">
        <f t="array" ref="J323">LOOKUP(1,0/(('5.21出货明细'!X:X=$D$311)*('5.21出货明细'!A:A=A323)),'5.21出货明细'!AT:AT)</f>
        <v>#N/A</v>
      </c>
      <c r="K323" s="607" t="e">
        <f t="array" ref="K323">LOOKUP(1,0/(('5.21出货明细'!X:X=$D$311)*('5.21出货明细'!A:A=A323)),'5.21出货明细'!S:S)</f>
        <v>#N/A</v>
      </c>
    </row>
    <row r="324" customFormat="1" ht="54" customHeight="1" spans="1:11">
      <c r="A324" s="601">
        <v>111</v>
      </c>
      <c r="B324" s="602" t="e">
        <f t="array" ref="B324">LOOKUP(1,0/(('5.21出货明细'!X:X=$D$311)*('5.21出货明细'!A:A=A324)),'5.21出货明细'!D:D)</f>
        <v>#N/A</v>
      </c>
      <c r="C324" s="603" t="e">
        <f t="array" ref="C324">LOOKUP(1,0/(('5.21出货明细'!X:X=$D$311)*('5.21出货明细'!A:A=A324)),'5.21出货明细'!G:G&amp;'5.21出货明细'!F:F)</f>
        <v>#N/A</v>
      </c>
      <c r="D324" s="604" t="e">
        <f t="array" ref="D324">LOOKUP(1,0/(('5.21出货明细'!X:X=$D$311)*('5.21出货明细'!A:A=A324)),'5.21出货明细'!K:K)</f>
        <v>#N/A</v>
      </c>
      <c r="E324" s="604" t="e">
        <f t="array" ref="E324">LOOKUP(1,0/(('5.21出货明细'!X:X=$D$311)*('5.21出货明细'!A:A=A324)),'5.21出货明细'!J:J)</f>
        <v>#N/A</v>
      </c>
      <c r="F324" s="604" t="e">
        <f t="array" ref="F324">LOOKUP(1,0/(('5.21出货明细'!X:X=$D$311)*('5.21出货明细'!A:A=A324)),'5.21出货明细'!L:L)</f>
        <v>#N/A</v>
      </c>
      <c r="G324" s="604" t="e">
        <f t="array" ref="G324">LOOKUP(1,0/(('5.21出货明细'!X:X=$D$311)*('5.21出货明细'!A:A=A324)),'5.21出货明细'!M:M)</f>
        <v>#N/A</v>
      </c>
      <c r="H324" s="605" t="e">
        <f t="array" ref="H324">LOOKUP(1,0/(('5.21出货明细'!X:X=$D$311)*('5.21出货明细'!A:A=A324)),'5.21出货明细'!P:P)</f>
        <v>#N/A</v>
      </c>
      <c r="I324" s="606" t="e">
        <f t="array" ref="I324">LOOKUP(1,0/(('5.21出货明细'!X:X=$D$311)*('5.21出货明细'!A:A=A324)),'5.21出货明细'!Q:Q)</f>
        <v>#N/A</v>
      </c>
      <c r="J324" s="606" t="e">
        <f t="array" ref="J324">LOOKUP(1,0/(('5.21出货明细'!X:X=$D$311)*('5.21出货明细'!A:A=A324)),'5.21出货明细'!AT:AT)</f>
        <v>#N/A</v>
      </c>
      <c r="K324" s="607" t="e">
        <f t="array" ref="K324">LOOKUP(1,0/(('5.21出货明细'!X:X=$D$311)*('5.21出货明细'!A:A=A324)),'5.21出货明细'!S:S)</f>
        <v>#N/A</v>
      </c>
    </row>
    <row r="325" customFormat="1" ht="54" customHeight="1" spans="1:11">
      <c r="A325" s="601">
        <v>112</v>
      </c>
      <c r="B325" s="602" t="e">
        <f t="array" ref="B325">LOOKUP(1,0/(('5.21出货明细'!X:X=$D$311)*('5.21出货明细'!A:A=A325)),'5.21出货明细'!D:D)</f>
        <v>#N/A</v>
      </c>
      <c r="C325" s="603" t="e">
        <f t="array" ref="C325">LOOKUP(1,0/(('5.21出货明细'!X:X=$D$311)*('5.21出货明细'!A:A=A325)),'5.21出货明细'!G:G&amp;'5.21出货明细'!F:F)</f>
        <v>#N/A</v>
      </c>
      <c r="D325" s="604" t="e">
        <f t="array" ref="D325">LOOKUP(1,0/(('5.21出货明细'!X:X=$D$311)*('5.21出货明细'!A:A=A325)),'5.21出货明细'!K:K)</f>
        <v>#N/A</v>
      </c>
      <c r="E325" s="604" t="e">
        <f t="array" ref="E325">LOOKUP(1,0/(('5.21出货明细'!X:X=$D$311)*('5.21出货明细'!A:A=A325)),'5.21出货明细'!J:J)</f>
        <v>#N/A</v>
      </c>
      <c r="F325" s="604" t="e">
        <f t="array" ref="F325">LOOKUP(1,0/(('5.21出货明细'!X:X=$D$311)*('5.21出货明细'!A:A=A325)),'5.21出货明细'!L:L)</f>
        <v>#N/A</v>
      </c>
      <c r="G325" s="604" t="e">
        <f t="array" ref="G325">LOOKUP(1,0/(('5.21出货明细'!X:X=$D$311)*('5.21出货明细'!A:A=A325)),'5.21出货明细'!M:M)</f>
        <v>#N/A</v>
      </c>
      <c r="H325" s="605" t="e">
        <f t="array" ref="H325">LOOKUP(1,0/(('5.21出货明细'!X:X=$D$311)*('5.21出货明细'!A:A=A325)),'5.21出货明细'!P:P)</f>
        <v>#N/A</v>
      </c>
      <c r="I325" s="606" t="e">
        <f t="array" ref="I325">LOOKUP(1,0/(('5.21出货明细'!X:X=$D$311)*('5.21出货明细'!A:A=A325)),'5.21出货明细'!Q:Q)</f>
        <v>#N/A</v>
      </c>
      <c r="J325" s="606" t="e">
        <f t="array" ref="J325">LOOKUP(1,0/(('5.21出货明细'!X:X=$D$311)*('5.21出货明细'!A:A=A325)),'5.21出货明细'!AT:AT)</f>
        <v>#N/A</v>
      </c>
      <c r="K325" s="607" t="e">
        <f t="array" ref="K325">LOOKUP(1,0/(('5.21出货明细'!X:X=$D$311)*('5.21出货明细'!A:A=A325)),'5.21出货明细'!S:S)</f>
        <v>#N/A</v>
      </c>
    </row>
    <row r="326" customFormat="1" ht="54" customHeight="1" spans="1:11">
      <c r="A326" s="601">
        <v>113</v>
      </c>
      <c r="B326" s="602" t="e">
        <f t="array" ref="B326">LOOKUP(1,0/(('5.21出货明细'!X:X=$D$311)*('5.21出货明细'!A:A=A326)),'5.21出货明细'!D:D)</f>
        <v>#N/A</v>
      </c>
      <c r="C326" s="603" t="e">
        <f t="array" ref="C326">LOOKUP(1,0/(('5.21出货明细'!X:X=$D$311)*('5.21出货明细'!A:A=A326)),'5.21出货明细'!G:G&amp;'5.21出货明细'!F:F)</f>
        <v>#N/A</v>
      </c>
      <c r="D326" s="604" t="e">
        <f t="array" ref="D326">LOOKUP(1,0/(('5.21出货明细'!X:X=$D$311)*('5.21出货明细'!A:A=A326)),'5.21出货明细'!K:K)</f>
        <v>#N/A</v>
      </c>
      <c r="E326" s="604" t="e">
        <f t="array" ref="E326">LOOKUP(1,0/(('5.21出货明细'!X:X=$D$311)*('5.21出货明细'!A:A=A326)),'5.21出货明细'!J:J)</f>
        <v>#N/A</v>
      </c>
      <c r="F326" s="604" t="e">
        <f t="array" ref="F326">LOOKUP(1,0/(('5.21出货明细'!X:X=$D$311)*('5.21出货明细'!A:A=A326)),'5.21出货明细'!L:L)</f>
        <v>#N/A</v>
      </c>
      <c r="G326" s="604" t="e">
        <f t="array" ref="G326">LOOKUP(1,0/(('5.21出货明细'!X:X=$D$311)*('5.21出货明细'!A:A=A326)),'5.21出货明细'!M:M)</f>
        <v>#N/A</v>
      </c>
      <c r="H326" s="605" t="e">
        <f t="array" ref="H326">LOOKUP(1,0/(('5.21出货明细'!X:X=$D$311)*('5.21出货明细'!A:A=A326)),'5.21出货明细'!P:P)</f>
        <v>#N/A</v>
      </c>
      <c r="I326" s="606" t="e">
        <f t="array" ref="I326">LOOKUP(1,0/(('5.21出货明细'!X:X=$D$311)*('5.21出货明细'!A:A=A326)),'5.21出货明细'!Q:Q)</f>
        <v>#N/A</v>
      </c>
      <c r="J326" s="606" t="e">
        <f t="array" ref="J326">LOOKUP(1,0/(('5.21出货明细'!X:X=$D$311)*('5.21出货明细'!A:A=A326)),'5.21出货明细'!AT:AT)</f>
        <v>#N/A</v>
      </c>
      <c r="K326" s="607" t="e">
        <f t="array" ref="K326">LOOKUP(1,0/(('5.21出货明细'!X:X=$D$311)*('5.21出货明细'!A:A=A326)),'5.21出货明细'!S:S)</f>
        <v>#N/A</v>
      </c>
    </row>
    <row r="327" customFormat="1" ht="54" customHeight="1" spans="1:11">
      <c r="A327" s="601">
        <v>114</v>
      </c>
      <c r="B327" s="602" t="e">
        <f t="array" ref="B327">LOOKUP(1,0/(('5.21出货明细'!X:X=$D$311)*('5.21出货明细'!A:A=A327)),'5.21出货明细'!D:D)</f>
        <v>#N/A</v>
      </c>
      <c r="C327" s="603" t="e">
        <f t="array" ref="C327">LOOKUP(1,0/(('5.21出货明细'!X:X=$D$311)*('5.21出货明细'!A:A=A327)),'5.21出货明细'!G:G&amp;'5.21出货明细'!F:F)</f>
        <v>#N/A</v>
      </c>
      <c r="D327" s="604" t="e">
        <f t="array" ref="D327">LOOKUP(1,0/(('5.21出货明细'!X:X=$D$311)*('5.21出货明细'!A:A=A327)),'5.21出货明细'!K:K)</f>
        <v>#N/A</v>
      </c>
      <c r="E327" s="604" t="e">
        <f t="array" ref="E327">LOOKUP(1,0/(('5.21出货明细'!X:X=$D$311)*('5.21出货明细'!A:A=A327)),'5.21出货明细'!J:J)</f>
        <v>#N/A</v>
      </c>
      <c r="F327" s="604" t="e">
        <f t="array" ref="F327">LOOKUP(1,0/(('5.21出货明细'!X:X=$D$311)*('5.21出货明细'!A:A=A327)),'5.21出货明细'!L:L)</f>
        <v>#N/A</v>
      </c>
      <c r="G327" s="604" t="e">
        <f t="array" ref="G327">LOOKUP(1,0/(('5.21出货明细'!X:X=$D$311)*('5.21出货明细'!A:A=A327)),'5.21出货明细'!M:M)</f>
        <v>#N/A</v>
      </c>
      <c r="H327" s="605" t="e">
        <f t="array" ref="H327">LOOKUP(1,0/(('5.21出货明细'!X:X=$D$311)*('5.21出货明细'!A:A=A327)),'5.21出货明细'!P:P)</f>
        <v>#N/A</v>
      </c>
      <c r="I327" s="606" t="e">
        <f t="array" ref="I327">LOOKUP(1,0/(('5.21出货明细'!X:X=$D$311)*('5.21出货明细'!A:A=A327)),'5.21出货明细'!Q:Q)</f>
        <v>#N/A</v>
      </c>
      <c r="J327" s="606" t="e">
        <f t="array" ref="J327">LOOKUP(1,0/(('5.21出货明细'!X:X=$D$311)*('5.21出货明细'!A:A=A327)),'5.21出货明细'!AT:AT)</f>
        <v>#N/A</v>
      </c>
      <c r="K327" s="607" t="e">
        <f t="array" ref="K327">LOOKUP(1,0/(('5.21出货明细'!X:X=$D$311)*('5.21出货明细'!A:A=A327)),'5.21出货明细'!S:S)</f>
        <v>#N/A</v>
      </c>
    </row>
    <row r="328" customFormat="1" ht="54" customHeight="1" spans="1:11">
      <c r="A328" s="601">
        <v>115</v>
      </c>
      <c r="B328" s="602" t="e">
        <f t="array" ref="B328">LOOKUP(1,0/(('5.21出货明细'!X:X=$D$311)*('5.21出货明细'!A:A=A328)),'5.21出货明细'!D:D)</f>
        <v>#N/A</v>
      </c>
      <c r="C328" s="603" t="e">
        <f t="array" ref="C328">LOOKUP(1,0/(('5.21出货明细'!X:X=$D$311)*('5.21出货明细'!A:A=A328)),'5.21出货明细'!G:G&amp;'5.21出货明细'!F:F)</f>
        <v>#N/A</v>
      </c>
      <c r="D328" s="604" t="e">
        <f t="array" ref="D328">LOOKUP(1,0/(('5.21出货明细'!X:X=$D$311)*('5.21出货明细'!A:A=A328)),'5.21出货明细'!K:K)</f>
        <v>#N/A</v>
      </c>
      <c r="E328" s="604" t="e">
        <f t="array" ref="E328">LOOKUP(1,0/(('5.21出货明细'!X:X=$D$311)*('5.21出货明细'!A:A=A328)),'5.21出货明细'!J:J)</f>
        <v>#N/A</v>
      </c>
      <c r="F328" s="604" t="e">
        <f t="array" ref="F328">LOOKUP(1,0/(('5.21出货明细'!X:X=$D$311)*('5.21出货明细'!A:A=A328)),'5.21出货明细'!L:L)</f>
        <v>#N/A</v>
      </c>
      <c r="G328" s="604" t="e">
        <f t="array" ref="G328">LOOKUP(1,0/(('5.21出货明细'!X:X=$D$311)*('5.21出货明细'!A:A=A328)),'5.21出货明细'!M:M)</f>
        <v>#N/A</v>
      </c>
      <c r="H328" s="605" t="e">
        <f t="array" ref="H328">LOOKUP(1,0/(('5.21出货明细'!X:X=$D$311)*('5.21出货明细'!A:A=A328)),'5.21出货明细'!P:P)</f>
        <v>#N/A</v>
      </c>
      <c r="I328" s="606" t="e">
        <f t="array" ref="I328">LOOKUP(1,0/(('5.21出货明细'!X:X=$D$311)*('5.21出货明细'!A:A=A328)),'5.21出货明细'!Q:Q)</f>
        <v>#N/A</v>
      </c>
      <c r="J328" s="606" t="e">
        <f t="array" ref="J328">LOOKUP(1,0/(('5.21出货明细'!X:X=$D$311)*('5.21出货明细'!A:A=A328)),'5.21出货明细'!AT:AT)</f>
        <v>#N/A</v>
      </c>
      <c r="K328" s="607" t="e">
        <f t="array" ref="K328">LOOKUP(1,0/(('5.21出货明细'!X:X=$D$311)*('5.21出货明细'!A:A=A328)),'5.21出货明细'!S:S)</f>
        <v>#N/A</v>
      </c>
    </row>
    <row r="329" customFormat="1" ht="54" customHeight="1" spans="1:11">
      <c r="A329" s="601">
        <v>116</v>
      </c>
      <c r="B329" s="602" t="e">
        <f t="array" ref="B329">LOOKUP(1,0/(('5.21出货明细'!X:X=$D$311)*('5.21出货明细'!A:A=A329)),'5.21出货明细'!D:D)</f>
        <v>#N/A</v>
      </c>
      <c r="C329" s="603" t="e">
        <f t="array" ref="C329">LOOKUP(1,0/(('5.21出货明细'!X:X=$D$311)*('5.21出货明细'!A:A=A329)),'5.21出货明细'!G:G&amp;'5.21出货明细'!F:F)</f>
        <v>#N/A</v>
      </c>
      <c r="D329" s="604" t="e">
        <f t="array" ref="D329">LOOKUP(1,0/(('5.21出货明细'!X:X=$D$311)*('5.21出货明细'!A:A=A329)),'5.21出货明细'!K:K)</f>
        <v>#N/A</v>
      </c>
      <c r="E329" s="604" t="e">
        <f t="array" ref="E329">LOOKUP(1,0/(('5.21出货明细'!X:X=$D$311)*('5.21出货明细'!A:A=A329)),'5.21出货明细'!J:J)</f>
        <v>#N/A</v>
      </c>
      <c r="F329" s="604" t="e">
        <f t="array" ref="F329">LOOKUP(1,0/(('5.21出货明细'!X:X=$D$311)*('5.21出货明细'!A:A=A329)),'5.21出货明细'!L:L)</f>
        <v>#N/A</v>
      </c>
      <c r="G329" s="604" t="e">
        <f t="array" ref="G329">LOOKUP(1,0/(('5.21出货明细'!X:X=$D$311)*('5.21出货明细'!A:A=A329)),'5.21出货明细'!M:M)</f>
        <v>#N/A</v>
      </c>
      <c r="H329" s="605" t="e">
        <f t="array" ref="H329">LOOKUP(1,0/(('5.21出货明细'!X:X=$D$311)*('5.21出货明细'!A:A=A329)),'5.21出货明细'!P:P)</f>
        <v>#N/A</v>
      </c>
      <c r="I329" s="606" t="e">
        <f t="array" ref="I329">LOOKUP(1,0/(('5.21出货明细'!X:X=$D$311)*('5.21出货明细'!A:A=A329)),'5.21出货明细'!Q:Q)</f>
        <v>#N/A</v>
      </c>
      <c r="J329" s="606" t="e">
        <f t="array" ref="J329">LOOKUP(1,0/(('5.21出货明细'!X:X=$D$311)*('5.21出货明细'!A:A=A329)),'5.21出货明细'!AT:AT)</f>
        <v>#N/A</v>
      </c>
      <c r="K329" s="607" t="e">
        <f t="array" ref="K329">LOOKUP(1,0/(('5.21出货明细'!X:X=$D$311)*('5.21出货明细'!A:A=A329)),'5.21出货明细'!S:S)</f>
        <v>#N/A</v>
      </c>
    </row>
    <row r="330" customFormat="1" ht="54" customHeight="1" spans="1:11">
      <c r="A330" s="601">
        <v>117</v>
      </c>
      <c r="B330" s="602" t="e">
        <f t="array" ref="B330">LOOKUP(1,0/(('5.21出货明细'!X:X=$D$311)*('5.21出货明细'!A:A=A330)),'5.21出货明细'!D:D)</f>
        <v>#N/A</v>
      </c>
      <c r="C330" s="603" t="e">
        <f t="array" ref="C330">LOOKUP(1,0/(('5.21出货明细'!X:X=$D$311)*('5.21出货明细'!A:A=A330)),'5.21出货明细'!G:G&amp;'5.21出货明细'!F:F)</f>
        <v>#N/A</v>
      </c>
      <c r="D330" s="604" t="e">
        <f t="array" ref="D330">LOOKUP(1,0/(('5.21出货明细'!X:X=$D$311)*('5.21出货明细'!A:A=A330)),'5.21出货明细'!K:K)</f>
        <v>#N/A</v>
      </c>
      <c r="E330" s="604" t="e">
        <f t="array" ref="E330">LOOKUP(1,0/(('5.21出货明细'!X:X=$D$311)*('5.21出货明细'!A:A=A330)),'5.21出货明细'!J:J)</f>
        <v>#N/A</v>
      </c>
      <c r="F330" s="604" t="e">
        <f t="array" ref="F330">LOOKUP(1,0/(('5.21出货明细'!X:X=$D$311)*('5.21出货明细'!A:A=A330)),'5.21出货明细'!L:L)</f>
        <v>#N/A</v>
      </c>
      <c r="G330" s="604" t="e">
        <f t="array" ref="G330">LOOKUP(1,0/(('5.21出货明细'!X:X=$D$311)*('5.21出货明细'!A:A=A330)),'5.21出货明细'!M:M)</f>
        <v>#N/A</v>
      </c>
      <c r="H330" s="605" t="e">
        <f t="array" ref="H330">LOOKUP(1,0/(('5.21出货明细'!X:X=$D$311)*('5.21出货明细'!A:A=A330)),'5.21出货明细'!P:P)</f>
        <v>#N/A</v>
      </c>
      <c r="I330" s="606" t="e">
        <f t="array" ref="I330">LOOKUP(1,0/(('5.21出货明细'!X:X=$D$311)*('5.21出货明细'!A:A=A330)),'5.21出货明细'!Q:Q)</f>
        <v>#N/A</v>
      </c>
      <c r="J330" s="606" t="e">
        <f t="array" ref="J330">LOOKUP(1,0/(('5.21出货明细'!X:X=$D$311)*('5.21出货明细'!A:A=A330)),'5.21出货明细'!AT:AT)</f>
        <v>#N/A</v>
      </c>
      <c r="K330" s="607" t="e">
        <f t="array" ref="K330">LOOKUP(1,0/(('5.21出货明细'!X:X=$D$311)*('5.21出货明细'!A:A=A330)),'5.21出货明细'!S:S)</f>
        <v>#N/A</v>
      </c>
    </row>
    <row r="331" customFormat="1" ht="54" customHeight="1" spans="1:11">
      <c r="A331" s="601"/>
      <c r="B331" s="602"/>
      <c r="C331" s="603"/>
      <c r="D331" s="604"/>
      <c r="E331" s="604"/>
      <c r="F331" s="604"/>
      <c r="G331" s="604"/>
      <c r="H331" s="605"/>
      <c r="I331" s="606"/>
      <c r="J331" s="606"/>
      <c r="K331" s="607"/>
    </row>
    <row r="332" customFormat="1" ht="54" customHeight="1" spans="1:11">
      <c r="A332" s="601"/>
      <c r="B332" s="602"/>
      <c r="C332" s="603"/>
      <c r="D332" s="604"/>
      <c r="E332" s="604"/>
      <c r="F332" s="604"/>
      <c r="G332" s="604"/>
      <c r="H332" s="605"/>
      <c r="I332" s="606"/>
      <c r="J332" s="606"/>
      <c r="K332" s="607"/>
    </row>
    <row r="333" customFormat="1" ht="18" spans="1:11">
      <c r="A333" s="608"/>
      <c r="B333" s="609"/>
      <c r="C333" s="603"/>
      <c r="D333" s="610" t="e">
        <f>SUM(D323:D332)</f>
        <v>#N/A</v>
      </c>
      <c r="E333" s="611"/>
      <c r="F333" s="610"/>
      <c r="G333" s="610"/>
      <c r="H333" s="612" t="e">
        <f>SUM(H323:H332)</f>
        <v>#N/A</v>
      </c>
      <c r="I333" s="612" t="e">
        <f>SUM(I323:I332)</f>
        <v>#N/A</v>
      </c>
      <c r="J333" s="612" t="e">
        <f>SUM(J323:J332)</f>
        <v>#N/A</v>
      </c>
      <c r="K333" s="613" t="e">
        <f>SUM(K323:K332)</f>
        <v>#N/A</v>
      </c>
    </row>
    <row r="334" customFormat="1" ht="18.75" spans="1:11">
      <c r="A334" s="614"/>
      <c r="B334" s="615"/>
      <c r="C334" s="616"/>
      <c r="D334" s="617"/>
      <c r="E334" s="618" t="s">
        <v>1553</v>
      </c>
      <c r="F334" s="618"/>
      <c r="G334" s="618"/>
      <c r="H334" s="618" t="s">
        <v>1553</v>
      </c>
      <c r="I334" s="618" t="s">
        <v>1553</v>
      </c>
      <c r="J334" s="618" t="s">
        <v>1553</v>
      </c>
      <c r="K334" s="618" t="s">
        <v>1553</v>
      </c>
    </row>
    <row r="335" s="514" customFormat="1" ht="26.25" spans="1:11">
      <c r="A335" s="619"/>
      <c r="B335" s="620"/>
      <c r="C335" s="620"/>
      <c r="D335" s="620"/>
      <c r="E335" s="620"/>
      <c r="F335" s="620"/>
      <c r="G335" s="620"/>
      <c r="H335" s="620"/>
      <c r="I335" s="620"/>
      <c r="J335" s="620"/>
      <c r="K335" s="620"/>
    </row>
    <row r="336" customFormat="1" ht="25.5" spans="1:11">
      <c r="A336" s="515" t="s">
        <v>1546</v>
      </c>
      <c r="B336" s="516"/>
      <c r="C336" s="516"/>
      <c r="D336" s="516"/>
      <c r="E336" s="516"/>
      <c r="F336" s="516"/>
      <c r="G336" s="516"/>
      <c r="H336" s="516"/>
      <c r="I336" s="516"/>
      <c r="J336" s="516"/>
      <c r="K336" s="517"/>
    </row>
    <row r="337" customFormat="1" spans="1:11">
      <c r="A337" s="518" t="s">
        <v>1656</v>
      </c>
      <c r="B337" s="519"/>
      <c r="C337" s="519"/>
      <c r="D337" s="519"/>
      <c r="E337" s="519"/>
      <c r="F337" s="519"/>
      <c r="G337" s="519"/>
      <c r="H337" s="519"/>
      <c r="I337" s="519"/>
      <c r="J337" s="519"/>
      <c r="K337" s="520"/>
    </row>
    <row r="338" customFormat="1" spans="1:11">
      <c r="A338" s="518"/>
      <c r="B338" s="519"/>
      <c r="C338" s="519"/>
      <c r="D338" s="519"/>
      <c r="E338" s="519"/>
      <c r="F338" s="519"/>
      <c r="G338" s="519"/>
      <c r="H338" s="519"/>
      <c r="I338" s="519"/>
      <c r="J338" s="519"/>
      <c r="K338" s="520"/>
    </row>
    <row r="339" customFormat="1" ht="18" spans="1:11">
      <c r="A339" s="521"/>
      <c r="B339" s="522"/>
      <c r="C339" s="522"/>
      <c r="D339" s="522"/>
      <c r="E339" s="522"/>
      <c r="F339" s="522"/>
      <c r="G339" s="522"/>
      <c r="H339" s="522"/>
      <c r="I339" s="522"/>
      <c r="J339" s="522"/>
      <c r="K339" s="523"/>
    </row>
    <row r="340" customFormat="1" ht="18" spans="1:11">
      <c r="A340" s="521"/>
      <c r="B340" s="522"/>
      <c r="C340" s="522"/>
      <c r="D340" s="522"/>
      <c r="E340" s="522"/>
      <c r="F340" s="522"/>
      <c r="G340" s="522"/>
      <c r="H340" s="522"/>
      <c r="I340" s="522"/>
      <c r="J340" s="522"/>
      <c r="K340" s="523"/>
    </row>
    <row r="341" customFormat="1" spans="1:11">
      <c r="A341" s="524" t="s">
        <v>1667</v>
      </c>
      <c r="B341" s="525"/>
      <c r="C341" s="525"/>
      <c r="D341" s="525"/>
      <c r="E341" s="525"/>
      <c r="F341" s="525"/>
      <c r="G341" s="525"/>
      <c r="H341" s="525"/>
      <c r="I341" s="525"/>
      <c r="J341" s="525"/>
      <c r="K341" s="526"/>
    </row>
    <row r="342" customFormat="1" ht="14.25" spans="1:11">
      <c r="A342" s="524"/>
      <c r="B342" s="525"/>
      <c r="C342" s="525"/>
      <c r="D342" s="525"/>
      <c r="E342" s="525"/>
      <c r="F342" s="525"/>
      <c r="G342" s="525"/>
      <c r="H342" s="525"/>
      <c r="I342" s="525"/>
      <c r="J342" s="525"/>
      <c r="K342" s="526"/>
    </row>
    <row r="343" customFormat="1" ht="16.5" spans="1:11">
      <c r="A343" s="527" t="s">
        <v>1668</v>
      </c>
      <c r="B343" s="528"/>
      <c r="C343" s="528"/>
      <c r="D343" s="529" t="s">
        <v>1669</v>
      </c>
      <c r="E343" s="530"/>
      <c r="F343" s="530"/>
      <c r="G343" s="530"/>
      <c r="H343" s="529" t="s">
        <v>1670</v>
      </c>
      <c r="I343" s="531"/>
      <c r="J343" s="531"/>
      <c r="K343" s="532"/>
    </row>
    <row r="344" customFormat="1" ht="16" customHeight="1" spans="1:11">
      <c r="A344" s="533" t="s">
        <v>1671</v>
      </c>
      <c r="B344" s="534"/>
      <c r="C344" s="534"/>
      <c r="D344" s="535" t="str">
        <f>实业发票!H381</f>
        <v>PR202600284</v>
      </c>
      <c r="E344" s="536"/>
      <c r="F344" s="536"/>
      <c r="G344" s="536"/>
      <c r="H344" s="537"/>
      <c r="I344" s="538"/>
      <c r="J344" s="538"/>
      <c r="K344" s="539"/>
    </row>
    <row r="345" customFormat="1" ht="16" customHeight="1" spans="1:11">
      <c r="A345" s="533"/>
      <c r="B345" s="534"/>
      <c r="C345" s="534"/>
      <c r="D345" s="540" t="s">
        <v>1672</v>
      </c>
      <c r="E345" s="541"/>
      <c r="F345" s="541"/>
      <c r="G345" s="542"/>
      <c r="H345" s="543"/>
      <c r="I345" s="543"/>
      <c r="J345" s="543"/>
      <c r="K345" s="544"/>
    </row>
    <row r="346" customFormat="1" ht="16" customHeight="1" spans="1:11">
      <c r="A346" s="533"/>
      <c r="B346" s="534"/>
      <c r="C346" s="534"/>
      <c r="D346" s="545">
        <f>D11</f>
        <v>46134</v>
      </c>
      <c r="E346" s="546"/>
      <c r="F346" s="546"/>
      <c r="G346" s="547"/>
      <c r="H346" s="548"/>
      <c r="I346" s="549"/>
      <c r="J346" s="549"/>
      <c r="K346" s="550"/>
    </row>
    <row r="347" customFormat="1" ht="16.5" spans="1:11">
      <c r="A347" s="551" t="s">
        <v>1673</v>
      </c>
      <c r="B347" s="552"/>
      <c r="C347" s="553"/>
      <c r="D347" s="554" t="s">
        <v>1674</v>
      </c>
      <c r="E347" s="555"/>
      <c r="F347" s="555"/>
      <c r="G347" s="555"/>
      <c r="H347" s="556" t="s">
        <v>1675</v>
      </c>
      <c r="I347" s="543"/>
      <c r="J347" s="557"/>
      <c r="K347" s="558"/>
    </row>
    <row r="348" customFormat="1" ht="16.5" spans="1:11">
      <c r="A348" s="551" t="s">
        <v>1676</v>
      </c>
      <c r="B348" s="552"/>
      <c r="C348" s="553"/>
      <c r="D348" s="559" t="str">
        <f>实业合同!H415</f>
        <v>RPIRRI260284</v>
      </c>
      <c r="E348" s="559"/>
      <c r="F348" s="559"/>
      <c r="G348" s="559"/>
      <c r="H348" s="560"/>
      <c r="I348" s="560"/>
      <c r="J348" s="560"/>
      <c r="K348" s="561"/>
    </row>
    <row r="349" customFormat="1" ht="16.5" spans="1:11">
      <c r="A349" s="562" t="s">
        <v>1677</v>
      </c>
      <c r="B349" s="563"/>
      <c r="C349" s="563"/>
      <c r="D349" s="564"/>
      <c r="E349" s="564"/>
      <c r="F349" s="564"/>
      <c r="G349" s="564"/>
      <c r="H349" s="560"/>
      <c r="I349" s="560"/>
      <c r="J349" s="560"/>
      <c r="K349" s="561"/>
    </row>
    <row r="350" customFormat="1" ht="16.5" spans="1:11">
      <c r="A350" s="565" t="s">
        <v>1678</v>
      </c>
      <c r="B350" s="566"/>
      <c r="C350" s="567"/>
      <c r="D350" s="564"/>
      <c r="E350" s="564"/>
      <c r="F350" s="564"/>
      <c r="G350" s="564"/>
      <c r="H350" s="568"/>
      <c r="I350" s="568"/>
      <c r="J350" s="568"/>
      <c r="K350" s="569"/>
    </row>
    <row r="351" customFormat="1" ht="16.5" spans="1:11">
      <c r="A351" s="570" t="s">
        <v>1558</v>
      </c>
      <c r="B351" s="571"/>
      <c r="C351" s="553"/>
      <c r="D351" s="554" t="s">
        <v>1679</v>
      </c>
      <c r="E351" s="541"/>
      <c r="F351" s="541"/>
      <c r="G351" s="542"/>
      <c r="H351" s="543" t="s">
        <v>1680</v>
      </c>
      <c r="I351" s="543"/>
      <c r="J351" s="557"/>
      <c r="K351" s="558"/>
    </row>
    <row r="352" customFormat="1" ht="16.5" spans="1:11">
      <c r="A352" s="570" t="s">
        <v>1681</v>
      </c>
      <c r="B352" s="553"/>
      <c r="C352" s="572"/>
      <c r="D352" s="573" t="str">
        <f>D17</f>
        <v>BMOU6019197</v>
      </c>
      <c r="E352" s="574"/>
      <c r="F352" s="574"/>
      <c r="G352" s="575"/>
      <c r="H352" s="574" t="str">
        <f>H17</f>
        <v>EMCRZS9184</v>
      </c>
      <c r="I352" s="574"/>
      <c r="J352" s="574"/>
      <c r="K352" s="576"/>
    </row>
    <row r="353" customFormat="1" ht="16.5" spans="1:11">
      <c r="A353" s="577" t="s">
        <v>1684</v>
      </c>
      <c r="B353" s="578"/>
      <c r="C353" s="579"/>
      <c r="D353" s="573"/>
      <c r="E353" s="574"/>
      <c r="F353" s="574"/>
      <c r="G353" s="575"/>
      <c r="H353" s="574"/>
      <c r="I353" s="574"/>
      <c r="J353" s="574"/>
      <c r="K353" s="576"/>
    </row>
    <row r="354" customFormat="1" ht="16.5" spans="1:11">
      <c r="A354" s="577" t="s">
        <v>1685</v>
      </c>
      <c r="B354" s="578"/>
      <c r="C354" s="579"/>
      <c r="D354" s="573"/>
      <c r="E354" s="574"/>
      <c r="F354" s="574"/>
      <c r="G354" s="575"/>
      <c r="H354" s="574"/>
      <c r="I354" s="574"/>
      <c r="J354" s="574"/>
      <c r="K354" s="576"/>
    </row>
    <row r="355" customFormat="1" ht="16.5" spans="1:11">
      <c r="A355" s="580" t="s">
        <v>1686</v>
      </c>
      <c r="B355" s="581"/>
      <c r="C355" s="579"/>
      <c r="D355" s="573"/>
      <c r="E355" s="574"/>
      <c r="F355" s="574"/>
      <c r="G355" s="575"/>
      <c r="H355" s="574"/>
      <c r="I355" s="574"/>
      <c r="J355" s="574"/>
      <c r="K355" s="576"/>
    </row>
    <row r="356" customFormat="1" ht="16.5" spans="1:11">
      <c r="A356" s="577" t="s">
        <v>1687</v>
      </c>
      <c r="B356" s="572"/>
      <c r="C356" s="572"/>
      <c r="D356" s="582"/>
      <c r="E356" s="583"/>
      <c r="F356" s="583"/>
      <c r="G356" s="584"/>
      <c r="H356" s="583"/>
      <c r="I356" s="583"/>
      <c r="J356" s="583"/>
      <c r="K356" s="585"/>
    </row>
    <row r="357" customFormat="1" ht="16.5" spans="1:11">
      <c r="A357" s="577" t="s">
        <v>1561</v>
      </c>
      <c r="B357" s="572"/>
      <c r="C357" s="572"/>
      <c r="D357" s="554"/>
      <c r="E357" s="541"/>
      <c r="F357" s="541"/>
      <c r="G357" s="541"/>
      <c r="H357" s="586"/>
      <c r="I357" s="541"/>
      <c r="J357" s="541"/>
      <c r="K357" s="587"/>
    </row>
    <row r="358" customFormat="1" ht="18" customHeight="1" spans="1:11">
      <c r="A358" s="588" t="s">
        <v>1688</v>
      </c>
      <c r="B358" s="589"/>
      <c r="C358" s="590"/>
      <c r="D358" s="591"/>
      <c r="E358" s="592"/>
      <c r="F358" s="592"/>
      <c r="G358" s="592"/>
      <c r="H358" s="592"/>
      <c r="I358" s="592"/>
      <c r="J358" s="592"/>
      <c r="K358" s="593"/>
    </row>
    <row r="359" customFormat="1" ht="38.25" spans="1:11">
      <c r="A359" s="594" t="s">
        <v>1689</v>
      </c>
      <c r="B359" s="595" t="s">
        <v>1641</v>
      </c>
      <c r="C359" s="596" t="s">
        <v>1642</v>
      </c>
      <c r="D359" s="597" t="s">
        <v>1644</v>
      </c>
      <c r="E359" s="597" t="s">
        <v>8</v>
      </c>
      <c r="F359" s="597" t="s">
        <v>1644</v>
      </c>
      <c r="G359" s="595" t="s">
        <v>8</v>
      </c>
      <c r="H359" s="598" t="s">
        <v>1690</v>
      </c>
      <c r="I359" s="599" t="s">
        <v>1691</v>
      </c>
      <c r="J359" s="599" t="s">
        <v>23</v>
      </c>
      <c r="K359" s="600" t="s">
        <v>1692</v>
      </c>
    </row>
    <row r="360" s="429" customFormat="1" ht="56" customHeight="1" spans="1:11">
      <c r="A360" s="601">
        <v>118</v>
      </c>
      <c r="B360" s="602" t="e">
        <f t="array" ref="B360">LOOKUP(1,0/(('5.21出货明细'!X:X=$D$344)*('5.21出货明细'!A:A=A360)),'5.21出货明细'!D:D)</f>
        <v>#N/A</v>
      </c>
      <c r="C360" s="603" t="e">
        <f t="array" ref="C360">LOOKUP(1,0/(('5.21出货明细'!X:X=$D$344)*('5.21出货明细'!A:A=A360)),'5.21出货明细'!G:G&amp;'5.21出货明细'!F:F)</f>
        <v>#N/A</v>
      </c>
      <c r="D360" s="604" t="e">
        <f t="array" ref="D360">LOOKUP(1,0/(('5.21出货明细'!X:X=$D$344)*('5.21出货明细'!A:A=A360)),'5.21出货明细'!K:K)</f>
        <v>#N/A</v>
      </c>
      <c r="E360" s="604" t="e">
        <f t="array" ref="E360">LOOKUP(1,0/(('5.21出货明细'!X:X=$D$344)*('5.21出货明细'!A:A=A360)),'5.21出货明细'!J:J)</f>
        <v>#N/A</v>
      </c>
      <c r="F360" s="604" t="e">
        <f t="array" ref="F360">LOOKUP(1,0/(('5.21出货明细'!X:X=$D$344)*('5.21出货明细'!A:A=A360)),'5.21出货明细'!L:L)</f>
        <v>#N/A</v>
      </c>
      <c r="G360" s="604" t="e">
        <f t="array" ref="G360">LOOKUP(1,0/(('5.21出货明细'!X:X=$D$344)*('5.21出货明细'!A:A=A360)),'5.21出货明细'!M:M)</f>
        <v>#N/A</v>
      </c>
      <c r="H360" s="605" t="e">
        <f t="array" ref="H360">LOOKUP(1,0/(('5.21出货明细'!X:X=$D$344)*('5.21出货明细'!A:A=A360)),'5.21出货明细'!P:P)</f>
        <v>#N/A</v>
      </c>
      <c r="I360" s="606" t="e">
        <f t="array" ref="I360">LOOKUP(1,0/(('5.21出货明细'!X:X=$D$344)*('5.21出货明细'!A:A=A360)),'5.21出货明细'!Q:Q)</f>
        <v>#N/A</v>
      </c>
      <c r="J360" s="606" t="e">
        <f t="array" ref="J360">LOOKUP(1,0/(('5.21出货明细'!X:X=$D$344)*('5.21出货明细'!A:A=A360)),'5.21出货明细'!AT:AT)</f>
        <v>#N/A</v>
      </c>
      <c r="K360" s="607" t="e">
        <f t="array" ref="K360">LOOKUP(1,0/(('5.21出货明细'!X:X=$D$344)*('5.21出货明细'!A:A=A360)),'5.21出货明细'!S:S)</f>
        <v>#N/A</v>
      </c>
    </row>
    <row r="361" customFormat="1" ht="62" customHeight="1" spans="1:11">
      <c r="A361" s="601">
        <v>119</v>
      </c>
      <c r="B361" s="602" t="e">
        <f t="array" ref="B361">LOOKUP(1,0/(('5.21出货明细'!X:X=$D$344)*('5.21出货明细'!A:A=A361)),'5.21出货明细'!D:D)</f>
        <v>#N/A</v>
      </c>
      <c r="C361" s="603" t="e">
        <f t="array" ref="C361">LOOKUP(1,0/(('5.21出货明细'!X:X=$D$344)*('5.21出货明细'!A:A=A361)),'5.21出货明细'!G:G&amp;'5.21出货明细'!F:F)</f>
        <v>#N/A</v>
      </c>
      <c r="D361" s="604" t="e">
        <f t="array" ref="D361">LOOKUP(1,0/(('5.21出货明细'!X:X=$D$344)*('5.21出货明细'!A:A=A361)),'5.21出货明细'!K:K)</f>
        <v>#N/A</v>
      </c>
      <c r="E361" s="604" t="e">
        <f t="array" ref="E361">LOOKUP(1,0/(('5.21出货明细'!X:X=$D$344)*('5.21出货明细'!A:A=A361)),'5.21出货明细'!J:J)</f>
        <v>#N/A</v>
      </c>
      <c r="F361" s="604" t="e">
        <f t="array" ref="F361">LOOKUP(1,0/(('5.21出货明细'!X:X=$D$344)*('5.21出货明细'!A:A=A361)),'5.21出货明细'!L:L)</f>
        <v>#N/A</v>
      </c>
      <c r="G361" s="604" t="e">
        <f t="array" ref="G361">LOOKUP(1,0/(('5.21出货明细'!X:X=$D$344)*('5.21出货明细'!A:A=A361)),'5.21出货明细'!M:M)</f>
        <v>#N/A</v>
      </c>
      <c r="H361" s="605" t="e">
        <f t="array" ref="H361">LOOKUP(1,0/(('5.21出货明细'!X:X=$D$344)*('5.21出货明细'!A:A=A361)),'5.21出货明细'!P:P)</f>
        <v>#N/A</v>
      </c>
      <c r="I361" s="606" t="e">
        <f t="array" ref="I361">LOOKUP(1,0/(('5.21出货明细'!X:X=$D$344)*('5.21出货明细'!A:A=A361)),'5.21出货明细'!Q:Q)</f>
        <v>#N/A</v>
      </c>
      <c r="J361" s="606" t="e">
        <f t="array" ref="J361">LOOKUP(1,0/(('5.21出货明细'!X:X=$D$344)*('5.21出货明细'!A:A=A361)),'5.21出货明细'!AT:AT)</f>
        <v>#N/A</v>
      </c>
      <c r="K361" s="607" t="e">
        <f t="array" ref="K361">LOOKUP(1,0/(('5.21出货明细'!X:X=$D$344)*('5.21出货明细'!A:A=A361)),'5.21出货明细'!S:S)</f>
        <v>#N/A</v>
      </c>
    </row>
    <row r="362" customFormat="1" ht="62" customHeight="1" spans="1:11">
      <c r="A362" s="601">
        <v>120</v>
      </c>
      <c r="B362" s="602" t="e">
        <f t="array" ref="B362">LOOKUP(1,0/(('5.21出货明细'!X:X=$D$344)*('5.21出货明细'!A:A=A362)),'5.21出货明细'!D:D)</f>
        <v>#N/A</v>
      </c>
      <c r="C362" s="603" t="e">
        <f t="array" ref="C362">LOOKUP(1,0/(('5.21出货明细'!X:X=$D$344)*('5.21出货明细'!A:A=A362)),'5.21出货明细'!G:G&amp;'5.21出货明细'!F:F)</f>
        <v>#N/A</v>
      </c>
      <c r="D362" s="604" t="e">
        <f t="array" ref="D362">LOOKUP(1,0/(('5.21出货明细'!X:X=$D$344)*('5.21出货明细'!A:A=A362)),'5.21出货明细'!K:K)</f>
        <v>#N/A</v>
      </c>
      <c r="E362" s="604" t="e">
        <f t="array" ref="E362">LOOKUP(1,0/(('5.21出货明细'!X:X=$D$344)*('5.21出货明细'!A:A=A362)),'5.21出货明细'!J:J)</f>
        <v>#N/A</v>
      </c>
      <c r="F362" s="604" t="e">
        <f t="array" ref="F362">LOOKUP(1,0/(('5.21出货明细'!X:X=$D$344)*('5.21出货明细'!A:A=A362)),'5.21出货明细'!L:L)</f>
        <v>#N/A</v>
      </c>
      <c r="G362" s="604" t="e">
        <f t="array" ref="G362">LOOKUP(1,0/(('5.21出货明细'!X:X=$D$344)*('5.21出货明细'!A:A=A362)),'5.21出货明细'!M:M)</f>
        <v>#N/A</v>
      </c>
      <c r="H362" s="605" t="e">
        <f t="array" ref="H362">LOOKUP(1,0/(('5.21出货明细'!X:X=$D$344)*('5.21出货明细'!A:A=A362)),'5.21出货明细'!P:P)</f>
        <v>#N/A</v>
      </c>
      <c r="I362" s="606" t="e">
        <f t="array" ref="I362">LOOKUP(1,0/(('5.21出货明细'!X:X=$D$344)*('5.21出货明细'!A:A=A362)),'5.21出货明细'!Q:Q)</f>
        <v>#N/A</v>
      </c>
      <c r="J362" s="606" t="e">
        <f t="array" ref="J362">LOOKUP(1,0/(('5.21出货明细'!X:X=$D$344)*('5.21出货明细'!A:A=A362)),'5.21出货明细'!AT:AT)</f>
        <v>#N/A</v>
      </c>
      <c r="K362" s="607" t="e">
        <f t="array" ref="K362">LOOKUP(1,0/(('5.21出货明细'!X:X=$D$344)*('5.21出货明细'!A:A=A362)),'5.21出货明细'!S:S)</f>
        <v>#N/A</v>
      </c>
    </row>
    <row r="363" customFormat="1" ht="62" customHeight="1" spans="1:11">
      <c r="A363" s="601">
        <v>121</v>
      </c>
      <c r="B363" s="602" t="e">
        <f t="array" ref="B363">LOOKUP(1,0/(('5.21出货明细'!X:X=$D$344)*('5.21出货明细'!A:A=A363)),'5.21出货明细'!D:D)</f>
        <v>#N/A</v>
      </c>
      <c r="C363" s="603" t="e">
        <f t="array" ref="C363">LOOKUP(1,0/(('5.21出货明细'!X:X=$D$344)*('5.21出货明细'!A:A=A363)),'5.21出货明细'!G:G&amp;'5.21出货明细'!F:F)</f>
        <v>#N/A</v>
      </c>
      <c r="D363" s="604" t="e">
        <f t="array" ref="D363">LOOKUP(1,0/(('5.21出货明细'!X:X=$D$344)*('5.21出货明细'!A:A=A363)),'5.21出货明细'!K:K)</f>
        <v>#N/A</v>
      </c>
      <c r="E363" s="604" t="e">
        <f t="array" ref="E363">LOOKUP(1,0/(('5.21出货明细'!X:X=$D$344)*('5.21出货明细'!A:A=A363)),'5.21出货明细'!J:J)</f>
        <v>#N/A</v>
      </c>
      <c r="F363" s="604" t="e">
        <f t="array" ref="F363">LOOKUP(1,0/(('5.21出货明细'!X:X=$D$344)*('5.21出货明细'!A:A=A363)),'5.21出货明细'!L:L)</f>
        <v>#N/A</v>
      </c>
      <c r="G363" s="604" t="e">
        <f t="array" ref="G363">LOOKUP(1,0/(('5.21出货明细'!X:X=$D$344)*('5.21出货明细'!A:A=A363)),'5.21出货明细'!M:M)</f>
        <v>#N/A</v>
      </c>
      <c r="H363" s="605" t="e">
        <f t="array" ref="H363">LOOKUP(1,0/(('5.21出货明细'!X:X=$D$344)*('5.21出货明细'!A:A=A363)),'5.21出货明细'!P:P)</f>
        <v>#N/A</v>
      </c>
      <c r="I363" s="606" t="e">
        <f t="array" ref="I363">LOOKUP(1,0/(('5.21出货明细'!X:X=$D$344)*('5.21出货明细'!A:A=A363)),'5.21出货明细'!Q:Q)</f>
        <v>#N/A</v>
      </c>
      <c r="J363" s="606" t="e">
        <f t="array" ref="J363">LOOKUP(1,0/(('5.21出货明细'!X:X=$D$344)*('5.21出货明细'!A:A=A363)),'5.21出货明细'!AT:AT)</f>
        <v>#N/A</v>
      </c>
      <c r="K363" s="607" t="e">
        <f t="array" ref="K363">LOOKUP(1,0/(('5.21出货明细'!X:X=$D$344)*('5.21出货明细'!A:A=A363)),'5.21出货明细'!S:S)</f>
        <v>#N/A</v>
      </c>
    </row>
    <row r="364" customFormat="1" ht="62" customHeight="1" spans="1:11">
      <c r="A364" s="601">
        <v>122</v>
      </c>
      <c r="B364" s="602" t="e">
        <f t="array" ref="B364">LOOKUP(1,0/(('5.21出货明细'!X:X=$D$344)*('5.21出货明细'!A:A=A364)),'5.21出货明细'!D:D)</f>
        <v>#N/A</v>
      </c>
      <c r="C364" s="603" t="e">
        <f t="array" ref="C364">LOOKUP(1,0/(('5.21出货明细'!X:X=$D$344)*('5.21出货明细'!A:A=A364)),'5.21出货明细'!G:G&amp;'5.21出货明细'!F:F)</f>
        <v>#N/A</v>
      </c>
      <c r="D364" s="604" t="e">
        <f t="array" ref="D364">LOOKUP(1,0/(('5.21出货明细'!X:X=$D$344)*('5.21出货明细'!A:A=A364)),'5.21出货明细'!K:K)</f>
        <v>#N/A</v>
      </c>
      <c r="E364" s="604" t="e">
        <f t="array" ref="E364">LOOKUP(1,0/(('5.21出货明细'!X:X=$D$344)*('5.21出货明细'!A:A=A364)),'5.21出货明细'!J:J)</f>
        <v>#N/A</v>
      </c>
      <c r="F364" s="604" t="e">
        <f t="array" ref="F364">LOOKUP(1,0/(('5.21出货明细'!X:X=$D$344)*('5.21出货明细'!A:A=A364)),'5.21出货明细'!L:L)</f>
        <v>#N/A</v>
      </c>
      <c r="G364" s="604" t="e">
        <f t="array" ref="G364">LOOKUP(1,0/(('5.21出货明细'!X:X=$D$344)*('5.21出货明细'!A:A=A364)),'5.21出货明细'!M:M)</f>
        <v>#N/A</v>
      </c>
      <c r="H364" s="605" t="e">
        <f t="array" ref="H364">LOOKUP(1,0/(('5.21出货明细'!X:X=$D$344)*('5.21出货明细'!A:A=A364)),'5.21出货明细'!P:P)</f>
        <v>#N/A</v>
      </c>
      <c r="I364" s="606" t="e">
        <f t="array" ref="I364">LOOKUP(1,0/(('5.21出货明细'!X:X=$D$344)*('5.21出货明细'!A:A=A364)),'5.21出货明细'!Q:Q)</f>
        <v>#N/A</v>
      </c>
      <c r="J364" s="606" t="e">
        <f t="array" ref="J364">LOOKUP(1,0/(('5.21出货明细'!X:X=$D$344)*('5.21出货明细'!A:A=A364)),'5.21出货明细'!AT:AT)</f>
        <v>#N/A</v>
      </c>
      <c r="K364" s="607" t="e">
        <f t="array" ref="K364">LOOKUP(1,0/(('5.21出货明细'!X:X=$D$344)*('5.21出货明细'!A:A=A364)),'5.21出货明细'!S:S)</f>
        <v>#N/A</v>
      </c>
    </row>
    <row r="365" customFormat="1" ht="62" customHeight="1" spans="1:11">
      <c r="A365" s="601"/>
      <c r="B365" s="602"/>
      <c r="C365" s="603"/>
      <c r="D365" s="604"/>
      <c r="E365" s="604"/>
      <c r="F365" s="604"/>
      <c r="G365" s="604"/>
      <c r="H365" s="605"/>
      <c r="I365" s="606"/>
      <c r="J365" s="606"/>
      <c r="K365" s="607"/>
    </row>
    <row r="366" customFormat="1" ht="62" customHeight="1" spans="1:11">
      <c r="A366" s="601"/>
      <c r="B366" s="602"/>
      <c r="C366" s="603"/>
      <c r="D366" s="604"/>
      <c r="E366" s="604"/>
      <c r="F366" s="604"/>
      <c r="G366" s="604"/>
      <c r="H366" s="605"/>
      <c r="I366" s="606"/>
      <c r="J366" s="606"/>
      <c r="K366" s="607"/>
    </row>
    <row r="367" customFormat="1" ht="18" spans="1:11">
      <c r="A367" s="608"/>
      <c r="B367" s="609"/>
      <c r="C367" s="603"/>
      <c r="D367" s="610" t="e">
        <f>SUM(D360:D366)</f>
        <v>#N/A</v>
      </c>
      <c r="E367" s="611"/>
      <c r="F367" s="610"/>
      <c r="G367" s="610"/>
      <c r="H367" s="612" t="e">
        <f>SUM(H360:H366)</f>
        <v>#N/A</v>
      </c>
      <c r="I367" s="612" t="e">
        <f>SUM(I360:I366)</f>
        <v>#N/A</v>
      </c>
      <c r="J367" s="612" t="e">
        <f>SUM(J360:J366)</f>
        <v>#N/A</v>
      </c>
      <c r="K367" s="613" t="e">
        <f>SUM(K360:K366)</f>
        <v>#N/A</v>
      </c>
    </row>
    <row r="368" customFormat="1" ht="18.75" spans="1:11">
      <c r="A368" s="614"/>
      <c r="B368" s="615"/>
      <c r="C368" s="616"/>
      <c r="D368" s="617"/>
      <c r="E368" s="618" t="s">
        <v>1553</v>
      </c>
      <c r="F368" s="618"/>
      <c r="G368" s="618"/>
      <c r="H368" s="618" t="s">
        <v>1553</v>
      </c>
      <c r="I368" s="618" t="s">
        <v>1553</v>
      </c>
      <c r="J368" s="618" t="s">
        <v>1553</v>
      </c>
      <c r="K368" s="618" t="s">
        <v>1553</v>
      </c>
    </row>
    <row r="369" s="514" customFormat="1" ht="26.25" spans="1:11">
      <c r="A369" s="619"/>
      <c r="B369" s="620"/>
      <c r="C369" s="620"/>
      <c r="D369" s="620"/>
      <c r="E369" s="620"/>
      <c r="F369" s="620"/>
      <c r="G369" s="620"/>
      <c r="H369" s="620"/>
      <c r="I369" s="620"/>
      <c r="J369" s="620"/>
      <c r="K369" s="620"/>
    </row>
    <row r="370" customFormat="1" ht="25.5" spans="1:11">
      <c r="A370" s="515" t="s">
        <v>1546</v>
      </c>
      <c r="B370" s="516"/>
      <c r="C370" s="516"/>
      <c r="D370" s="516"/>
      <c r="E370" s="516"/>
      <c r="F370" s="516"/>
      <c r="G370" s="516"/>
      <c r="H370" s="516"/>
      <c r="I370" s="516"/>
      <c r="J370" s="516"/>
      <c r="K370" s="517"/>
    </row>
    <row r="371" customFormat="1" spans="1:11">
      <c r="A371" s="518" t="s">
        <v>1656</v>
      </c>
      <c r="B371" s="519"/>
      <c r="C371" s="519"/>
      <c r="D371" s="519"/>
      <c r="E371" s="519"/>
      <c r="F371" s="519"/>
      <c r="G371" s="519"/>
      <c r="H371" s="519"/>
      <c r="I371" s="519"/>
      <c r="J371" s="519"/>
      <c r="K371" s="520"/>
    </row>
    <row r="372" customFormat="1" spans="1:11">
      <c r="A372" s="518"/>
      <c r="B372" s="519"/>
      <c r="C372" s="519"/>
      <c r="D372" s="519"/>
      <c r="E372" s="519"/>
      <c r="F372" s="519"/>
      <c r="G372" s="519"/>
      <c r="H372" s="519"/>
      <c r="I372" s="519"/>
      <c r="J372" s="519"/>
      <c r="K372" s="520"/>
    </row>
    <row r="373" customFormat="1" ht="18" spans="1:11">
      <c r="A373" s="521"/>
      <c r="B373" s="522"/>
      <c r="C373" s="522"/>
      <c r="D373" s="522"/>
      <c r="E373" s="522"/>
      <c r="F373" s="522"/>
      <c r="G373" s="522"/>
      <c r="H373" s="522"/>
      <c r="I373" s="522"/>
      <c r="J373" s="522"/>
      <c r="K373" s="523"/>
    </row>
    <row r="374" customFormat="1" ht="18" spans="1:11">
      <c r="A374" s="521"/>
      <c r="B374" s="522"/>
      <c r="C374" s="522"/>
      <c r="D374" s="522"/>
      <c r="E374" s="522"/>
      <c r="F374" s="522"/>
      <c r="G374" s="522"/>
      <c r="H374" s="522"/>
      <c r="I374" s="522"/>
      <c r="J374" s="522"/>
      <c r="K374" s="523"/>
    </row>
    <row r="375" customFormat="1" spans="1:11">
      <c r="A375" s="524" t="s">
        <v>1667</v>
      </c>
      <c r="B375" s="525"/>
      <c r="C375" s="525"/>
      <c r="D375" s="525"/>
      <c r="E375" s="525"/>
      <c r="F375" s="525"/>
      <c r="G375" s="525"/>
      <c r="H375" s="525"/>
      <c r="I375" s="525"/>
      <c r="J375" s="525"/>
      <c r="K375" s="526"/>
    </row>
    <row r="376" customFormat="1" ht="14.25" spans="1:11">
      <c r="A376" s="524"/>
      <c r="B376" s="525"/>
      <c r="C376" s="525"/>
      <c r="D376" s="525"/>
      <c r="E376" s="525"/>
      <c r="F376" s="525"/>
      <c r="G376" s="525"/>
      <c r="H376" s="525"/>
      <c r="I376" s="525"/>
      <c r="J376" s="525"/>
      <c r="K376" s="526"/>
    </row>
    <row r="377" customFormat="1" ht="16.5" spans="1:11">
      <c r="A377" s="527" t="s">
        <v>1668</v>
      </c>
      <c r="B377" s="528"/>
      <c r="C377" s="528"/>
      <c r="D377" s="529" t="s">
        <v>1669</v>
      </c>
      <c r="E377" s="530"/>
      <c r="F377" s="530"/>
      <c r="G377" s="530"/>
      <c r="H377" s="529" t="s">
        <v>1670</v>
      </c>
      <c r="I377" s="531"/>
      <c r="J377" s="531"/>
      <c r="K377" s="532"/>
    </row>
    <row r="378" customFormat="1" ht="16" customHeight="1" spans="1:11">
      <c r="A378" s="533" t="s">
        <v>1671</v>
      </c>
      <c r="B378" s="534"/>
      <c r="C378" s="534"/>
      <c r="D378" s="535" t="str">
        <f>实业发票!H426</f>
        <v>PR202600285</v>
      </c>
      <c r="E378" s="536"/>
      <c r="F378" s="536"/>
      <c r="G378" s="536"/>
      <c r="H378" s="537"/>
      <c r="I378" s="538"/>
      <c r="J378" s="538"/>
      <c r="K378" s="539"/>
    </row>
    <row r="379" customFormat="1" ht="16" customHeight="1" spans="1:11">
      <c r="A379" s="533"/>
      <c r="B379" s="534"/>
      <c r="C379" s="534"/>
      <c r="D379" s="540" t="s">
        <v>1672</v>
      </c>
      <c r="E379" s="541"/>
      <c r="F379" s="541"/>
      <c r="G379" s="542"/>
      <c r="H379" s="543"/>
      <c r="I379" s="543"/>
      <c r="J379" s="543"/>
      <c r="K379" s="544"/>
    </row>
    <row r="380" customFormat="1" ht="16" customHeight="1" spans="1:11">
      <c r="A380" s="533"/>
      <c r="B380" s="534"/>
      <c r="C380" s="534"/>
      <c r="D380" s="545">
        <f>D11</f>
        <v>46134</v>
      </c>
      <c r="E380" s="546"/>
      <c r="F380" s="546"/>
      <c r="G380" s="547"/>
      <c r="H380" s="548"/>
      <c r="I380" s="549"/>
      <c r="J380" s="549"/>
      <c r="K380" s="550"/>
    </row>
    <row r="381" customFormat="1" ht="16.5" spans="1:11">
      <c r="A381" s="551" t="s">
        <v>1673</v>
      </c>
      <c r="B381" s="552"/>
      <c r="C381" s="553"/>
      <c r="D381" s="554" t="s">
        <v>1674</v>
      </c>
      <c r="E381" s="555"/>
      <c r="F381" s="555"/>
      <c r="G381" s="555"/>
      <c r="H381" s="556" t="s">
        <v>1675</v>
      </c>
      <c r="I381" s="543"/>
      <c r="J381" s="557"/>
      <c r="K381" s="558"/>
    </row>
    <row r="382" customFormat="1" ht="16.5" spans="1:11">
      <c r="A382" s="551" t="s">
        <v>1676</v>
      </c>
      <c r="B382" s="552"/>
      <c r="C382" s="553"/>
      <c r="D382" s="559" t="str">
        <f>实业发票!H430</f>
        <v>RPIRRI260285</v>
      </c>
      <c r="E382" s="559"/>
      <c r="F382" s="559"/>
      <c r="G382" s="559"/>
      <c r="H382" s="560"/>
      <c r="I382" s="560"/>
      <c r="J382" s="560"/>
      <c r="K382" s="561"/>
    </row>
    <row r="383" customFormat="1" ht="16.5" spans="1:11">
      <c r="A383" s="562" t="s">
        <v>1677</v>
      </c>
      <c r="B383" s="563"/>
      <c r="C383" s="563"/>
      <c r="D383" s="564"/>
      <c r="E383" s="564"/>
      <c r="F383" s="564"/>
      <c r="G383" s="564"/>
      <c r="H383" s="560"/>
      <c r="I383" s="560"/>
      <c r="J383" s="560"/>
      <c r="K383" s="561"/>
    </row>
    <row r="384" customFormat="1" ht="16.5" spans="1:11">
      <c r="A384" s="565" t="s">
        <v>1678</v>
      </c>
      <c r="B384" s="566"/>
      <c r="C384" s="567"/>
      <c r="D384" s="564"/>
      <c r="E384" s="564"/>
      <c r="F384" s="564"/>
      <c r="G384" s="564"/>
      <c r="H384" s="568"/>
      <c r="I384" s="568"/>
      <c r="J384" s="568"/>
      <c r="K384" s="569"/>
    </row>
    <row r="385" customFormat="1" ht="16.5" spans="1:11">
      <c r="A385" s="570" t="s">
        <v>1558</v>
      </c>
      <c r="B385" s="571"/>
      <c r="C385" s="553"/>
      <c r="D385" s="554" t="s">
        <v>1679</v>
      </c>
      <c r="E385" s="541"/>
      <c r="F385" s="541"/>
      <c r="G385" s="542"/>
      <c r="H385" s="543" t="s">
        <v>1680</v>
      </c>
      <c r="I385" s="543"/>
      <c r="J385" s="557"/>
      <c r="K385" s="558"/>
    </row>
    <row r="386" customFormat="1" ht="16.5" spans="1:11">
      <c r="A386" s="570" t="s">
        <v>1681</v>
      </c>
      <c r="B386" s="553"/>
      <c r="C386" s="572"/>
      <c r="D386" s="573" t="str">
        <f>D17</f>
        <v>BMOU6019197</v>
      </c>
      <c r="E386" s="574"/>
      <c r="F386" s="574"/>
      <c r="G386" s="575"/>
      <c r="H386" s="574" t="str">
        <f>H17</f>
        <v>EMCRZS9184</v>
      </c>
      <c r="I386" s="574"/>
      <c r="J386" s="574"/>
      <c r="K386" s="576"/>
    </row>
    <row r="387" customFormat="1" ht="16.5" spans="1:11">
      <c r="A387" s="577" t="s">
        <v>1684</v>
      </c>
      <c r="B387" s="578"/>
      <c r="C387" s="579"/>
      <c r="D387" s="573"/>
      <c r="E387" s="574"/>
      <c r="F387" s="574"/>
      <c r="G387" s="575"/>
      <c r="H387" s="574"/>
      <c r="I387" s="574"/>
      <c r="J387" s="574"/>
      <c r="K387" s="576"/>
    </row>
    <row r="388" customFormat="1" ht="16.5" spans="1:11">
      <c r="A388" s="577" t="s">
        <v>1685</v>
      </c>
      <c r="B388" s="578"/>
      <c r="C388" s="579"/>
      <c r="D388" s="573"/>
      <c r="E388" s="574"/>
      <c r="F388" s="574"/>
      <c r="G388" s="575"/>
      <c r="H388" s="574"/>
      <c r="I388" s="574"/>
      <c r="J388" s="574"/>
      <c r="K388" s="576"/>
    </row>
    <row r="389" customFormat="1" ht="16.5" spans="1:11">
      <c r="A389" s="580" t="s">
        <v>1686</v>
      </c>
      <c r="B389" s="581"/>
      <c r="C389" s="579"/>
      <c r="D389" s="573"/>
      <c r="E389" s="574"/>
      <c r="F389" s="574"/>
      <c r="G389" s="575"/>
      <c r="H389" s="574"/>
      <c r="I389" s="574"/>
      <c r="J389" s="574"/>
      <c r="K389" s="576"/>
    </row>
    <row r="390" customFormat="1" ht="16.5" spans="1:11">
      <c r="A390" s="577" t="s">
        <v>1687</v>
      </c>
      <c r="B390" s="572"/>
      <c r="C390" s="572"/>
      <c r="D390" s="582"/>
      <c r="E390" s="583"/>
      <c r="F390" s="583"/>
      <c r="G390" s="584"/>
      <c r="H390" s="583"/>
      <c r="I390" s="583"/>
      <c r="J390" s="583"/>
      <c r="K390" s="585"/>
    </row>
    <row r="391" customFormat="1" ht="16.5" spans="1:11">
      <c r="A391" s="577" t="s">
        <v>1561</v>
      </c>
      <c r="B391" s="572"/>
      <c r="C391" s="572"/>
      <c r="D391" s="554"/>
      <c r="E391" s="541"/>
      <c r="F391" s="541"/>
      <c r="G391" s="541"/>
      <c r="H391" s="586"/>
      <c r="I391" s="541"/>
      <c r="J391" s="541"/>
      <c r="K391" s="587"/>
    </row>
    <row r="392" customFormat="1" ht="18" customHeight="1" spans="1:11">
      <c r="A392" s="588" t="s">
        <v>1688</v>
      </c>
      <c r="B392" s="589"/>
      <c r="C392" s="590"/>
      <c r="D392" s="591"/>
      <c r="E392" s="592"/>
      <c r="F392" s="592"/>
      <c r="G392" s="592"/>
      <c r="H392" s="592"/>
      <c r="I392" s="592"/>
      <c r="J392" s="592"/>
      <c r="K392" s="593"/>
    </row>
    <row r="393" customFormat="1" ht="38.25" spans="1:11">
      <c r="A393" s="594" t="s">
        <v>1689</v>
      </c>
      <c r="B393" s="595" t="s">
        <v>1641</v>
      </c>
      <c r="C393" s="596" t="s">
        <v>1642</v>
      </c>
      <c r="D393" s="597" t="s">
        <v>1644</v>
      </c>
      <c r="E393" s="597" t="s">
        <v>8</v>
      </c>
      <c r="F393" s="597" t="s">
        <v>1644</v>
      </c>
      <c r="G393" s="595" t="s">
        <v>8</v>
      </c>
      <c r="H393" s="598" t="s">
        <v>1690</v>
      </c>
      <c r="I393" s="599" t="s">
        <v>1691</v>
      </c>
      <c r="J393" s="599" t="s">
        <v>23</v>
      </c>
      <c r="K393" s="600" t="s">
        <v>1692</v>
      </c>
    </row>
    <row r="394" s="429" customFormat="1" ht="56" customHeight="1" spans="1:11">
      <c r="A394" s="601">
        <v>123</v>
      </c>
      <c r="B394" s="602" t="e">
        <f t="array" ref="B394">LOOKUP(1,0/(('5.21出货明细'!X:X=$D$378)*('5.21出货明细'!A:A=A394)),'5.21出货明细'!D:D)</f>
        <v>#N/A</v>
      </c>
      <c r="C394" s="603" t="e">
        <f t="array" ref="C394">LOOKUP(1,0/(('5.21出货明细'!X:X=$D$378)*('5.21出货明细'!A:A=A394)),'5.21出货明细'!G:G&amp;'5.21出货明细'!F:F)</f>
        <v>#N/A</v>
      </c>
      <c r="D394" s="604" t="e">
        <f t="array" ref="D394">LOOKUP(1,0/(('5.21出货明细'!X:X=$D$378)*('5.21出货明细'!A:A=A394)),'5.21出货明细'!K:K)</f>
        <v>#N/A</v>
      </c>
      <c r="E394" s="604" t="e">
        <f t="array" ref="E394">LOOKUP(1,0/(('5.21出货明细'!X:X=$D$378)*('5.21出货明细'!A:A=A394)),'5.21出货明细'!J:J)</f>
        <v>#N/A</v>
      </c>
      <c r="F394" s="604" t="e">
        <f t="array" ref="F394">LOOKUP(1,0/(('5.21出货明细'!X:X=$D$378)*('5.21出货明细'!A:A=A394)),'5.21出货明细'!L:L)</f>
        <v>#N/A</v>
      </c>
      <c r="G394" s="604" t="e">
        <f t="array" ref="G394">LOOKUP(1,0/(('5.21出货明细'!X:X=$D$378)*('5.21出货明细'!A:A=A394)),'5.21出货明细'!M:M)</f>
        <v>#N/A</v>
      </c>
      <c r="H394" s="605" t="e">
        <f t="array" ref="H394">LOOKUP(1,0/(('5.21出货明细'!X:X=$D$378)*('5.21出货明细'!A:A=A394)),'5.21出货明细'!P:P)</f>
        <v>#N/A</v>
      </c>
      <c r="I394" s="606" t="e">
        <f t="array" ref="I394">LOOKUP(1,0/(('5.21出货明细'!X:X=$D$378)*('5.21出货明细'!A:A=A394)),'5.21出货明细'!Q:Q)</f>
        <v>#N/A</v>
      </c>
      <c r="J394" s="606" t="e">
        <f t="array" ref="J394">LOOKUP(1,0/(('5.21出货明细'!X:X=$D$378)*('5.21出货明细'!A:A=A394)),'5.21出货明细'!AT:AT)</f>
        <v>#N/A</v>
      </c>
      <c r="K394" s="607" t="e">
        <f t="array" ref="K394">LOOKUP(1,0/(('5.21出货明细'!X:X=$D$378)*('5.21出货明细'!A:A=A394)),'5.21出货明细'!S:S)</f>
        <v>#N/A</v>
      </c>
    </row>
    <row r="395" customFormat="1" ht="62" customHeight="1" spans="1:11">
      <c r="A395" s="601">
        <v>124</v>
      </c>
      <c r="B395" s="602" t="e">
        <f t="array" ref="B395">LOOKUP(1,0/(('5.21出货明细'!X:X=$D$378)*('5.21出货明细'!A:A=A395)),'5.21出货明细'!D:D)</f>
        <v>#N/A</v>
      </c>
      <c r="C395" s="603" t="e">
        <f t="array" ref="C395">LOOKUP(1,0/(('5.21出货明细'!X:X=$D$378)*('5.21出货明细'!A:A=A395)),'5.21出货明细'!G:G&amp;'5.21出货明细'!F:F)</f>
        <v>#N/A</v>
      </c>
      <c r="D395" s="604" t="e">
        <f t="array" ref="D395">LOOKUP(1,0/(('5.21出货明细'!X:X=$D$378)*('5.21出货明细'!A:A=A395)),'5.21出货明细'!K:K)</f>
        <v>#N/A</v>
      </c>
      <c r="E395" s="604" t="e">
        <f t="array" ref="E395">LOOKUP(1,0/(('5.21出货明细'!X:X=$D$378)*('5.21出货明细'!A:A=A395)),'5.21出货明细'!J:J)</f>
        <v>#N/A</v>
      </c>
      <c r="F395" s="604" t="e">
        <f t="array" ref="F395">LOOKUP(1,0/(('5.21出货明细'!X:X=$D$378)*('5.21出货明细'!A:A=A395)),'5.21出货明细'!L:L)</f>
        <v>#N/A</v>
      </c>
      <c r="G395" s="604" t="e">
        <f t="array" ref="G395">LOOKUP(1,0/(('5.21出货明细'!X:X=$D$378)*('5.21出货明细'!A:A=A395)),'5.21出货明细'!M:M)</f>
        <v>#N/A</v>
      </c>
      <c r="H395" s="605" t="e">
        <f t="array" ref="H395">LOOKUP(1,0/(('5.21出货明细'!X:X=$D$378)*('5.21出货明细'!A:A=A395)),'5.21出货明细'!P:P)</f>
        <v>#N/A</v>
      </c>
      <c r="I395" s="606" t="e">
        <f t="array" ref="I395">LOOKUP(1,0/(('5.21出货明细'!X:X=$D$378)*('5.21出货明细'!A:A=A395)),'5.21出货明细'!Q:Q)</f>
        <v>#N/A</v>
      </c>
      <c r="J395" s="606" t="e">
        <f t="array" ref="J395">LOOKUP(1,0/(('5.21出货明细'!X:X=$D$378)*('5.21出货明细'!A:A=A395)),'5.21出货明细'!AT:AT)</f>
        <v>#N/A</v>
      </c>
      <c r="K395" s="607" t="e">
        <f t="array" ref="K395">LOOKUP(1,0/(('5.21出货明细'!X:X=$D$378)*('5.21出货明细'!A:A=A395)),'5.21出货明细'!S:S)</f>
        <v>#N/A</v>
      </c>
    </row>
    <row r="396" customFormat="1" ht="62" customHeight="1" spans="1:11">
      <c r="A396" s="601">
        <v>125</v>
      </c>
      <c r="B396" s="602" t="e">
        <f t="array" ref="B396">LOOKUP(1,0/(('5.21出货明细'!X:X=$D$378)*('5.21出货明细'!A:A=A396)),'5.21出货明细'!D:D)</f>
        <v>#N/A</v>
      </c>
      <c r="C396" s="603" t="e">
        <f t="array" ref="C396">LOOKUP(1,0/(('5.21出货明细'!X:X=$D$378)*('5.21出货明细'!A:A=A396)),'5.21出货明细'!G:G&amp;'5.21出货明细'!F:F)</f>
        <v>#N/A</v>
      </c>
      <c r="D396" s="604" t="e">
        <f t="array" ref="D396">LOOKUP(1,0/(('5.21出货明细'!X:X=$D$378)*('5.21出货明细'!A:A=A396)),'5.21出货明细'!K:K)</f>
        <v>#N/A</v>
      </c>
      <c r="E396" s="604" t="e">
        <f t="array" ref="E396">LOOKUP(1,0/(('5.21出货明细'!X:X=$D$378)*('5.21出货明细'!A:A=A396)),'5.21出货明细'!J:J)</f>
        <v>#N/A</v>
      </c>
      <c r="F396" s="604" t="e">
        <f t="array" ref="F396">LOOKUP(1,0/(('5.21出货明细'!X:X=$D$378)*('5.21出货明细'!A:A=A396)),'5.21出货明细'!L:L)</f>
        <v>#N/A</v>
      </c>
      <c r="G396" s="604" t="e">
        <f t="array" ref="G396">LOOKUP(1,0/(('5.21出货明细'!X:X=$D$378)*('5.21出货明细'!A:A=A396)),'5.21出货明细'!M:M)</f>
        <v>#N/A</v>
      </c>
      <c r="H396" s="605" t="e">
        <f t="array" ref="H396">LOOKUP(1,0/(('5.21出货明细'!X:X=$D$378)*('5.21出货明细'!A:A=A396)),'5.21出货明细'!P:P)</f>
        <v>#N/A</v>
      </c>
      <c r="I396" s="606" t="e">
        <f t="array" ref="I396">LOOKUP(1,0/(('5.21出货明细'!X:X=$D$378)*('5.21出货明细'!A:A=A396)),'5.21出货明细'!Q:Q)</f>
        <v>#N/A</v>
      </c>
      <c r="J396" s="606" t="e">
        <f t="array" ref="J396">LOOKUP(1,0/(('5.21出货明细'!X:X=$D$378)*('5.21出货明细'!A:A=A396)),'5.21出货明细'!AT:AT)</f>
        <v>#N/A</v>
      </c>
      <c r="K396" s="607" t="e">
        <f t="array" ref="K396">LOOKUP(1,0/(('5.21出货明细'!X:X=$D$378)*('5.21出货明细'!A:A=A396)),'5.21出货明细'!S:S)</f>
        <v>#N/A</v>
      </c>
    </row>
    <row r="397" customFormat="1" ht="62" customHeight="1" spans="1:11">
      <c r="A397" s="601">
        <v>126</v>
      </c>
      <c r="B397" s="602" t="e">
        <f t="array" ref="B397">LOOKUP(1,0/(('5.21出货明细'!X:X=$D$378)*('5.21出货明细'!A:A=A397)),'5.21出货明细'!D:D)</f>
        <v>#N/A</v>
      </c>
      <c r="C397" s="603" t="e">
        <f t="array" ref="C397">LOOKUP(1,0/(('5.21出货明细'!X:X=$D$378)*('5.21出货明细'!A:A=A397)),'5.21出货明细'!G:G&amp;'5.21出货明细'!F:F)</f>
        <v>#N/A</v>
      </c>
      <c r="D397" s="604" t="e">
        <f t="array" ref="D397">LOOKUP(1,0/(('5.21出货明细'!X:X=$D$378)*('5.21出货明细'!A:A=A397)),'5.21出货明细'!K:K)</f>
        <v>#N/A</v>
      </c>
      <c r="E397" s="604" t="e">
        <f t="array" ref="E397">LOOKUP(1,0/(('5.21出货明细'!X:X=$D$378)*('5.21出货明细'!A:A=A397)),'5.21出货明细'!J:J)</f>
        <v>#N/A</v>
      </c>
      <c r="F397" s="604" t="e">
        <f t="array" ref="F397">LOOKUP(1,0/(('5.21出货明细'!X:X=$D$378)*('5.21出货明细'!A:A=A397)),'5.21出货明细'!L:L)</f>
        <v>#N/A</v>
      </c>
      <c r="G397" s="604" t="e">
        <f t="array" ref="G397">LOOKUP(1,0/(('5.21出货明细'!X:X=$D$378)*('5.21出货明细'!A:A=A397)),'5.21出货明细'!M:M)</f>
        <v>#N/A</v>
      </c>
      <c r="H397" s="605" t="e">
        <f t="array" ref="H397">LOOKUP(1,0/(('5.21出货明细'!X:X=$D$378)*('5.21出货明细'!A:A=A397)),'5.21出货明细'!P:P)</f>
        <v>#N/A</v>
      </c>
      <c r="I397" s="606" t="e">
        <f t="array" ref="I397">LOOKUP(1,0/(('5.21出货明细'!X:X=$D$378)*('5.21出货明细'!A:A=A397)),'5.21出货明细'!Q:Q)</f>
        <v>#N/A</v>
      </c>
      <c r="J397" s="606" t="e">
        <f t="array" ref="J397">LOOKUP(1,0/(('5.21出货明细'!X:X=$D$378)*('5.21出货明细'!A:A=A397)),'5.21出货明细'!AT:AT)</f>
        <v>#N/A</v>
      </c>
      <c r="K397" s="607" t="e">
        <f t="array" ref="K397">LOOKUP(1,0/(('5.21出货明细'!X:X=$D$378)*('5.21出货明细'!A:A=A397)),'5.21出货明细'!S:S)</f>
        <v>#N/A</v>
      </c>
    </row>
    <row r="398" customFormat="1" ht="62" customHeight="1" spans="1:11">
      <c r="A398" s="601">
        <v>127</v>
      </c>
      <c r="B398" s="602" t="e">
        <f t="array" ref="B398">LOOKUP(1,0/(('5.21出货明细'!X:X=$D$378)*('5.21出货明细'!A:A=A398)),'5.21出货明细'!D:D)</f>
        <v>#N/A</v>
      </c>
      <c r="C398" s="603" t="e">
        <f t="array" ref="C398">LOOKUP(1,0/(('5.21出货明细'!X:X=$D$378)*('5.21出货明细'!A:A=A398)),'5.21出货明细'!G:G&amp;'5.21出货明细'!F:F)</f>
        <v>#N/A</v>
      </c>
      <c r="D398" s="604" t="e">
        <f t="array" ref="D398">LOOKUP(1,0/(('5.21出货明细'!X:X=$D$378)*('5.21出货明细'!A:A=A398)),'5.21出货明细'!K:K)</f>
        <v>#N/A</v>
      </c>
      <c r="E398" s="604" t="e">
        <f t="array" ref="E398">LOOKUP(1,0/(('5.21出货明细'!X:X=$D$378)*('5.21出货明细'!A:A=A398)),'5.21出货明细'!J:J)</f>
        <v>#N/A</v>
      </c>
      <c r="F398" s="604" t="e">
        <f t="array" ref="F398">LOOKUP(1,0/(('5.21出货明细'!X:X=$D$378)*('5.21出货明细'!A:A=A398)),'5.21出货明细'!L:L)</f>
        <v>#N/A</v>
      </c>
      <c r="G398" s="604" t="e">
        <f t="array" ref="G398">LOOKUP(1,0/(('5.21出货明细'!X:X=$D$378)*('5.21出货明细'!A:A=A398)),'5.21出货明细'!M:M)</f>
        <v>#N/A</v>
      </c>
      <c r="H398" s="605" t="e">
        <f t="array" ref="H398">LOOKUP(1,0/(('5.21出货明细'!X:X=$D$378)*('5.21出货明细'!A:A=A398)),'5.21出货明细'!P:P)</f>
        <v>#N/A</v>
      </c>
      <c r="I398" s="606" t="e">
        <f t="array" ref="I398">LOOKUP(1,0/(('5.21出货明细'!X:X=$D$378)*('5.21出货明细'!A:A=A398)),'5.21出货明细'!Q:Q)</f>
        <v>#N/A</v>
      </c>
      <c r="J398" s="606" t="e">
        <f t="array" ref="J398">LOOKUP(1,0/(('5.21出货明细'!X:X=$D$378)*('5.21出货明细'!A:A=A398)),'5.21出货明细'!AT:AT)</f>
        <v>#N/A</v>
      </c>
      <c r="K398" s="607" t="e">
        <f t="array" ref="K398">LOOKUP(1,0/(('5.21出货明细'!X:X=$D$378)*('5.21出货明细'!A:A=A398)),'5.21出货明细'!S:S)</f>
        <v>#N/A</v>
      </c>
    </row>
    <row r="399" customFormat="1" ht="62" customHeight="1" spans="1:11">
      <c r="A399" s="601">
        <v>128</v>
      </c>
      <c r="B399" s="602" t="e">
        <f t="array" ref="B399">LOOKUP(1,0/(('5.21出货明细'!X:X=$D$378)*('5.21出货明细'!A:A=A399)),'5.21出货明细'!D:D)</f>
        <v>#N/A</v>
      </c>
      <c r="C399" s="603" t="e">
        <f t="array" ref="C399">LOOKUP(1,0/(('5.21出货明细'!X:X=$D$378)*('5.21出货明细'!A:A=A399)),'5.21出货明细'!G:G&amp;'5.21出货明细'!F:F)</f>
        <v>#N/A</v>
      </c>
      <c r="D399" s="604" t="e">
        <f t="array" ref="D399">LOOKUP(1,0/(('5.21出货明细'!X:X=$D$378)*('5.21出货明细'!A:A=A399)),'5.21出货明细'!K:K)</f>
        <v>#N/A</v>
      </c>
      <c r="E399" s="604" t="e">
        <f t="array" ref="E399">LOOKUP(1,0/(('5.21出货明细'!X:X=$D$378)*('5.21出货明细'!A:A=A399)),'5.21出货明细'!J:J)</f>
        <v>#N/A</v>
      </c>
      <c r="F399" s="604" t="e">
        <f t="array" ref="F399">LOOKUP(1,0/(('5.21出货明细'!X:X=$D$378)*('5.21出货明细'!A:A=A399)),'5.21出货明细'!L:L)</f>
        <v>#N/A</v>
      </c>
      <c r="G399" s="604" t="e">
        <f t="array" ref="G399">LOOKUP(1,0/(('5.21出货明细'!X:X=$D$378)*('5.21出货明细'!A:A=A399)),'5.21出货明细'!M:M)</f>
        <v>#N/A</v>
      </c>
      <c r="H399" s="605" t="e">
        <f t="array" ref="H399">LOOKUP(1,0/(('5.21出货明细'!X:X=$D$378)*('5.21出货明细'!A:A=A399)),'5.21出货明细'!P:P)</f>
        <v>#N/A</v>
      </c>
      <c r="I399" s="606" t="e">
        <f t="array" ref="I399">LOOKUP(1,0/(('5.21出货明细'!X:X=$D$378)*('5.21出货明细'!A:A=A399)),'5.21出货明细'!Q:Q)</f>
        <v>#N/A</v>
      </c>
      <c r="J399" s="606" t="e">
        <f t="array" ref="J399">LOOKUP(1,0/(('5.21出货明细'!X:X=$D$378)*('5.21出货明细'!A:A=A399)),'5.21出货明细'!AT:AT)</f>
        <v>#N/A</v>
      </c>
      <c r="K399" s="607" t="e">
        <f t="array" ref="K399">LOOKUP(1,0/(('5.21出货明细'!X:X=$D$378)*('5.21出货明细'!A:A=A399)),'5.21出货明细'!S:S)</f>
        <v>#N/A</v>
      </c>
    </row>
    <row r="400" customFormat="1" ht="62" customHeight="1" spans="1:11">
      <c r="A400" s="601">
        <v>129</v>
      </c>
      <c r="B400" s="602" t="e">
        <f t="array" ref="B400">LOOKUP(1,0/(('5.21出货明细'!X:X=$D$378)*('5.21出货明细'!A:A=A400)),'5.21出货明细'!D:D)</f>
        <v>#N/A</v>
      </c>
      <c r="C400" s="603" t="e">
        <f t="array" ref="C400">LOOKUP(1,0/(('5.21出货明细'!X:X=$D$378)*('5.21出货明细'!A:A=A400)),'5.21出货明细'!G:G&amp;'5.21出货明细'!F:F)</f>
        <v>#N/A</v>
      </c>
      <c r="D400" s="604" t="e">
        <f t="array" ref="D400">LOOKUP(1,0/(('5.21出货明细'!X:X=$D$378)*('5.21出货明细'!A:A=A400)),'5.21出货明细'!K:K)</f>
        <v>#N/A</v>
      </c>
      <c r="E400" s="604" t="e">
        <f t="array" ref="E400">LOOKUP(1,0/(('5.21出货明细'!X:X=$D$378)*('5.21出货明细'!A:A=A400)),'5.21出货明细'!J:J)</f>
        <v>#N/A</v>
      </c>
      <c r="F400" s="604" t="e">
        <f t="array" ref="F400">LOOKUP(1,0/(('5.21出货明细'!X:X=$D$378)*('5.21出货明细'!A:A=A400)),'5.21出货明细'!L:L)</f>
        <v>#N/A</v>
      </c>
      <c r="G400" s="604" t="e">
        <f t="array" ref="G400">LOOKUP(1,0/(('5.21出货明细'!X:X=$D$378)*('5.21出货明细'!A:A=A400)),'5.21出货明细'!M:M)</f>
        <v>#N/A</v>
      </c>
      <c r="H400" s="605" t="e">
        <f t="array" ref="H400">LOOKUP(1,0/(('5.21出货明细'!X:X=$D$378)*('5.21出货明细'!A:A=A400)),'5.21出货明细'!P:P)</f>
        <v>#N/A</v>
      </c>
      <c r="I400" s="606" t="e">
        <f t="array" ref="I400">LOOKUP(1,0/(('5.21出货明细'!X:X=$D$378)*('5.21出货明细'!A:A=A400)),'5.21出货明细'!Q:Q)</f>
        <v>#N/A</v>
      </c>
      <c r="J400" s="606" t="e">
        <f t="array" ref="J400">LOOKUP(1,0/(('5.21出货明细'!X:X=$D$378)*('5.21出货明细'!A:A=A400)),'5.21出货明细'!AT:AT)</f>
        <v>#N/A</v>
      </c>
      <c r="K400" s="607" t="e">
        <f t="array" ref="K400">LOOKUP(1,0/(('5.21出货明细'!X:X=$D$378)*('5.21出货明细'!A:A=A400)),'5.21出货明细'!S:S)</f>
        <v>#N/A</v>
      </c>
    </row>
    <row r="401" customFormat="1" ht="62" customHeight="1" spans="1:11">
      <c r="A401" s="601"/>
      <c r="B401" s="602"/>
      <c r="C401" s="603"/>
      <c r="D401" s="604"/>
      <c r="E401" s="604"/>
      <c r="F401" s="604"/>
      <c r="G401" s="604"/>
      <c r="H401" s="605"/>
      <c r="I401" s="606"/>
      <c r="J401" s="606"/>
      <c r="K401" s="607"/>
    </row>
    <row r="402" customFormat="1" ht="62" customHeight="1" spans="1:11">
      <c r="A402" s="601"/>
      <c r="B402" s="602"/>
      <c r="C402" s="603"/>
      <c r="D402" s="604"/>
      <c r="E402" s="604"/>
      <c r="F402" s="604"/>
      <c r="G402" s="604"/>
      <c r="H402" s="605"/>
      <c r="I402" s="606"/>
      <c r="J402" s="606"/>
      <c r="K402" s="607"/>
    </row>
    <row r="403" customFormat="1" ht="18" spans="1:11">
      <c r="A403" s="608"/>
      <c r="B403" s="609"/>
      <c r="C403" s="603"/>
      <c r="D403" s="610" t="e">
        <f>SUM(D394:D402)</f>
        <v>#N/A</v>
      </c>
      <c r="E403" s="611"/>
      <c r="F403" s="610"/>
      <c r="G403" s="610"/>
      <c r="H403" s="612" t="e">
        <f>SUM(H394:H402)</f>
        <v>#N/A</v>
      </c>
      <c r="I403" s="612" t="e">
        <f>SUM(I394:I402)</f>
        <v>#N/A</v>
      </c>
      <c r="J403" s="612" t="e">
        <f>SUM(J394:J402)</f>
        <v>#N/A</v>
      </c>
      <c r="K403" s="613" t="e">
        <f>SUM(K394:K402)</f>
        <v>#N/A</v>
      </c>
    </row>
    <row r="404" customFormat="1" ht="18.75" spans="1:11">
      <c r="A404" s="614"/>
      <c r="B404" s="615"/>
      <c r="C404" s="616"/>
      <c r="D404" s="617"/>
      <c r="E404" s="618" t="s">
        <v>1553</v>
      </c>
      <c r="F404" s="618"/>
      <c r="G404" s="618"/>
      <c r="H404" s="618" t="s">
        <v>1553</v>
      </c>
      <c r="I404" s="618" t="s">
        <v>1553</v>
      </c>
      <c r="J404" s="618" t="s">
        <v>1553</v>
      </c>
      <c r="K404" s="618" t="s">
        <v>1553</v>
      </c>
    </row>
    <row r="409" spans="1:11">
      <c r="H409" s="429" t="e">
        <f>H367+H252+H164+H120+H81+H43+H403+H333+H296+H208</f>
        <v>#N/A</v>
      </c>
      <c r="I409" s="429" t="e">
        <f>I367+I252+I164+I120+I81+I43+I403+I333+I296+I208</f>
        <v>#N/A</v>
      </c>
      <c r="J409" s="429" t="e">
        <f>J367+J252+J164+J120+J81+J43+J403+J333+J296+J208</f>
        <v>#N/A</v>
      </c>
      <c r="K409" s="429" t="e">
        <f>K367+K252+K164+K120+K81+K43+K403+K333+K296+K208</f>
        <v>#N/A</v>
      </c>
    </row>
    <row r="411" spans="1:11">
      <c r="H411" s="429">
        <f>'5.21出货明细'!P9</f>
        <v>0</v>
      </c>
      <c r="I411" s="429">
        <f>'5.21出货明细'!Q9</f>
        <v>0</v>
      </c>
      <c r="J411" s="429">
        <f>'5.21出货明细'!AT9</f>
        <v>0</v>
      </c>
      <c r="K411" s="429">
        <f>'5.21出货明细'!S9</f>
        <v>0</v>
      </c>
    </row>
  </sheetData>
  <mergeCells count="130">
    <mergeCell ref="A1:K1"/>
    <mergeCell ref="D9:G9"/>
    <mergeCell ref="H9:K9"/>
    <mergeCell ref="D11:G11"/>
    <mergeCell ref="H11:I11"/>
    <mergeCell ref="E12:G12"/>
    <mergeCell ref="A46:K46"/>
    <mergeCell ref="D54:G54"/>
    <mergeCell ref="H54:K54"/>
    <mergeCell ref="D56:G56"/>
    <mergeCell ref="H56:I56"/>
    <mergeCell ref="E57:G57"/>
    <mergeCell ref="A84:K84"/>
    <mergeCell ref="D92:G92"/>
    <mergeCell ref="H92:K92"/>
    <mergeCell ref="D94:G94"/>
    <mergeCell ref="H94:I94"/>
    <mergeCell ref="E95:G95"/>
    <mergeCell ref="A123:K123"/>
    <mergeCell ref="D131:G131"/>
    <mergeCell ref="H131:K131"/>
    <mergeCell ref="D133:G133"/>
    <mergeCell ref="H133:I133"/>
    <mergeCell ref="E134:G134"/>
    <mergeCell ref="A167:K167"/>
    <mergeCell ref="D175:G175"/>
    <mergeCell ref="H175:K175"/>
    <mergeCell ref="D177:G177"/>
    <mergeCell ref="H177:I177"/>
    <mergeCell ref="E178:G178"/>
    <mergeCell ref="A211:K211"/>
    <mergeCell ref="D219:G219"/>
    <mergeCell ref="H219:K219"/>
    <mergeCell ref="D221:G221"/>
    <mergeCell ref="H221:I221"/>
    <mergeCell ref="E222:G222"/>
    <mergeCell ref="A255:K255"/>
    <mergeCell ref="D263:G263"/>
    <mergeCell ref="H263:K263"/>
    <mergeCell ref="D265:G265"/>
    <mergeCell ref="H265:I265"/>
    <mergeCell ref="E266:G266"/>
    <mergeCell ref="A299:K299"/>
    <mergeCell ref="D307:G307"/>
    <mergeCell ref="H307:K307"/>
    <mergeCell ref="D309:G309"/>
    <mergeCell ref="H309:I309"/>
    <mergeCell ref="E310:G310"/>
    <mergeCell ref="A336:K336"/>
    <mergeCell ref="D344:G344"/>
    <mergeCell ref="H344:K344"/>
    <mergeCell ref="D346:G346"/>
    <mergeCell ref="H346:I346"/>
    <mergeCell ref="E347:G347"/>
    <mergeCell ref="A370:K370"/>
    <mergeCell ref="D378:G378"/>
    <mergeCell ref="H378:K378"/>
    <mergeCell ref="D380:G380"/>
    <mergeCell ref="H380:I380"/>
    <mergeCell ref="E381:G381"/>
    <mergeCell ref="A9:C11"/>
    <mergeCell ref="D13:G15"/>
    <mergeCell ref="H13:K15"/>
    <mergeCell ref="D17:G21"/>
    <mergeCell ref="H17:K21"/>
    <mergeCell ref="A2:K3"/>
    <mergeCell ref="A6:K7"/>
    <mergeCell ref="A54:C56"/>
    <mergeCell ref="A47:K48"/>
    <mergeCell ref="A51:K52"/>
    <mergeCell ref="D58:G60"/>
    <mergeCell ref="H58:K60"/>
    <mergeCell ref="D62:G66"/>
    <mergeCell ref="H62:K66"/>
    <mergeCell ref="A85:K86"/>
    <mergeCell ref="A92:C94"/>
    <mergeCell ref="A89:K90"/>
    <mergeCell ref="D96:G98"/>
    <mergeCell ref="H96:K98"/>
    <mergeCell ref="D100:G104"/>
    <mergeCell ref="H100:K104"/>
    <mergeCell ref="A124:K125"/>
    <mergeCell ref="A131:C133"/>
    <mergeCell ref="A128:K129"/>
    <mergeCell ref="D135:G137"/>
    <mergeCell ref="H135:K137"/>
    <mergeCell ref="D139:G143"/>
    <mergeCell ref="H139:K143"/>
    <mergeCell ref="A168:K169"/>
    <mergeCell ref="A172:K173"/>
    <mergeCell ref="A175:C177"/>
    <mergeCell ref="D179:G181"/>
    <mergeCell ref="H179:K181"/>
    <mergeCell ref="D183:G187"/>
    <mergeCell ref="H183:K187"/>
    <mergeCell ref="A371:K372"/>
    <mergeCell ref="A256:K257"/>
    <mergeCell ref="A337:K338"/>
    <mergeCell ref="A375:K376"/>
    <mergeCell ref="D382:G384"/>
    <mergeCell ref="H382:K384"/>
    <mergeCell ref="D386:G390"/>
    <mergeCell ref="H386:K390"/>
    <mergeCell ref="A378:C380"/>
    <mergeCell ref="A263:C265"/>
    <mergeCell ref="A260:K261"/>
    <mergeCell ref="D267:G269"/>
    <mergeCell ref="H267:K269"/>
    <mergeCell ref="D271:G275"/>
    <mergeCell ref="H271:K275"/>
    <mergeCell ref="A344:C346"/>
    <mergeCell ref="A341:K342"/>
    <mergeCell ref="D348:G350"/>
    <mergeCell ref="H348:K350"/>
    <mergeCell ref="D352:G356"/>
    <mergeCell ref="H352:K356"/>
    <mergeCell ref="A212:K213"/>
    <mergeCell ref="A219:C221"/>
    <mergeCell ref="A216:K217"/>
    <mergeCell ref="D223:G225"/>
    <mergeCell ref="H223:K225"/>
    <mergeCell ref="D227:G231"/>
    <mergeCell ref="H227:K231"/>
    <mergeCell ref="A300:K301"/>
    <mergeCell ref="A307:C309"/>
    <mergeCell ref="A304:K305"/>
    <mergeCell ref="D311:G313"/>
    <mergeCell ref="H311:K313"/>
    <mergeCell ref="D315:G319"/>
    <mergeCell ref="H315:K319"/>
  </mergeCells>
  <conditionalFormatting sqref="A14">
    <cfRule type="cellIs" dxfId="0" priority="757" stopIfTrue="1" operator="equal">
      <formula>0</formula>
    </cfRule>
  </conditionalFormatting>
  <conditionalFormatting sqref="A16">
    <cfRule type="cellIs" dxfId="0" priority="752" stopIfTrue="1" operator="equal">
      <formula>0</formula>
    </cfRule>
  </conditionalFormatting>
  <conditionalFormatting sqref="C16">
    <cfRule type="cellIs" dxfId="0" priority="754" stopIfTrue="1" operator="equal">
      <formula>0</formula>
    </cfRule>
  </conditionalFormatting>
  <conditionalFormatting sqref="A17">
    <cfRule type="cellIs" dxfId="0" priority="750" stopIfTrue="1" operator="equal">
      <formula>0</formula>
    </cfRule>
  </conditionalFormatting>
  <conditionalFormatting sqref="A18">
    <cfRule type="cellIs" dxfId="0" priority="751" stopIfTrue="1" operator="equal">
      <formula>0</formula>
    </cfRule>
  </conditionalFormatting>
  <conditionalFormatting sqref="A23">
    <cfRule type="cellIs" dxfId="0" priority="753" stopIfTrue="1" operator="equal">
      <formula>0</formula>
    </cfRule>
  </conditionalFormatting>
  <conditionalFormatting sqref="A59">
    <cfRule type="cellIs" dxfId="0" priority="272" stopIfTrue="1" operator="equal">
      <formula>0</formula>
    </cfRule>
  </conditionalFormatting>
  <conditionalFormatting sqref="A61">
    <cfRule type="cellIs" dxfId="0" priority="267" stopIfTrue="1" operator="equal">
      <formula>0</formula>
    </cfRule>
  </conditionalFormatting>
  <conditionalFormatting sqref="C61">
    <cfRule type="cellIs" dxfId="0" priority="269" stopIfTrue="1" operator="equal">
      <formula>0</formula>
    </cfRule>
  </conditionalFormatting>
  <conditionalFormatting sqref="A62">
    <cfRule type="cellIs" dxfId="0" priority="265" stopIfTrue="1" operator="equal">
      <formula>0</formula>
    </cfRule>
  </conditionalFormatting>
  <conditionalFormatting sqref="A63">
    <cfRule type="cellIs" dxfId="0" priority="266" stopIfTrue="1" operator="equal">
      <formula>0</formula>
    </cfRule>
  </conditionalFormatting>
  <conditionalFormatting sqref="A68">
    <cfRule type="cellIs" dxfId="0" priority="268" stopIfTrue="1" operator="equal">
      <formula>0</formula>
    </cfRule>
  </conditionalFormatting>
  <conditionalFormatting sqref="A97">
    <cfRule type="cellIs" dxfId="0" priority="104" stopIfTrue="1" operator="equal">
      <formula>0</formula>
    </cfRule>
  </conditionalFormatting>
  <conditionalFormatting sqref="A99">
    <cfRule type="cellIs" dxfId="0" priority="99" stopIfTrue="1" operator="equal">
      <formula>0</formula>
    </cfRule>
  </conditionalFormatting>
  <conditionalFormatting sqref="C99">
    <cfRule type="cellIs" dxfId="0" priority="101" stopIfTrue="1" operator="equal">
      <formula>0</formula>
    </cfRule>
  </conditionalFormatting>
  <conditionalFormatting sqref="A100">
    <cfRule type="cellIs" dxfId="0" priority="97" stopIfTrue="1" operator="equal">
      <formula>0</formula>
    </cfRule>
  </conditionalFormatting>
  <conditionalFormatting sqref="A101">
    <cfRule type="cellIs" dxfId="0" priority="98" stopIfTrue="1" operator="equal">
      <formula>0</formula>
    </cfRule>
  </conditionalFormatting>
  <conditionalFormatting sqref="A106">
    <cfRule type="cellIs" dxfId="0" priority="100" stopIfTrue="1" operator="equal">
      <formula>0</formula>
    </cfRule>
  </conditionalFormatting>
  <conditionalFormatting sqref="A136">
    <cfRule type="cellIs" dxfId="0" priority="263" stopIfTrue="1" operator="equal">
      <formula>0</formula>
    </cfRule>
  </conditionalFormatting>
  <conditionalFormatting sqref="A138">
    <cfRule type="cellIs" dxfId="0" priority="258" stopIfTrue="1" operator="equal">
      <formula>0</formula>
    </cfRule>
  </conditionalFormatting>
  <conditionalFormatting sqref="C138">
    <cfRule type="cellIs" dxfId="0" priority="260" stopIfTrue="1" operator="equal">
      <formula>0</formula>
    </cfRule>
  </conditionalFormatting>
  <conditionalFormatting sqref="A139">
    <cfRule type="cellIs" dxfId="0" priority="256" stopIfTrue="1" operator="equal">
      <formula>0</formula>
    </cfRule>
  </conditionalFormatting>
  <conditionalFormatting sqref="A140">
    <cfRule type="cellIs" dxfId="0" priority="257" stopIfTrue="1" operator="equal">
      <formula>0</formula>
    </cfRule>
  </conditionalFormatting>
  <conditionalFormatting sqref="A145">
    <cfRule type="cellIs" dxfId="0" priority="259" stopIfTrue="1" operator="equal">
      <formula>0</formula>
    </cfRule>
  </conditionalFormatting>
  <conditionalFormatting sqref="A180">
    <cfRule type="cellIs" dxfId="0" priority="54" stopIfTrue="1" operator="equal">
      <formula>0</formula>
    </cfRule>
  </conditionalFormatting>
  <conditionalFormatting sqref="A182">
    <cfRule type="cellIs" dxfId="0" priority="49" stopIfTrue="1" operator="equal">
      <formula>0</formula>
    </cfRule>
  </conditionalFormatting>
  <conditionalFormatting sqref="C182">
    <cfRule type="cellIs" dxfId="0" priority="51" stopIfTrue="1" operator="equal">
      <formula>0</formula>
    </cfRule>
  </conditionalFormatting>
  <conditionalFormatting sqref="A183">
    <cfRule type="cellIs" dxfId="0" priority="47" stopIfTrue="1" operator="equal">
      <formula>0</formula>
    </cfRule>
  </conditionalFormatting>
  <conditionalFormatting sqref="A184">
    <cfRule type="cellIs" dxfId="0" priority="48" stopIfTrue="1" operator="equal">
      <formula>0</formula>
    </cfRule>
  </conditionalFormatting>
  <conditionalFormatting sqref="A189">
    <cfRule type="cellIs" dxfId="0" priority="50" stopIfTrue="1" operator="equal">
      <formula>0</formula>
    </cfRule>
  </conditionalFormatting>
  <conditionalFormatting sqref="A224">
    <cfRule type="cellIs" dxfId="0" priority="254" stopIfTrue="1" operator="equal">
      <formula>0</formula>
    </cfRule>
  </conditionalFormatting>
  <conditionalFormatting sqref="A226">
    <cfRule type="cellIs" dxfId="0" priority="249" stopIfTrue="1" operator="equal">
      <formula>0</formula>
    </cfRule>
  </conditionalFormatting>
  <conditionalFormatting sqref="C226">
    <cfRule type="cellIs" dxfId="0" priority="251" stopIfTrue="1" operator="equal">
      <formula>0</formula>
    </cfRule>
  </conditionalFormatting>
  <conditionalFormatting sqref="A227">
    <cfRule type="cellIs" dxfId="0" priority="247" stopIfTrue="1" operator="equal">
      <formula>0</formula>
    </cfRule>
  </conditionalFormatting>
  <conditionalFormatting sqref="A228">
    <cfRule type="cellIs" dxfId="0" priority="248" stopIfTrue="1" operator="equal">
      <formula>0</formula>
    </cfRule>
  </conditionalFormatting>
  <conditionalFormatting sqref="A233">
    <cfRule type="cellIs" dxfId="0" priority="250" stopIfTrue="1" operator="equal">
      <formula>0</formula>
    </cfRule>
  </conditionalFormatting>
  <conditionalFormatting sqref="A268">
    <cfRule type="cellIs" dxfId="0" priority="45" stopIfTrue="1" operator="equal">
      <formula>0</formula>
    </cfRule>
  </conditionalFormatting>
  <conditionalFormatting sqref="A270">
    <cfRule type="cellIs" dxfId="0" priority="40" stopIfTrue="1" operator="equal">
      <formula>0</formula>
    </cfRule>
  </conditionalFormatting>
  <conditionalFormatting sqref="C270">
    <cfRule type="cellIs" dxfId="0" priority="42" stopIfTrue="1" operator="equal">
      <formula>0</formula>
    </cfRule>
  </conditionalFormatting>
  <conditionalFormatting sqref="A271">
    <cfRule type="cellIs" dxfId="0" priority="38" stopIfTrue="1" operator="equal">
      <formula>0</formula>
    </cfRule>
  </conditionalFormatting>
  <conditionalFormatting sqref="A272">
    <cfRule type="cellIs" dxfId="0" priority="39" stopIfTrue="1" operator="equal">
      <formula>0</formula>
    </cfRule>
  </conditionalFormatting>
  <conditionalFormatting sqref="A277">
    <cfRule type="cellIs" dxfId="0" priority="41" stopIfTrue="1" operator="equal">
      <formula>0</formula>
    </cfRule>
  </conditionalFormatting>
  <conditionalFormatting sqref="A312">
    <cfRule type="cellIs" dxfId="0" priority="27" stopIfTrue="1" operator="equal">
      <formula>0</formula>
    </cfRule>
  </conditionalFormatting>
  <conditionalFormatting sqref="A314">
    <cfRule type="cellIs" dxfId="0" priority="22" stopIfTrue="1" operator="equal">
      <formula>0</formula>
    </cfRule>
  </conditionalFormatting>
  <conditionalFormatting sqref="C314">
    <cfRule type="cellIs" dxfId="0" priority="24" stopIfTrue="1" operator="equal">
      <formula>0</formula>
    </cfRule>
  </conditionalFormatting>
  <conditionalFormatting sqref="A315">
    <cfRule type="cellIs" dxfId="0" priority="20" stopIfTrue="1" operator="equal">
      <formula>0</formula>
    </cfRule>
  </conditionalFormatting>
  <conditionalFormatting sqref="A316">
    <cfRule type="cellIs" dxfId="0" priority="21" stopIfTrue="1" operator="equal">
      <formula>0</formula>
    </cfRule>
  </conditionalFormatting>
  <conditionalFormatting sqref="A321">
    <cfRule type="cellIs" dxfId="0" priority="23" stopIfTrue="1" operator="equal">
      <formula>0</formula>
    </cfRule>
  </conditionalFormatting>
  <conditionalFormatting sqref="A349">
    <cfRule type="cellIs" dxfId="0" priority="182" stopIfTrue="1" operator="equal">
      <formula>0</formula>
    </cfRule>
  </conditionalFormatting>
  <conditionalFormatting sqref="A351">
    <cfRule type="cellIs" dxfId="0" priority="177" stopIfTrue="1" operator="equal">
      <formula>0</formula>
    </cfRule>
  </conditionalFormatting>
  <conditionalFormatting sqref="C351">
    <cfRule type="cellIs" dxfId="0" priority="179" stopIfTrue="1" operator="equal">
      <formula>0</formula>
    </cfRule>
  </conditionalFormatting>
  <conditionalFormatting sqref="A352">
    <cfRule type="cellIs" dxfId="0" priority="175" stopIfTrue="1" operator="equal">
      <formula>0</formula>
    </cfRule>
  </conditionalFormatting>
  <conditionalFormatting sqref="A353">
    <cfRule type="cellIs" dxfId="0" priority="176" stopIfTrue="1" operator="equal">
      <formula>0</formula>
    </cfRule>
  </conditionalFormatting>
  <conditionalFormatting sqref="A358">
    <cfRule type="cellIs" dxfId="0" priority="178" stopIfTrue="1" operator="equal">
      <formula>0</formula>
    </cfRule>
  </conditionalFormatting>
  <conditionalFormatting sqref="A383">
    <cfRule type="cellIs" dxfId="0" priority="36" stopIfTrue="1" operator="equal">
      <formula>0</formula>
    </cfRule>
  </conditionalFormatting>
  <conditionalFormatting sqref="A385">
    <cfRule type="cellIs" dxfId="0" priority="31" stopIfTrue="1" operator="equal">
      <formula>0</formula>
    </cfRule>
  </conditionalFormatting>
  <conditionalFormatting sqref="C385">
    <cfRule type="cellIs" dxfId="0" priority="33" stopIfTrue="1" operator="equal">
      <formula>0</formula>
    </cfRule>
  </conditionalFormatting>
  <conditionalFormatting sqref="A386">
    <cfRule type="cellIs" dxfId="0" priority="29" stopIfTrue="1" operator="equal">
      <formula>0</formula>
    </cfRule>
  </conditionalFormatting>
  <conditionalFormatting sqref="A387">
    <cfRule type="cellIs" dxfId="0" priority="30" stopIfTrue="1" operator="equal">
      <formula>0</formula>
    </cfRule>
  </conditionalFormatting>
  <conditionalFormatting sqref="A392">
    <cfRule type="cellIs" dxfId="0" priority="32" stopIfTrue="1" operator="equal">
      <formula>0</formula>
    </cfRule>
  </conditionalFormatting>
  <conditionalFormatting sqref="A12:A13">
    <cfRule type="cellIs" dxfId="0" priority="756" stopIfTrue="1" operator="equal">
      <formula>0</formula>
    </cfRule>
  </conditionalFormatting>
  <conditionalFormatting sqref="A21:A22">
    <cfRule type="cellIs" dxfId="0" priority="595" stopIfTrue="1" operator="equal">
      <formula>0</formula>
    </cfRule>
  </conditionalFormatting>
  <conditionalFormatting sqref="A57:A58">
    <cfRule type="cellIs" dxfId="0" priority="271" stopIfTrue="1" operator="equal">
      <formula>0</formula>
    </cfRule>
  </conditionalFormatting>
  <conditionalFormatting sqref="A66:A67">
    <cfRule type="cellIs" dxfId="0" priority="76" stopIfTrue="1" operator="equal">
      <formula>0</formula>
    </cfRule>
  </conditionalFormatting>
  <conditionalFormatting sqref="A95:A96">
    <cfRule type="cellIs" dxfId="0" priority="103" stopIfTrue="1" operator="equal">
      <formula>0</formula>
    </cfRule>
  </conditionalFormatting>
  <conditionalFormatting sqref="A104:A105">
    <cfRule type="cellIs" dxfId="0" priority="75" stopIfTrue="1" operator="equal">
      <formula>0</formula>
    </cfRule>
  </conditionalFormatting>
  <conditionalFormatting sqref="A134:A135">
    <cfRule type="cellIs" dxfId="0" priority="262" stopIfTrue="1" operator="equal">
      <formula>0</formula>
    </cfRule>
  </conditionalFormatting>
  <conditionalFormatting sqref="A143:A144">
    <cfRule type="cellIs" dxfId="0" priority="74" stopIfTrue="1" operator="equal">
      <formula>0</formula>
    </cfRule>
  </conditionalFormatting>
  <conditionalFormatting sqref="A178:A179">
    <cfRule type="cellIs" dxfId="0" priority="53" stopIfTrue="1" operator="equal">
      <formula>0</formula>
    </cfRule>
  </conditionalFormatting>
  <conditionalFormatting sqref="A187:A188">
    <cfRule type="cellIs" dxfId="0" priority="46" stopIfTrue="1" operator="equal">
      <formula>0</formula>
    </cfRule>
  </conditionalFormatting>
  <conditionalFormatting sqref="A222:A223">
    <cfRule type="cellIs" dxfId="0" priority="253" stopIfTrue="1" operator="equal">
      <formula>0</formula>
    </cfRule>
  </conditionalFormatting>
  <conditionalFormatting sqref="A231:A232">
    <cfRule type="cellIs" dxfId="0" priority="73" stopIfTrue="1" operator="equal">
      <formula>0</formula>
    </cfRule>
  </conditionalFormatting>
  <conditionalFormatting sqref="A266:A267">
    <cfRule type="cellIs" dxfId="0" priority="44" stopIfTrue="1" operator="equal">
      <formula>0</formula>
    </cfRule>
  </conditionalFormatting>
  <conditionalFormatting sqref="A275:A276">
    <cfRule type="cellIs" dxfId="0" priority="37" stopIfTrue="1" operator="equal">
      <formula>0</formula>
    </cfRule>
  </conditionalFormatting>
  <conditionalFormatting sqref="A310:A311">
    <cfRule type="cellIs" dxfId="0" priority="26" stopIfTrue="1" operator="equal">
      <formula>0</formula>
    </cfRule>
  </conditionalFormatting>
  <conditionalFormatting sqref="A319:A320">
    <cfRule type="cellIs" dxfId="0" priority="19" stopIfTrue="1" operator="equal">
      <formula>0</formula>
    </cfRule>
  </conditionalFormatting>
  <conditionalFormatting sqref="A347:A348">
    <cfRule type="cellIs" dxfId="0" priority="181" stopIfTrue="1" operator="equal">
      <formula>0</formula>
    </cfRule>
  </conditionalFormatting>
  <conditionalFormatting sqref="A356:A357">
    <cfRule type="cellIs" dxfId="0" priority="72" stopIfTrue="1" operator="equal">
      <formula>0</formula>
    </cfRule>
  </conditionalFormatting>
  <conditionalFormatting sqref="A381:A382">
    <cfRule type="cellIs" dxfId="0" priority="35" stopIfTrue="1" operator="equal">
      <formula>0</formula>
    </cfRule>
  </conditionalFormatting>
  <conditionalFormatting sqref="A390:A391">
    <cfRule type="cellIs" dxfId="0" priority="28" stopIfTrue="1" operator="equal">
      <formula>0</formula>
    </cfRule>
  </conditionalFormatting>
  <conditionalFormatting sqref="C21:C22">
    <cfRule type="cellIs" dxfId="0" priority="755" stopIfTrue="1" operator="equal">
      <formula>0</formula>
    </cfRule>
  </conditionalFormatting>
  <conditionalFormatting sqref="C66:C67">
    <cfRule type="cellIs" dxfId="0" priority="270" stopIfTrue="1" operator="equal">
      <formula>0</formula>
    </cfRule>
  </conditionalFormatting>
  <conditionalFormatting sqref="C104:C105">
    <cfRule type="cellIs" dxfId="0" priority="102" stopIfTrue="1" operator="equal">
      <formula>0</formula>
    </cfRule>
  </conditionalFormatting>
  <conditionalFormatting sqref="C143:C144">
    <cfRule type="cellIs" dxfId="0" priority="261" stopIfTrue="1" operator="equal">
      <formula>0</formula>
    </cfRule>
  </conditionalFormatting>
  <conditionalFormatting sqref="C187:C188">
    <cfRule type="cellIs" dxfId="0" priority="52" stopIfTrue="1" operator="equal">
      <formula>0</formula>
    </cfRule>
  </conditionalFormatting>
  <conditionalFormatting sqref="C231:C232">
    <cfRule type="cellIs" dxfId="0" priority="252" stopIfTrue="1" operator="equal">
      <formula>0</formula>
    </cfRule>
  </conditionalFormatting>
  <conditionalFormatting sqref="C275:C276">
    <cfRule type="cellIs" dxfId="0" priority="43" stopIfTrue="1" operator="equal">
      <formula>0</formula>
    </cfRule>
  </conditionalFormatting>
  <conditionalFormatting sqref="C319:C320">
    <cfRule type="cellIs" dxfId="0" priority="25" stopIfTrue="1" operator="equal">
      <formula>0</formula>
    </cfRule>
  </conditionalFormatting>
  <conditionalFormatting sqref="C356:C357">
    <cfRule type="cellIs" dxfId="0" priority="180" stopIfTrue="1" operator="equal">
      <formula>0</formula>
    </cfRule>
  </conditionalFormatting>
  <conditionalFormatting sqref="C390:C391">
    <cfRule type="cellIs" dxfId="0" priority="34" stopIfTrue="1" operator="equal">
      <formula>0</formula>
    </cfRule>
  </conditionalFormatting>
  <pageMargins left="0.156944444444444" right="0.156944444444444" top="0.432638888888889" bottom="0.236111111111111" header="0.156944444444444" footer="0.118055555555556"/>
  <pageSetup paperSize="9" scale="1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J64"/>
  <sheetViews>
    <sheetView tabSelected="1" zoomScale="70" zoomScaleNormal="70" topLeftCell="AA2" workbookViewId="0">
      <selection activeCell="B4" sqref="B4:D5"/>
    </sheetView>
  </sheetViews>
  <sheetFormatPr defaultColWidth="9.13333333333333" defaultRowHeight="13.5"/>
  <cols>
    <col min="1" max="1" width="20" customWidth="1"/>
    <col min="2" max="2" width="17.0333333333333" customWidth="1"/>
    <col min="3" max="3" width="15.675" customWidth="1"/>
    <col min="4" max="5" width="17.5333333333333" customWidth="1"/>
    <col min="6" max="6" width="18.6416666666667" customWidth="1"/>
    <col min="7" max="7" width="24.7166666666667" customWidth="1"/>
    <col min="8" max="8" width="24.9833333333333" customWidth="1"/>
    <col min="9" max="9" width="19.275" customWidth="1"/>
    <col min="10" max="10" width="14.275" customWidth="1"/>
    <col min="11" max="11" width="19.3083333333333" customWidth="1"/>
    <col min="12" max="12" width="17.7583333333333" customWidth="1"/>
    <col min="13" max="13" width="14.8083333333333" customWidth="1"/>
    <col min="14" max="15" width="20.8666666666667" customWidth="1"/>
    <col min="16" max="16" width="24.9916666666667" customWidth="1"/>
    <col min="17" max="19" width="20.8666666666667" customWidth="1"/>
    <col min="20" max="20" width="32.5083333333333" customWidth="1"/>
    <col min="21" max="27" width="20.8666666666667" customWidth="1"/>
    <col min="28" max="28" width="40.8166666666667" customWidth="1"/>
    <col min="29" max="33" width="20.8666666666667" customWidth="1"/>
    <col min="34" max="34" width="22.8583333333333" customWidth="1"/>
    <col min="35" max="35" width="23.9666666666667" customWidth="1"/>
    <col min="36" max="36" width="19.7833333333333" customWidth="1"/>
    <col min="37" max="37" width="34.6166666666667" customWidth="1"/>
    <col min="38" max="38" width="26.8833333333333" customWidth="1"/>
    <col min="39" max="39" width="16.975" customWidth="1"/>
    <col min="40" max="40" width="25.6666666666667" customWidth="1"/>
    <col min="41" max="41" width="19.1666666666667" customWidth="1"/>
    <col min="42" max="42" width="16.4666666666667" customWidth="1"/>
    <col min="43" max="43" width="16.2166666666667" customWidth="1"/>
    <col min="44" max="44" width="26.6666666666667" customWidth="1"/>
    <col min="45" max="45" width="27.275" customWidth="1"/>
    <col min="46" max="46" width="15" style="429" customWidth="1"/>
    <col min="47" max="47" width="23.8583333333333" customWidth="1"/>
    <col min="48" max="48" width="16.8166666666667" customWidth="1"/>
    <col min="49" max="53" width="24.5333333333333" customWidth="1"/>
    <col min="54" max="55" width="20.8666666666667" customWidth="1"/>
    <col min="56" max="56" width="24.9916666666667" customWidth="1"/>
    <col min="57" max="57" width="15.35" customWidth="1"/>
    <col min="64" max="64" width="11.5"/>
  </cols>
  <sheetData>
    <row r="1" customFormat="1" ht="50" customHeight="1" spans="1:88">
      <c r="Z1" s="430"/>
      <c r="AP1" s="431"/>
      <c r="AQ1" s="431"/>
      <c r="AT1" s="429"/>
    </row>
    <row r="2" customFormat="1" ht="136" customHeight="1" spans="1:88">
      <c r="AB2" s="430"/>
      <c r="AP2" s="431"/>
      <c r="AQ2" s="431"/>
      <c r="AT2" s="429"/>
    </row>
    <row r="3" customFormat="1" ht="103.75" customHeight="1" spans="1:88">
      <c r="A3" s="432" t="s">
        <v>0</v>
      </c>
      <c r="B3" s="432" t="s">
        <v>1693</v>
      </c>
      <c r="C3" s="432" t="s">
        <v>1694</v>
      </c>
      <c r="D3" s="432" t="s">
        <v>3</v>
      </c>
      <c r="E3" s="433" t="s">
        <v>1695</v>
      </c>
      <c r="F3" s="432" t="s">
        <v>4</v>
      </c>
      <c r="G3" s="432" t="s">
        <v>1696</v>
      </c>
      <c r="H3" s="362" t="s">
        <v>6</v>
      </c>
      <c r="I3" s="434" t="s">
        <v>1697</v>
      </c>
      <c r="J3" s="435" t="s">
        <v>8</v>
      </c>
      <c r="K3" s="436" t="s">
        <v>1698</v>
      </c>
      <c r="L3" s="437" t="s">
        <v>1699</v>
      </c>
      <c r="M3" s="438" t="s">
        <v>8</v>
      </c>
      <c r="N3" s="439" t="s">
        <v>1700</v>
      </c>
      <c r="O3" s="439" t="s">
        <v>15</v>
      </c>
      <c r="P3" s="440" t="s">
        <v>18</v>
      </c>
      <c r="Q3" s="440" t="s">
        <v>20</v>
      </c>
      <c r="R3" s="441" t="s">
        <v>28</v>
      </c>
      <c r="S3" s="442" t="s">
        <v>29</v>
      </c>
      <c r="T3" s="362" t="s">
        <v>1701</v>
      </c>
      <c r="U3" s="362" t="s">
        <v>31</v>
      </c>
      <c r="V3" s="362" t="s">
        <v>32</v>
      </c>
      <c r="W3" s="443" t="s">
        <v>33</v>
      </c>
      <c r="X3" s="362" t="s">
        <v>34</v>
      </c>
      <c r="Y3" s="443" t="s">
        <v>35</v>
      </c>
      <c r="Z3" s="439" t="s">
        <v>36</v>
      </c>
      <c r="AA3" s="444" t="s">
        <v>37</v>
      </c>
      <c r="AB3" s="439" t="s">
        <v>38</v>
      </c>
      <c r="AC3" s="445" t="s">
        <v>39</v>
      </c>
      <c r="AD3" s="445" t="s">
        <v>40</v>
      </c>
      <c r="AE3" s="445" t="s">
        <v>41</v>
      </c>
      <c r="AF3" s="445" t="s">
        <v>42</v>
      </c>
      <c r="AG3" s="445" t="s">
        <v>43</v>
      </c>
      <c r="AH3" s="446" t="s">
        <v>45</v>
      </c>
      <c r="AI3" s="445" t="s">
        <v>46</v>
      </c>
      <c r="AJ3" s="445" t="s">
        <v>47</v>
      </c>
      <c r="AK3" s="447" t="s">
        <v>48</v>
      </c>
      <c r="AL3" s="362" t="s">
        <v>11</v>
      </c>
      <c r="AM3" s="443" t="s">
        <v>12</v>
      </c>
      <c r="AN3" s="448" t="s">
        <v>13</v>
      </c>
      <c r="AO3" s="439" t="s">
        <v>14</v>
      </c>
      <c r="AP3" s="439" t="s">
        <v>15</v>
      </c>
      <c r="AQ3" s="439" t="s">
        <v>16</v>
      </c>
      <c r="AR3" s="449" t="s">
        <v>1702</v>
      </c>
      <c r="AS3" s="450" t="s">
        <v>1703</v>
      </c>
      <c r="AT3" s="451" t="s">
        <v>23</v>
      </c>
      <c r="AU3" s="451" t="s">
        <v>1704</v>
      </c>
      <c r="AV3" s="451" t="s">
        <v>1705</v>
      </c>
      <c r="AW3" s="452" t="s">
        <v>25</v>
      </c>
      <c r="AX3" s="452" t="s">
        <v>26</v>
      </c>
      <c r="AY3" s="452" t="s">
        <v>27</v>
      </c>
      <c r="AZ3" s="441" t="s">
        <v>1706</v>
      </c>
      <c r="BA3" s="441" t="s">
        <v>1707</v>
      </c>
      <c r="BB3" s="452" t="s">
        <v>1708</v>
      </c>
      <c r="BC3" s="452" t="s">
        <v>1709</v>
      </c>
      <c r="BD3" s="440" t="s">
        <v>1710</v>
      </c>
      <c r="BE3" s="1" t="s">
        <v>1711</v>
      </c>
    </row>
    <row r="4" s="426" customFormat="1" ht="108.75" customHeight="1" spans="1:88">
      <c r="A4" s="362">
        <v>1</v>
      </c>
      <c r="B4" s="453">
        <v>9503009000</v>
      </c>
      <c r="C4" s="453">
        <v>392690</v>
      </c>
      <c r="D4" s="452" t="s">
        <v>1712</v>
      </c>
      <c r="E4" s="452"/>
      <c r="F4" s="362" t="s">
        <v>1713</v>
      </c>
      <c r="G4" s="454" t="s">
        <v>1714</v>
      </c>
      <c r="H4" s="362"/>
      <c r="I4" s="455" t="s">
        <v>1522</v>
      </c>
      <c r="J4" s="456" t="s">
        <v>123</v>
      </c>
      <c r="K4" s="457">
        <f>52*2.03+1.74</f>
        <v>107.3</v>
      </c>
      <c r="L4" s="448" t="s">
        <v>1715</v>
      </c>
      <c r="M4" s="453" t="s">
        <v>254</v>
      </c>
      <c r="N4" s="458"/>
      <c r="O4" s="459"/>
      <c r="P4" s="460">
        <f>2.24*52+1.95</f>
        <v>118.43</v>
      </c>
      <c r="Q4" s="461">
        <f>K4</f>
        <v>107.3</v>
      </c>
      <c r="R4" s="462">
        <f>AW4*AX4*AY4/28316.75*0.0283</f>
        <v>0.0106816278351153</v>
      </c>
      <c r="S4" s="442">
        <f>ROUND(R4*AT4,2)</f>
        <v>0.57</v>
      </c>
      <c r="T4" s="463"/>
      <c r="U4" s="369" t="s">
        <v>328</v>
      </c>
      <c r="V4" s="464" t="s">
        <v>1716</v>
      </c>
      <c r="W4" s="443">
        <v>46048</v>
      </c>
      <c r="X4" s="464" t="s">
        <v>1717</v>
      </c>
      <c r="Y4" s="443">
        <v>46048</v>
      </c>
      <c r="Z4" s="465">
        <f>AO4</f>
        <v>11</v>
      </c>
      <c r="AA4" s="466">
        <f>K4*Z4</f>
        <v>1180.3</v>
      </c>
      <c r="AB4" s="467"/>
      <c r="AC4" s="468"/>
      <c r="AD4" s="469"/>
      <c r="AE4" s="468"/>
      <c r="AF4" s="469"/>
      <c r="AG4" s="470"/>
      <c r="AH4" s="468"/>
      <c r="AI4" s="471"/>
      <c r="AJ4" s="472"/>
      <c r="AK4" s="471"/>
      <c r="AL4" s="435" t="s">
        <v>1718</v>
      </c>
      <c r="AM4" s="443">
        <v>46153</v>
      </c>
      <c r="AN4" s="443" t="s">
        <v>1719</v>
      </c>
      <c r="AO4" s="473">
        <v>11</v>
      </c>
      <c r="AP4" s="474">
        <f>AO4*K4</f>
        <v>1180.3</v>
      </c>
      <c r="AQ4" s="474"/>
      <c r="AR4" s="449" t="s">
        <v>1718</v>
      </c>
      <c r="AS4" s="475" t="s">
        <v>1540</v>
      </c>
      <c r="AT4" s="476">
        <v>53</v>
      </c>
      <c r="AU4" s="476" t="s">
        <v>1720</v>
      </c>
      <c r="AV4" s="476"/>
      <c r="AW4" s="477">
        <v>27</v>
      </c>
      <c r="AX4" s="477">
        <v>14.5</v>
      </c>
      <c r="AY4" s="477">
        <v>27.3</v>
      </c>
      <c r="AZ4" s="478"/>
      <c r="BA4" s="479"/>
      <c r="BB4" s="480" t="s">
        <v>1721</v>
      </c>
      <c r="BC4" s="479">
        <v>0.001066</v>
      </c>
      <c r="BD4" s="479">
        <f>0.97/1000</f>
        <v>0.00097</v>
      </c>
      <c r="BE4" s="479"/>
    </row>
    <row r="5" s="426" customFormat="1" ht="108.75" customHeight="1" spans="1:88">
      <c r="A5" s="362">
        <v>2</v>
      </c>
      <c r="B5" s="453">
        <v>9503009000</v>
      </c>
      <c r="C5" s="453">
        <v>392690</v>
      </c>
      <c r="D5" s="435" t="s">
        <v>1712</v>
      </c>
      <c r="E5" s="435"/>
      <c r="F5" s="435" t="s">
        <v>1722</v>
      </c>
      <c r="G5" s="454" t="s">
        <v>1723</v>
      </c>
      <c r="H5" s="435"/>
      <c r="I5" s="362" t="s">
        <v>1522</v>
      </c>
      <c r="J5" s="481" t="s">
        <v>123</v>
      </c>
      <c r="K5" s="482">
        <f>4.63*10</f>
        <v>46.3</v>
      </c>
      <c r="L5" s="483">
        <v>35000</v>
      </c>
      <c r="M5" s="435" t="s">
        <v>254</v>
      </c>
      <c r="N5" s="484"/>
      <c r="O5" s="485"/>
      <c r="P5" s="482">
        <f>5.01*10</f>
        <v>50.1</v>
      </c>
      <c r="Q5" s="461">
        <f>K5</f>
        <v>46.3</v>
      </c>
      <c r="R5" s="462">
        <f>AW5*AX5*AY5/28316.75*0.0283</f>
        <v>0.0442208768661658</v>
      </c>
      <c r="S5" s="442">
        <f>ROUND(R5*AT5,2)</f>
        <v>0.44</v>
      </c>
      <c r="T5" s="486"/>
      <c r="U5" s="369" t="s">
        <v>328</v>
      </c>
      <c r="V5" s="464" t="s">
        <v>1716</v>
      </c>
      <c r="W5" s="443">
        <v>46048</v>
      </c>
      <c r="X5" s="464" t="s">
        <v>1717</v>
      </c>
      <c r="Y5" s="443">
        <v>46048</v>
      </c>
      <c r="Z5" s="465">
        <f>AO5</f>
        <v>5</v>
      </c>
      <c r="AA5" s="466">
        <f>K5*Z5</f>
        <v>231.5</v>
      </c>
      <c r="AB5" s="467"/>
      <c r="AC5" s="468"/>
      <c r="AD5" s="469"/>
      <c r="AE5" s="468"/>
      <c r="AF5" s="469"/>
      <c r="AG5" s="470"/>
      <c r="AH5" s="468"/>
      <c r="AI5" s="471"/>
      <c r="AJ5" s="472"/>
      <c r="AK5" s="471"/>
      <c r="AL5" s="435" t="s">
        <v>1718</v>
      </c>
      <c r="AM5" s="443">
        <v>46153</v>
      </c>
      <c r="AN5" s="443" t="s">
        <v>1719</v>
      </c>
      <c r="AO5" s="465">
        <v>5</v>
      </c>
      <c r="AP5" s="474">
        <f>AO5*K5</f>
        <v>231.5</v>
      </c>
      <c r="AQ5" s="474"/>
      <c r="AR5" s="449" t="s">
        <v>1718</v>
      </c>
      <c r="AS5" s="475" t="s">
        <v>1540</v>
      </c>
      <c r="AT5" s="476">
        <v>10</v>
      </c>
      <c r="AU5" s="476" t="s">
        <v>1724</v>
      </c>
      <c r="AV5" s="476"/>
      <c r="AW5" s="477">
        <v>53</v>
      </c>
      <c r="AX5" s="477">
        <v>28.3</v>
      </c>
      <c r="AY5" s="477">
        <v>29.5</v>
      </c>
      <c r="AZ5" s="478"/>
      <c r="BA5" s="479"/>
      <c r="BB5" s="479">
        <v>5.01</v>
      </c>
      <c r="BC5" s="479">
        <v>0.001431</v>
      </c>
      <c r="BD5" s="479">
        <f>1.3/1000</f>
        <v>0.0013</v>
      </c>
      <c r="BE5" s="479"/>
    </row>
    <row r="6" s="426" customFormat="1" ht="108.75" customHeight="1" spans="1:88">
      <c r="A6" s="362"/>
      <c r="B6" s="362"/>
      <c r="C6" s="362"/>
      <c r="D6" s="435"/>
      <c r="E6" s="435"/>
      <c r="F6" s="435"/>
      <c r="G6" s="454"/>
      <c r="H6" s="435"/>
      <c r="I6" s="362"/>
      <c r="J6" s="481"/>
      <c r="K6" s="482"/>
      <c r="L6" s="483"/>
      <c r="M6" s="435"/>
      <c r="N6" s="484"/>
      <c r="O6" s="485"/>
      <c r="P6" s="482"/>
      <c r="Q6" s="460"/>
      <c r="R6" s="487"/>
      <c r="S6" s="442"/>
      <c r="T6" s="486"/>
      <c r="U6" s="369"/>
      <c r="V6" s="464"/>
      <c r="W6" s="443"/>
      <c r="X6" s="464"/>
      <c r="Y6" s="443"/>
      <c r="Z6" s="465"/>
      <c r="AA6" s="466"/>
      <c r="AB6" s="488"/>
      <c r="AC6" s="468"/>
      <c r="AD6" s="469"/>
      <c r="AE6" s="468"/>
      <c r="AF6" s="469"/>
      <c r="AG6" s="470"/>
      <c r="AH6" s="468"/>
      <c r="AI6" s="471"/>
      <c r="AJ6" s="472"/>
      <c r="AK6" s="471"/>
      <c r="AL6" s="435"/>
      <c r="AM6" s="489"/>
      <c r="AN6" s="489"/>
      <c r="AO6" s="465"/>
      <c r="AP6" s="474"/>
      <c r="AQ6" s="490"/>
      <c r="AR6" s="491"/>
      <c r="AS6" s="492"/>
      <c r="AT6" s="476"/>
      <c r="AU6" s="476"/>
      <c r="AV6" s="476"/>
      <c r="AW6" s="477"/>
      <c r="AX6" s="477"/>
      <c r="AY6" s="477"/>
      <c r="AZ6" s="478"/>
      <c r="BA6" s="479"/>
      <c r="BB6" s="479"/>
      <c r="BC6" s="479"/>
      <c r="BD6" s="479"/>
    </row>
    <row r="7" s="427" customFormat="1" ht="108.75" customHeight="1" spans="1:88">
      <c r="A7" s="362"/>
      <c r="B7" s="362"/>
      <c r="C7" s="362"/>
      <c r="D7" s="435"/>
      <c r="E7" s="435"/>
      <c r="F7" s="362"/>
      <c r="G7" s="362"/>
      <c r="H7" s="435"/>
      <c r="I7" s="435"/>
      <c r="J7" s="435"/>
      <c r="K7" s="493"/>
      <c r="L7" s="494"/>
      <c r="M7" s="494"/>
      <c r="N7" s="494"/>
      <c r="O7" s="495"/>
      <c r="P7" s="496"/>
      <c r="Q7" s="487"/>
      <c r="R7" s="487"/>
      <c r="S7" s="442"/>
      <c r="T7" s="369"/>
      <c r="U7" s="369"/>
      <c r="V7" s="464"/>
      <c r="W7" s="443"/>
      <c r="X7" s="464"/>
      <c r="Y7" s="443"/>
      <c r="Z7" s="465"/>
      <c r="AA7" s="465"/>
      <c r="AB7" s="497"/>
      <c r="AC7" s="498"/>
      <c r="AD7" s="499"/>
      <c r="AE7" s="498"/>
      <c r="AF7" s="499"/>
      <c r="AG7" s="500"/>
      <c r="AH7" s="498"/>
      <c r="AI7" s="501"/>
      <c r="AJ7" s="502"/>
      <c r="AK7" s="501"/>
      <c r="AL7" s="435"/>
      <c r="AM7" s="503"/>
      <c r="AN7" s="504"/>
      <c r="AO7" s="465"/>
      <c r="AP7" s="505"/>
      <c r="AQ7" s="506"/>
      <c r="AR7" s="491"/>
      <c r="AS7" s="492"/>
      <c r="AT7" s="507"/>
      <c r="AU7" s="507"/>
      <c r="AV7" s="507"/>
      <c r="AW7" s="507"/>
      <c r="AX7" s="507"/>
      <c r="AY7" s="507"/>
      <c r="AZ7" s="508"/>
      <c r="BA7" s="508"/>
      <c r="BB7" s="428"/>
      <c r="BC7" s="428"/>
      <c r="BD7" s="428"/>
    </row>
    <row r="8" s="428" customFormat="1" ht="108.75" customHeight="1" spans="1:88">
      <c r="A8"/>
      <c r="B8"/>
      <c r="C8"/>
      <c r="D8"/>
      <c r="E8" s="509"/>
      <c r="F8"/>
      <c r="G8"/>
      <c r="H8"/>
      <c r="I8"/>
      <c r="J8"/>
      <c r="K8"/>
      <c r="L8"/>
      <c r="M8"/>
      <c r="N8"/>
      <c r="O8"/>
      <c r="P8" s="429"/>
      <c r="Q8" s="510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s="429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="428" customFormat="1" ht="108.75" customHeight="1" spans="1:88">
      <c r="A9"/>
      <c r="B9"/>
      <c r="C9"/>
      <c r="D9"/>
      <c r="E9" s="509"/>
      <c r="F9"/>
      <c r="G9"/>
      <c r="H9"/>
      <c r="I9"/>
      <c r="J9"/>
      <c r="K9"/>
      <c r="L9"/>
      <c r="M9"/>
      <c r="N9"/>
      <c r="O9" s="511"/>
      <c r="P9" s="511"/>
      <c r="Q9" s="511"/>
      <c r="R9" s="511"/>
      <c r="S9" s="511"/>
      <c r="T9" s="512"/>
      <c r="U9" s="512"/>
      <c r="V9" s="512"/>
      <c r="W9" s="512"/>
      <c r="X9" s="512"/>
      <c r="Y9" s="512"/>
      <c r="Z9" s="512"/>
      <c r="AA9" s="511"/>
      <c r="AB9" s="512"/>
      <c r="AC9" s="512"/>
      <c r="AD9" s="512"/>
      <c r="AE9" s="512"/>
      <c r="AF9" s="512"/>
      <c r="AG9" s="512"/>
      <c r="AH9" s="512"/>
      <c r="AI9" s="512"/>
      <c r="AJ9" s="512"/>
      <c r="AK9" s="512"/>
      <c r="AL9" s="512"/>
      <c r="AM9" s="512"/>
      <c r="AN9" s="512"/>
      <c r="AO9" s="512"/>
      <c r="AP9" s="512"/>
      <c r="AQ9" s="512"/>
      <c r="AR9" s="512"/>
      <c r="AS9" s="512"/>
      <c r="AT9" s="511"/>
      <c r="AU9" s="512"/>
      <c r="AV9"/>
      <c r="AW9"/>
      <c r="AX9"/>
      <c r="AY9"/>
      <c r="AZ9"/>
      <c r="BA9"/>
      <c r="BB9" s="512"/>
      <c r="BC9" s="512"/>
      <c r="BD9" s="512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="428" customFormat="1" ht="108.75" customHeight="1" spans="1:88">
      <c r="A10"/>
      <c r="B10"/>
      <c r="C10"/>
      <c r="D10"/>
      <c r="E10" s="509"/>
      <c r="F10"/>
      <c r="G10"/>
      <c r="H10"/>
      <c r="I10"/>
      <c r="J10"/>
      <c r="K10"/>
      <c r="L10"/>
      <c r="M10"/>
      <c r="N10"/>
      <c r="O10" s="511"/>
      <c r="P10" s="511"/>
      <c r="Q10" s="513"/>
      <c r="R10" s="511"/>
      <c r="S10" s="511"/>
      <c r="T10" s="512"/>
      <c r="U10" s="512"/>
      <c r="V10" s="512"/>
      <c r="W10" s="512"/>
      <c r="X10" s="512"/>
      <c r="Y10" s="512"/>
      <c r="Z10" s="512"/>
      <c r="AA10" s="512"/>
      <c r="AB10" s="512"/>
      <c r="AC10" s="512"/>
      <c r="AD10" s="512"/>
      <c r="AE10" s="512"/>
      <c r="AF10" s="512"/>
      <c r="AG10" s="512"/>
      <c r="AH10" s="512"/>
      <c r="AI10" s="512"/>
      <c r="AJ10" s="512"/>
      <c r="AK10" s="512"/>
      <c r="AL10" s="512"/>
      <c r="AM10" s="512"/>
      <c r="AN10" s="512"/>
      <c r="AO10" s="512"/>
      <c r="AP10" s="512"/>
      <c r="AQ10" s="512"/>
      <c r="AR10" s="512"/>
      <c r="AS10" s="512"/>
      <c r="AT10" s="511"/>
      <c r="AU10" s="512"/>
      <c r="AV10"/>
      <c r="AW10"/>
      <c r="AX10"/>
      <c r="AY10"/>
      <c r="AZ10"/>
      <c r="BA10"/>
      <c r="BB10" s="512"/>
      <c r="BC10" s="512"/>
      <c r="BD10" s="512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="428" customFormat="1" ht="108.75" customHeight="1" spans="1:88">
      <c r="A11"/>
      <c r="B11"/>
      <c r="C11"/>
      <c r="D11"/>
      <c r="E11" s="509"/>
      <c r="F11"/>
      <c r="G11"/>
      <c r="H11"/>
      <c r="I11"/>
      <c r="J11"/>
      <c r="K11"/>
      <c r="L11"/>
      <c r="M11"/>
      <c r="N11"/>
      <c r="O11"/>
      <c r="P11"/>
      <c r="Q11" s="510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s="429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="428" customFormat="1" ht="108.75" customHeight="1" spans="1:88">
      <c r="A12"/>
      <c r="B12"/>
      <c r="C12"/>
      <c r="D12"/>
      <c r="E12" s="509"/>
      <c r="F12"/>
      <c r="G12"/>
      <c r="H12"/>
      <c r="I12"/>
      <c r="J12"/>
      <c r="K12"/>
      <c r="L12"/>
      <c r="M12"/>
      <c r="N12"/>
      <c r="O12"/>
      <c r="P12"/>
      <c r="Q12" s="510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 s="429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="428" customFormat="1" ht="108.75" customHeight="1" spans="1:88">
      <c r="A13"/>
      <c r="B13"/>
      <c r="C13"/>
      <c r="D13"/>
      <c r="E13" s="509"/>
      <c r="F13"/>
      <c r="G13"/>
      <c r="H13"/>
      <c r="I13"/>
      <c r="J13"/>
      <c r="K13"/>
      <c r="L13"/>
      <c r="M13"/>
      <c r="N13"/>
      <c r="O13"/>
      <c r="P13"/>
      <c r="Q13" s="510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s="429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="428" customFormat="1" ht="108.75" customHeight="1" spans="1:88">
      <c r="A14"/>
      <c r="B14"/>
      <c r="C14"/>
      <c r="D14"/>
      <c r="E14" s="509"/>
      <c r="F14"/>
      <c r="G14"/>
      <c r="H14"/>
      <c r="I14"/>
      <c r="J14"/>
      <c r="K14"/>
      <c r="L14"/>
      <c r="M14"/>
      <c r="N14"/>
      <c r="O14"/>
      <c r="P14"/>
      <c r="Q14" s="510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s="429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="428" customFormat="1" ht="45" customHeight="1" spans="1:88">
      <c r="A15"/>
      <c r="B15"/>
      <c r="C15"/>
      <c r="D15"/>
      <c r="E15" s="509"/>
      <c r="F15"/>
      <c r="G15"/>
      <c r="H15"/>
      <c r="I15"/>
      <c r="J15"/>
      <c r="K15"/>
      <c r="L15"/>
      <c r="M15"/>
      <c r="N15"/>
      <c r="O15"/>
      <c r="P15"/>
      <c r="Q15" s="510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s="429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="428" customFormat="1" ht="66" customHeight="1" spans="1:88">
      <c r="A16"/>
      <c r="B16"/>
      <c r="C16"/>
      <c r="D16"/>
      <c r="E16" s="509"/>
      <c r="F16"/>
      <c r="G16"/>
      <c r="H16"/>
      <c r="I16"/>
      <c r="J16"/>
      <c r="K16"/>
      <c r="L16"/>
      <c r="M16"/>
      <c r="N16"/>
      <c r="O16"/>
      <c r="P16"/>
      <c r="Q16" s="510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s="429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="428" customFormat="1" ht="45" customHeight="1" spans="1:88">
      <c r="A17"/>
      <c r="B17"/>
      <c r="C17"/>
      <c r="D17"/>
      <c r="E17" s="509"/>
      <c r="F17"/>
      <c r="G17"/>
      <c r="H17"/>
      <c r="I17"/>
      <c r="J17"/>
      <c r="K17"/>
      <c r="L17"/>
      <c r="M17"/>
      <c r="N17"/>
      <c r="O17"/>
      <c r="P17"/>
      <c r="Q17" s="510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s="429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="428" customFormat="1" ht="86" customHeight="1" spans="1:88">
      <c r="A18"/>
      <c r="B18"/>
      <c r="C18"/>
      <c r="D18"/>
      <c r="E18" s="509"/>
      <c r="F18"/>
      <c r="G18"/>
      <c r="H18"/>
      <c r="I18"/>
      <c r="J18"/>
      <c r="K18"/>
      <c r="L18"/>
      <c r="M18"/>
      <c r="N18"/>
      <c r="O18"/>
      <c r="P18"/>
      <c r="Q18" s="510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s="429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="428" customFormat="1" ht="87" customHeight="1" spans="1:88">
      <c r="A19"/>
      <c r="B19"/>
      <c r="C19"/>
      <c r="D19"/>
      <c r="E19" s="509"/>
      <c r="F19"/>
      <c r="G19"/>
      <c r="H19"/>
      <c r="I19"/>
      <c r="J19"/>
      <c r="K19"/>
      <c r="L19"/>
      <c r="M19"/>
      <c r="N19"/>
      <c r="O19"/>
      <c r="P19"/>
      <c r="Q19" s="510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s="42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</row>
    <row r="20" customFormat="1" ht="45" customHeight="1" spans="1:88">
      <c r="E20" s="509"/>
      <c r="Q20" s="510"/>
      <c r="AT20" s="429"/>
    </row>
    <row r="21" customFormat="1" ht="45" customHeight="1" spans="1:88">
      <c r="E21" s="509"/>
      <c r="Q21" s="510"/>
      <c r="AT21" s="429"/>
    </row>
    <row r="22" customFormat="1" ht="45" customHeight="1" spans="1:88">
      <c r="E22" s="509"/>
      <c r="Q22" s="510"/>
      <c r="AT22" s="429"/>
    </row>
    <row r="23" customFormat="1" ht="92" customHeight="1" spans="1:88">
      <c r="E23" s="509"/>
      <c r="Q23" s="510"/>
      <c r="AT23" s="429"/>
    </row>
    <row r="24" customFormat="1" ht="90" customHeight="1" spans="1:88">
      <c r="E24" s="509"/>
      <c r="Q24" s="510"/>
      <c r="AT24" s="429"/>
    </row>
    <row r="25" customFormat="1" ht="45" customHeight="1" spans="1:88">
      <c r="E25" s="509"/>
      <c r="Q25" s="510"/>
      <c r="AT25" s="429"/>
    </row>
    <row r="26" customFormat="1" ht="45" customHeight="1" spans="1:88">
      <c r="E26" s="509"/>
      <c r="Q26" s="510"/>
      <c r="AT26" s="429"/>
    </row>
    <row r="27" customFormat="1" ht="45" customHeight="1" spans="1:88">
      <c r="E27" s="509"/>
      <c r="Q27" s="510"/>
      <c r="AT27" s="429"/>
    </row>
    <row r="28" customFormat="1" ht="45" customHeight="1" spans="1:88">
      <c r="E28" s="509"/>
      <c r="Q28" s="510"/>
      <c r="AT28" s="429"/>
    </row>
    <row r="29" customFormat="1" ht="45" customHeight="1" spans="1:88">
      <c r="E29" s="509"/>
      <c r="Q29" s="510"/>
      <c r="AT29" s="429"/>
    </row>
    <row r="30" customFormat="1" ht="45" customHeight="1" spans="1:88">
      <c r="E30" s="509"/>
      <c r="Q30" s="510"/>
      <c r="AT30" s="429"/>
    </row>
    <row r="31" customFormat="1" ht="45" customHeight="1" spans="1:88">
      <c r="E31" s="509"/>
      <c r="Q31" s="510"/>
      <c r="AT31" s="429"/>
    </row>
    <row r="32" customFormat="1" ht="45" customHeight="1" spans="1:88">
      <c r="E32" s="509"/>
      <c r="Q32" s="510"/>
      <c r="AT32" s="429"/>
    </row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68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110" customHeight="1"/>
    <row r="52" ht="68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CJ64" etc:filterBottomFollowUsedRange="0">
    <extLst/>
  </autoFilter>
  <dataValidations count="2">
    <dataValidation type="list" allowBlank="1" showInputMessage="1" showErrorMessage="1" sqref="I3 I10:I1048576">
      <formula1>类别金额!$B$4:$B$39</formula1>
    </dataValidation>
    <dataValidation type="list" allowBlank="1" showInputMessage="1" showErrorMessage="1" sqref="I8:I9">
      <formula1>类别金额!$B$4:$B$26</formula1>
    </dataValidation>
  </dataValidations>
  <pageMargins left="1.18055555555556" right="0.75" top="0.236111111111111" bottom="1" header="0.236111111111111" footer="0.5"/>
  <pageSetup paperSize="1" scale="40" orientation="landscape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937"/>
  <sheetViews>
    <sheetView zoomScale="110" zoomScaleNormal="110" workbookViewId="0">
      <selection activeCell="D483" sqref="D483"/>
    </sheetView>
  </sheetViews>
  <sheetFormatPr defaultColWidth="9" defaultRowHeight="25" customHeight="1" outlineLevelCol="3"/>
  <cols>
    <col min="1" max="1" width="16.3583333333333" style="408" customWidth="1"/>
    <col min="2" max="2" width="41.3583333333333" style="408" customWidth="1"/>
    <col min="3" max="3" width="15.775" style="408" customWidth="1"/>
    <col min="4" max="4" width="83.3833333333333" style="409" customWidth="1"/>
    <col min="5" max="16384" width="9" style="408" customWidth="1"/>
  </cols>
  <sheetData>
    <row r="1" customHeight="1" spans="1:4">
      <c r="A1" s="408" t="s">
        <v>1725</v>
      </c>
      <c r="B1" s="408" t="s">
        <v>1726</v>
      </c>
      <c r="D1" s="409" t="s">
        <v>1727</v>
      </c>
    </row>
    <row r="2" hidden="1" customHeight="1" spans="1:4">
      <c r="A2" s="408">
        <v>8483409090</v>
      </c>
      <c r="B2" s="408" t="s">
        <v>1728</v>
      </c>
      <c r="D2" s="409" t="s">
        <v>1729</v>
      </c>
    </row>
    <row r="3" hidden="1" customHeight="1" spans="1:4">
      <c r="A3" s="408">
        <v>8483409090</v>
      </c>
      <c r="B3" s="408" t="s">
        <v>1730</v>
      </c>
      <c r="D3" s="409" t="s">
        <v>1731</v>
      </c>
    </row>
    <row r="4" hidden="1" customHeight="1" spans="1:4">
      <c r="A4" s="408">
        <v>5806109000</v>
      </c>
      <c r="B4" s="408" t="s">
        <v>1732</v>
      </c>
      <c r="D4" s="409" t="s">
        <v>1733</v>
      </c>
    </row>
    <row r="5" hidden="1" customHeight="1" spans="1:4">
      <c r="A5" s="408">
        <v>5806109000</v>
      </c>
      <c r="B5" s="408" t="s">
        <v>1734</v>
      </c>
      <c r="D5" s="409" t="s">
        <v>1733</v>
      </c>
    </row>
    <row r="6" hidden="1" customHeight="1" spans="1:4">
      <c r="A6" s="408">
        <v>5808100000</v>
      </c>
      <c r="B6" s="408" t="s">
        <v>1735</v>
      </c>
      <c r="D6" s="409" t="s">
        <v>1736</v>
      </c>
    </row>
    <row r="7" hidden="1" customHeight="1" spans="1:4">
      <c r="A7" s="408">
        <v>5808100000</v>
      </c>
      <c r="B7" s="408" t="s">
        <v>1737</v>
      </c>
      <c r="D7" s="409" t="s">
        <v>1736</v>
      </c>
    </row>
    <row r="8" hidden="1" customHeight="1" spans="1:4">
      <c r="A8" s="408">
        <v>5808100000</v>
      </c>
      <c r="B8" s="408" t="s">
        <v>1738</v>
      </c>
      <c r="D8" s="409" t="s">
        <v>1736</v>
      </c>
    </row>
    <row r="9" hidden="1" customHeight="1" spans="1:4">
      <c r="A9" s="408">
        <v>5806109000</v>
      </c>
      <c r="B9" s="408" t="s">
        <v>1739</v>
      </c>
      <c r="D9" s="409" t="s">
        <v>1733</v>
      </c>
    </row>
    <row r="10" hidden="1" customHeight="1" spans="1:4">
      <c r="A10" s="408">
        <v>5806109000</v>
      </c>
      <c r="B10" s="408" t="s">
        <v>1740</v>
      </c>
      <c r="D10" s="409" t="s">
        <v>1733</v>
      </c>
    </row>
    <row r="11" hidden="1" customHeight="1" spans="1:4">
      <c r="A11" s="408">
        <v>5806320000</v>
      </c>
      <c r="B11" s="408" t="s">
        <v>1741</v>
      </c>
    </row>
    <row r="12" hidden="1" customHeight="1" spans="1:4">
      <c r="A12" s="408">
        <v>5808100000</v>
      </c>
      <c r="B12" s="408" t="s">
        <v>1742</v>
      </c>
      <c r="D12" s="409" t="s">
        <v>1736</v>
      </c>
    </row>
    <row r="13" hidden="1" customHeight="1" spans="1:4">
      <c r="A13" s="408">
        <v>5806320000</v>
      </c>
      <c r="B13" s="408" t="s">
        <v>1743</v>
      </c>
      <c r="D13" s="409" t="s">
        <v>1736</v>
      </c>
    </row>
    <row r="14" s="408" customFormat="1" hidden="1" customHeight="1" spans="1:4">
      <c r="A14" s="408">
        <v>5808100000</v>
      </c>
      <c r="B14" s="408" t="s">
        <v>1744</v>
      </c>
      <c r="D14" s="409" t="s">
        <v>1745</v>
      </c>
    </row>
    <row r="15" hidden="1" customHeight="1" spans="1:4">
      <c r="A15" s="408">
        <v>5806320000</v>
      </c>
      <c r="B15" s="408" t="s">
        <v>1746</v>
      </c>
      <c r="D15" s="409" t="s">
        <v>1736</v>
      </c>
    </row>
    <row r="16" hidden="1" customHeight="1" spans="1:4">
      <c r="A16" s="408">
        <v>5808100000</v>
      </c>
      <c r="B16" s="408" t="s">
        <v>1747</v>
      </c>
      <c r="D16" s="409" t="s">
        <v>1736</v>
      </c>
    </row>
    <row r="17" s="408" customFormat="1" hidden="1" customHeight="1" spans="1:4">
      <c r="A17" s="408">
        <v>5808100000</v>
      </c>
      <c r="B17" s="408" t="s">
        <v>1748</v>
      </c>
      <c r="D17" s="409" t="s">
        <v>1736</v>
      </c>
    </row>
    <row r="18" hidden="1" customHeight="1" spans="1:4">
      <c r="A18" s="408">
        <v>5808100000</v>
      </c>
      <c r="B18" s="408" t="s">
        <v>1749</v>
      </c>
      <c r="D18" s="409" t="s">
        <v>1736</v>
      </c>
    </row>
    <row r="19" s="408" customFormat="1" hidden="1" customHeight="1" spans="1:4">
      <c r="A19" s="408">
        <v>5808100000</v>
      </c>
      <c r="B19" s="408" t="s">
        <v>1750</v>
      </c>
      <c r="D19" s="409" t="s">
        <v>1745</v>
      </c>
    </row>
    <row r="20" s="408" customFormat="1" hidden="1" customHeight="1" spans="1:4">
      <c r="A20" s="408">
        <v>5808100000</v>
      </c>
      <c r="B20" s="408" t="s">
        <v>1751</v>
      </c>
      <c r="D20" s="409" t="s">
        <v>1736</v>
      </c>
    </row>
    <row r="21" hidden="1" customHeight="1" spans="1:4">
      <c r="A21" s="408">
        <v>5808100000</v>
      </c>
      <c r="B21" s="408" t="s">
        <v>1752</v>
      </c>
      <c r="D21" s="409" t="s">
        <v>1736</v>
      </c>
    </row>
    <row r="22" hidden="1" customHeight="1" spans="1:4">
      <c r="A22" s="408">
        <v>5806320000</v>
      </c>
      <c r="B22" s="408" t="s">
        <v>1753</v>
      </c>
      <c r="D22" s="409" t="s">
        <v>1736</v>
      </c>
    </row>
    <row r="23" hidden="1" customHeight="1" spans="1:4">
      <c r="A23" s="408">
        <v>5808100000</v>
      </c>
      <c r="B23" s="408" t="s">
        <v>1754</v>
      </c>
      <c r="D23" s="409" t="s">
        <v>1736</v>
      </c>
    </row>
    <row r="24" hidden="1" customHeight="1" spans="1:4">
      <c r="A24" s="408">
        <v>5808100090</v>
      </c>
      <c r="B24" s="408" t="s">
        <v>1755</v>
      </c>
    </row>
    <row r="25" s="408" customFormat="1" hidden="1" customHeight="1" spans="1:4">
      <c r="A25" s="408">
        <v>5808100000</v>
      </c>
      <c r="B25" s="408" t="s">
        <v>1756</v>
      </c>
      <c r="D25" s="409" t="s">
        <v>1757</v>
      </c>
    </row>
    <row r="26" hidden="1" customHeight="1" spans="1:4">
      <c r="A26" s="408">
        <v>5806109000</v>
      </c>
      <c r="B26" s="408" t="s">
        <v>1758</v>
      </c>
      <c r="D26" s="409" t="s">
        <v>1733</v>
      </c>
    </row>
    <row r="27" hidden="1" customHeight="1" spans="1:4">
      <c r="A27" s="408">
        <v>5806109000</v>
      </c>
      <c r="B27" s="408" t="s">
        <v>1759</v>
      </c>
      <c r="D27" s="409" t="s">
        <v>1733</v>
      </c>
    </row>
    <row r="28" hidden="1" customHeight="1" spans="1:4">
      <c r="A28" s="408">
        <v>5806109000</v>
      </c>
      <c r="B28" s="408" t="s">
        <v>1760</v>
      </c>
      <c r="D28" s="409" t="s">
        <v>1733</v>
      </c>
    </row>
    <row r="29" hidden="1" customHeight="1" spans="1:4">
      <c r="A29" s="408">
        <v>5806109000</v>
      </c>
      <c r="B29" s="408" t="s">
        <v>1761</v>
      </c>
      <c r="D29" s="409" t="s">
        <v>1733</v>
      </c>
    </row>
    <row r="30" hidden="1" customHeight="1" spans="1:4">
      <c r="A30" s="408">
        <v>5808100000</v>
      </c>
      <c r="B30" s="408" t="s">
        <v>1762</v>
      </c>
      <c r="D30" s="409" t="s">
        <v>1736</v>
      </c>
    </row>
    <row r="31" hidden="1" customHeight="1" spans="1:4">
      <c r="A31" s="408">
        <v>8479899990</v>
      </c>
      <c r="B31" s="408" t="s">
        <v>1763</v>
      </c>
      <c r="D31" s="409" t="s">
        <v>1764</v>
      </c>
    </row>
    <row r="32" hidden="1" customHeight="1" spans="1:4">
      <c r="A32" s="408">
        <v>4819100000</v>
      </c>
      <c r="B32" s="408" t="s">
        <v>1765</v>
      </c>
      <c r="D32" s="409" t="s">
        <v>1766</v>
      </c>
    </row>
    <row r="33" hidden="1" customHeight="1" spans="1:4">
      <c r="A33" s="408">
        <v>4819100000</v>
      </c>
      <c r="B33" s="408" t="s">
        <v>1767</v>
      </c>
      <c r="D33" s="409" t="s">
        <v>1766</v>
      </c>
    </row>
    <row r="34" hidden="1" customHeight="1" spans="1:4">
      <c r="A34" s="408">
        <v>4819100000</v>
      </c>
      <c r="B34" s="408" t="s">
        <v>1768</v>
      </c>
      <c r="D34" s="409" t="s">
        <v>1766</v>
      </c>
    </row>
    <row r="35" hidden="1" customHeight="1" spans="1:4">
      <c r="A35" s="408">
        <v>4819100000</v>
      </c>
      <c r="B35" s="408" t="s">
        <v>1769</v>
      </c>
      <c r="D35" s="409" t="s">
        <v>1766</v>
      </c>
    </row>
    <row r="36" hidden="1" customHeight="1" spans="1:4">
      <c r="A36" s="408">
        <v>4819100000</v>
      </c>
      <c r="B36" s="408" t="s">
        <v>1770</v>
      </c>
      <c r="D36" s="409" t="s">
        <v>1766</v>
      </c>
    </row>
    <row r="37" hidden="1" customHeight="1" spans="1:4">
      <c r="A37" s="408">
        <v>4819100000</v>
      </c>
      <c r="B37" s="408" t="s">
        <v>1771</v>
      </c>
      <c r="D37" s="409" t="s">
        <v>1766</v>
      </c>
    </row>
    <row r="38" hidden="1" customHeight="1" spans="1:4">
      <c r="A38" s="408">
        <v>4819100000</v>
      </c>
      <c r="B38" s="408" t="s">
        <v>1772</v>
      </c>
      <c r="D38" s="409" t="s">
        <v>1766</v>
      </c>
    </row>
    <row r="39" hidden="1" customHeight="1" spans="1:4">
      <c r="A39" s="410">
        <v>4819100000</v>
      </c>
      <c r="B39" s="411" t="s">
        <v>1773</v>
      </c>
      <c r="C39" s="411"/>
      <c r="D39" s="412" t="s">
        <v>1766</v>
      </c>
    </row>
    <row r="40" hidden="1" customHeight="1" spans="1:4">
      <c r="A40" s="410">
        <v>4819100000</v>
      </c>
      <c r="B40" s="411" t="s">
        <v>1774</v>
      </c>
      <c r="C40" s="411"/>
      <c r="D40" s="412" t="s">
        <v>1766</v>
      </c>
    </row>
    <row r="41" hidden="1" customHeight="1" spans="1:4">
      <c r="A41" s="410">
        <v>4819100000</v>
      </c>
      <c r="B41" s="411" t="s">
        <v>1775</v>
      </c>
      <c r="C41" s="411"/>
      <c r="D41" s="412" t="s">
        <v>1766</v>
      </c>
    </row>
    <row r="42" hidden="1" customHeight="1" spans="1:4">
      <c r="A42" s="410">
        <v>4819100000</v>
      </c>
      <c r="B42" s="411" t="s">
        <v>1776</v>
      </c>
      <c r="C42" s="411"/>
      <c r="D42" s="412" t="s">
        <v>1766</v>
      </c>
    </row>
    <row r="43" hidden="1" customHeight="1" spans="1:4">
      <c r="A43" s="410">
        <v>4819100000</v>
      </c>
      <c r="B43" s="411" t="s">
        <v>1777</v>
      </c>
      <c r="C43" s="411"/>
      <c r="D43" s="412" t="s">
        <v>1766</v>
      </c>
    </row>
    <row r="44" hidden="1" customHeight="1" spans="1:4">
      <c r="A44" s="410">
        <v>4819100000</v>
      </c>
      <c r="B44" s="411" t="s">
        <v>1778</v>
      </c>
      <c r="C44" s="411"/>
      <c r="D44" s="412" t="s">
        <v>1766</v>
      </c>
    </row>
    <row r="45" hidden="1" customHeight="1" spans="1:4">
      <c r="A45" s="410">
        <v>4819100000</v>
      </c>
      <c r="B45" s="411" t="s">
        <v>1779</v>
      </c>
      <c r="C45" s="411"/>
      <c r="D45" s="412" t="s">
        <v>1766</v>
      </c>
    </row>
    <row r="46" hidden="1" customHeight="1" spans="1:4">
      <c r="A46" s="410">
        <v>4819100000</v>
      </c>
      <c r="B46" s="411" t="s">
        <v>1780</v>
      </c>
      <c r="C46" s="411"/>
      <c r="D46" s="412" t="s">
        <v>1766</v>
      </c>
    </row>
    <row r="47" hidden="1" customHeight="1" spans="1:4">
      <c r="A47" s="410">
        <v>4819100000</v>
      </c>
      <c r="B47" s="411" t="s">
        <v>1781</v>
      </c>
      <c r="C47" s="411"/>
      <c r="D47" s="412" t="s">
        <v>1766</v>
      </c>
    </row>
    <row r="48" hidden="1" customHeight="1" spans="1:4">
      <c r="A48" s="410">
        <v>4819100000</v>
      </c>
      <c r="B48" s="411" t="s">
        <v>1782</v>
      </c>
      <c r="C48" s="411"/>
      <c r="D48" s="412" t="s">
        <v>1766</v>
      </c>
    </row>
    <row r="49" hidden="1" customHeight="1" spans="1:4">
      <c r="A49" s="408">
        <v>8443999090</v>
      </c>
      <c r="B49" s="408" t="s">
        <v>1783</v>
      </c>
      <c r="D49" s="409" t="s">
        <v>1784</v>
      </c>
    </row>
    <row r="50" hidden="1" customHeight="1" spans="1:4">
      <c r="A50" s="408">
        <v>7326909000</v>
      </c>
      <c r="B50" s="408" t="s">
        <v>1785</v>
      </c>
      <c r="D50" s="409" t="s">
        <v>1786</v>
      </c>
    </row>
    <row r="51" hidden="1" customHeight="1" spans="1:4">
      <c r="A51" s="408">
        <v>7326909000</v>
      </c>
      <c r="B51" s="408" t="s">
        <v>1787</v>
      </c>
      <c r="D51" s="409" t="s">
        <v>1786</v>
      </c>
    </row>
    <row r="52" hidden="1" customHeight="1" spans="1:4">
      <c r="A52" s="408">
        <v>7326909000</v>
      </c>
      <c r="B52" s="408" t="s">
        <v>1788</v>
      </c>
      <c r="D52" s="409" t="s">
        <v>1786</v>
      </c>
    </row>
    <row r="53" hidden="1" customHeight="1" spans="1:4">
      <c r="A53" s="408">
        <v>3926909090</v>
      </c>
      <c r="B53" s="408" t="s">
        <v>1789</v>
      </c>
      <c r="D53" s="409" t="s">
        <v>1790</v>
      </c>
    </row>
    <row r="54" hidden="1" customHeight="1" spans="1:4">
      <c r="A54" s="408">
        <v>5806320000</v>
      </c>
      <c r="B54" s="408" t="s">
        <v>1791</v>
      </c>
      <c r="D54" s="409" t="s">
        <v>1792</v>
      </c>
    </row>
    <row r="55" hidden="1" customHeight="1" spans="1:4">
      <c r="A55" s="408">
        <v>5806320000</v>
      </c>
      <c r="B55" s="408" t="s">
        <v>1793</v>
      </c>
      <c r="D55" s="409" t="s">
        <v>1794</v>
      </c>
    </row>
    <row r="56" s="408" customFormat="1" hidden="1" customHeight="1" spans="1:4">
      <c r="A56" s="408">
        <v>8479899990</v>
      </c>
      <c r="B56" s="408" t="s">
        <v>1795</v>
      </c>
      <c r="D56" s="409" t="s">
        <v>1764</v>
      </c>
    </row>
    <row r="57" s="408" customFormat="1" hidden="1" customHeight="1" spans="1:4">
      <c r="A57" s="408">
        <v>5806109000</v>
      </c>
      <c r="B57" s="408" t="s">
        <v>1796</v>
      </c>
      <c r="D57" s="409" t="s">
        <v>1733</v>
      </c>
    </row>
    <row r="58" s="408" customFormat="1" hidden="1" customHeight="1" spans="1:4">
      <c r="A58" s="408">
        <v>5806109000</v>
      </c>
      <c r="B58" s="408" t="s">
        <v>1797</v>
      </c>
      <c r="D58" s="409" t="s">
        <v>1733</v>
      </c>
    </row>
    <row r="59" s="408" customFormat="1" hidden="1" customHeight="1" spans="1:4">
      <c r="A59" s="408">
        <v>5806109000</v>
      </c>
      <c r="B59" s="408" t="s">
        <v>1798</v>
      </c>
      <c r="D59" s="409" t="s">
        <v>1733</v>
      </c>
    </row>
    <row r="60" s="408" customFormat="1" hidden="1" customHeight="1" spans="1:4">
      <c r="A60" s="408">
        <v>5806109000</v>
      </c>
      <c r="B60" s="408" t="s">
        <v>1799</v>
      </c>
      <c r="D60" s="409" t="s">
        <v>1733</v>
      </c>
    </row>
    <row r="61" s="408" customFormat="1" hidden="1" customHeight="1" spans="1:4">
      <c r="A61" s="408">
        <v>5806109000</v>
      </c>
      <c r="B61" s="408" t="s">
        <v>1800</v>
      </c>
      <c r="D61" s="409" t="s">
        <v>1733</v>
      </c>
    </row>
    <row r="62" s="408" customFormat="1" hidden="1" customHeight="1" spans="1:4">
      <c r="A62" s="408">
        <v>5806109000</v>
      </c>
      <c r="B62" s="408" t="s">
        <v>1801</v>
      </c>
      <c r="D62" s="409" t="s">
        <v>1733</v>
      </c>
    </row>
    <row r="63" s="408" customFormat="1" hidden="1" customHeight="1" spans="1:4">
      <c r="A63" s="408">
        <v>5806109000</v>
      </c>
      <c r="B63" s="408" t="s">
        <v>1802</v>
      </c>
      <c r="D63" s="409" t="s">
        <v>1733</v>
      </c>
    </row>
    <row r="64" hidden="1" customHeight="1" spans="1:4">
      <c r="A64" s="408">
        <v>5806109000</v>
      </c>
      <c r="B64" s="408" t="s">
        <v>1803</v>
      </c>
      <c r="D64" s="409" t="s">
        <v>1733</v>
      </c>
    </row>
    <row r="65" hidden="1" customHeight="1" spans="1:4">
      <c r="A65" s="408">
        <v>5808100000</v>
      </c>
      <c r="B65" s="408" t="s">
        <v>1804</v>
      </c>
      <c r="D65" s="409" t="s">
        <v>1736</v>
      </c>
    </row>
    <row r="66" hidden="1" customHeight="1" spans="1:4">
      <c r="A66" s="408">
        <v>5808100000</v>
      </c>
      <c r="B66" s="408" t="s">
        <v>1805</v>
      </c>
      <c r="D66" s="409" t="s">
        <v>1757</v>
      </c>
    </row>
    <row r="67" hidden="1" customHeight="1" spans="1:4">
      <c r="A67" s="408">
        <v>5808100000</v>
      </c>
      <c r="B67" s="408" t="s">
        <v>1806</v>
      </c>
      <c r="D67" s="409" t="s">
        <v>1736</v>
      </c>
    </row>
    <row r="68" hidden="1" customHeight="1" spans="1:4">
      <c r="A68" s="408">
        <v>5808100000</v>
      </c>
      <c r="B68" s="408" t="s">
        <v>1807</v>
      </c>
      <c r="D68" s="409" t="s">
        <v>1757</v>
      </c>
    </row>
    <row r="69" hidden="1" customHeight="1" spans="1:4">
      <c r="A69" s="408">
        <v>5808100000</v>
      </c>
      <c r="B69" s="408" t="s">
        <v>1808</v>
      </c>
      <c r="D69" s="409" t="s">
        <v>1745</v>
      </c>
    </row>
    <row r="70" hidden="1" customHeight="1" spans="1:4">
      <c r="A70" s="408">
        <v>7326909000</v>
      </c>
      <c r="B70" s="408" t="s">
        <v>1809</v>
      </c>
      <c r="D70" s="409" t="s">
        <v>1786</v>
      </c>
    </row>
    <row r="71" hidden="1" customHeight="1" spans="1:4">
      <c r="A71" s="408">
        <v>7326909000</v>
      </c>
      <c r="B71" s="408" t="s">
        <v>1810</v>
      </c>
      <c r="D71" s="409" t="s">
        <v>1786</v>
      </c>
    </row>
    <row r="72" hidden="1" customHeight="1" spans="1:4">
      <c r="A72" s="408">
        <v>8423819010</v>
      </c>
      <c r="B72" s="408" t="s">
        <v>1811</v>
      </c>
      <c r="D72" s="409" t="s">
        <v>1812</v>
      </c>
    </row>
    <row r="73" hidden="1" customHeight="1" spans="1:4">
      <c r="A73" s="408">
        <v>5806320000</v>
      </c>
      <c r="B73" s="408" t="s">
        <v>1813</v>
      </c>
      <c r="D73" s="409" t="s">
        <v>1790</v>
      </c>
    </row>
    <row r="74" hidden="1" customHeight="1" spans="1:4">
      <c r="A74" s="408">
        <v>5806320000</v>
      </c>
      <c r="B74" s="408" t="s">
        <v>1814</v>
      </c>
      <c r="D74" s="409" t="s">
        <v>1790</v>
      </c>
    </row>
    <row r="75" hidden="1" customHeight="1" spans="1:4">
      <c r="A75" s="408">
        <v>3920430090</v>
      </c>
      <c r="B75" s="408" t="s">
        <v>235</v>
      </c>
      <c r="D75" s="409" t="s">
        <v>1815</v>
      </c>
    </row>
    <row r="76" hidden="1" customHeight="1" spans="1:4">
      <c r="A76" s="408">
        <v>5401101000</v>
      </c>
      <c r="B76" s="408" t="s">
        <v>1816</v>
      </c>
      <c r="D76" s="409" t="s">
        <v>1817</v>
      </c>
    </row>
    <row r="77" hidden="1" customHeight="1" spans="1:4">
      <c r="A77" s="408">
        <v>5401101000</v>
      </c>
      <c r="B77" s="408" t="s">
        <v>1818</v>
      </c>
      <c r="D77" s="409" t="s">
        <v>1817</v>
      </c>
    </row>
    <row r="78" hidden="1" customHeight="1" spans="1:4">
      <c r="A78" s="408">
        <v>5401101000</v>
      </c>
      <c r="B78" s="408" t="s">
        <v>1819</v>
      </c>
      <c r="D78" s="409" t="s">
        <v>1817</v>
      </c>
    </row>
    <row r="79" hidden="1" customHeight="1" spans="1:4">
      <c r="A79" s="408">
        <v>5401101000</v>
      </c>
      <c r="B79" s="408" t="s">
        <v>1820</v>
      </c>
      <c r="D79" s="409" t="s">
        <v>1817</v>
      </c>
    </row>
    <row r="80" hidden="1" customHeight="1" spans="1:4">
      <c r="A80" s="408">
        <v>5401101000</v>
      </c>
      <c r="B80" s="408" t="s">
        <v>1821</v>
      </c>
      <c r="D80" s="409" t="s">
        <v>1817</v>
      </c>
    </row>
    <row r="81" hidden="1" customHeight="1" spans="1:4">
      <c r="A81" s="408">
        <v>5401101000</v>
      </c>
      <c r="B81" s="408" t="s">
        <v>1822</v>
      </c>
      <c r="D81" s="409" t="s">
        <v>1823</v>
      </c>
    </row>
    <row r="82" hidden="1" customHeight="1" spans="1:4">
      <c r="A82" s="408">
        <v>5401101000</v>
      </c>
      <c r="B82" s="408" t="s">
        <v>1824</v>
      </c>
      <c r="D82" s="409" t="s">
        <v>1825</v>
      </c>
    </row>
    <row r="83" hidden="1" customHeight="1" spans="1:4">
      <c r="A83" s="408">
        <v>5401101000</v>
      </c>
      <c r="B83" s="408" t="s">
        <v>1826</v>
      </c>
      <c r="D83" s="409" t="s">
        <v>1827</v>
      </c>
    </row>
    <row r="84" hidden="1" customHeight="1" spans="1:4">
      <c r="A84" s="408">
        <v>5401101000</v>
      </c>
      <c r="B84" s="408" t="s">
        <v>1828</v>
      </c>
      <c r="D84" s="409" t="s">
        <v>1817</v>
      </c>
    </row>
    <row r="85" hidden="1" customHeight="1" spans="1:4">
      <c r="A85" s="408">
        <v>5401101000</v>
      </c>
      <c r="B85" s="408" t="s">
        <v>1829</v>
      </c>
      <c r="D85" s="409" t="s">
        <v>1830</v>
      </c>
    </row>
    <row r="86" hidden="1" customHeight="1" spans="1:4">
      <c r="A86" s="408">
        <v>5401101000</v>
      </c>
      <c r="B86" s="408" t="s">
        <v>1831</v>
      </c>
      <c r="D86" s="409" t="s">
        <v>1823</v>
      </c>
    </row>
    <row r="87" hidden="1" customHeight="1" spans="1:4">
      <c r="A87" s="408">
        <v>5401101000</v>
      </c>
      <c r="B87" s="408" t="s">
        <v>1832</v>
      </c>
      <c r="D87" s="409" t="s">
        <v>1833</v>
      </c>
    </row>
    <row r="88" hidden="1" customHeight="1" spans="1:4">
      <c r="A88" s="408">
        <v>5401101000</v>
      </c>
      <c r="B88" s="408" t="s">
        <v>1834</v>
      </c>
      <c r="D88" s="409" t="s">
        <v>1817</v>
      </c>
    </row>
    <row r="89" hidden="1" customHeight="1" spans="1:4">
      <c r="A89" s="408">
        <v>5401101000</v>
      </c>
      <c r="B89" s="408" t="s">
        <v>1835</v>
      </c>
      <c r="D89" s="409" t="s">
        <v>1836</v>
      </c>
    </row>
    <row r="90" s="408" customFormat="1" hidden="1" customHeight="1" spans="1:4">
      <c r="A90" s="410">
        <v>5401101000</v>
      </c>
      <c r="B90" s="411" t="s">
        <v>1837</v>
      </c>
      <c r="C90" s="411"/>
      <c r="D90" s="412" t="s">
        <v>1817</v>
      </c>
    </row>
    <row r="91" s="408" customFormat="1" hidden="1" customHeight="1" spans="1:4">
      <c r="A91" s="408">
        <v>5401101000</v>
      </c>
      <c r="B91" s="408" t="s">
        <v>1838</v>
      </c>
      <c r="D91" s="409" t="s">
        <v>1817</v>
      </c>
    </row>
    <row r="92" s="408" customFormat="1" hidden="1" customHeight="1" spans="1:4">
      <c r="A92" s="408">
        <v>5401101000</v>
      </c>
      <c r="B92" s="408" t="s">
        <v>1839</v>
      </c>
      <c r="D92" s="409" t="s">
        <v>1823</v>
      </c>
    </row>
    <row r="93" s="408" customFormat="1" hidden="1" customHeight="1" spans="1:4">
      <c r="A93" s="408">
        <v>5401101000</v>
      </c>
      <c r="B93" s="408" t="s">
        <v>1840</v>
      </c>
      <c r="D93" s="409" t="s">
        <v>1817</v>
      </c>
    </row>
    <row r="94" s="408" customFormat="1" hidden="1" customHeight="1" spans="1:4">
      <c r="A94" s="408">
        <v>5401101000</v>
      </c>
      <c r="B94" s="408" t="s">
        <v>1841</v>
      </c>
      <c r="D94" s="409" t="s">
        <v>1817</v>
      </c>
    </row>
    <row r="95" s="408" customFormat="1" hidden="1" customHeight="1" spans="1:4">
      <c r="A95" s="408">
        <v>5401101000</v>
      </c>
      <c r="B95" s="408" t="s">
        <v>1842</v>
      </c>
      <c r="D95" s="409" t="s">
        <v>1817</v>
      </c>
    </row>
    <row r="96" s="408" customFormat="1" hidden="1" customHeight="1" spans="1:4">
      <c r="A96" s="410">
        <v>5401101000</v>
      </c>
      <c r="B96" s="411" t="s">
        <v>1843</v>
      </c>
      <c r="C96" s="411"/>
      <c r="D96" s="412" t="s">
        <v>1817</v>
      </c>
    </row>
    <row r="97" s="408" customFormat="1" hidden="1" customHeight="1" spans="1:4">
      <c r="A97" s="408">
        <v>5401101000</v>
      </c>
      <c r="B97" s="408" t="s">
        <v>1844</v>
      </c>
      <c r="D97" s="409" t="s">
        <v>1817</v>
      </c>
    </row>
    <row r="98" s="408" customFormat="1" hidden="1" customHeight="1" spans="1:4">
      <c r="A98" s="408">
        <v>5401101000</v>
      </c>
      <c r="B98" s="408" t="s">
        <v>1845</v>
      </c>
      <c r="D98" s="409" t="s">
        <v>1817</v>
      </c>
    </row>
    <row r="99" s="408" customFormat="1" hidden="1" customHeight="1" spans="1:4">
      <c r="A99" s="408">
        <v>5401101000</v>
      </c>
      <c r="B99" s="408" t="s">
        <v>1846</v>
      </c>
      <c r="D99" s="409" t="s">
        <v>1833</v>
      </c>
    </row>
    <row r="100" s="408" customFormat="1" hidden="1" customHeight="1" spans="1:4">
      <c r="A100" s="410">
        <v>5401101000</v>
      </c>
      <c r="B100" s="411" t="s">
        <v>1847</v>
      </c>
      <c r="C100" s="411"/>
      <c r="D100" s="412" t="s">
        <v>1817</v>
      </c>
    </row>
    <row r="101" s="408" customFormat="1" hidden="1" customHeight="1" spans="1:4">
      <c r="A101" s="408">
        <v>5401101000</v>
      </c>
      <c r="B101" s="408" t="s">
        <v>1848</v>
      </c>
      <c r="D101" s="409" t="s">
        <v>1817</v>
      </c>
    </row>
    <row r="102" s="408" customFormat="1" hidden="1" customHeight="1" spans="1:4">
      <c r="A102" s="408">
        <v>5401101000</v>
      </c>
      <c r="B102" s="408" t="s">
        <v>1849</v>
      </c>
      <c r="D102" s="409" t="s">
        <v>1836</v>
      </c>
    </row>
    <row r="103" hidden="1" customHeight="1" spans="1:4">
      <c r="A103" s="408">
        <v>5808100000</v>
      </c>
      <c r="B103" s="408" t="s">
        <v>1850</v>
      </c>
      <c r="D103" s="409" t="s">
        <v>1745</v>
      </c>
    </row>
    <row r="104" hidden="1" customHeight="1" spans="1:4">
      <c r="A104" s="408">
        <v>5808100000</v>
      </c>
      <c r="B104" s="408" t="s">
        <v>1851</v>
      </c>
      <c r="D104" s="409" t="s">
        <v>1745</v>
      </c>
    </row>
    <row r="105" hidden="1" customHeight="1" spans="1:4">
      <c r="A105" s="408">
        <v>5808100000</v>
      </c>
      <c r="B105" s="408" t="s">
        <v>1852</v>
      </c>
      <c r="D105" s="409" t="s">
        <v>1745</v>
      </c>
    </row>
    <row r="106" hidden="1" customHeight="1" spans="1:4">
      <c r="A106" s="408">
        <v>5808100000</v>
      </c>
      <c r="B106" s="408" t="s">
        <v>1853</v>
      </c>
      <c r="D106" s="409" t="s">
        <v>1745</v>
      </c>
    </row>
    <row r="107" hidden="1" customHeight="1" spans="1:4">
      <c r="A107" s="408">
        <v>5808100000</v>
      </c>
      <c r="B107" s="408" t="s">
        <v>1854</v>
      </c>
      <c r="D107" s="409" t="s">
        <v>1745</v>
      </c>
    </row>
    <row r="108" hidden="1" customHeight="1" spans="1:4">
      <c r="A108" s="408">
        <v>5808100000</v>
      </c>
      <c r="B108" s="408" t="s">
        <v>1855</v>
      </c>
      <c r="D108" s="409" t="s">
        <v>1736</v>
      </c>
    </row>
    <row r="109" hidden="1" customHeight="1" spans="1:4">
      <c r="A109" s="408">
        <v>5808100000</v>
      </c>
      <c r="B109" s="408" t="s">
        <v>1856</v>
      </c>
      <c r="D109" s="409" t="s">
        <v>1745</v>
      </c>
    </row>
    <row r="110" hidden="1" customHeight="1" spans="1:4">
      <c r="A110" s="408">
        <v>5808100000</v>
      </c>
      <c r="B110" s="408" t="s">
        <v>1857</v>
      </c>
      <c r="D110" s="409" t="s">
        <v>1745</v>
      </c>
    </row>
    <row r="111" hidden="1" customHeight="1" spans="1:4">
      <c r="A111" s="408">
        <v>5808100000</v>
      </c>
      <c r="B111" s="408" t="s">
        <v>1858</v>
      </c>
      <c r="D111" s="409" t="s">
        <v>1745</v>
      </c>
    </row>
    <row r="112" hidden="1" customHeight="1" spans="1:4">
      <c r="A112" s="408">
        <v>3926909090</v>
      </c>
      <c r="B112" s="408" t="s">
        <v>246</v>
      </c>
      <c r="D112" s="409" t="s">
        <v>1859</v>
      </c>
    </row>
    <row r="113" hidden="1" customHeight="1" spans="1:4">
      <c r="A113" s="408">
        <v>5806320000</v>
      </c>
      <c r="B113" s="408" t="s">
        <v>1860</v>
      </c>
      <c r="D113" s="409" t="s">
        <v>1745</v>
      </c>
    </row>
    <row r="114" hidden="1" customHeight="1" spans="1:4">
      <c r="A114" s="408">
        <v>5806320000</v>
      </c>
      <c r="B114" s="408" t="s">
        <v>1861</v>
      </c>
      <c r="D114" s="409" t="s">
        <v>1745</v>
      </c>
    </row>
    <row r="115" hidden="1" customHeight="1" spans="1:4">
      <c r="A115" s="408">
        <v>5806320000</v>
      </c>
      <c r="B115" s="408" t="s">
        <v>1862</v>
      </c>
      <c r="D115" s="409" t="s">
        <v>1745</v>
      </c>
    </row>
    <row r="116" hidden="1" customHeight="1" spans="1:4">
      <c r="A116" s="408">
        <v>5401101000</v>
      </c>
      <c r="B116" s="408" t="s">
        <v>1863</v>
      </c>
      <c r="D116" s="409" t="s">
        <v>1823</v>
      </c>
    </row>
    <row r="117" s="408" customFormat="1" hidden="1" customHeight="1" spans="1:4">
      <c r="A117" s="408">
        <v>5401101000</v>
      </c>
      <c r="B117" s="408" t="s">
        <v>1864</v>
      </c>
      <c r="D117" s="409" t="s">
        <v>1823</v>
      </c>
    </row>
    <row r="118" hidden="1" customHeight="1" spans="1:4">
      <c r="A118" s="408">
        <v>5401101000</v>
      </c>
      <c r="B118" s="408" t="s">
        <v>1865</v>
      </c>
      <c r="D118" s="409" t="s">
        <v>1823</v>
      </c>
    </row>
    <row r="119" hidden="1" customHeight="1" spans="1:4">
      <c r="A119" s="408">
        <v>5401101000</v>
      </c>
      <c r="B119" s="408" t="s">
        <v>1866</v>
      </c>
      <c r="D119" s="409" t="s">
        <v>1817</v>
      </c>
    </row>
    <row r="120" hidden="1" customHeight="1" spans="1:4">
      <c r="A120" s="410">
        <v>5401101000</v>
      </c>
      <c r="B120" s="411" t="s">
        <v>1867</v>
      </c>
      <c r="C120" s="411"/>
      <c r="D120" s="412" t="s">
        <v>1817</v>
      </c>
    </row>
    <row r="121" s="408" customFormat="1" hidden="1" customHeight="1" spans="1:4">
      <c r="A121" s="408">
        <v>5401101000</v>
      </c>
      <c r="B121" s="408" t="s">
        <v>1868</v>
      </c>
      <c r="D121" s="409" t="s">
        <v>1823</v>
      </c>
    </row>
    <row r="122" hidden="1" customHeight="1" spans="1:4">
      <c r="A122" s="410">
        <v>5401101000</v>
      </c>
      <c r="B122" s="411" t="s">
        <v>1869</v>
      </c>
      <c r="C122" s="411"/>
      <c r="D122" s="412" t="s">
        <v>1817</v>
      </c>
    </row>
    <row r="123" hidden="1" customHeight="1" spans="1:4">
      <c r="A123" s="410">
        <v>5401101000</v>
      </c>
      <c r="B123" s="411" t="s">
        <v>1870</v>
      </c>
      <c r="C123" s="411"/>
      <c r="D123" s="412" t="s">
        <v>1817</v>
      </c>
    </row>
    <row r="124" hidden="1" customHeight="1" spans="1:4">
      <c r="A124" s="408">
        <v>5401101000</v>
      </c>
      <c r="B124" s="408" t="s">
        <v>1871</v>
      </c>
      <c r="D124" s="409" t="s">
        <v>1823</v>
      </c>
    </row>
    <row r="125" hidden="1" customHeight="1" spans="1:4">
      <c r="A125" s="408">
        <v>5401101000</v>
      </c>
      <c r="B125" s="408" t="s">
        <v>1872</v>
      </c>
      <c r="D125" s="409" t="s">
        <v>1823</v>
      </c>
    </row>
    <row r="126" hidden="1" customHeight="1" spans="1:4">
      <c r="A126" s="408">
        <v>5401101000</v>
      </c>
      <c r="B126" s="408" t="s">
        <v>1873</v>
      </c>
      <c r="D126" s="409" t="s">
        <v>1823</v>
      </c>
    </row>
    <row r="127" hidden="1" customHeight="1" spans="1:4">
      <c r="A127" s="410">
        <v>5401101000</v>
      </c>
      <c r="B127" s="411" t="s">
        <v>1874</v>
      </c>
      <c r="C127" s="411"/>
      <c r="D127" s="412" t="s">
        <v>1817</v>
      </c>
    </row>
    <row r="128" hidden="1" customHeight="1" spans="1:4">
      <c r="A128" s="410">
        <v>5401101000</v>
      </c>
      <c r="B128" s="411" t="s">
        <v>1875</v>
      </c>
      <c r="C128" s="411"/>
      <c r="D128" s="412" t="s">
        <v>1817</v>
      </c>
    </row>
    <row r="129" hidden="1" customHeight="1" spans="1:4">
      <c r="A129" s="408">
        <v>5401101000</v>
      </c>
      <c r="B129" s="408" t="s">
        <v>360</v>
      </c>
      <c r="D129" s="409" t="s">
        <v>1823</v>
      </c>
    </row>
    <row r="130" hidden="1" customHeight="1" spans="1:4">
      <c r="A130" s="410">
        <v>8459699000</v>
      </c>
      <c r="B130" s="411" t="s">
        <v>1876</v>
      </c>
      <c r="C130" s="411"/>
      <c r="D130" s="412" t="s">
        <v>1877</v>
      </c>
    </row>
    <row r="131" hidden="1" customHeight="1" spans="1:4">
      <c r="A131" s="410">
        <v>8459699000</v>
      </c>
      <c r="B131" s="411" t="s">
        <v>1878</v>
      </c>
      <c r="C131" s="411"/>
      <c r="D131" s="412" t="s">
        <v>1877</v>
      </c>
    </row>
    <row r="132" hidden="1" customHeight="1" spans="1:4">
      <c r="A132" s="410">
        <v>8506109010</v>
      </c>
      <c r="B132" s="411" t="s">
        <v>1879</v>
      </c>
      <c r="C132" s="411"/>
      <c r="D132" s="413" t="s">
        <v>1880</v>
      </c>
    </row>
    <row r="133" hidden="1" customHeight="1" spans="1:4">
      <c r="A133" s="408">
        <v>3923900000</v>
      </c>
      <c r="B133" s="408" t="s">
        <v>1881</v>
      </c>
      <c r="D133" s="409" t="s">
        <v>1882</v>
      </c>
    </row>
    <row r="134" hidden="1" customHeight="1" spans="1:4">
      <c r="A134" s="408">
        <v>3921199090</v>
      </c>
      <c r="B134" s="408" t="s">
        <v>1883</v>
      </c>
      <c r="D134" s="409" t="s">
        <v>1884</v>
      </c>
    </row>
    <row r="135" hidden="1" customHeight="1" spans="1:4">
      <c r="A135" s="408">
        <v>3923900000</v>
      </c>
      <c r="B135" s="408" t="s">
        <v>1885</v>
      </c>
      <c r="D135" s="409" t="s">
        <v>1882</v>
      </c>
    </row>
    <row r="136" hidden="1" customHeight="1" spans="1:4">
      <c r="A136" s="410">
        <v>8506109010</v>
      </c>
      <c r="B136" s="411" t="s">
        <v>1886</v>
      </c>
      <c r="C136" s="411"/>
      <c r="D136" s="412" t="s">
        <v>1887</v>
      </c>
    </row>
    <row r="137" hidden="1" customHeight="1" spans="1:4">
      <c r="A137" s="408">
        <v>8506109010</v>
      </c>
      <c r="B137" s="408" t="s">
        <v>1888</v>
      </c>
      <c r="D137" s="409" t="s">
        <v>1889</v>
      </c>
    </row>
    <row r="138" hidden="1" customHeight="1" spans="1:4">
      <c r="A138" s="408">
        <v>8506101210</v>
      </c>
      <c r="B138" s="408" t="s">
        <v>1890</v>
      </c>
      <c r="D138" s="409" t="s">
        <v>1891</v>
      </c>
    </row>
    <row r="139" hidden="1" customHeight="1" spans="1:4">
      <c r="A139" s="408">
        <v>3923900000</v>
      </c>
      <c r="B139" s="408" t="s">
        <v>400</v>
      </c>
      <c r="D139" s="409" t="s">
        <v>1790</v>
      </c>
    </row>
    <row r="140" hidden="1" customHeight="1" spans="1:4">
      <c r="A140" s="410">
        <v>4911101000</v>
      </c>
      <c r="B140" s="411" t="s">
        <v>1892</v>
      </c>
      <c r="C140" s="411"/>
      <c r="D140" s="413" t="s">
        <v>1893</v>
      </c>
    </row>
    <row r="141" hidden="1" customHeight="1" spans="1:4">
      <c r="A141" s="410">
        <v>4911101000</v>
      </c>
      <c r="B141" s="411" t="s">
        <v>1894</v>
      </c>
      <c r="C141" s="411"/>
      <c r="D141" s="412" t="s">
        <v>1893</v>
      </c>
    </row>
    <row r="142" hidden="1" customHeight="1" spans="1:4">
      <c r="A142" s="408">
        <v>4007000000</v>
      </c>
      <c r="B142" s="408" t="s">
        <v>1895</v>
      </c>
      <c r="D142" s="409" t="s">
        <v>1896</v>
      </c>
    </row>
    <row r="143" hidden="1" customHeight="1" spans="1:4">
      <c r="A143" s="408">
        <v>3923900000</v>
      </c>
      <c r="B143" s="408" t="s">
        <v>403</v>
      </c>
      <c r="D143" s="409" t="s">
        <v>1790</v>
      </c>
    </row>
    <row r="144" hidden="1" customHeight="1" spans="1:4">
      <c r="A144" s="410">
        <v>4819200000</v>
      </c>
      <c r="B144" s="411" t="s">
        <v>1897</v>
      </c>
      <c r="C144" s="411"/>
      <c r="D144" s="412" t="s">
        <v>1766</v>
      </c>
    </row>
    <row r="145" hidden="1" customHeight="1" spans="1:4">
      <c r="A145" s="408">
        <v>3923900000</v>
      </c>
      <c r="B145" s="408" t="s">
        <v>406</v>
      </c>
      <c r="D145" s="409" t="s">
        <v>1790</v>
      </c>
    </row>
    <row r="146" hidden="1" customHeight="1" spans="1:4">
      <c r="A146" s="408">
        <v>7326909000</v>
      </c>
      <c r="B146" s="408" t="s">
        <v>1898</v>
      </c>
      <c r="D146" s="409" t="s">
        <v>1899</v>
      </c>
    </row>
    <row r="147" hidden="1" customHeight="1" spans="1:4">
      <c r="A147" s="408">
        <v>9503009000</v>
      </c>
      <c r="B147" s="408" t="s">
        <v>1900</v>
      </c>
      <c r="D147" s="409" t="s">
        <v>1901</v>
      </c>
    </row>
    <row r="148" hidden="1" customHeight="1" spans="1:4">
      <c r="A148" s="408">
        <v>3926909090</v>
      </c>
      <c r="B148" s="408" t="s">
        <v>1902</v>
      </c>
      <c r="D148" s="409" t="s">
        <v>1790</v>
      </c>
    </row>
    <row r="149" s="408" customFormat="1" hidden="1" customHeight="1" spans="1:4">
      <c r="A149" s="408">
        <v>9503009000</v>
      </c>
      <c r="B149" s="408" t="s">
        <v>1903</v>
      </c>
      <c r="D149" s="409" t="s">
        <v>1901</v>
      </c>
    </row>
    <row r="150" s="408" customFormat="1" hidden="1" customHeight="1" spans="1:4">
      <c r="A150" s="408">
        <v>9503009000</v>
      </c>
      <c r="B150" s="408" t="s">
        <v>1904</v>
      </c>
      <c r="D150" s="409" t="s">
        <v>1901</v>
      </c>
    </row>
    <row r="151" hidden="1" customHeight="1" spans="1:4">
      <c r="A151" s="408">
        <v>4911101000</v>
      </c>
      <c r="B151" s="408" t="s">
        <v>1905</v>
      </c>
      <c r="D151" s="409" t="s">
        <v>1893</v>
      </c>
    </row>
    <row r="152" hidden="1" customHeight="1" spans="1:4">
      <c r="A152" s="408">
        <v>8480790000</v>
      </c>
      <c r="B152" s="408" t="s">
        <v>1906</v>
      </c>
      <c r="D152" s="409" t="s">
        <v>1907</v>
      </c>
    </row>
    <row r="153" hidden="1" customHeight="1" spans="1:4">
      <c r="A153" s="408">
        <v>4911101000</v>
      </c>
      <c r="B153" s="408" t="s">
        <v>957</v>
      </c>
      <c r="D153" s="409" t="s">
        <v>1893</v>
      </c>
    </row>
    <row r="154" hidden="1" customHeight="1" spans="1:4">
      <c r="A154" s="408">
        <v>7326909000</v>
      </c>
      <c r="B154" s="408" t="s">
        <v>1908</v>
      </c>
      <c r="D154" s="409" t="s">
        <v>1909</v>
      </c>
    </row>
    <row r="155" hidden="1" customHeight="1" spans="1:4">
      <c r="A155" s="408">
        <v>7326909000</v>
      </c>
      <c r="B155" s="408" t="s">
        <v>1910</v>
      </c>
      <c r="D155" s="409" t="s">
        <v>1911</v>
      </c>
    </row>
    <row r="156" hidden="1" customHeight="1" spans="1:4">
      <c r="A156" s="408">
        <v>8480790000</v>
      </c>
      <c r="B156" s="408" t="s">
        <v>1912</v>
      </c>
      <c r="D156" s="409" t="s">
        <v>1913</v>
      </c>
    </row>
    <row r="157" hidden="1" customHeight="1" spans="1:4">
      <c r="A157" s="408">
        <v>7326909000</v>
      </c>
      <c r="B157" s="408" t="s">
        <v>1914</v>
      </c>
      <c r="D157" s="409" t="s">
        <v>1911</v>
      </c>
    </row>
    <row r="158" hidden="1" customHeight="1" spans="1:4">
      <c r="A158" s="408">
        <v>8480790000</v>
      </c>
      <c r="B158" s="408" t="s">
        <v>1915</v>
      </c>
      <c r="D158" s="409" t="s">
        <v>1913</v>
      </c>
    </row>
    <row r="159" hidden="1" customHeight="1" spans="1:4">
      <c r="A159" s="408">
        <v>7326909000</v>
      </c>
      <c r="B159" s="408" t="s">
        <v>1916</v>
      </c>
      <c r="D159" s="409" t="s">
        <v>1911</v>
      </c>
    </row>
    <row r="160" hidden="1" customHeight="1" spans="1:4">
      <c r="A160" s="408">
        <v>8480790000</v>
      </c>
      <c r="B160" s="408" t="s">
        <v>1917</v>
      </c>
      <c r="D160" s="409" t="s">
        <v>1913</v>
      </c>
    </row>
    <row r="161" hidden="1" customHeight="1" spans="1:4">
      <c r="A161" s="408">
        <v>732690900</v>
      </c>
      <c r="B161" s="408" t="s">
        <v>1918</v>
      </c>
      <c r="D161" s="409" t="s">
        <v>1919</v>
      </c>
    </row>
    <row r="162" hidden="1" customHeight="1" spans="1:4">
      <c r="A162" s="408">
        <v>3926909090</v>
      </c>
      <c r="B162" s="408" t="s">
        <v>1920</v>
      </c>
      <c r="D162" s="409" t="s">
        <v>1790</v>
      </c>
    </row>
    <row r="163" hidden="1" customHeight="1" spans="1:4">
      <c r="A163" s="408">
        <v>9503009000</v>
      </c>
      <c r="B163" s="408" t="s">
        <v>1921</v>
      </c>
      <c r="D163" s="409" t="s">
        <v>1922</v>
      </c>
    </row>
    <row r="164" hidden="1" customHeight="1" spans="1:4">
      <c r="A164" s="408">
        <v>8480790000</v>
      </c>
      <c r="B164" s="408" t="s">
        <v>1923</v>
      </c>
    </row>
    <row r="165" hidden="1" customHeight="1" spans="1:4">
      <c r="A165" s="408">
        <v>8480790000</v>
      </c>
      <c r="B165" s="408" t="s">
        <v>1924</v>
      </c>
    </row>
    <row r="166" hidden="1" customHeight="1" spans="1:4">
      <c r="A166" s="408">
        <v>4819100000</v>
      </c>
      <c r="B166" s="408" t="s">
        <v>1925</v>
      </c>
      <c r="D166" s="409" t="s">
        <v>1766</v>
      </c>
    </row>
    <row r="167" hidden="1" customHeight="1" spans="1:4">
      <c r="A167" s="408">
        <v>4819100000</v>
      </c>
      <c r="B167" s="408" t="s">
        <v>1926</v>
      </c>
      <c r="D167" s="409" t="s">
        <v>1766</v>
      </c>
    </row>
    <row r="168" hidden="1" customHeight="1" spans="1:4">
      <c r="A168" s="408">
        <v>3926909090</v>
      </c>
      <c r="B168" s="408" t="s">
        <v>1927</v>
      </c>
      <c r="D168" s="409" t="s">
        <v>1790</v>
      </c>
    </row>
    <row r="169" hidden="1" customHeight="1" spans="1:4">
      <c r="A169" s="408">
        <v>3923210000</v>
      </c>
      <c r="B169" s="408" t="s">
        <v>1280</v>
      </c>
      <c r="D169" s="409" t="s">
        <v>1882</v>
      </c>
    </row>
    <row r="170" hidden="1" customHeight="1" spans="1:4">
      <c r="A170" s="410">
        <v>7318159090</v>
      </c>
      <c r="B170" s="411" t="s">
        <v>1928</v>
      </c>
      <c r="C170" s="411"/>
      <c r="D170" s="413" t="s">
        <v>1929</v>
      </c>
    </row>
    <row r="171" hidden="1" customHeight="1" spans="1:4">
      <c r="A171" s="410">
        <v>7318159090</v>
      </c>
      <c r="B171" s="411" t="s">
        <v>1930</v>
      </c>
      <c r="C171" s="411"/>
      <c r="D171" s="413" t="s">
        <v>1929</v>
      </c>
    </row>
    <row r="172" hidden="1" customHeight="1" spans="1:4">
      <c r="A172" s="410">
        <v>7318159090</v>
      </c>
      <c r="B172" s="411" t="s">
        <v>1931</v>
      </c>
      <c r="C172" s="411"/>
      <c r="D172" s="413" t="s">
        <v>1929</v>
      </c>
    </row>
    <row r="173" s="408" customFormat="1" hidden="1" customHeight="1" spans="1:4">
      <c r="A173" s="408">
        <v>7326909000</v>
      </c>
      <c r="B173" s="408" t="s">
        <v>1932</v>
      </c>
      <c r="D173" s="409" t="s">
        <v>1899</v>
      </c>
    </row>
    <row r="174" hidden="1" customHeight="1" spans="1:4">
      <c r="A174" s="408">
        <v>8480790000</v>
      </c>
      <c r="B174" s="408" t="s">
        <v>1933</v>
      </c>
      <c r="D174" s="409" t="s">
        <v>1907</v>
      </c>
    </row>
    <row r="175" hidden="1" customHeight="1" spans="1:4">
      <c r="A175" s="408">
        <v>9031809090</v>
      </c>
      <c r="B175" s="408" t="s">
        <v>1934</v>
      </c>
      <c r="D175" s="409" t="s">
        <v>1935</v>
      </c>
    </row>
    <row r="176" hidden="1" customHeight="1" spans="1:4">
      <c r="A176" s="410">
        <v>4821100000</v>
      </c>
      <c r="B176" s="411" t="s">
        <v>1936</v>
      </c>
      <c r="C176" s="411"/>
      <c r="D176" s="412" t="s">
        <v>1937</v>
      </c>
    </row>
    <row r="177" hidden="1" customHeight="1" spans="1:4">
      <c r="A177" s="410">
        <v>3923210000</v>
      </c>
      <c r="B177" s="411" t="s">
        <v>1938</v>
      </c>
      <c r="C177" s="411"/>
      <c r="D177" s="412" t="s">
        <v>1939</v>
      </c>
    </row>
    <row r="178" hidden="1" customHeight="1" spans="1:4">
      <c r="A178" s="408">
        <v>3926909090</v>
      </c>
      <c r="B178" s="408" t="s">
        <v>1940</v>
      </c>
      <c r="D178" s="409" t="s">
        <v>1941</v>
      </c>
    </row>
    <row r="179" hidden="1" customHeight="1" spans="1:4">
      <c r="A179" s="410">
        <v>3923210000</v>
      </c>
      <c r="B179" s="411" t="s">
        <v>1942</v>
      </c>
      <c r="C179" s="411"/>
      <c r="D179" s="412" t="s">
        <v>1939</v>
      </c>
    </row>
    <row r="180" hidden="1" customHeight="1" spans="1:4">
      <c r="A180" s="410">
        <v>3923210000</v>
      </c>
      <c r="B180" s="411" t="s">
        <v>1943</v>
      </c>
      <c r="C180" s="411"/>
      <c r="D180" s="412" t="s">
        <v>1939</v>
      </c>
    </row>
    <row r="181" hidden="1" customHeight="1" spans="1:4">
      <c r="A181" s="408">
        <v>3923210000</v>
      </c>
      <c r="B181" s="408" t="s">
        <v>1944</v>
      </c>
      <c r="D181" s="409" t="s">
        <v>1945</v>
      </c>
    </row>
    <row r="182" hidden="1" customHeight="1" spans="1:4">
      <c r="A182" s="408">
        <v>3920999090</v>
      </c>
      <c r="B182" s="408" t="s">
        <v>1946</v>
      </c>
      <c r="D182" s="409" t="s">
        <v>1947</v>
      </c>
    </row>
    <row r="183" hidden="1" customHeight="1" spans="1:4">
      <c r="A183" s="408">
        <v>3920999090</v>
      </c>
      <c r="B183" s="408" t="s">
        <v>1948</v>
      </c>
      <c r="D183" s="409" t="s">
        <v>1949</v>
      </c>
    </row>
    <row r="184" hidden="1" customHeight="1" spans="1:4">
      <c r="A184" s="408">
        <v>3920999090</v>
      </c>
      <c r="B184" s="408" t="s">
        <v>1950</v>
      </c>
      <c r="D184" s="409" t="s">
        <v>1951</v>
      </c>
    </row>
    <row r="185" hidden="1" customHeight="1" spans="1:4">
      <c r="A185" s="410">
        <v>3904220000</v>
      </c>
      <c r="B185" s="411" t="s">
        <v>1952</v>
      </c>
      <c r="C185" s="411"/>
      <c r="D185" s="413" t="s">
        <v>1953</v>
      </c>
    </row>
    <row r="186" hidden="1" customHeight="1" spans="1:4">
      <c r="A186" s="408">
        <v>3904220000</v>
      </c>
      <c r="B186" s="408" t="s">
        <v>1954</v>
      </c>
      <c r="D186" s="409" t="s">
        <v>1955</v>
      </c>
    </row>
    <row r="187" hidden="1" customHeight="1" spans="1:4">
      <c r="A187" s="408">
        <v>3904220000</v>
      </c>
      <c r="B187" s="408" t="s">
        <v>1956</v>
      </c>
      <c r="D187" s="409" t="s">
        <v>1955</v>
      </c>
    </row>
    <row r="188" hidden="1" customHeight="1" spans="1:4">
      <c r="A188" s="410">
        <v>7318159090</v>
      </c>
      <c r="B188" s="411" t="s">
        <v>1957</v>
      </c>
      <c r="C188" s="411"/>
      <c r="D188" s="413" t="s">
        <v>1929</v>
      </c>
    </row>
    <row r="189" hidden="1" customHeight="1" spans="1:4">
      <c r="A189" s="408">
        <v>7208520000</v>
      </c>
      <c r="B189" s="408" t="s">
        <v>1958</v>
      </c>
      <c r="D189" s="409" t="s">
        <v>1959</v>
      </c>
    </row>
    <row r="190" hidden="1" customHeight="1" spans="1:4">
      <c r="A190" s="408">
        <v>9025191090</v>
      </c>
      <c r="B190" s="408" t="s">
        <v>1960</v>
      </c>
      <c r="D190" s="409" t="s">
        <v>1961</v>
      </c>
    </row>
    <row r="191" customHeight="1" spans="1:4">
      <c r="A191" s="408">
        <v>4821100000</v>
      </c>
      <c r="B191" s="408" t="s">
        <v>1962</v>
      </c>
      <c r="D191" s="409" t="s">
        <v>1963</v>
      </c>
    </row>
    <row r="192" customHeight="1" spans="1:4">
      <c r="A192" s="408">
        <v>4821100000</v>
      </c>
      <c r="B192" s="408" t="s">
        <v>1964</v>
      </c>
      <c r="D192" s="409" t="s">
        <v>1965</v>
      </c>
    </row>
    <row r="193" hidden="1" customHeight="1" spans="1:4">
      <c r="A193" s="408">
        <v>8536500090</v>
      </c>
      <c r="B193" s="408" t="s">
        <v>1966</v>
      </c>
      <c r="D193" s="409" t="s">
        <v>1967</v>
      </c>
    </row>
    <row r="194" hidden="1" customHeight="1" spans="1:4">
      <c r="A194" s="408">
        <v>9503009000</v>
      </c>
      <c r="B194" s="408" t="s">
        <v>1968</v>
      </c>
      <c r="D194" s="409" t="s">
        <v>1969</v>
      </c>
    </row>
    <row r="195" s="408" customFormat="1" hidden="1" customHeight="1" spans="1:4">
      <c r="A195" s="408">
        <v>4819100000</v>
      </c>
      <c r="B195" s="408" t="s">
        <v>1970</v>
      </c>
      <c r="D195" s="409" t="s">
        <v>1971</v>
      </c>
    </row>
    <row r="196" s="408" customFormat="1" hidden="1" customHeight="1" spans="1:4">
      <c r="A196" s="408">
        <v>4821100000</v>
      </c>
      <c r="B196" s="408" t="s">
        <v>1972</v>
      </c>
      <c r="D196" s="409" t="s">
        <v>1973</v>
      </c>
    </row>
    <row r="197" hidden="1" customHeight="1" spans="1:4">
      <c r="A197" s="408">
        <v>3926909090</v>
      </c>
      <c r="B197" s="408" t="s">
        <v>639</v>
      </c>
      <c r="D197" s="409" t="s">
        <v>1974</v>
      </c>
    </row>
    <row r="198" hidden="1" customHeight="1" spans="1:4">
      <c r="A198" s="408">
        <v>8211940000</v>
      </c>
      <c r="B198" s="408" t="s">
        <v>644</v>
      </c>
      <c r="D198" s="409" t="s">
        <v>1974</v>
      </c>
    </row>
    <row r="199" hidden="1" customHeight="1" spans="1:4">
      <c r="A199" s="410">
        <v>3926909090</v>
      </c>
      <c r="B199" s="411" t="s">
        <v>1975</v>
      </c>
      <c r="C199" s="411"/>
      <c r="D199" s="412" t="s">
        <v>1976</v>
      </c>
    </row>
    <row r="200" hidden="1" customHeight="1" spans="1:4">
      <c r="A200" s="408">
        <v>3923900000</v>
      </c>
      <c r="B200" s="408" t="s">
        <v>1977</v>
      </c>
      <c r="D200" s="409" t="s">
        <v>1882</v>
      </c>
    </row>
    <row r="201" hidden="1" customHeight="1" spans="1:4">
      <c r="A201" s="408">
        <v>9503009000</v>
      </c>
      <c r="B201" s="408" t="s">
        <v>1978</v>
      </c>
      <c r="D201" s="409" t="s">
        <v>1979</v>
      </c>
    </row>
    <row r="202" hidden="1" customHeight="1" spans="1:4">
      <c r="A202" s="408">
        <v>5808100000</v>
      </c>
      <c r="B202" s="408" t="s">
        <v>1980</v>
      </c>
      <c r="D202" s="409" t="s">
        <v>1981</v>
      </c>
    </row>
    <row r="203" hidden="1" customHeight="1" spans="1:4">
      <c r="A203" s="408">
        <v>9503002900</v>
      </c>
      <c r="B203" s="408" t="s">
        <v>1982</v>
      </c>
      <c r="D203" s="409" t="s">
        <v>1983</v>
      </c>
    </row>
    <row r="204" hidden="1" customHeight="1" spans="1:4">
      <c r="A204" s="410">
        <v>7326909090</v>
      </c>
      <c r="B204" s="411" t="s">
        <v>1984</v>
      </c>
      <c r="C204" s="411"/>
      <c r="D204" s="414" t="s">
        <v>1899</v>
      </c>
    </row>
    <row r="205" hidden="1" customHeight="1" spans="1:4">
      <c r="A205" s="410">
        <v>8480790000</v>
      </c>
      <c r="B205" s="411" t="s">
        <v>1985</v>
      </c>
      <c r="C205" s="411"/>
      <c r="D205" s="414" t="s">
        <v>1907</v>
      </c>
    </row>
    <row r="206" hidden="1" customHeight="1" spans="1:4">
      <c r="A206" s="410">
        <v>3926909090</v>
      </c>
      <c r="B206" s="411" t="s">
        <v>1986</v>
      </c>
      <c r="C206" s="411"/>
      <c r="D206" s="415" t="s">
        <v>1987</v>
      </c>
    </row>
    <row r="207" hidden="1" customHeight="1" spans="1:4">
      <c r="A207" s="408">
        <v>3920999090</v>
      </c>
      <c r="B207" s="408" t="s">
        <v>1988</v>
      </c>
      <c r="D207" s="409" t="s">
        <v>1989</v>
      </c>
    </row>
    <row r="208" hidden="1" customHeight="1" spans="1:4">
      <c r="A208" s="410">
        <v>3923900000</v>
      </c>
      <c r="B208" s="411" t="s">
        <v>1990</v>
      </c>
      <c r="C208" s="411"/>
      <c r="D208" s="412" t="s">
        <v>1790</v>
      </c>
    </row>
    <row r="209" hidden="1" customHeight="1" spans="1:4">
      <c r="A209" s="408">
        <v>7326909000</v>
      </c>
      <c r="B209" s="408" t="s">
        <v>1991</v>
      </c>
    </row>
    <row r="210" hidden="1" customHeight="1" spans="1:4">
      <c r="A210" s="410">
        <v>4819200000</v>
      </c>
      <c r="B210" s="411" t="s">
        <v>1992</v>
      </c>
      <c r="C210" s="411"/>
      <c r="D210" s="413" t="s">
        <v>1993</v>
      </c>
    </row>
    <row r="211" hidden="1" customHeight="1" spans="1:4">
      <c r="A211" s="408">
        <v>3926909090</v>
      </c>
      <c r="B211" s="408" t="s">
        <v>1994</v>
      </c>
      <c r="D211" s="409" t="s">
        <v>1790</v>
      </c>
    </row>
    <row r="212" hidden="1" customHeight="1" spans="1:4">
      <c r="A212" s="410">
        <v>9405390000</v>
      </c>
      <c r="B212" s="411" t="s">
        <v>1474</v>
      </c>
      <c r="C212" s="411"/>
      <c r="D212" s="415" t="s">
        <v>1995</v>
      </c>
    </row>
    <row r="213" hidden="1" customHeight="1" spans="1:4">
      <c r="A213" s="408">
        <v>4821100000</v>
      </c>
      <c r="B213" s="408" t="s">
        <v>1996</v>
      </c>
      <c r="D213" s="409" t="s">
        <v>1997</v>
      </c>
    </row>
    <row r="214" hidden="1" customHeight="1" spans="1:4">
      <c r="A214" s="410">
        <v>4819100000</v>
      </c>
      <c r="B214" s="411" t="s">
        <v>1998</v>
      </c>
      <c r="C214" s="411"/>
      <c r="D214" s="413" t="s">
        <v>1766</v>
      </c>
    </row>
    <row r="215" hidden="1" customHeight="1" spans="1:4">
      <c r="A215" s="408">
        <v>8480790000</v>
      </c>
      <c r="B215" s="408" t="s">
        <v>1999</v>
      </c>
    </row>
    <row r="216" hidden="1" customHeight="1" spans="1:4">
      <c r="A216" s="408">
        <v>8480790000</v>
      </c>
      <c r="B216" s="408" t="s">
        <v>2000</v>
      </c>
    </row>
    <row r="217" hidden="1" customHeight="1" spans="1:4">
      <c r="A217" s="408">
        <v>9403200000</v>
      </c>
      <c r="B217" s="408" t="s">
        <v>2001</v>
      </c>
      <c r="D217" s="409" t="s">
        <v>2002</v>
      </c>
    </row>
    <row r="218" hidden="1" customHeight="1" spans="1:4">
      <c r="A218" s="408">
        <v>7326909000</v>
      </c>
      <c r="B218" s="408" t="s">
        <v>2003</v>
      </c>
      <c r="D218" s="409" t="s">
        <v>2004</v>
      </c>
    </row>
    <row r="219" hidden="1" customHeight="1" spans="1:4">
      <c r="A219" s="408">
        <v>9403100000</v>
      </c>
      <c r="B219" s="408" t="s">
        <v>2005</v>
      </c>
      <c r="D219" s="409" t="s">
        <v>2006</v>
      </c>
    </row>
    <row r="220" hidden="1" customHeight="1" spans="1:4">
      <c r="A220" s="408">
        <v>9403100000</v>
      </c>
      <c r="B220" s="408" t="s">
        <v>2007</v>
      </c>
      <c r="D220" s="409" t="s">
        <v>2008</v>
      </c>
    </row>
    <row r="221" hidden="1" customHeight="1" spans="1:4">
      <c r="A221" s="408">
        <v>8311100000</v>
      </c>
      <c r="B221" s="408" t="s">
        <v>2009</v>
      </c>
      <c r="D221" s="409" t="s">
        <v>2010</v>
      </c>
    </row>
    <row r="222" hidden="1" customHeight="1" spans="1:4">
      <c r="A222" s="410">
        <v>4202129000</v>
      </c>
      <c r="B222" s="411" t="s">
        <v>2011</v>
      </c>
      <c r="C222" s="411"/>
      <c r="D222" s="412" t="s">
        <v>2012</v>
      </c>
    </row>
    <row r="223" hidden="1" customHeight="1" spans="1:4">
      <c r="A223" s="408">
        <v>8203200090</v>
      </c>
      <c r="B223" s="408" t="s">
        <v>2013</v>
      </c>
      <c r="D223" s="409" t="s">
        <v>2014</v>
      </c>
    </row>
    <row r="224" hidden="1" customHeight="1" spans="1:4">
      <c r="A224" s="408">
        <v>5906101000</v>
      </c>
      <c r="B224" s="408" t="s">
        <v>2015</v>
      </c>
      <c r="D224" s="409" t="s">
        <v>2016</v>
      </c>
    </row>
    <row r="225" hidden="1" customHeight="1" spans="1:4">
      <c r="A225" s="408">
        <v>7326909000</v>
      </c>
      <c r="B225" s="408" t="s">
        <v>2017</v>
      </c>
      <c r="D225" s="409" t="s">
        <v>1899</v>
      </c>
    </row>
    <row r="226" hidden="1" customHeight="1" spans="1:4">
      <c r="A226" s="408">
        <v>7326909000</v>
      </c>
      <c r="B226" s="408" t="s">
        <v>2018</v>
      </c>
      <c r="D226" s="409" t="s">
        <v>1899</v>
      </c>
    </row>
    <row r="227" hidden="1" customHeight="1" spans="1:4">
      <c r="A227" s="408">
        <v>8471605000</v>
      </c>
      <c r="B227" s="408" t="s">
        <v>2019</v>
      </c>
      <c r="D227" s="409" t="s">
        <v>2020</v>
      </c>
    </row>
    <row r="228" s="408" customFormat="1" hidden="1" customHeight="1" spans="1:4">
      <c r="A228" s="408">
        <v>4819200000</v>
      </c>
      <c r="B228" s="408" t="s">
        <v>334</v>
      </c>
      <c r="D228" s="409" t="s">
        <v>1993</v>
      </c>
    </row>
    <row r="229" s="408" customFormat="1" hidden="1" customHeight="1" spans="1:4">
      <c r="A229" s="408">
        <v>4819200000</v>
      </c>
      <c r="B229" s="408" t="s">
        <v>901</v>
      </c>
      <c r="D229" s="409" t="s">
        <v>1993</v>
      </c>
    </row>
    <row r="230" hidden="1" customHeight="1" spans="1:4">
      <c r="A230" s="408">
        <v>4819100000</v>
      </c>
      <c r="B230" s="408" t="s">
        <v>2021</v>
      </c>
      <c r="D230" s="409" t="s">
        <v>1993</v>
      </c>
    </row>
    <row r="231" hidden="1" customHeight="1" spans="1:4">
      <c r="A231" s="408">
        <v>4821100000</v>
      </c>
      <c r="B231" s="408" t="s">
        <v>2022</v>
      </c>
      <c r="D231" s="409" t="s">
        <v>2023</v>
      </c>
    </row>
    <row r="232" hidden="1" customHeight="1" spans="1:4">
      <c r="A232" s="408">
        <v>4821100000</v>
      </c>
      <c r="B232" s="408" t="s">
        <v>342</v>
      </c>
      <c r="D232" s="409" t="s">
        <v>2024</v>
      </c>
    </row>
    <row r="233" hidden="1" customHeight="1" spans="1:4">
      <c r="A233" s="410">
        <v>4819100000</v>
      </c>
      <c r="B233" s="411" t="s">
        <v>2025</v>
      </c>
      <c r="C233" s="411"/>
      <c r="D233" s="413" t="s">
        <v>1766</v>
      </c>
    </row>
    <row r="234" s="408" customFormat="1" hidden="1" customHeight="1" spans="1:4">
      <c r="A234" s="410">
        <v>4819100000</v>
      </c>
      <c r="B234" s="411" t="s">
        <v>2026</v>
      </c>
      <c r="C234" s="411"/>
      <c r="D234" s="412" t="s">
        <v>1993</v>
      </c>
    </row>
    <row r="235" hidden="1" customHeight="1" spans="1:4">
      <c r="A235" s="410">
        <v>4819100000</v>
      </c>
      <c r="B235" s="411" t="s">
        <v>2027</v>
      </c>
      <c r="C235" s="411"/>
      <c r="D235" s="412" t="s">
        <v>1993</v>
      </c>
    </row>
    <row r="236" customHeight="1" spans="1:4">
      <c r="A236" s="410">
        <v>4821100000</v>
      </c>
      <c r="B236" s="411" t="s">
        <v>2028</v>
      </c>
      <c r="C236" s="411"/>
      <c r="D236" s="412" t="s">
        <v>2029</v>
      </c>
    </row>
    <row r="237" hidden="1" customHeight="1" spans="1:4">
      <c r="A237" s="408">
        <v>7326909000</v>
      </c>
      <c r="B237" s="408" t="s">
        <v>2030</v>
      </c>
      <c r="D237" s="409" t="s">
        <v>2031</v>
      </c>
    </row>
    <row r="238" hidden="1" customHeight="1" spans="1:4">
      <c r="A238" s="408">
        <v>7326909000</v>
      </c>
      <c r="B238" s="408" t="s">
        <v>2032</v>
      </c>
      <c r="D238" s="409" t="s">
        <v>2033</v>
      </c>
    </row>
    <row r="239" customHeight="1" spans="1:4">
      <c r="A239" s="408">
        <v>4821100000</v>
      </c>
      <c r="B239" s="408" t="s">
        <v>2034</v>
      </c>
      <c r="D239" s="409" t="s">
        <v>2035</v>
      </c>
    </row>
    <row r="240" hidden="1" customHeight="1" spans="1:4">
      <c r="A240" s="408">
        <v>4819100000</v>
      </c>
      <c r="B240" s="408" t="s">
        <v>2036</v>
      </c>
      <c r="D240" s="409" t="s">
        <v>1766</v>
      </c>
    </row>
    <row r="241" s="408" customFormat="1" customHeight="1" spans="1:4">
      <c r="A241" s="410">
        <v>4819100000</v>
      </c>
      <c r="B241" s="411" t="s">
        <v>324</v>
      </c>
      <c r="C241" s="411"/>
      <c r="D241" s="415" t="s">
        <v>1766</v>
      </c>
    </row>
    <row r="242" s="408" customFormat="1" hidden="1" customHeight="1" spans="1:4">
      <c r="A242" s="408">
        <v>8480790000</v>
      </c>
      <c r="B242" s="408" t="s">
        <v>2037</v>
      </c>
      <c r="D242" s="409" t="s">
        <v>1907</v>
      </c>
    </row>
    <row r="243" hidden="1" customHeight="1" spans="1:4">
      <c r="A243" s="408">
        <v>8468800000</v>
      </c>
      <c r="B243" s="408" t="s">
        <v>2038</v>
      </c>
      <c r="D243" s="409" t="s">
        <v>2039</v>
      </c>
    </row>
    <row r="244" hidden="1" customHeight="1" spans="1:4">
      <c r="A244" s="408">
        <v>8468900000</v>
      </c>
      <c r="B244" s="408" t="s">
        <v>2040</v>
      </c>
      <c r="D244" s="409" t="s">
        <v>2041</v>
      </c>
    </row>
    <row r="245" hidden="1" customHeight="1" spans="1:4">
      <c r="A245" s="408">
        <v>7326909000</v>
      </c>
      <c r="B245" s="408" t="s">
        <v>2042</v>
      </c>
      <c r="D245" s="409" t="s">
        <v>1899</v>
      </c>
    </row>
    <row r="246" hidden="1" customHeight="1" spans="1:4">
      <c r="A246" s="408">
        <v>7326909000</v>
      </c>
      <c r="B246" s="408" t="s">
        <v>2043</v>
      </c>
    </row>
    <row r="247" hidden="1" customHeight="1" spans="1:4">
      <c r="A247" s="408">
        <v>8208101100</v>
      </c>
      <c r="B247" s="408" t="s">
        <v>2044</v>
      </c>
      <c r="D247" s="409" t="s">
        <v>2045</v>
      </c>
    </row>
    <row r="248" hidden="1" customHeight="1" spans="1:4">
      <c r="A248" s="408">
        <v>8208109000</v>
      </c>
      <c r="B248" s="408" t="s">
        <v>2046</v>
      </c>
      <c r="D248" s="409" t="s">
        <v>2047</v>
      </c>
    </row>
    <row r="249" hidden="1" customHeight="1" spans="1:4">
      <c r="A249" s="408">
        <v>7326909000</v>
      </c>
      <c r="B249" s="408" t="s">
        <v>2048</v>
      </c>
      <c r="D249" s="409" t="s">
        <v>2049</v>
      </c>
    </row>
    <row r="250" hidden="1" customHeight="1" spans="1:4">
      <c r="A250" s="408">
        <v>8480790000</v>
      </c>
      <c r="B250" s="408" t="s">
        <v>2050</v>
      </c>
      <c r="D250" s="409" t="s">
        <v>1907</v>
      </c>
    </row>
    <row r="251" hidden="1" customHeight="1" spans="1:4">
      <c r="A251" s="408">
        <v>4819200000</v>
      </c>
      <c r="B251" s="408" t="s">
        <v>2051</v>
      </c>
      <c r="D251" s="409" t="s">
        <v>1993</v>
      </c>
    </row>
    <row r="252" hidden="1" customHeight="1" spans="1:4">
      <c r="A252" s="408">
        <v>8480790000</v>
      </c>
      <c r="B252" s="408" t="s">
        <v>2052</v>
      </c>
      <c r="D252" s="409" t="s">
        <v>1907</v>
      </c>
    </row>
    <row r="253" hidden="1" customHeight="1" spans="1:4">
      <c r="A253" s="408">
        <v>8480790000</v>
      </c>
      <c r="B253" s="408" t="s">
        <v>2053</v>
      </c>
      <c r="D253" s="409" t="s">
        <v>1907</v>
      </c>
    </row>
    <row r="254" hidden="1" customHeight="1" spans="1:4">
      <c r="A254" s="408">
        <v>8480790000</v>
      </c>
      <c r="B254" s="408" t="s">
        <v>2054</v>
      </c>
      <c r="D254" s="409" t="s">
        <v>1907</v>
      </c>
    </row>
    <row r="255" hidden="1" customHeight="1" spans="1:4">
      <c r="A255" s="408">
        <v>7326909000</v>
      </c>
      <c r="B255" s="408" t="s">
        <v>2055</v>
      </c>
      <c r="D255" s="409" t="s">
        <v>1899</v>
      </c>
    </row>
    <row r="256" hidden="1" customHeight="1" spans="1:4">
      <c r="A256" s="408">
        <v>8480790000</v>
      </c>
      <c r="B256" s="408" t="s">
        <v>2056</v>
      </c>
      <c r="D256" s="409" t="s">
        <v>1907</v>
      </c>
    </row>
    <row r="257" hidden="1" customHeight="1" spans="1:4">
      <c r="A257" s="408">
        <v>8480790000</v>
      </c>
      <c r="B257" s="408" t="s">
        <v>2057</v>
      </c>
      <c r="D257" s="409" t="s">
        <v>1907</v>
      </c>
    </row>
    <row r="258" hidden="1" customHeight="1" spans="1:4">
      <c r="A258" s="408">
        <v>732690900</v>
      </c>
      <c r="B258" s="408" t="s">
        <v>2058</v>
      </c>
      <c r="D258" s="409" t="s">
        <v>1919</v>
      </c>
    </row>
    <row r="259" hidden="1" customHeight="1" spans="1:4">
      <c r="A259" s="408">
        <v>8480790000</v>
      </c>
      <c r="B259" s="408" t="s">
        <v>2059</v>
      </c>
      <c r="D259" s="409" t="s">
        <v>1907</v>
      </c>
    </row>
    <row r="260" hidden="1" customHeight="1" spans="1:4">
      <c r="A260" s="408">
        <v>8480790000</v>
      </c>
      <c r="B260" s="408" t="s">
        <v>2060</v>
      </c>
      <c r="D260" s="409" t="s">
        <v>1907</v>
      </c>
    </row>
    <row r="261" hidden="1" customHeight="1" spans="1:4">
      <c r="A261" s="408">
        <v>8480790000</v>
      </c>
      <c r="B261" s="408" t="s">
        <v>2061</v>
      </c>
      <c r="D261" s="409" t="s">
        <v>1907</v>
      </c>
    </row>
    <row r="262" s="408" customFormat="1" hidden="1" customHeight="1" spans="1:4">
      <c r="A262" s="408">
        <v>4819100000</v>
      </c>
      <c r="B262" s="408" t="s">
        <v>2062</v>
      </c>
      <c r="D262" s="409" t="s">
        <v>2063</v>
      </c>
    </row>
    <row r="263" hidden="1" customHeight="1" spans="1:4">
      <c r="A263" s="408">
        <v>7326909000</v>
      </c>
      <c r="B263" s="408" t="s">
        <v>2064</v>
      </c>
      <c r="D263" s="409" t="s">
        <v>1899</v>
      </c>
    </row>
    <row r="264" s="408" customFormat="1" hidden="1" customHeight="1" spans="1:4">
      <c r="A264" s="408">
        <v>4819100000</v>
      </c>
      <c r="B264" s="408" t="s">
        <v>2065</v>
      </c>
      <c r="D264" s="409" t="s">
        <v>2063</v>
      </c>
    </row>
    <row r="265" hidden="1" customHeight="1" spans="1:4">
      <c r="A265" s="408">
        <v>7326909000</v>
      </c>
      <c r="B265" s="408" t="s">
        <v>2066</v>
      </c>
      <c r="D265" s="409" t="s">
        <v>2067</v>
      </c>
    </row>
    <row r="266" s="408" customFormat="1" hidden="1" customHeight="1" spans="1:4">
      <c r="A266" s="408">
        <v>4819100000</v>
      </c>
      <c r="B266" s="408" t="s">
        <v>2068</v>
      </c>
      <c r="D266" s="409" t="s">
        <v>2063</v>
      </c>
    </row>
    <row r="267" s="408" customFormat="1" hidden="1" customHeight="1" spans="1:4">
      <c r="A267" s="410">
        <v>4819100000</v>
      </c>
      <c r="B267" s="411" t="s">
        <v>2069</v>
      </c>
      <c r="C267" s="411"/>
      <c r="D267" s="415" t="s">
        <v>1766</v>
      </c>
    </row>
    <row r="268" hidden="1" customHeight="1" spans="1:4">
      <c r="A268" s="408">
        <v>4819200000</v>
      </c>
      <c r="B268" s="408" t="s">
        <v>2070</v>
      </c>
      <c r="D268" s="409" t="s">
        <v>1766</v>
      </c>
    </row>
    <row r="269" hidden="1" customHeight="1" spans="1:4">
      <c r="A269" s="408">
        <v>7326909000</v>
      </c>
      <c r="B269" s="408" t="s">
        <v>2071</v>
      </c>
      <c r="D269" s="409" t="s">
        <v>2067</v>
      </c>
    </row>
    <row r="270" hidden="1" customHeight="1" spans="1:4">
      <c r="A270" s="408">
        <v>7326909000</v>
      </c>
      <c r="B270" s="408" t="s">
        <v>2072</v>
      </c>
      <c r="D270" s="409" t="s">
        <v>1899</v>
      </c>
    </row>
    <row r="271" hidden="1" customHeight="1" spans="1:4">
      <c r="A271" s="410">
        <v>3923900000</v>
      </c>
      <c r="B271" s="411" t="s">
        <v>2073</v>
      </c>
      <c r="C271" s="411"/>
      <c r="D271" s="412" t="s">
        <v>1790</v>
      </c>
    </row>
    <row r="272" hidden="1" customHeight="1" spans="1:4">
      <c r="A272" s="410">
        <v>3923900000</v>
      </c>
      <c r="B272" s="411" t="s">
        <v>2074</v>
      </c>
      <c r="C272" s="411"/>
      <c r="D272" s="412" t="s">
        <v>1790</v>
      </c>
    </row>
    <row r="273" hidden="1" customHeight="1" spans="1:4">
      <c r="A273" s="410">
        <v>9503009000</v>
      </c>
      <c r="B273" s="411" t="s">
        <v>2075</v>
      </c>
      <c r="C273" s="411"/>
      <c r="D273" s="413" t="s">
        <v>2076</v>
      </c>
    </row>
    <row r="274" hidden="1" customHeight="1" spans="1:4">
      <c r="A274" s="408">
        <v>9503009000</v>
      </c>
      <c r="B274" s="408" t="s">
        <v>2077</v>
      </c>
      <c r="D274" s="409" t="s">
        <v>2078</v>
      </c>
    </row>
    <row r="275" hidden="1" customHeight="1" spans="1:4">
      <c r="A275" s="408">
        <v>7326909000</v>
      </c>
      <c r="B275" s="408" t="s">
        <v>2079</v>
      </c>
    </row>
    <row r="276" hidden="1" customHeight="1" spans="1:4">
      <c r="A276" s="408">
        <v>8504409999</v>
      </c>
      <c r="B276" s="408" t="s">
        <v>2080</v>
      </c>
      <c r="D276" s="409" t="s">
        <v>2081</v>
      </c>
    </row>
    <row r="277" hidden="1" customHeight="1" spans="1:4">
      <c r="A277" s="408">
        <v>8414909090</v>
      </c>
      <c r="B277" s="408" t="s">
        <v>2082</v>
      </c>
      <c r="D277" s="409" t="s">
        <v>2083</v>
      </c>
    </row>
    <row r="278" hidden="1" customHeight="1" spans="1:4">
      <c r="A278" s="408">
        <v>8451500000</v>
      </c>
      <c r="B278" s="408" t="s">
        <v>2084</v>
      </c>
      <c r="D278" s="409" t="s">
        <v>2085</v>
      </c>
    </row>
    <row r="279" hidden="1" customHeight="1" spans="1:4">
      <c r="A279" s="408">
        <v>8480790000</v>
      </c>
      <c r="B279" s="408" t="s">
        <v>2086</v>
      </c>
      <c r="D279" s="409" t="s">
        <v>1907</v>
      </c>
    </row>
    <row r="280" hidden="1" customHeight="1" spans="1:4">
      <c r="A280" s="408">
        <v>8480790000</v>
      </c>
      <c r="B280" s="408" t="s">
        <v>2087</v>
      </c>
      <c r="D280" s="409" t="s">
        <v>1907</v>
      </c>
    </row>
    <row r="281" hidden="1" customHeight="1" spans="1:4">
      <c r="A281" s="408">
        <v>8480790000</v>
      </c>
      <c r="B281" s="408" t="s">
        <v>2088</v>
      </c>
      <c r="D281" s="409" t="s">
        <v>1907</v>
      </c>
    </row>
    <row r="282" hidden="1" customHeight="1" spans="1:4">
      <c r="A282" s="408">
        <v>8480790000</v>
      </c>
      <c r="B282" s="408" t="s">
        <v>2089</v>
      </c>
      <c r="D282" s="409" t="s">
        <v>1907</v>
      </c>
    </row>
    <row r="283" hidden="1" customHeight="1" spans="1:4">
      <c r="A283" s="408">
        <v>8467920000</v>
      </c>
      <c r="B283" s="408" t="s">
        <v>2090</v>
      </c>
      <c r="D283" s="409" t="s">
        <v>2091</v>
      </c>
    </row>
    <row r="284" hidden="1" customHeight="1" spans="1:4">
      <c r="A284" s="408">
        <v>8480790000</v>
      </c>
      <c r="B284" s="408" t="s">
        <v>2092</v>
      </c>
      <c r="D284" s="409" t="s">
        <v>1907</v>
      </c>
    </row>
    <row r="285" hidden="1" customHeight="1" spans="1:4">
      <c r="A285" s="408">
        <v>3926901000</v>
      </c>
      <c r="B285" s="408" t="s">
        <v>2093</v>
      </c>
      <c r="D285" s="409" t="s">
        <v>1790</v>
      </c>
    </row>
    <row r="286" hidden="1" customHeight="1" spans="1:4">
      <c r="A286" s="408">
        <v>8213000000</v>
      </c>
      <c r="B286" s="408" t="s">
        <v>2094</v>
      </c>
      <c r="D286" s="409" t="s">
        <v>2095</v>
      </c>
    </row>
    <row r="287" hidden="1" customHeight="1" spans="1:4">
      <c r="A287" s="408">
        <v>9603302090</v>
      </c>
      <c r="B287" s="408" t="s">
        <v>2096</v>
      </c>
      <c r="D287" s="409" t="s">
        <v>2097</v>
      </c>
    </row>
    <row r="288" hidden="1" customHeight="1" spans="1:4">
      <c r="A288" s="410">
        <v>7326909000</v>
      </c>
      <c r="B288" s="411" t="s">
        <v>2098</v>
      </c>
      <c r="C288" s="411"/>
      <c r="D288" s="412" t="s">
        <v>1899</v>
      </c>
    </row>
    <row r="289" hidden="1" customHeight="1" spans="1:4">
      <c r="A289" s="410">
        <v>7326909000</v>
      </c>
      <c r="B289" s="411" t="s">
        <v>2099</v>
      </c>
      <c r="C289" s="411"/>
      <c r="D289" s="412" t="s">
        <v>1899</v>
      </c>
    </row>
    <row r="290" hidden="1" customHeight="1" spans="1:4">
      <c r="A290" s="408">
        <v>8467890000</v>
      </c>
      <c r="B290" s="408" t="s">
        <v>2100</v>
      </c>
      <c r="D290" s="409" t="s">
        <v>2101</v>
      </c>
    </row>
    <row r="291" hidden="1" customHeight="1" spans="1:4">
      <c r="A291" s="410">
        <v>8480790000</v>
      </c>
      <c r="B291" s="411" t="s">
        <v>2102</v>
      </c>
      <c r="C291" s="411"/>
      <c r="D291" s="414" t="s">
        <v>1907</v>
      </c>
    </row>
    <row r="292" hidden="1" customHeight="1" spans="1:4">
      <c r="A292" s="408">
        <v>7326909000</v>
      </c>
      <c r="B292" s="408" t="s">
        <v>2103</v>
      </c>
      <c r="D292" s="409" t="s">
        <v>1899</v>
      </c>
    </row>
    <row r="293" s="408" customFormat="1" hidden="1" customHeight="1" spans="1:4">
      <c r="A293" s="408">
        <v>7326909000</v>
      </c>
      <c r="B293" s="408" t="s">
        <v>2104</v>
      </c>
      <c r="D293" s="409" t="s">
        <v>1899</v>
      </c>
    </row>
    <row r="294" s="408" customFormat="1" hidden="1" customHeight="1" spans="1:4">
      <c r="A294" s="408">
        <v>3923900000</v>
      </c>
      <c r="B294" s="408" t="s">
        <v>2105</v>
      </c>
      <c r="D294" s="409" t="s">
        <v>1790</v>
      </c>
    </row>
    <row r="295" hidden="1" customHeight="1" spans="1:4">
      <c r="A295" s="408">
        <v>5807900000</v>
      </c>
      <c r="B295" s="408" t="s">
        <v>2106</v>
      </c>
      <c r="D295" s="409" t="s">
        <v>2107</v>
      </c>
    </row>
    <row r="296" hidden="1" customHeight="1" spans="1:4">
      <c r="A296" s="408">
        <v>3926909090</v>
      </c>
      <c r="B296" s="408" t="s">
        <v>2108</v>
      </c>
      <c r="D296" s="409" t="s">
        <v>1790</v>
      </c>
    </row>
    <row r="297" hidden="1" customHeight="1" spans="1:4">
      <c r="A297" s="408">
        <v>3926909090</v>
      </c>
      <c r="B297" s="408" t="s">
        <v>2109</v>
      </c>
      <c r="D297" s="409" t="s">
        <v>2110</v>
      </c>
    </row>
    <row r="298" hidden="1" customHeight="1" spans="1:4">
      <c r="A298" s="408">
        <v>3926909090</v>
      </c>
      <c r="B298" s="408" t="s">
        <v>2111</v>
      </c>
      <c r="D298" s="409" t="s">
        <v>2110</v>
      </c>
    </row>
    <row r="299" hidden="1" customHeight="1" spans="1:4">
      <c r="A299" s="408">
        <v>3926909090</v>
      </c>
      <c r="B299" s="408" t="s">
        <v>628</v>
      </c>
      <c r="D299" s="409" t="s">
        <v>2110</v>
      </c>
    </row>
    <row r="300" hidden="1" customHeight="1" spans="1:4">
      <c r="A300" s="408">
        <v>3926909090</v>
      </c>
      <c r="B300" s="408" t="s">
        <v>631</v>
      </c>
      <c r="D300" s="409" t="s">
        <v>2110</v>
      </c>
    </row>
    <row r="301" hidden="1" customHeight="1" spans="1:4">
      <c r="A301" s="408">
        <v>3926909090</v>
      </c>
      <c r="B301" s="408" t="s">
        <v>2112</v>
      </c>
      <c r="D301" s="409" t="s">
        <v>2110</v>
      </c>
    </row>
    <row r="302" hidden="1" customHeight="1" spans="1:4">
      <c r="A302" s="408">
        <v>3926909090</v>
      </c>
      <c r="B302" s="408" t="s">
        <v>2113</v>
      </c>
      <c r="D302" s="409" t="s">
        <v>1790</v>
      </c>
    </row>
    <row r="303" hidden="1" customHeight="1" spans="1:4">
      <c r="A303" s="408">
        <v>3926909090</v>
      </c>
      <c r="B303" s="408" t="s">
        <v>2114</v>
      </c>
      <c r="D303" s="409" t="s">
        <v>1790</v>
      </c>
    </row>
    <row r="304" hidden="1" customHeight="1" spans="1:4">
      <c r="A304" s="408">
        <v>3926909090</v>
      </c>
      <c r="B304" s="408" t="s">
        <v>2115</v>
      </c>
      <c r="D304" s="409" t="s">
        <v>1790</v>
      </c>
    </row>
    <row r="305" hidden="1" customHeight="1" spans="1:4">
      <c r="A305" s="408">
        <v>3926909090</v>
      </c>
      <c r="B305" s="408" t="s">
        <v>2116</v>
      </c>
      <c r="D305" s="409" t="s">
        <v>1790</v>
      </c>
    </row>
    <row r="306" hidden="1" customHeight="1" spans="1:4">
      <c r="A306" s="408">
        <v>3926909090</v>
      </c>
      <c r="B306" s="408" t="s">
        <v>2117</v>
      </c>
      <c r="D306" s="409" t="s">
        <v>2110</v>
      </c>
    </row>
    <row r="307" hidden="1" customHeight="1" spans="1:4">
      <c r="A307" s="408">
        <v>3926909090</v>
      </c>
      <c r="B307" s="408" t="s">
        <v>2118</v>
      </c>
      <c r="D307" s="409" t="s">
        <v>2110</v>
      </c>
    </row>
    <row r="308" hidden="1" customHeight="1" spans="1:4">
      <c r="A308" s="408">
        <v>3926909090</v>
      </c>
      <c r="B308" s="408" t="s">
        <v>2119</v>
      </c>
      <c r="D308" s="409" t="s">
        <v>2110</v>
      </c>
    </row>
    <row r="309" hidden="1" customHeight="1" spans="1:4">
      <c r="A309" s="410">
        <v>3926909090</v>
      </c>
      <c r="B309" s="411" t="s">
        <v>2120</v>
      </c>
      <c r="C309" s="411"/>
      <c r="D309" s="412" t="s">
        <v>2110</v>
      </c>
    </row>
    <row r="310" hidden="1" customHeight="1" spans="1:4">
      <c r="A310" s="408">
        <v>8440102000</v>
      </c>
      <c r="B310" s="408" t="s">
        <v>660</v>
      </c>
      <c r="D310" s="409" t="s">
        <v>2121</v>
      </c>
    </row>
    <row r="311" hidden="1" customHeight="1" spans="1:4">
      <c r="A311" s="410">
        <v>3926909090</v>
      </c>
      <c r="B311" s="416" t="s">
        <v>2122</v>
      </c>
      <c r="C311" s="416"/>
      <c r="D311" s="412" t="s">
        <v>2110</v>
      </c>
    </row>
    <row r="312" hidden="1" customHeight="1" spans="1:4">
      <c r="A312" s="410">
        <v>3921139000</v>
      </c>
      <c r="B312" s="411" t="s">
        <v>2123</v>
      </c>
      <c r="C312" s="411"/>
      <c r="D312" s="413" t="s">
        <v>2124</v>
      </c>
    </row>
    <row r="313" hidden="1" customHeight="1" spans="1:4">
      <c r="A313" s="410">
        <v>8480790000</v>
      </c>
      <c r="B313" s="411" t="s">
        <v>585</v>
      </c>
      <c r="C313" s="411"/>
      <c r="D313" s="417" t="s">
        <v>2125</v>
      </c>
    </row>
    <row r="314" hidden="1" customHeight="1" spans="1:4">
      <c r="A314" s="408">
        <v>8480790000</v>
      </c>
      <c r="B314" s="408" t="s">
        <v>2126</v>
      </c>
    </row>
    <row r="315" hidden="1" customHeight="1" spans="1:4">
      <c r="A315" s="408">
        <v>8468900000</v>
      </c>
      <c r="B315" s="408" t="s">
        <v>2127</v>
      </c>
      <c r="D315" s="409" t="s">
        <v>2128</v>
      </c>
    </row>
    <row r="316" hidden="1" customHeight="1" spans="1:4">
      <c r="A316" s="408">
        <v>9029109000</v>
      </c>
      <c r="B316" s="408" t="s">
        <v>2129</v>
      </c>
      <c r="D316" s="409" t="s">
        <v>2041</v>
      </c>
    </row>
    <row r="317" hidden="1" customHeight="1" spans="1:4">
      <c r="A317" s="408">
        <v>7319900000</v>
      </c>
      <c r="B317" s="408" t="s">
        <v>2130</v>
      </c>
      <c r="D317" s="409" t="s">
        <v>2131</v>
      </c>
    </row>
    <row r="318" hidden="1" customHeight="1" spans="1:4">
      <c r="A318" s="410">
        <v>9028301400</v>
      </c>
      <c r="B318" s="411" t="s">
        <v>2132</v>
      </c>
      <c r="C318" s="411"/>
      <c r="D318" s="415" t="s">
        <v>2133</v>
      </c>
    </row>
    <row r="319" hidden="1" customHeight="1" spans="1:4">
      <c r="A319" s="408">
        <v>8480790000</v>
      </c>
      <c r="B319" s="408" t="s">
        <v>2134</v>
      </c>
      <c r="D319" s="409" t="s">
        <v>1907</v>
      </c>
    </row>
    <row r="320" hidden="1" customHeight="1" spans="1:4">
      <c r="A320" s="408">
        <v>7326909000</v>
      </c>
      <c r="B320" s="408" t="s">
        <v>2135</v>
      </c>
      <c r="D320" s="409" t="s">
        <v>1899</v>
      </c>
    </row>
    <row r="321" hidden="1" customHeight="1" spans="1:4">
      <c r="A321" s="408">
        <v>8480790000</v>
      </c>
      <c r="B321" s="408" t="s">
        <v>94</v>
      </c>
      <c r="D321" s="409" t="s">
        <v>1907</v>
      </c>
    </row>
    <row r="322" hidden="1" customHeight="1" spans="1:4">
      <c r="A322" s="408">
        <v>8480790000</v>
      </c>
      <c r="B322" s="408" t="s">
        <v>2136</v>
      </c>
    </row>
    <row r="323" hidden="1" customHeight="1" spans="1:4">
      <c r="A323" s="410">
        <v>9405429000</v>
      </c>
      <c r="B323" s="411" t="s">
        <v>669</v>
      </c>
      <c r="C323" s="411"/>
      <c r="D323" s="415" t="s">
        <v>2137</v>
      </c>
    </row>
    <row r="324" hidden="1" customHeight="1" spans="1:4">
      <c r="A324" s="408">
        <v>7326909000</v>
      </c>
      <c r="B324" s="408" t="s">
        <v>2138</v>
      </c>
      <c r="D324" s="409" t="s">
        <v>1899</v>
      </c>
    </row>
    <row r="325" hidden="1" customHeight="1" spans="1:4">
      <c r="A325" s="408">
        <v>8480790000</v>
      </c>
      <c r="B325" s="408" t="s">
        <v>2139</v>
      </c>
      <c r="D325" s="409" t="s">
        <v>1907</v>
      </c>
    </row>
    <row r="326" hidden="1" customHeight="1" spans="1:4">
      <c r="A326" s="408">
        <v>3926909090</v>
      </c>
      <c r="B326" s="408" t="s">
        <v>2140</v>
      </c>
      <c r="D326" s="409" t="s">
        <v>2141</v>
      </c>
    </row>
    <row r="327" hidden="1" customHeight="1" spans="1:4">
      <c r="A327" s="408">
        <v>7326909000</v>
      </c>
      <c r="B327" s="408" t="s">
        <v>2142</v>
      </c>
    </row>
    <row r="328" hidden="1" customHeight="1" spans="1:4">
      <c r="A328" s="408">
        <v>7326909000</v>
      </c>
      <c r="B328" s="408" t="s">
        <v>2143</v>
      </c>
    </row>
    <row r="329" hidden="1" customHeight="1" spans="1:4">
      <c r="A329" s="408">
        <v>8480790000</v>
      </c>
      <c r="B329" s="408" t="s">
        <v>2144</v>
      </c>
      <c r="D329" s="409" t="s">
        <v>1907</v>
      </c>
    </row>
    <row r="330" hidden="1" customHeight="1" spans="1:4">
      <c r="A330" s="408">
        <v>8427109000</v>
      </c>
      <c r="B330" s="408" t="s">
        <v>2145</v>
      </c>
      <c r="D330" s="409" t="s">
        <v>2146</v>
      </c>
    </row>
    <row r="331" hidden="1" customHeight="1" spans="1:4">
      <c r="A331" s="408">
        <v>8468800000</v>
      </c>
      <c r="B331" s="408" t="s">
        <v>2147</v>
      </c>
      <c r="D331" s="409" t="s">
        <v>2148</v>
      </c>
    </row>
    <row r="332" hidden="1" customHeight="1" spans="1:4">
      <c r="A332" s="408">
        <v>8468900000</v>
      </c>
      <c r="B332" s="408" t="s">
        <v>2149</v>
      </c>
      <c r="D332" s="409" t="s">
        <v>2150</v>
      </c>
    </row>
    <row r="333" hidden="1" customHeight="1" spans="1:4">
      <c r="A333" s="408">
        <v>8311100000</v>
      </c>
      <c r="B333" s="408" t="s">
        <v>2151</v>
      </c>
      <c r="D333" s="409" t="s">
        <v>2152</v>
      </c>
    </row>
    <row r="334" hidden="1" customHeight="1" spans="1:4">
      <c r="A334" s="410">
        <v>8451500000</v>
      </c>
      <c r="B334" s="411" t="s">
        <v>2153</v>
      </c>
      <c r="C334" s="411"/>
      <c r="D334" s="413" t="s">
        <v>2154</v>
      </c>
    </row>
    <row r="335" hidden="1" customHeight="1" spans="1:4">
      <c r="A335" s="408">
        <v>8544200000</v>
      </c>
      <c r="B335" s="408" t="s">
        <v>2155</v>
      </c>
      <c r="D335" s="409" t="s">
        <v>2156</v>
      </c>
    </row>
    <row r="336" hidden="1" customHeight="1" spans="1:4">
      <c r="A336" s="410">
        <v>8504311000</v>
      </c>
      <c r="B336" s="411" t="s">
        <v>2157</v>
      </c>
      <c r="C336" s="411"/>
      <c r="D336" s="415" t="s">
        <v>2158</v>
      </c>
    </row>
    <row r="337" hidden="1" customHeight="1" spans="1:4">
      <c r="A337" s="410">
        <v>8504311000</v>
      </c>
      <c r="B337" s="411" t="s">
        <v>2159</v>
      </c>
      <c r="C337" s="411"/>
      <c r="D337" s="415" t="s">
        <v>2160</v>
      </c>
    </row>
    <row r="338" hidden="1" customHeight="1" spans="1:4">
      <c r="A338" s="410">
        <v>8504311000</v>
      </c>
      <c r="B338" s="411" t="s">
        <v>2161</v>
      </c>
      <c r="C338" s="411"/>
      <c r="D338" s="415" t="s">
        <v>2162</v>
      </c>
    </row>
    <row r="339" hidden="1" customHeight="1" spans="1:4">
      <c r="A339" s="410">
        <v>8504311000</v>
      </c>
      <c r="B339" s="411" t="s">
        <v>2163</v>
      </c>
      <c r="C339" s="411"/>
      <c r="D339" s="415" t="s">
        <v>2164</v>
      </c>
    </row>
    <row r="340" hidden="1" customHeight="1" spans="1:4">
      <c r="A340" s="408">
        <v>8452219000</v>
      </c>
      <c r="B340" s="408" t="s">
        <v>2165</v>
      </c>
      <c r="D340" s="409" t="s">
        <v>2166</v>
      </c>
    </row>
    <row r="341" hidden="1" customHeight="1" spans="1:4">
      <c r="A341" s="408">
        <v>8452219000</v>
      </c>
      <c r="B341" s="408" t="s">
        <v>2167</v>
      </c>
      <c r="D341" s="409" t="s">
        <v>2168</v>
      </c>
    </row>
    <row r="342" hidden="1" customHeight="1" spans="1:4">
      <c r="A342" s="408">
        <v>8467299000</v>
      </c>
      <c r="B342" s="408" t="s">
        <v>2169</v>
      </c>
      <c r="D342" s="409" t="s">
        <v>2170</v>
      </c>
    </row>
    <row r="343" hidden="1" customHeight="1" spans="1:4">
      <c r="A343" s="408">
        <v>8467991000</v>
      </c>
      <c r="B343" s="408" t="s">
        <v>2171</v>
      </c>
      <c r="D343" s="409" t="s">
        <v>2172</v>
      </c>
    </row>
    <row r="344" hidden="1" customHeight="1" spans="1:4">
      <c r="A344" s="408">
        <v>8467991000</v>
      </c>
      <c r="B344" s="408" t="s">
        <v>2173</v>
      </c>
      <c r="D344" s="409" t="s">
        <v>2174</v>
      </c>
    </row>
    <row r="345" hidden="1" customHeight="1" spans="1:4">
      <c r="A345" s="408">
        <v>8467991000</v>
      </c>
      <c r="B345" s="408" t="s">
        <v>2175</v>
      </c>
      <c r="D345" s="409" t="s">
        <v>2176</v>
      </c>
    </row>
    <row r="346" hidden="1" customHeight="1" spans="1:4">
      <c r="A346" s="408">
        <v>8467991000</v>
      </c>
      <c r="B346" s="408" t="s">
        <v>2177</v>
      </c>
      <c r="D346" s="409" t="s">
        <v>2178</v>
      </c>
    </row>
    <row r="347" hidden="1" customHeight="1" spans="1:4">
      <c r="A347" s="408">
        <v>9503009000</v>
      </c>
      <c r="B347" s="408" t="s">
        <v>2179</v>
      </c>
      <c r="D347" s="409" t="s">
        <v>1922</v>
      </c>
    </row>
    <row r="348" hidden="1" customHeight="1" spans="1:4">
      <c r="A348" s="408">
        <v>8423819010</v>
      </c>
      <c r="B348" s="408" t="s">
        <v>2180</v>
      </c>
      <c r="D348" s="409" t="s">
        <v>2181</v>
      </c>
    </row>
    <row r="349" s="408" customFormat="1" hidden="1" customHeight="1" spans="1:4">
      <c r="A349" s="408">
        <v>4819100000</v>
      </c>
      <c r="B349" s="408" t="s">
        <v>2182</v>
      </c>
      <c r="D349" s="409" t="s">
        <v>1766</v>
      </c>
    </row>
    <row r="350" hidden="1" customHeight="1" spans="1:4">
      <c r="A350" s="408">
        <v>8467299000</v>
      </c>
      <c r="B350" s="408" t="s">
        <v>2183</v>
      </c>
      <c r="D350" s="409" t="s">
        <v>2184</v>
      </c>
    </row>
    <row r="351" hidden="1" customHeight="1" spans="1:4">
      <c r="A351" s="408">
        <v>8467991000</v>
      </c>
      <c r="B351" s="408" t="s">
        <v>2185</v>
      </c>
      <c r="D351" s="409" t="s">
        <v>2186</v>
      </c>
    </row>
    <row r="352" hidden="1" customHeight="1" spans="1:4">
      <c r="A352" s="408">
        <v>4819100000</v>
      </c>
      <c r="B352" s="408" t="s">
        <v>2187</v>
      </c>
      <c r="D352" s="409" t="s">
        <v>1993</v>
      </c>
    </row>
    <row r="353" hidden="1" customHeight="1" spans="1:4">
      <c r="A353" s="408">
        <v>3923900000</v>
      </c>
      <c r="B353" s="408" t="s">
        <v>2188</v>
      </c>
      <c r="D353" s="409" t="s">
        <v>1790</v>
      </c>
    </row>
    <row r="354" hidden="1" customHeight="1" spans="1:4">
      <c r="A354" s="408">
        <v>8503200000</v>
      </c>
      <c r="B354" s="408" t="s">
        <v>2189</v>
      </c>
      <c r="D354" s="409" t="s">
        <v>2190</v>
      </c>
    </row>
    <row r="355" hidden="1" customHeight="1" spans="1:4">
      <c r="A355" s="410">
        <v>8451500000</v>
      </c>
      <c r="B355" s="411" t="s">
        <v>2191</v>
      </c>
      <c r="C355" s="411"/>
      <c r="D355" s="413" t="s">
        <v>2192</v>
      </c>
    </row>
    <row r="356" s="408" customFormat="1" hidden="1" customHeight="1" spans="1:4">
      <c r="A356" s="410">
        <v>8451900000</v>
      </c>
      <c r="B356" s="411" t="s">
        <v>2193</v>
      </c>
      <c r="C356" s="411"/>
      <c r="D356" s="413" t="s">
        <v>2194</v>
      </c>
    </row>
    <row r="357" s="408" customFormat="1" hidden="1" customHeight="1" spans="1:4">
      <c r="A357" s="410">
        <v>6804211000</v>
      </c>
      <c r="B357" s="411" t="s">
        <v>2195</v>
      </c>
      <c r="C357" s="411"/>
      <c r="D357" s="413" t="s">
        <v>2196</v>
      </c>
    </row>
    <row r="358" s="408" customFormat="1" hidden="1" customHeight="1" spans="1:4">
      <c r="A358" s="408">
        <v>3923900000</v>
      </c>
      <c r="B358" s="408" t="s">
        <v>2197</v>
      </c>
      <c r="D358" s="409" t="s">
        <v>1790</v>
      </c>
    </row>
    <row r="359" s="408" customFormat="1" hidden="1" customHeight="1" spans="1:4">
      <c r="A359" s="408">
        <v>8516800000</v>
      </c>
      <c r="B359" s="408" t="s">
        <v>114</v>
      </c>
      <c r="D359" s="409" t="s">
        <v>2041</v>
      </c>
    </row>
    <row r="360" s="408" customFormat="1" hidden="1" customHeight="1" spans="1:4">
      <c r="A360" s="410">
        <v>8516800000</v>
      </c>
      <c r="B360" s="411" t="s">
        <v>2198</v>
      </c>
      <c r="C360" s="411"/>
      <c r="D360" s="413" t="s">
        <v>2199</v>
      </c>
    </row>
    <row r="361" hidden="1" customHeight="1" spans="1:4">
      <c r="A361" s="408">
        <v>8480790000</v>
      </c>
      <c r="B361" s="408" t="s">
        <v>2200</v>
      </c>
    </row>
    <row r="362" hidden="1" customHeight="1" spans="1:4">
      <c r="A362" s="408">
        <v>9503009000</v>
      </c>
      <c r="B362" s="408" t="s">
        <v>2201</v>
      </c>
      <c r="D362" s="409" t="s">
        <v>1922</v>
      </c>
    </row>
    <row r="363" hidden="1" customHeight="1" spans="1:4">
      <c r="A363" s="408">
        <v>7326909000</v>
      </c>
      <c r="B363" s="408" t="s">
        <v>2202</v>
      </c>
      <c r="D363" s="409" t="s">
        <v>2067</v>
      </c>
    </row>
    <row r="364" hidden="1" customHeight="1" spans="1:4">
      <c r="A364" s="408">
        <v>8480790000</v>
      </c>
      <c r="B364" s="408" t="s">
        <v>2203</v>
      </c>
      <c r="D364" s="409" t="s">
        <v>1907</v>
      </c>
    </row>
    <row r="365" hidden="1" customHeight="1" spans="1:4">
      <c r="A365" s="408">
        <v>9004909000</v>
      </c>
      <c r="B365" s="408" t="s">
        <v>2204</v>
      </c>
      <c r="D365" s="409" t="s">
        <v>2205</v>
      </c>
    </row>
    <row r="366" hidden="1" customHeight="1" spans="1:4">
      <c r="A366" s="408">
        <v>7326901990</v>
      </c>
      <c r="B366" s="408" t="s">
        <v>2206</v>
      </c>
      <c r="D366" s="409" t="s">
        <v>2207</v>
      </c>
    </row>
    <row r="367" customHeight="1" spans="1:4">
      <c r="A367" s="410">
        <v>4821100000</v>
      </c>
      <c r="B367" s="411" t="s">
        <v>2208</v>
      </c>
      <c r="C367" s="411"/>
      <c r="D367" s="414" t="s">
        <v>2209</v>
      </c>
    </row>
    <row r="368" hidden="1" customHeight="1" spans="1:4">
      <c r="A368" s="410">
        <v>4821100000</v>
      </c>
      <c r="B368" s="411" t="s">
        <v>2210</v>
      </c>
      <c r="C368" s="411"/>
      <c r="D368" s="412" t="s">
        <v>2211</v>
      </c>
    </row>
    <row r="369" hidden="1" customHeight="1" spans="1:4">
      <c r="A369" s="408">
        <v>3702442100</v>
      </c>
      <c r="B369" s="408" t="s">
        <v>2212</v>
      </c>
      <c r="D369" s="409" t="s">
        <v>2213</v>
      </c>
    </row>
    <row r="370" s="408" customFormat="1" hidden="1" customHeight="1" spans="1:4">
      <c r="A370" s="408">
        <v>8480790000</v>
      </c>
      <c r="B370" s="408" t="s">
        <v>2214</v>
      </c>
      <c r="D370" s="409" t="s">
        <v>1907</v>
      </c>
    </row>
    <row r="371" s="408" customFormat="1" hidden="1" customHeight="1" spans="1:4">
      <c r="A371" s="410">
        <v>8422400090</v>
      </c>
      <c r="B371" s="411" t="s">
        <v>2215</v>
      </c>
      <c r="C371" s="411"/>
      <c r="D371" s="413" t="s">
        <v>2216</v>
      </c>
    </row>
    <row r="372" hidden="1" customHeight="1" spans="1:4">
      <c r="A372" s="408">
        <v>7326909000</v>
      </c>
      <c r="B372" s="408" t="s">
        <v>2217</v>
      </c>
      <c r="D372" s="409" t="s">
        <v>2049</v>
      </c>
    </row>
    <row r="373" hidden="1" customHeight="1" spans="1:4">
      <c r="A373" s="408">
        <v>8480790000</v>
      </c>
      <c r="B373" s="408" t="s">
        <v>2218</v>
      </c>
      <c r="D373" s="409" t="s">
        <v>2219</v>
      </c>
    </row>
    <row r="374" hidden="1" customHeight="1" spans="1:4">
      <c r="A374" s="408">
        <v>8414599099</v>
      </c>
      <c r="B374" s="408" t="s">
        <v>2220</v>
      </c>
      <c r="D374" s="409" t="s">
        <v>2221</v>
      </c>
    </row>
    <row r="375" hidden="1" customHeight="1" spans="1:4">
      <c r="A375" s="410">
        <v>7326909090</v>
      </c>
      <c r="B375" s="411" t="s">
        <v>2222</v>
      </c>
      <c r="C375" s="411"/>
      <c r="D375" s="414" t="s">
        <v>1907</v>
      </c>
    </row>
    <row r="376" hidden="1" customHeight="1" spans="1:4">
      <c r="A376" s="408">
        <v>5806310000</v>
      </c>
      <c r="B376" s="408" t="s">
        <v>2223</v>
      </c>
      <c r="D376" s="409" t="s">
        <v>2224</v>
      </c>
    </row>
    <row r="377" hidden="1" customHeight="1" spans="1:4">
      <c r="A377" s="408">
        <v>3926909090</v>
      </c>
      <c r="B377" s="408" t="s">
        <v>2225</v>
      </c>
      <c r="D377" s="409" t="s">
        <v>2226</v>
      </c>
    </row>
    <row r="378" hidden="1" customHeight="1" spans="1:4">
      <c r="A378" s="408">
        <v>8451210000</v>
      </c>
      <c r="B378" s="408" t="s">
        <v>2227</v>
      </c>
      <c r="D378" s="409" t="s">
        <v>2228</v>
      </c>
    </row>
    <row r="379" hidden="1" customHeight="1" spans="1:4">
      <c r="A379" s="408">
        <v>8419399090</v>
      </c>
      <c r="B379" s="408" t="s">
        <v>2229</v>
      </c>
      <c r="D379" s="409" t="s">
        <v>2230</v>
      </c>
    </row>
    <row r="380" hidden="1" customHeight="1" spans="1:4">
      <c r="A380" s="410">
        <v>7326909000</v>
      </c>
      <c r="B380" s="411" t="s">
        <v>582</v>
      </c>
      <c r="C380" s="411"/>
      <c r="D380" s="412" t="s">
        <v>1899</v>
      </c>
    </row>
    <row r="381" hidden="1" customHeight="1" spans="1:4">
      <c r="A381" s="408">
        <v>7326901990</v>
      </c>
      <c r="B381" s="408" t="s">
        <v>2231</v>
      </c>
    </row>
    <row r="382" hidden="1" customHeight="1" spans="1:4">
      <c r="A382" s="408">
        <v>3919109900</v>
      </c>
      <c r="B382" s="408" t="s">
        <v>2232</v>
      </c>
      <c r="D382" s="409" t="s">
        <v>2233</v>
      </c>
    </row>
    <row r="383" hidden="1" customHeight="1" spans="1:4">
      <c r="A383" s="408">
        <v>8443999090</v>
      </c>
      <c r="B383" s="408" t="s">
        <v>2234</v>
      </c>
      <c r="D383" s="409" t="s">
        <v>1784</v>
      </c>
    </row>
    <row r="384" hidden="1" customHeight="1" spans="1:4">
      <c r="A384" s="410">
        <v>8477800000</v>
      </c>
      <c r="B384" s="411" t="s">
        <v>2235</v>
      </c>
      <c r="C384" s="411"/>
      <c r="D384" s="413" t="s">
        <v>2236</v>
      </c>
    </row>
    <row r="385" hidden="1" customHeight="1" spans="1:4">
      <c r="A385" s="408">
        <v>8480790000</v>
      </c>
      <c r="B385" s="408" t="s">
        <v>2237</v>
      </c>
      <c r="D385" s="409" t="s">
        <v>1907</v>
      </c>
    </row>
    <row r="386" hidden="1" customHeight="1" spans="1:4">
      <c r="A386" s="408">
        <v>7326909000</v>
      </c>
      <c r="B386" s="408" t="s">
        <v>2238</v>
      </c>
      <c r="D386" s="409" t="s">
        <v>1899</v>
      </c>
    </row>
    <row r="387" hidden="1" customHeight="1" spans="1:4">
      <c r="A387" s="408">
        <v>7308900000</v>
      </c>
      <c r="B387" s="408" t="s">
        <v>2239</v>
      </c>
      <c r="D387" s="409" t="s">
        <v>2240</v>
      </c>
    </row>
    <row r="388" hidden="1" customHeight="1" spans="1:4">
      <c r="A388" s="408">
        <v>7308900000</v>
      </c>
      <c r="B388" s="408" t="s">
        <v>2241</v>
      </c>
      <c r="D388" s="409" t="s">
        <v>2242</v>
      </c>
    </row>
    <row r="389" s="408" customFormat="1" hidden="1" customHeight="1" spans="1:4">
      <c r="A389" s="410">
        <v>8452219000</v>
      </c>
      <c r="B389" s="411" t="s">
        <v>2243</v>
      </c>
      <c r="C389" s="411"/>
      <c r="D389" s="413" t="s">
        <v>2244</v>
      </c>
    </row>
    <row r="390" hidden="1" customHeight="1" spans="1:4">
      <c r="A390" s="408">
        <v>8443322100</v>
      </c>
      <c r="B390" s="408" t="s">
        <v>2245</v>
      </c>
      <c r="D390" s="409" t="s">
        <v>2246</v>
      </c>
    </row>
    <row r="391" hidden="1" customHeight="1" spans="1:4">
      <c r="A391" s="408">
        <v>8508190000</v>
      </c>
      <c r="B391" s="408" t="s">
        <v>2247</v>
      </c>
    </row>
    <row r="392" hidden="1" customHeight="1" spans="1:4">
      <c r="A392" s="410">
        <v>9403100000</v>
      </c>
      <c r="B392" s="411" t="s">
        <v>2248</v>
      </c>
      <c r="C392" s="411"/>
      <c r="D392" s="413" t="s">
        <v>2249</v>
      </c>
    </row>
    <row r="393" hidden="1" customHeight="1" spans="1:4">
      <c r="A393" s="408">
        <v>4819100000</v>
      </c>
      <c r="B393" s="408" t="s">
        <v>2250</v>
      </c>
      <c r="D393" s="409" t="s">
        <v>2063</v>
      </c>
    </row>
    <row r="394" hidden="1" customHeight="1" spans="1:4">
      <c r="A394" s="408">
        <v>3923900000</v>
      </c>
      <c r="B394" s="408" t="s">
        <v>2251</v>
      </c>
      <c r="D394" s="409" t="s">
        <v>1790</v>
      </c>
    </row>
    <row r="395" hidden="1" customHeight="1" spans="1:4">
      <c r="A395" s="410">
        <v>8479909090</v>
      </c>
      <c r="B395" s="411" t="s">
        <v>2252</v>
      </c>
      <c r="C395" s="411"/>
      <c r="D395" s="412" t="s">
        <v>2253</v>
      </c>
    </row>
    <row r="396" s="408" customFormat="1" hidden="1" customHeight="1" spans="1:4">
      <c r="A396" s="408">
        <v>4819200000</v>
      </c>
      <c r="B396" s="408" t="s">
        <v>2254</v>
      </c>
      <c r="D396" s="409" t="s">
        <v>1993</v>
      </c>
    </row>
    <row r="397" hidden="1" customHeight="1" spans="1:4">
      <c r="A397" s="410">
        <v>8302200000</v>
      </c>
      <c r="B397" s="411" t="s">
        <v>2255</v>
      </c>
      <c r="C397" s="411"/>
      <c r="D397" s="412" t="s">
        <v>2256</v>
      </c>
    </row>
    <row r="398" hidden="1" customHeight="1" spans="1:4">
      <c r="A398" s="408">
        <v>3923900000</v>
      </c>
      <c r="B398" s="408" t="s">
        <v>2257</v>
      </c>
      <c r="D398" s="409" t="s">
        <v>1882</v>
      </c>
    </row>
    <row r="399" hidden="1" customHeight="1" spans="1:4">
      <c r="A399" s="410">
        <v>3923900000</v>
      </c>
      <c r="B399" s="411" t="s">
        <v>2258</v>
      </c>
      <c r="C399" s="411"/>
      <c r="D399" s="412" t="s">
        <v>1790</v>
      </c>
    </row>
    <row r="400" hidden="1" customHeight="1" spans="1:4">
      <c r="A400" s="410">
        <v>3926909090</v>
      </c>
      <c r="B400" s="411" t="s">
        <v>2259</v>
      </c>
      <c r="C400" s="411"/>
      <c r="D400" s="412" t="s">
        <v>2260</v>
      </c>
    </row>
    <row r="401" hidden="1" customHeight="1" spans="1:4">
      <c r="A401" s="408">
        <v>8443999090</v>
      </c>
      <c r="B401" s="408" t="s">
        <v>2261</v>
      </c>
      <c r="D401" s="409" t="s">
        <v>1784</v>
      </c>
    </row>
    <row r="402" hidden="1" customHeight="1" spans="1:4">
      <c r="A402" s="410">
        <v>3926909090</v>
      </c>
      <c r="B402" s="411" t="s">
        <v>2262</v>
      </c>
      <c r="C402" s="411"/>
      <c r="D402" s="412" t="s">
        <v>2260</v>
      </c>
    </row>
    <row r="403" hidden="1" customHeight="1" spans="1:4">
      <c r="A403" s="410">
        <v>3926909090</v>
      </c>
      <c r="B403" s="411" t="s">
        <v>2263</v>
      </c>
      <c r="C403" s="411"/>
      <c r="D403" s="412" t="s">
        <v>2260</v>
      </c>
    </row>
    <row r="404" hidden="1" customHeight="1" spans="1:4">
      <c r="A404" s="408">
        <v>7326909000</v>
      </c>
      <c r="B404" s="408" t="s">
        <v>2264</v>
      </c>
      <c r="D404" s="409" t="s">
        <v>2265</v>
      </c>
    </row>
    <row r="405" hidden="1" customHeight="1" spans="1:4">
      <c r="A405" s="408">
        <v>8443999090</v>
      </c>
      <c r="B405" s="408" t="s">
        <v>2266</v>
      </c>
      <c r="D405" s="409" t="s">
        <v>1784</v>
      </c>
    </row>
    <row r="406" hidden="1" customHeight="1" spans="1:4">
      <c r="A406" s="408">
        <v>8468900000</v>
      </c>
      <c r="B406" s="408" t="s">
        <v>2267</v>
      </c>
      <c r="D406" s="409" t="s">
        <v>2150</v>
      </c>
    </row>
    <row r="407" hidden="1" customHeight="1" spans="1:4">
      <c r="A407" s="410">
        <v>8467920000</v>
      </c>
      <c r="B407" s="411" t="s">
        <v>2268</v>
      </c>
      <c r="C407" s="411"/>
      <c r="D407" s="412" t="s">
        <v>2269</v>
      </c>
    </row>
    <row r="408" hidden="1" customHeight="1" spans="1:4">
      <c r="A408" s="408">
        <v>8467920000</v>
      </c>
      <c r="B408" s="408" t="s">
        <v>2270</v>
      </c>
      <c r="D408" s="409" t="s">
        <v>2271</v>
      </c>
    </row>
    <row r="409" hidden="1" customHeight="1" spans="1:4">
      <c r="A409" s="408">
        <v>8302100000</v>
      </c>
      <c r="B409" s="408" t="s">
        <v>2272</v>
      </c>
      <c r="D409" s="409" t="s">
        <v>2273</v>
      </c>
    </row>
    <row r="410" hidden="1" customHeight="1" spans="1:4">
      <c r="A410" s="408">
        <v>8480790000</v>
      </c>
      <c r="B410" s="408" t="s">
        <v>2274</v>
      </c>
      <c r="D410" s="409" t="s">
        <v>1907</v>
      </c>
    </row>
    <row r="411" hidden="1" customHeight="1" spans="1:4">
      <c r="A411" s="408">
        <v>5609000000</v>
      </c>
      <c r="B411" s="408" t="s">
        <v>2275</v>
      </c>
      <c r="D411" s="409" t="s">
        <v>2276</v>
      </c>
    </row>
    <row r="412" hidden="1" customHeight="1" spans="1:4">
      <c r="A412" s="408">
        <v>5806320000</v>
      </c>
      <c r="B412" s="408" t="s">
        <v>2277</v>
      </c>
      <c r="D412" s="409" t="s">
        <v>1745</v>
      </c>
    </row>
    <row r="413" hidden="1" customHeight="1" spans="1:4">
      <c r="A413" s="410">
        <v>8479909090</v>
      </c>
      <c r="B413" s="411" t="s">
        <v>2278</v>
      </c>
      <c r="C413" s="411"/>
      <c r="D413" s="412" t="s">
        <v>2253</v>
      </c>
    </row>
    <row r="414" hidden="1" customHeight="1" spans="1:4">
      <c r="A414" s="408">
        <v>9503009000</v>
      </c>
      <c r="B414" s="408" t="s">
        <v>2279</v>
      </c>
      <c r="D414" s="409" t="s">
        <v>2280</v>
      </c>
    </row>
    <row r="415" hidden="1" customHeight="1" spans="1:4">
      <c r="A415" s="408">
        <v>8452300000</v>
      </c>
      <c r="B415" s="408" t="s">
        <v>2281</v>
      </c>
      <c r="D415" s="409" t="s">
        <v>2282</v>
      </c>
    </row>
    <row r="416" s="408" customFormat="1" hidden="1" customHeight="1" spans="1:4">
      <c r="A416" s="410">
        <v>4819200000</v>
      </c>
      <c r="B416" s="411" t="s">
        <v>2283</v>
      </c>
      <c r="C416" s="411"/>
      <c r="D416" s="412" t="s">
        <v>1993</v>
      </c>
    </row>
    <row r="417" hidden="1" customHeight="1" spans="1:4">
      <c r="A417" s="408">
        <v>9503009000</v>
      </c>
      <c r="B417" s="408" t="s">
        <v>2284</v>
      </c>
      <c r="D417" s="409" t="s">
        <v>2285</v>
      </c>
    </row>
    <row r="418" hidden="1" customHeight="1" spans="1:4">
      <c r="A418" s="408">
        <v>8480790000</v>
      </c>
      <c r="B418" s="408" t="s">
        <v>2286</v>
      </c>
      <c r="D418" s="409" t="s">
        <v>1907</v>
      </c>
    </row>
    <row r="419" hidden="1" customHeight="1" spans="1:4">
      <c r="A419" s="408">
        <v>7326909000</v>
      </c>
      <c r="B419" s="408" t="s">
        <v>2287</v>
      </c>
      <c r="D419" s="409" t="s">
        <v>1899</v>
      </c>
    </row>
    <row r="420" hidden="1" customHeight="1" spans="1:4">
      <c r="A420" s="408">
        <v>8480790000</v>
      </c>
      <c r="B420" s="408" t="s">
        <v>2288</v>
      </c>
      <c r="D420" s="409" t="s">
        <v>1907</v>
      </c>
    </row>
    <row r="421" hidden="1" customHeight="1" spans="1:4">
      <c r="A421" s="408">
        <v>7326909000</v>
      </c>
      <c r="B421" s="408" t="s">
        <v>2289</v>
      </c>
      <c r="D421" s="409" t="s">
        <v>1899</v>
      </c>
    </row>
    <row r="422" hidden="1" customHeight="1" spans="1:4">
      <c r="A422" s="408">
        <v>8480790000</v>
      </c>
      <c r="B422" s="408" t="s">
        <v>2290</v>
      </c>
      <c r="D422" s="409" t="s">
        <v>1907</v>
      </c>
    </row>
    <row r="423" hidden="1" customHeight="1" spans="1:4">
      <c r="A423" s="408">
        <v>8480790000</v>
      </c>
      <c r="B423" s="408" t="s">
        <v>2291</v>
      </c>
      <c r="D423" s="409" t="s">
        <v>1907</v>
      </c>
    </row>
    <row r="424" hidden="1" customHeight="1" spans="1:4">
      <c r="A424" s="408">
        <v>8480790000</v>
      </c>
      <c r="B424" s="408" t="s">
        <v>2292</v>
      </c>
      <c r="D424" s="409" t="s">
        <v>1907</v>
      </c>
    </row>
    <row r="425" hidden="1" customHeight="1" spans="1:4">
      <c r="A425" s="408">
        <v>7326909000</v>
      </c>
      <c r="B425" s="408" t="s">
        <v>2293</v>
      </c>
      <c r="D425" s="409" t="s">
        <v>1899</v>
      </c>
    </row>
    <row r="426" hidden="1" customHeight="1" spans="1:4">
      <c r="A426" s="410">
        <v>3923900000</v>
      </c>
      <c r="B426" s="411" t="s">
        <v>2294</v>
      </c>
      <c r="C426" s="411"/>
      <c r="D426" s="412" t="s">
        <v>1790</v>
      </c>
    </row>
    <row r="427" hidden="1" customHeight="1" spans="1:4">
      <c r="A427" s="408">
        <v>8480790000</v>
      </c>
      <c r="B427" s="408" t="s">
        <v>2295</v>
      </c>
      <c r="D427" s="409" t="s">
        <v>2296</v>
      </c>
    </row>
    <row r="428" hidden="1" customHeight="1" spans="1:4">
      <c r="A428" s="408">
        <v>7326909000</v>
      </c>
      <c r="B428" s="408" t="s">
        <v>2297</v>
      </c>
      <c r="D428" s="409" t="s">
        <v>2067</v>
      </c>
    </row>
    <row r="429" hidden="1" customHeight="1" spans="1:4">
      <c r="A429" s="408">
        <v>7326909000</v>
      </c>
      <c r="B429" s="408" t="s">
        <v>2298</v>
      </c>
      <c r="D429" s="409" t="s">
        <v>2067</v>
      </c>
    </row>
    <row r="430" hidden="1" customHeight="1" spans="1:4">
      <c r="A430" s="408">
        <v>3923900000</v>
      </c>
      <c r="B430" s="408" t="s">
        <v>2299</v>
      </c>
      <c r="D430" s="409" t="s">
        <v>1790</v>
      </c>
    </row>
    <row r="431" hidden="1" customHeight="1" spans="1:4">
      <c r="A431" s="408">
        <v>7326909000</v>
      </c>
      <c r="B431" s="408" t="s">
        <v>2300</v>
      </c>
      <c r="D431" s="409" t="s">
        <v>2301</v>
      </c>
    </row>
    <row r="432" hidden="1" customHeight="1" spans="1:4">
      <c r="A432" s="408">
        <v>8412310090</v>
      </c>
      <c r="B432" s="408" t="s">
        <v>2302</v>
      </c>
      <c r="D432" s="409" t="s">
        <v>2303</v>
      </c>
    </row>
    <row r="433" hidden="1" customHeight="1" spans="1:4">
      <c r="A433" s="410">
        <v>8302200000</v>
      </c>
      <c r="B433" s="411" t="s">
        <v>2304</v>
      </c>
      <c r="C433" s="411"/>
      <c r="D433" s="412" t="s">
        <v>2256</v>
      </c>
    </row>
    <row r="434" hidden="1" customHeight="1" spans="1:4">
      <c r="A434" s="408">
        <v>7308900000</v>
      </c>
      <c r="B434" s="408" t="s">
        <v>2305</v>
      </c>
      <c r="D434" s="409" t="s">
        <v>2306</v>
      </c>
    </row>
    <row r="435" hidden="1" customHeight="1" spans="1:4">
      <c r="A435" s="408">
        <v>8501109990</v>
      </c>
      <c r="B435" s="408" t="s">
        <v>2307</v>
      </c>
      <c r="D435" s="409" t="s">
        <v>2308</v>
      </c>
    </row>
    <row r="436" customHeight="1" spans="1:4">
      <c r="A436" s="408">
        <v>4821100000</v>
      </c>
      <c r="B436" s="411" t="s">
        <v>2309</v>
      </c>
      <c r="D436" s="409" t="s">
        <v>2310</v>
      </c>
    </row>
    <row r="437" customHeight="1" spans="1:4">
      <c r="A437" s="410">
        <v>4821100000</v>
      </c>
      <c r="B437" s="411" t="s">
        <v>2311</v>
      </c>
      <c r="C437" s="411"/>
      <c r="D437" s="413" t="s">
        <v>2312</v>
      </c>
    </row>
    <row r="438" hidden="1" customHeight="1" spans="1:4">
      <c r="A438" s="410">
        <v>4821100000</v>
      </c>
      <c r="B438" s="411" t="s">
        <v>2313</v>
      </c>
      <c r="C438" s="411"/>
      <c r="D438" s="412" t="s">
        <v>2314</v>
      </c>
    </row>
    <row r="439" hidden="1" customHeight="1" spans="1:4">
      <c r="A439" s="408">
        <v>7326909000</v>
      </c>
      <c r="B439" s="411" t="s">
        <v>2315</v>
      </c>
      <c r="D439" s="409" t="s">
        <v>1899</v>
      </c>
    </row>
    <row r="440" hidden="1" customHeight="1" spans="1:4">
      <c r="A440" s="408">
        <v>8456110090</v>
      </c>
      <c r="B440" s="411" t="s">
        <v>2316</v>
      </c>
      <c r="D440" s="409" t="s">
        <v>2317</v>
      </c>
    </row>
    <row r="441" hidden="1" customHeight="1" spans="1:4">
      <c r="A441" s="408">
        <v>8452219000</v>
      </c>
      <c r="B441" s="411" t="s">
        <v>2318</v>
      </c>
      <c r="D441" s="409" t="s">
        <v>2319</v>
      </c>
    </row>
    <row r="442" hidden="1" customHeight="1" spans="1:4">
      <c r="A442" s="408">
        <v>8456110090</v>
      </c>
      <c r="B442" s="411" t="s">
        <v>2320</v>
      </c>
      <c r="D442" s="409" t="s">
        <v>2321</v>
      </c>
    </row>
    <row r="443" hidden="1" customHeight="1" spans="1:4">
      <c r="A443" s="408">
        <v>8421392990</v>
      </c>
      <c r="B443" s="411" t="s">
        <v>2322</v>
      </c>
      <c r="D443" s="409" t="s">
        <v>2323</v>
      </c>
    </row>
    <row r="444" hidden="1" customHeight="1" spans="1:4">
      <c r="A444" s="408">
        <v>8423819010</v>
      </c>
      <c r="B444" s="411" t="s">
        <v>2324</v>
      </c>
      <c r="D444" s="409" t="s">
        <v>2325</v>
      </c>
    </row>
    <row r="445" hidden="1" customHeight="1" spans="1:4">
      <c r="A445" s="408">
        <v>9029101000</v>
      </c>
      <c r="B445" s="411" t="s">
        <v>2326</v>
      </c>
      <c r="D445" s="409" t="s">
        <v>2327</v>
      </c>
    </row>
    <row r="446" hidden="1" customHeight="1" spans="1:4">
      <c r="A446" s="408">
        <v>8480790000</v>
      </c>
      <c r="B446" s="411" t="s">
        <v>2328</v>
      </c>
    </row>
    <row r="447" hidden="1" customHeight="1" spans="1:4">
      <c r="A447" s="408">
        <v>8480790000</v>
      </c>
      <c r="B447" s="411" t="s">
        <v>2329</v>
      </c>
    </row>
    <row r="448" hidden="1" customHeight="1" spans="1:4">
      <c r="A448" s="408">
        <v>8480790000</v>
      </c>
      <c r="B448" s="411" t="s">
        <v>2330</v>
      </c>
    </row>
    <row r="449" hidden="1" customHeight="1" spans="1:4">
      <c r="A449" s="408">
        <v>8480790000</v>
      </c>
      <c r="B449" s="411" t="s">
        <v>2331</v>
      </c>
    </row>
    <row r="450" s="408" customFormat="1" hidden="1" customHeight="1" spans="1:4">
      <c r="A450" s="408">
        <v>8480790000</v>
      </c>
      <c r="B450" s="411" t="s">
        <v>2332</v>
      </c>
      <c r="D450" s="409"/>
    </row>
    <row r="451" s="408" customFormat="1" hidden="1" customHeight="1" spans="1:4">
      <c r="A451" s="408">
        <v>7326909000</v>
      </c>
      <c r="B451" s="411" t="s">
        <v>2333</v>
      </c>
      <c r="D451" s="409" t="s">
        <v>1786</v>
      </c>
    </row>
    <row r="452" hidden="1" customHeight="1" spans="1:4">
      <c r="A452" s="408">
        <v>7326909000</v>
      </c>
      <c r="B452" s="411" t="s">
        <v>2334</v>
      </c>
      <c r="D452" s="409" t="s">
        <v>1786</v>
      </c>
    </row>
    <row r="453" hidden="1" customHeight="1" spans="1:4">
      <c r="A453" s="408">
        <v>8443999090</v>
      </c>
      <c r="B453" s="411" t="s">
        <v>2335</v>
      </c>
      <c r="D453" s="409" t="s">
        <v>1784</v>
      </c>
    </row>
    <row r="454" hidden="1" customHeight="1" spans="1:4">
      <c r="A454" s="410">
        <v>8479909090</v>
      </c>
      <c r="B454" s="411" t="s">
        <v>2336</v>
      </c>
      <c r="C454" s="411"/>
      <c r="D454" s="413" t="s">
        <v>2253</v>
      </c>
    </row>
    <row r="455" hidden="1" customHeight="1" spans="1:4">
      <c r="A455" s="408">
        <v>4819100000</v>
      </c>
      <c r="B455" s="411" t="s">
        <v>2337</v>
      </c>
      <c r="D455" s="409" t="s">
        <v>1766</v>
      </c>
    </row>
    <row r="456" hidden="1" customHeight="1" spans="1:4">
      <c r="A456" s="408">
        <v>4819100000</v>
      </c>
      <c r="B456" s="411" t="s">
        <v>2338</v>
      </c>
      <c r="D456" s="409" t="s">
        <v>1766</v>
      </c>
    </row>
    <row r="457" hidden="1" customHeight="1" spans="1:4">
      <c r="A457" s="408">
        <v>9503009000</v>
      </c>
      <c r="B457" s="411" t="s">
        <v>2339</v>
      </c>
    </row>
    <row r="458" hidden="1" customHeight="1" spans="1:4">
      <c r="A458" s="408">
        <v>9503009000</v>
      </c>
      <c r="B458" s="411" t="s">
        <v>2340</v>
      </c>
      <c r="D458" s="409" t="s">
        <v>2341</v>
      </c>
    </row>
    <row r="459" hidden="1" customHeight="1" spans="1:4">
      <c r="A459" s="408">
        <v>3923900000</v>
      </c>
      <c r="B459" s="411" t="s">
        <v>2342</v>
      </c>
    </row>
    <row r="460" hidden="1" customHeight="1" spans="1:4">
      <c r="A460" s="408">
        <v>7326909000</v>
      </c>
      <c r="B460" s="411" t="s">
        <v>2343</v>
      </c>
      <c r="D460" s="409" t="s">
        <v>1899</v>
      </c>
    </row>
    <row r="461" s="408" customFormat="1" customHeight="1" spans="1:4">
      <c r="A461" s="408">
        <v>4821100000</v>
      </c>
      <c r="B461" s="411" t="s">
        <v>2344</v>
      </c>
      <c r="D461" s="409" t="s">
        <v>2345</v>
      </c>
    </row>
    <row r="462" hidden="1" customHeight="1" spans="1:4">
      <c r="A462" s="408">
        <v>8480790000</v>
      </c>
      <c r="B462" s="408" t="s">
        <v>2346</v>
      </c>
      <c r="D462" s="409" t="s">
        <v>1907</v>
      </c>
    </row>
    <row r="463" hidden="1" customHeight="1" spans="1:4">
      <c r="A463" s="408">
        <v>7326909000</v>
      </c>
      <c r="B463" s="408" t="s">
        <v>2347</v>
      </c>
      <c r="D463" s="409" t="s">
        <v>1899</v>
      </c>
    </row>
    <row r="464" hidden="1" customHeight="1" spans="1:4">
      <c r="A464" s="408">
        <v>8480790000</v>
      </c>
      <c r="B464" s="408" t="s">
        <v>2348</v>
      </c>
      <c r="D464" s="409" t="s">
        <v>1907</v>
      </c>
    </row>
    <row r="465" s="408" customFormat="1" hidden="1" customHeight="1" spans="1:4">
      <c r="A465" s="408">
        <v>8480790000</v>
      </c>
      <c r="B465" s="408" t="s">
        <v>2349</v>
      </c>
      <c r="D465" s="409" t="s">
        <v>1907</v>
      </c>
    </row>
    <row r="466" s="408" customFormat="1" hidden="1" customHeight="1" spans="1:4">
      <c r="A466" s="408">
        <v>8480790000</v>
      </c>
      <c r="B466" s="408" t="s">
        <v>2350</v>
      </c>
      <c r="D466" s="409" t="s">
        <v>1907</v>
      </c>
    </row>
    <row r="467" hidden="1" customHeight="1" spans="1:4">
      <c r="A467" s="408">
        <v>8203200090</v>
      </c>
      <c r="B467" s="408" t="s">
        <v>2351</v>
      </c>
      <c r="D467" s="409" t="s">
        <v>2352</v>
      </c>
    </row>
    <row r="468" hidden="1" customHeight="1" spans="1:4">
      <c r="A468" s="408">
        <v>9031809090</v>
      </c>
      <c r="B468" s="408" t="s">
        <v>2353</v>
      </c>
      <c r="D468" s="409" t="s">
        <v>2354</v>
      </c>
    </row>
    <row r="469" hidden="1" customHeight="1" spans="1:4">
      <c r="A469" s="408">
        <v>8203200090</v>
      </c>
      <c r="B469" s="408" t="s">
        <v>2355</v>
      </c>
      <c r="D469" s="409" t="s">
        <v>2356</v>
      </c>
    </row>
    <row r="470" hidden="1" customHeight="1" spans="1:4">
      <c r="A470" s="408">
        <v>8506101210</v>
      </c>
      <c r="B470" s="408" t="s">
        <v>272</v>
      </c>
      <c r="D470" s="409" t="s">
        <v>2357</v>
      </c>
    </row>
    <row r="471" hidden="1" customHeight="1" spans="1:4">
      <c r="A471" s="408">
        <v>3923210000</v>
      </c>
      <c r="B471" s="408" t="s">
        <v>1527</v>
      </c>
      <c r="D471" s="409" t="s">
        <v>1939</v>
      </c>
    </row>
    <row r="472" hidden="1" customHeight="1" spans="1:4">
      <c r="A472" s="408">
        <v>8480790000</v>
      </c>
      <c r="B472" s="408" t="s">
        <v>2358</v>
      </c>
      <c r="D472" s="409" t="s">
        <v>2359</v>
      </c>
    </row>
    <row r="473" hidden="1" customHeight="1" spans="1:4">
      <c r="A473" s="408">
        <v>8480790000</v>
      </c>
      <c r="B473" s="408" t="s">
        <v>2360</v>
      </c>
      <c r="D473" s="409" t="s">
        <v>2361</v>
      </c>
    </row>
    <row r="474" hidden="1" customHeight="1" spans="1:4">
      <c r="A474" s="408">
        <v>3923900000</v>
      </c>
      <c r="B474" s="408" t="s">
        <v>2362</v>
      </c>
      <c r="D474" s="409" t="s">
        <v>2363</v>
      </c>
    </row>
    <row r="475" hidden="1" customHeight="1" spans="1:4">
      <c r="A475" s="408">
        <v>3926909090</v>
      </c>
      <c r="B475" s="408" t="s">
        <v>2364</v>
      </c>
      <c r="D475" s="409" t="s">
        <v>2110</v>
      </c>
    </row>
    <row r="476" s="408" customFormat="1" hidden="1" customHeight="1" spans="1:4">
      <c r="A476" s="408">
        <v>3926909090</v>
      </c>
      <c r="B476" s="408" t="s">
        <v>2365</v>
      </c>
      <c r="D476" s="409" t="s">
        <v>1941</v>
      </c>
    </row>
    <row r="477" hidden="1" customHeight="1" spans="1:4">
      <c r="A477" s="408">
        <v>4811410000</v>
      </c>
      <c r="B477" s="408" t="s">
        <v>2366</v>
      </c>
      <c r="D477" s="409" t="s">
        <v>2367</v>
      </c>
    </row>
    <row r="478" hidden="1" customHeight="1" spans="1:4">
      <c r="A478" s="408">
        <v>8205590000</v>
      </c>
      <c r="B478" s="408" t="s">
        <v>2368</v>
      </c>
      <c r="D478" s="409" t="s">
        <v>2369</v>
      </c>
    </row>
    <row r="479" hidden="1" customHeight="1" spans="1:4">
      <c r="A479" s="410">
        <v>8452909900</v>
      </c>
      <c r="B479" s="411" t="s">
        <v>2370</v>
      </c>
      <c r="C479" s="411"/>
      <c r="D479" s="413" t="s">
        <v>2371</v>
      </c>
    </row>
    <row r="480" hidden="1" customHeight="1" spans="1:4">
      <c r="A480" s="408">
        <v>9503009000</v>
      </c>
      <c r="B480" s="408" t="s">
        <v>2372</v>
      </c>
    </row>
    <row r="481" hidden="1" customHeight="1" spans="1:4">
      <c r="A481" s="410">
        <v>7318159090</v>
      </c>
      <c r="B481" s="411" t="s">
        <v>2373</v>
      </c>
      <c r="C481" s="411"/>
      <c r="D481" s="413" t="s">
        <v>1929</v>
      </c>
    </row>
    <row r="482" hidden="1" customHeight="1" spans="1:4">
      <c r="A482" s="408">
        <v>8480790000</v>
      </c>
      <c r="B482" s="408" t="s">
        <v>2374</v>
      </c>
    </row>
    <row r="483" customHeight="1" spans="1:4">
      <c r="A483" s="408">
        <v>4821100000</v>
      </c>
      <c r="B483" s="408" t="s">
        <v>2375</v>
      </c>
      <c r="D483" s="409" t="s">
        <v>2376</v>
      </c>
    </row>
    <row r="484" customHeight="1" spans="1:4">
      <c r="A484" s="408">
        <v>4821100000</v>
      </c>
      <c r="B484" s="408" t="s">
        <v>2377</v>
      </c>
      <c r="D484" s="409" t="s">
        <v>2378</v>
      </c>
    </row>
    <row r="485" customHeight="1" spans="1:4">
      <c r="A485" s="408">
        <v>4821100000</v>
      </c>
      <c r="B485" s="408" t="s">
        <v>2379</v>
      </c>
      <c r="D485" s="409" t="s">
        <v>2380</v>
      </c>
    </row>
    <row r="486" customHeight="1" spans="1:4">
      <c r="A486" s="418">
        <v>4821100000</v>
      </c>
      <c r="B486" s="419" t="s">
        <v>2381</v>
      </c>
      <c r="C486" s="419"/>
      <c r="D486" s="412" t="s">
        <v>2382</v>
      </c>
    </row>
    <row r="487" hidden="1" customHeight="1" spans="1:4">
      <c r="A487" s="408">
        <v>8202100000</v>
      </c>
      <c r="B487" s="408" t="s">
        <v>2383</v>
      </c>
      <c r="D487" s="409" t="s">
        <v>2384</v>
      </c>
    </row>
    <row r="488" hidden="1" customHeight="1" spans="1:4">
      <c r="A488" s="408">
        <v>3903199000</v>
      </c>
      <c r="B488" s="408" t="s">
        <v>2385</v>
      </c>
    </row>
    <row r="489" hidden="1" customHeight="1" spans="1:4">
      <c r="A489" s="410">
        <v>3902301000</v>
      </c>
      <c r="B489" s="411" t="s">
        <v>2386</v>
      </c>
      <c r="C489" s="411"/>
      <c r="D489" s="420" t="s">
        <v>2387</v>
      </c>
    </row>
    <row r="490" hidden="1" customHeight="1" spans="1:4">
      <c r="A490" s="410">
        <v>4819200000</v>
      </c>
      <c r="B490" s="411" t="s">
        <v>926</v>
      </c>
      <c r="C490" s="411"/>
      <c r="D490" s="415" t="s">
        <v>1766</v>
      </c>
    </row>
    <row r="491" s="408" customFormat="1" hidden="1" customHeight="1" spans="1:4">
      <c r="A491" s="410">
        <v>4819100000</v>
      </c>
      <c r="B491" s="411" t="s">
        <v>2388</v>
      </c>
      <c r="C491" s="411"/>
      <c r="D491" s="412" t="s">
        <v>1993</v>
      </c>
    </row>
    <row r="492" hidden="1" customHeight="1" spans="1:4">
      <c r="A492" s="408">
        <v>3926909090</v>
      </c>
      <c r="B492" s="408" t="s">
        <v>2389</v>
      </c>
      <c r="D492" s="409" t="s">
        <v>2390</v>
      </c>
    </row>
    <row r="493" hidden="1" customHeight="1" spans="1:4">
      <c r="A493" s="408">
        <v>8452300000</v>
      </c>
      <c r="B493" s="408" t="s">
        <v>2391</v>
      </c>
      <c r="D493" s="409" t="s">
        <v>2392</v>
      </c>
    </row>
    <row r="494" hidden="1" customHeight="1" spans="1:4">
      <c r="A494" s="408">
        <v>4821100000</v>
      </c>
      <c r="B494" s="408" t="s">
        <v>2393</v>
      </c>
      <c r="D494" s="409" t="s">
        <v>2394</v>
      </c>
    </row>
    <row r="495" s="408" customFormat="1" hidden="1" customHeight="1" spans="1:4">
      <c r="A495" s="408">
        <v>7326909000</v>
      </c>
      <c r="B495" s="408" t="s">
        <v>2395</v>
      </c>
      <c r="D495" s="409" t="s">
        <v>2396</v>
      </c>
    </row>
    <row r="496" customHeight="1" spans="1:4">
      <c r="A496" s="418">
        <v>4821100000</v>
      </c>
      <c r="B496" s="419" t="s">
        <v>2397</v>
      </c>
      <c r="C496" s="419"/>
      <c r="D496" s="412" t="s">
        <v>2398</v>
      </c>
    </row>
    <row r="497" hidden="1" customHeight="1" spans="1:4">
      <c r="A497" s="408">
        <v>8414804990</v>
      </c>
      <c r="B497" s="408" t="s">
        <v>2399</v>
      </c>
      <c r="D497" s="409" t="s">
        <v>2400</v>
      </c>
    </row>
    <row r="498" hidden="1" customHeight="1" spans="1:4">
      <c r="A498" s="408">
        <v>8537109090</v>
      </c>
      <c r="B498" s="408" t="s">
        <v>2401</v>
      </c>
      <c r="D498" s="409" t="s">
        <v>2402</v>
      </c>
    </row>
    <row r="499" hidden="1" customHeight="1" spans="1:4">
      <c r="A499" s="408">
        <v>8506101110</v>
      </c>
      <c r="B499" s="408" t="s">
        <v>2403</v>
      </c>
      <c r="D499" s="409" t="s">
        <v>2404</v>
      </c>
    </row>
    <row r="500" hidden="1" customHeight="1" spans="1:4">
      <c r="A500" s="408">
        <v>3920109090</v>
      </c>
      <c r="B500" s="408" t="s">
        <v>2405</v>
      </c>
    </row>
    <row r="501" hidden="1" customHeight="1" spans="1:4">
      <c r="A501" s="410">
        <v>9503009000</v>
      </c>
      <c r="B501" s="411" t="s">
        <v>2406</v>
      </c>
      <c r="C501" s="411"/>
      <c r="D501" s="413" t="s">
        <v>1922</v>
      </c>
    </row>
    <row r="502" hidden="1" customHeight="1" spans="1:4">
      <c r="A502" s="408">
        <v>8480790000</v>
      </c>
      <c r="B502" s="408" t="s">
        <v>2407</v>
      </c>
      <c r="D502" s="409" t="s">
        <v>1907</v>
      </c>
    </row>
    <row r="503" hidden="1" customHeight="1" spans="1:4">
      <c r="A503" s="408">
        <v>4819100000</v>
      </c>
      <c r="B503" s="408" t="s">
        <v>2408</v>
      </c>
      <c r="D503" s="409" t="s">
        <v>2409</v>
      </c>
    </row>
    <row r="504" hidden="1" customHeight="1" spans="1:4">
      <c r="A504" s="410">
        <v>5808100000</v>
      </c>
      <c r="B504" s="411" t="s">
        <v>2410</v>
      </c>
      <c r="C504" s="411"/>
      <c r="D504" s="421" t="s">
        <v>1736</v>
      </c>
    </row>
    <row r="505" hidden="1" customHeight="1" spans="1:4">
      <c r="A505" s="408">
        <v>3923900000</v>
      </c>
      <c r="B505" s="408" t="s">
        <v>2411</v>
      </c>
    </row>
    <row r="506" hidden="1" customHeight="1" spans="1:4">
      <c r="A506" s="408">
        <v>8203200090</v>
      </c>
      <c r="B506" s="408" t="s">
        <v>2412</v>
      </c>
      <c r="D506" s="409" t="s">
        <v>2413</v>
      </c>
    </row>
    <row r="507" hidden="1" customHeight="1" spans="1:4">
      <c r="A507" s="408">
        <v>8452300000</v>
      </c>
      <c r="B507" s="408" t="s">
        <v>2414</v>
      </c>
      <c r="D507" s="409" t="s">
        <v>2415</v>
      </c>
    </row>
    <row r="508" hidden="1" customHeight="1" spans="1:4">
      <c r="A508" s="408">
        <v>4821100000</v>
      </c>
      <c r="B508" s="408" t="s">
        <v>2416</v>
      </c>
      <c r="D508" s="409" t="s">
        <v>2417</v>
      </c>
    </row>
    <row r="509" hidden="1" customHeight="1" spans="1:4">
      <c r="A509" s="408">
        <v>3923900000</v>
      </c>
      <c r="B509" s="408" t="s">
        <v>2418</v>
      </c>
      <c r="D509" s="409" t="s">
        <v>1790</v>
      </c>
    </row>
    <row r="510" hidden="1" customHeight="1" spans="1:4">
      <c r="A510" s="408">
        <v>8479899990</v>
      </c>
      <c r="B510" s="408" t="s">
        <v>2419</v>
      </c>
      <c r="D510" s="409" t="s">
        <v>2420</v>
      </c>
    </row>
    <row r="511" hidden="1" customHeight="1" spans="1:4">
      <c r="A511" s="408">
        <v>8204110090</v>
      </c>
      <c r="B511" s="408" t="s">
        <v>2421</v>
      </c>
      <c r="D511" s="409" t="s">
        <v>2422</v>
      </c>
    </row>
    <row r="512" hidden="1" customHeight="1" spans="1:4">
      <c r="A512" s="410">
        <v>8428330000</v>
      </c>
      <c r="B512" s="411" t="s">
        <v>2423</v>
      </c>
      <c r="C512" s="411"/>
      <c r="D512" s="413" t="s">
        <v>2424</v>
      </c>
    </row>
    <row r="513" hidden="1" customHeight="1" spans="1:4">
      <c r="A513" s="410">
        <v>4819200000</v>
      </c>
      <c r="B513" s="411" t="s">
        <v>923</v>
      </c>
      <c r="C513" s="411"/>
      <c r="D513" s="412" t="s">
        <v>1766</v>
      </c>
    </row>
    <row r="514" hidden="1" customHeight="1" spans="1:4">
      <c r="A514" s="422">
        <v>7318160000</v>
      </c>
      <c r="B514" s="423" t="s">
        <v>2425</v>
      </c>
      <c r="C514" s="423"/>
      <c r="D514" s="417" t="s">
        <v>2426</v>
      </c>
    </row>
    <row r="515" hidden="1" customHeight="1" spans="1:4">
      <c r="A515" s="410">
        <v>7318159090</v>
      </c>
      <c r="B515" s="411" t="s">
        <v>2427</v>
      </c>
      <c r="C515" s="411"/>
      <c r="D515" s="413" t="s">
        <v>1929</v>
      </c>
    </row>
    <row r="516" hidden="1" customHeight="1" spans="1:4">
      <c r="A516" s="410">
        <v>4819200000</v>
      </c>
      <c r="B516" s="411" t="s">
        <v>936</v>
      </c>
      <c r="C516" s="411"/>
      <c r="D516" s="413" t="s">
        <v>1993</v>
      </c>
    </row>
    <row r="517" hidden="1" customHeight="1" spans="1:4">
      <c r="A517" s="424">
        <v>3923210000</v>
      </c>
      <c r="B517" s="411" t="s">
        <v>2428</v>
      </c>
      <c r="C517" s="411"/>
      <c r="D517" s="414" t="s">
        <v>2429</v>
      </c>
    </row>
    <row r="518" hidden="1" customHeight="1" spans="1:4">
      <c r="A518" s="408">
        <v>8480790000</v>
      </c>
      <c r="B518" s="408" t="s">
        <v>2430</v>
      </c>
      <c r="D518" s="409" t="s">
        <v>1907</v>
      </c>
    </row>
    <row r="519" hidden="1" customHeight="1" spans="1:4">
      <c r="A519" s="408">
        <v>8480790000</v>
      </c>
      <c r="B519" s="408" t="s">
        <v>2431</v>
      </c>
      <c r="D519" s="409" t="s">
        <v>1907</v>
      </c>
    </row>
    <row r="520" hidden="1" customHeight="1" spans="1:4">
      <c r="A520" s="408">
        <v>8480790000</v>
      </c>
      <c r="B520" s="408" t="s">
        <v>2432</v>
      </c>
      <c r="D520" s="409" t="s">
        <v>1907</v>
      </c>
    </row>
    <row r="521" hidden="1" customHeight="1" spans="1:4">
      <c r="A521" s="408">
        <v>8480790000</v>
      </c>
      <c r="B521" s="408" t="s">
        <v>2433</v>
      </c>
      <c r="D521" s="409" t="s">
        <v>1907</v>
      </c>
    </row>
    <row r="522" hidden="1" customHeight="1" spans="1:4">
      <c r="A522" s="408">
        <v>7326909000</v>
      </c>
      <c r="B522" s="408" t="s">
        <v>2434</v>
      </c>
      <c r="D522" s="409" t="s">
        <v>1899</v>
      </c>
    </row>
    <row r="523" hidden="1" customHeight="1" spans="1:4">
      <c r="A523" s="408">
        <v>7326909000</v>
      </c>
      <c r="B523" s="408" t="s">
        <v>2435</v>
      </c>
    </row>
    <row r="524" s="408" customFormat="1" hidden="1" customHeight="1" spans="1:4">
      <c r="A524" s="410">
        <v>3923900000</v>
      </c>
      <c r="B524" s="411" t="s">
        <v>2436</v>
      </c>
      <c r="C524" s="411"/>
      <c r="D524" s="412" t="s">
        <v>1790</v>
      </c>
    </row>
    <row r="525" s="408" customFormat="1" hidden="1" customHeight="1" spans="1:4">
      <c r="A525" s="408">
        <v>3923900000</v>
      </c>
      <c r="B525" s="408" t="s">
        <v>2437</v>
      </c>
      <c r="D525" s="409" t="s">
        <v>1790</v>
      </c>
    </row>
    <row r="526" s="408" customFormat="1" hidden="1" customHeight="1" spans="1:4">
      <c r="A526" s="408">
        <v>3923900000</v>
      </c>
      <c r="B526" s="408" t="s">
        <v>2438</v>
      </c>
      <c r="D526" s="409" t="s">
        <v>1790</v>
      </c>
    </row>
    <row r="527" hidden="1" customHeight="1" spans="1:4">
      <c r="A527" s="410">
        <v>3923900000</v>
      </c>
      <c r="B527" s="411" t="s">
        <v>2439</v>
      </c>
      <c r="C527" s="411"/>
      <c r="D527" s="412" t="s">
        <v>1790</v>
      </c>
    </row>
    <row r="528" hidden="1" customHeight="1" spans="1:4">
      <c r="A528" s="410">
        <v>9503009000</v>
      </c>
      <c r="B528" s="411" t="s">
        <v>2440</v>
      </c>
      <c r="C528" s="411"/>
      <c r="D528" s="412" t="s">
        <v>2441</v>
      </c>
    </row>
    <row r="529" hidden="1" customHeight="1" spans="1:4">
      <c r="A529" s="408">
        <v>8477800000</v>
      </c>
      <c r="B529" s="408" t="s">
        <v>2442</v>
      </c>
      <c r="D529" s="409" t="s">
        <v>2443</v>
      </c>
    </row>
    <row r="530" hidden="1" customHeight="1" spans="1:4">
      <c r="A530" s="410">
        <v>4821100000</v>
      </c>
      <c r="B530" s="411" t="s">
        <v>2444</v>
      </c>
      <c r="C530" s="411"/>
      <c r="D530" s="412" t="s">
        <v>2445</v>
      </c>
    </row>
    <row r="531" hidden="1" customHeight="1" spans="1:4">
      <c r="A531" s="410">
        <v>9603302090</v>
      </c>
      <c r="B531" s="411" t="s">
        <v>2446</v>
      </c>
      <c r="C531" s="411"/>
      <c r="D531" s="412" t="s">
        <v>2097</v>
      </c>
    </row>
    <row r="532" hidden="1" customHeight="1" spans="1:4">
      <c r="A532" s="410">
        <v>5806320000</v>
      </c>
      <c r="B532" s="411" t="s">
        <v>2447</v>
      </c>
      <c r="C532" s="411"/>
      <c r="D532" s="421" t="s">
        <v>1745</v>
      </c>
    </row>
    <row r="533" hidden="1" customHeight="1" spans="1:4">
      <c r="A533" s="410">
        <v>5806320000</v>
      </c>
      <c r="B533" s="411" t="s">
        <v>2448</v>
      </c>
      <c r="C533" s="411"/>
      <c r="D533" s="421" t="s">
        <v>1745</v>
      </c>
    </row>
    <row r="534" hidden="1" customHeight="1" spans="1:4">
      <c r="A534" s="410">
        <v>5806320000</v>
      </c>
      <c r="B534" s="411" t="s">
        <v>2449</v>
      </c>
      <c r="C534" s="411"/>
      <c r="D534" s="421" t="s">
        <v>1745</v>
      </c>
    </row>
    <row r="535" hidden="1" customHeight="1" spans="1:4">
      <c r="A535" s="410">
        <v>5806320000</v>
      </c>
      <c r="B535" s="411" t="s">
        <v>2450</v>
      </c>
      <c r="C535" s="411"/>
      <c r="D535" s="421" t="s">
        <v>1745</v>
      </c>
    </row>
    <row r="536" hidden="1" customHeight="1" spans="1:4">
      <c r="A536" s="410">
        <v>5806320000</v>
      </c>
      <c r="B536" s="411" t="s">
        <v>2451</v>
      </c>
      <c r="C536" s="411"/>
      <c r="D536" s="421" t="s">
        <v>1745</v>
      </c>
    </row>
    <row r="537" hidden="1" customHeight="1" spans="1:4">
      <c r="A537" s="408">
        <v>5806320000</v>
      </c>
      <c r="B537" s="408" t="s">
        <v>2452</v>
      </c>
      <c r="D537" s="409" t="s">
        <v>1745</v>
      </c>
    </row>
    <row r="538" hidden="1" customHeight="1" spans="1:4">
      <c r="A538" s="408">
        <v>9503002900</v>
      </c>
      <c r="B538" s="408" t="s">
        <v>2453</v>
      </c>
      <c r="D538" s="409" t="s">
        <v>2454</v>
      </c>
    </row>
    <row r="539" hidden="1" customHeight="1" spans="1:4">
      <c r="A539" s="408">
        <v>9503002900</v>
      </c>
      <c r="B539" s="408" t="s">
        <v>2455</v>
      </c>
      <c r="D539" s="409" t="s">
        <v>1983</v>
      </c>
    </row>
    <row r="540" hidden="1" customHeight="1" spans="1:4">
      <c r="A540" s="408">
        <v>9503002900</v>
      </c>
      <c r="B540" s="408" t="s">
        <v>2456</v>
      </c>
      <c r="D540" s="409" t="s">
        <v>2454</v>
      </c>
    </row>
    <row r="541" hidden="1" customHeight="1" spans="1:4">
      <c r="A541" s="408">
        <v>9503002900</v>
      </c>
      <c r="B541" s="408" t="s">
        <v>2457</v>
      </c>
      <c r="D541" s="409" t="s">
        <v>2454</v>
      </c>
    </row>
    <row r="542" hidden="1" customHeight="1" spans="1:4">
      <c r="A542" s="410">
        <v>7326909000</v>
      </c>
      <c r="B542" s="411" t="s">
        <v>2458</v>
      </c>
      <c r="C542" s="411"/>
      <c r="D542" s="414" t="s">
        <v>1899</v>
      </c>
    </row>
    <row r="543" hidden="1" customHeight="1" spans="1:4">
      <c r="A543" s="410">
        <v>8480790000</v>
      </c>
      <c r="B543" s="411" t="s">
        <v>2459</v>
      </c>
      <c r="C543" s="411"/>
      <c r="D543" s="414" t="s">
        <v>1907</v>
      </c>
    </row>
    <row r="544" hidden="1" customHeight="1" spans="1:4">
      <c r="A544" s="410">
        <v>8479909090</v>
      </c>
      <c r="B544" s="411" t="s">
        <v>2460</v>
      </c>
      <c r="C544" s="411"/>
      <c r="D544" s="413" t="s">
        <v>2461</v>
      </c>
    </row>
    <row r="545" hidden="1" customHeight="1" spans="1:4">
      <c r="A545" s="408">
        <v>3926909090</v>
      </c>
      <c r="B545" s="408" t="s">
        <v>2462</v>
      </c>
      <c r="D545" s="409" t="s">
        <v>2463</v>
      </c>
    </row>
    <row r="546" hidden="1" customHeight="1" spans="1:4">
      <c r="A546" s="410">
        <v>8480790000</v>
      </c>
      <c r="B546" s="411" t="s">
        <v>2464</v>
      </c>
      <c r="C546" s="411"/>
      <c r="D546" s="417" t="s">
        <v>2125</v>
      </c>
    </row>
    <row r="547" hidden="1" customHeight="1" spans="1:4">
      <c r="A547" s="408">
        <v>8452219000</v>
      </c>
      <c r="B547" s="408" t="s">
        <v>2465</v>
      </c>
      <c r="D547" s="409" t="s">
        <v>2466</v>
      </c>
    </row>
    <row r="548" hidden="1" customHeight="1" spans="1:4">
      <c r="A548" s="408">
        <v>7320209000</v>
      </c>
      <c r="B548" s="408" t="s">
        <v>2467</v>
      </c>
      <c r="D548" s="409" t="s">
        <v>2468</v>
      </c>
    </row>
    <row r="549" hidden="1" customHeight="1" spans="1:4">
      <c r="A549" s="408">
        <v>7326901990</v>
      </c>
      <c r="B549" s="408" t="s">
        <v>2469</v>
      </c>
      <c r="D549" s="409" t="s">
        <v>2470</v>
      </c>
    </row>
    <row r="550" hidden="1" customHeight="1" spans="1:4">
      <c r="A550" s="408">
        <v>3923900000</v>
      </c>
      <c r="B550" s="408" t="s">
        <v>2471</v>
      </c>
      <c r="D550" s="409" t="s">
        <v>1790</v>
      </c>
    </row>
    <row r="551" hidden="1" customHeight="1" spans="1:4">
      <c r="A551" s="410">
        <v>3923900000</v>
      </c>
      <c r="B551" s="411" t="s">
        <v>2472</v>
      </c>
      <c r="C551" s="411"/>
      <c r="D551" s="413" t="s">
        <v>1790</v>
      </c>
    </row>
    <row r="552" hidden="1" customHeight="1" spans="1:4">
      <c r="A552" s="408">
        <v>8467920000</v>
      </c>
      <c r="B552" s="408" t="s">
        <v>2473</v>
      </c>
      <c r="D552" s="409" t="s">
        <v>2091</v>
      </c>
    </row>
    <row r="553" hidden="1" customHeight="1" spans="1:4">
      <c r="A553" s="408">
        <v>3923900000</v>
      </c>
      <c r="B553" s="408" t="s">
        <v>2474</v>
      </c>
      <c r="D553" s="409" t="s">
        <v>1790</v>
      </c>
    </row>
    <row r="554" hidden="1" customHeight="1" spans="1:4">
      <c r="A554" s="408">
        <v>3919909090</v>
      </c>
      <c r="B554" s="408" t="s">
        <v>2475</v>
      </c>
      <c r="D554" s="409" t="s">
        <v>2476</v>
      </c>
    </row>
    <row r="555" hidden="1" customHeight="1" spans="1:4">
      <c r="A555" s="408">
        <v>9030339000</v>
      </c>
      <c r="B555" s="408" t="s">
        <v>1509</v>
      </c>
      <c r="D555" s="409" t="s">
        <v>2477</v>
      </c>
    </row>
    <row r="556" hidden="1" customHeight="1" spans="1:4">
      <c r="A556" s="408">
        <v>3923900000</v>
      </c>
      <c r="B556" s="408" t="s">
        <v>2478</v>
      </c>
      <c r="D556" s="409" t="s">
        <v>1790</v>
      </c>
    </row>
    <row r="557" s="408" customFormat="1" hidden="1" customHeight="1" spans="1:4">
      <c r="A557" s="408">
        <v>4821100000</v>
      </c>
      <c r="B557" s="408" t="s">
        <v>890</v>
      </c>
      <c r="D557" s="409" t="s">
        <v>2479</v>
      </c>
    </row>
    <row r="558" s="408" customFormat="1" hidden="1" customHeight="1" spans="1:4">
      <c r="A558" s="408">
        <v>4821100000</v>
      </c>
      <c r="B558" s="411" t="s">
        <v>2480</v>
      </c>
      <c r="C558" s="411"/>
      <c r="D558" s="413" t="s">
        <v>2481</v>
      </c>
    </row>
    <row r="559" s="408" customFormat="1" hidden="1" customHeight="1" spans="1:4">
      <c r="A559" s="408">
        <v>4821100000</v>
      </c>
      <c r="B559" s="408" t="s">
        <v>2482</v>
      </c>
      <c r="D559" s="409" t="s">
        <v>1766</v>
      </c>
    </row>
    <row r="560" hidden="1" customHeight="1" spans="1:4">
      <c r="A560" s="410">
        <v>4819200000</v>
      </c>
      <c r="B560" s="411" t="s">
        <v>933</v>
      </c>
      <c r="C560" s="411"/>
      <c r="D560" s="413" t="s">
        <v>1993</v>
      </c>
    </row>
    <row r="561" s="408" customFormat="1" hidden="1" customHeight="1" spans="1:4">
      <c r="A561" s="410">
        <v>7318159090</v>
      </c>
      <c r="B561" s="411" t="s">
        <v>2483</v>
      </c>
      <c r="C561" s="411"/>
      <c r="D561" s="412" t="s">
        <v>2484</v>
      </c>
    </row>
    <row r="562" hidden="1" customHeight="1" spans="1:4">
      <c r="A562" s="408">
        <v>9027300090</v>
      </c>
      <c r="B562" s="408" t="s">
        <v>2485</v>
      </c>
      <c r="D562" s="409" t="s">
        <v>2486</v>
      </c>
    </row>
    <row r="563" hidden="1" customHeight="1" spans="1:4">
      <c r="A563" s="408">
        <v>4819200000</v>
      </c>
      <c r="B563" s="408" t="s">
        <v>2487</v>
      </c>
      <c r="D563" s="409" t="s">
        <v>1766</v>
      </c>
    </row>
    <row r="564" hidden="1" customHeight="1" spans="1:4">
      <c r="A564" s="408">
        <v>4819200000</v>
      </c>
      <c r="B564" s="408" t="s">
        <v>2488</v>
      </c>
      <c r="D564" s="409" t="s">
        <v>1766</v>
      </c>
    </row>
    <row r="565" customHeight="1" spans="1:4">
      <c r="A565" s="410">
        <v>4821100000</v>
      </c>
      <c r="B565" s="411" t="s">
        <v>2489</v>
      </c>
      <c r="C565" s="411"/>
      <c r="D565" s="413" t="s">
        <v>2490</v>
      </c>
    </row>
    <row r="566" hidden="1" customHeight="1" spans="1:4">
      <c r="A566" s="408">
        <v>9024800000</v>
      </c>
      <c r="B566" s="408" t="s">
        <v>2491</v>
      </c>
      <c r="D566" s="409" t="s">
        <v>2492</v>
      </c>
    </row>
    <row r="567" hidden="1" customHeight="1" spans="1:4">
      <c r="A567" s="408">
        <v>9503009000</v>
      </c>
      <c r="B567" s="408" t="s">
        <v>2493</v>
      </c>
      <c r="D567" s="409" t="s">
        <v>1983</v>
      </c>
    </row>
    <row r="568" hidden="1" customHeight="1" spans="1:4">
      <c r="A568" s="408">
        <v>9503008900</v>
      </c>
      <c r="B568" s="408" t="s">
        <v>2494</v>
      </c>
      <c r="D568" s="409" t="s">
        <v>1983</v>
      </c>
    </row>
    <row r="569" hidden="1" customHeight="1" spans="1:4">
      <c r="A569" s="408">
        <v>9503008900</v>
      </c>
      <c r="B569" s="408" t="s">
        <v>2495</v>
      </c>
      <c r="D569" s="409" t="s">
        <v>1983</v>
      </c>
    </row>
    <row r="570" hidden="1" customHeight="1" spans="1:4">
      <c r="A570" s="408">
        <v>3923900000</v>
      </c>
      <c r="B570" s="408" t="s">
        <v>2496</v>
      </c>
      <c r="D570" s="409" t="s">
        <v>1790</v>
      </c>
    </row>
    <row r="571" hidden="1" customHeight="1" spans="1:4">
      <c r="A571" s="408">
        <v>7326909000</v>
      </c>
      <c r="B571" s="408" t="s">
        <v>2497</v>
      </c>
      <c r="D571" s="409" t="s">
        <v>2067</v>
      </c>
    </row>
    <row r="572" s="408" customFormat="1" hidden="1" customHeight="1" spans="1:4">
      <c r="A572" s="408">
        <v>8443322100</v>
      </c>
      <c r="B572" s="408" t="s">
        <v>298</v>
      </c>
      <c r="D572" s="409" t="s">
        <v>2498</v>
      </c>
    </row>
    <row r="573" s="408" customFormat="1" hidden="1" customHeight="1" spans="1:4">
      <c r="A573" s="408">
        <v>8424300000</v>
      </c>
      <c r="B573" s="408" t="s">
        <v>2499</v>
      </c>
      <c r="D573" s="409" t="s">
        <v>2500</v>
      </c>
    </row>
    <row r="574" hidden="1" customHeight="1" spans="1:4">
      <c r="A574" s="408">
        <v>8443999090</v>
      </c>
      <c r="B574" s="408" t="s">
        <v>2501</v>
      </c>
      <c r="D574" s="409" t="s">
        <v>1784</v>
      </c>
    </row>
    <row r="575" hidden="1" customHeight="1" spans="1:4">
      <c r="A575" s="408">
        <v>8443999090</v>
      </c>
      <c r="B575" s="408" t="s">
        <v>2502</v>
      </c>
      <c r="D575" s="409" t="s">
        <v>1784</v>
      </c>
    </row>
    <row r="576" hidden="1" customHeight="1" spans="1:4">
      <c r="A576" s="408">
        <v>8205590000</v>
      </c>
      <c r="B576" s="408" t="s">
        <v>2503</v>
      </c>
      <c r="D576" s="409" t="s">
        <v>2504</v>
      </c>
    </row>
    <row r="577" hidden="1" customHeight="1" spans="1:4">
      <c r="A577" s="410">
        <v>4819100000</v>
      </c>
      <c r="B577" s="411" t="s">
        <v>2505</v>
      </c>
      <c r="C577" s="411"/>
      <c r="D577" s="413" t="s">
        <v>1993</v>
      </c>
    </row>
    <row r="578" hidden="1" customHeight="1" spans="1:4">
      <c r="A578" s="408">
        <v>8480790000</v>
      </c>
      <c r="B578" s="408" t="s">
        <v>2506</v>
      </c>
      <c r="D578" s="409" t="s">
        <v>1907</v>
      </c>
    </row>
    <row r="579" hidden="1" customHeight="1" spans="1:4">
      <c r="A579" s="408">
        <v>8480790000</v>
      </c>
      <c r="B579" s="408" t="s">
        <v>2507</v>
      </c>
      <c r="D579" s="409" t="s">
        <v>1907</v>
      </c>
    </row>
    <row r="580" hidden="1" customHeight="1" spans="1:4">
      <c r="A580" s="408">
        <v>8480790000</v>
      </c>
      <c r="B580" s="408" t="s">
        <v>2508</v>
      </c>
      <c r="D580" s="409" t="s">
        <v>1907</v>
      </c>
    </row>
    <row r="581" hidden="1" customHeight="1" spans="1:4">
      <c r="A581" s="408">
        <v>7326909000</v>
      </c>
      <c r="B581" s="408" t="s">
        <v>2509</v>
      </c>
      <c r="D581" s="409" t="s">
        <v>1899</v>
      </c>
    </row>
    <row r="582" hidden="1" customHeight="1" spans="1:4">
      <c r="A582" s="408">
        <v>7326909000</v>
      </c>
      <c r="B582" s="408" t="s">
        <v>2510</v>
      </c>
      <c r="D582" s="409" t="s">
        <v>1899</v>
      </c>
    </row>
    <row r="583" hidden="1" customHeight="1" spans="1:4">
      <c r="A583" s="408">
        <v>8480790000</v>
      </c>
      <c r="B583" s="408" t="s">
        <v>2511</v>
      </c>
      <c r="D583" s="409" t="s">
        <v>1907</v>
      </c>
    </row>
    <row r="584" hidden="1" customHeight="1" spans="1:4">
      <c r="A584" s="408">
        <v>8480790000</v>
      </c>
      <c r="B584" s="408" t="s">
        <v>2512</v>
      </c>
      <c r="D584" s="409" t="s">
        <v>1907</v>
      </c>
    </row>
    <row r="585" hidden="1" customHeight="1" spans="1:4">
      <c r="A585" s="408">
        <v>8480790000</v>
      </c>
      <c r="B585" s="408" t="s">
        <v>2513</v>
      </c>
      <c r="D585" s="409" t="s">
        <v>1907</v>
      </c>
    </row>
    <row r="586" hidden="1" customHeight="1" spans="1:4">
      <c r="A586" s="408">
        <v>8480790000</v>
      </c>
      <c r="B586" s="408" t="s">
        <v>2514</v>
      </c>
      <c r="D586" s="409" t="s">
        <v>1907</v>
      </c>
    </row>
    <row r="587" hidden="1" customHeight="1" spans="1:4">
      <c r="A587" s="408">
        <v>8480790000</v>
      </c>
      <c r="B587" s="408" t="s">
        <v>2515</v>
      </c>
      <c r="D587" s="409" t="s">
        <v>1907</v>
      </c>
    </row>
    <row r="588" hidden="1" customHeight="1" spans="1:4">
      <c r="A588" s="410">
        <v>4819100000</v>
      </c>
      <c r="B588" s="411" t="s">
        <v>2516</v>
      </c>
      <c r="C588" s="411"/>
      <c r="D588" s="413" t="s">
        <v>1993</v>
      </c>
    </row>
    <row r="589" hidden="1" customHeight="1" spans="1:4">
      <c r="A589" s="408">
        <v>8480790000</v>
      </c>
      <c r="B589" s="408" t="s">
        <v>2517</v>
      </c>
      <c r="D589" s="409" t="s">
        <v>1907</v>
      </c>
    </row>
    <row r="590" hidden="1" customHeight="1" spans="1:4">
      <c r="A590" s="408">
        <v>8480790000</v>
      </c>
      <c r="B590" s="408" t="s">
        <v>2518</v>
      </c>
      <c r="D590" s="409" t="s">
        <v>1907</v>
      </c>
    </row>
    <row r="591" hidden="1" customHeight="1" spans="1:4">
      <c r="A591" s="408">
        <v>7326909000</v>
      </c>
      <c r="B591" s="408" t="s">
        <v>2519</v>
      </c>
      <c r="D591" s="409" t="s">
        <v>1899</v>
      </c>
    </row>
    <row r="592" hidden="1" customHeight="1" spans="1:4">
      <c r="A592" s="408">
        <v>7326909000</v>
      </c>
      <c r="B592" s="408" t="s">
        <v>2520</v>
      </c>
      <c r="D592" s="409" t="s">
        <v>1899</v>
      </c>
    </row>
    <row r="593" hidden="1" customHeight="1" spans="1:4">
      <c r="A593" s="408">
        <v>8480790000</v>
      </c>
      <c r="B593" s="408" t="s">
        <v>2521</v>
      </c>
      <c r="D593" s="409" t="s">
        <v>1907</v>
      </c>
    </row>
    <row r="594" hidden="1" customHeight="1" spans="1:4">
      <c r="A594" s="408">
        <v>8480790000</v>
      </c>
      <c r="B594" s="408" t="s">
        <v>2522</v>
      </c>
      <c r="D594" s="409" t="s">
        <v>1907</v>
      </c>
    </row>
    <row r="595" hidden="1" customHeight="1" spans="1:4">
      <c r="A595" s="408">
        <v>8480790000</v>
      </c>
      <c r="B595" s="408" t="s">
        <v>2523</v>
      </c>
      <c r="D595" s="409" t="s">
        <v>1907</v>
      </c>
    </row>
    <row r="596" hidden="1" customHeight="1" spans="1:4">
      <c r="A596" s="408">
        <v>8480790000</v>
      </c>
      <c r="B596" s="408" t="s">
        <v>2524</v>
      </c>
      <c r="D596" s="409" t="s">
        <v>1907</v>
      </c>
    </row>
    <row r="597" hidden="1" customHeight="1" spans="1:4">
      <c r="A597" s="408">
        <v>7326909000</v>
      </c>
      <c r="B597" s="408" t="s">
        <v>2525</v>
      </c>
      <c r="D597" s="409" t="s">
        <v>1899</v>
      </c>
    </row>
    <row r="598" hidden="1" customHeight="1" spans="1:4">
      <c r="A598" s="408">
        <v>7326909000</v>
      </c>
      <c r="B598" s="408" t="s">
        <v>2526</v>
      </c>
      <c r="D598" s="409" t="s">
        <v>1899</v>
      </c>
    </row>
    <row r="599" hidden="1" customHeight="1" spans="1:4">
      <c r="A599" s="408">
        <v>7326909000</v>
      </c>
      <c r="B599" s="408" t="s">
        <v>2527</v>
      </c>
      <c r="D599" s="409" t="s">
        <v>1899</v>
      </c>
    </row>
    <row r="600" hidden="1" customHeight="1" spans="1:4">
      <c r="A600" s="408">
        <v>7326909000</v>
      </c>
      <c r="B600" s="408" t="s">
        <v>2528</v>
      </c>
      <c r="D600" s="409" t="s">
        <v>1899</v>
      </c>
    </row>
    <row r="601" hidden="1" customHeight="1" spans="1:4">
      <c r="A601" s="408">
        <v>8480790000</v>
      </c>
      <c r="B601" s="408" t="s">
        <v>2529</v>
      </c>
      <c r="D601" s="409" t="s">
        <v>1907</v>
      </c>
    </row>
    <row r="602" hidden="1" customHeight="1" spans="1:4">
      <c r="A602" s="410">
        <v>7326909090</v>
      </c>
      <c r="B602" s="411" t="s">
        <v>2530</v>
      </c>
      <c r="C602" s="411"/>
      <c r="D602" s="414" t="s">
        <v>1899</v>
      </c>
    </row>
    <row r="603" hidden="1" customHeight="1" spans="1:4">
      <c r="A603" s="410">
        <v>7326909090</v>
      </c>
      <c r="B603" s="411" t="s">
        <v>2531</v>
      </c>
      <c r="C603" s="411"/>
      <c r="D603" s="414" t="s">
        <v>1899</v>
      </c>
    </row>
    <row r="604" hidden="1" customHeight="1" spans="1:4">
      <c r="A604" s="408">
        <v>8480790000</v>
      </c>
      <c r="B604" s="408" t="s">
        <v>2532</v>
      </c>
      <c r="D604" s="409" t="s">
        <v>1907</v>
      </c>
    </row>
    <row r="605" hidden="1" customHeight="1" spans="1:4">
      <c r="A605" s="408">
        <v>7326909000</v>
      </c>
      <c r="B605" s="408" t="s">
        <v>2533</v>
      </c>
      <c r="D605" s="409" t="s">
        <v>1899</v>
      </c>
    </row>
    <row r="606" hidden="1" customHeight="1" spans="1:4">
      <c r="A606" s="408">
        <v>7326909000</v>
      </c>
      <c r="B606" s="408" t="s">
        <v>2534</v>
      </c>
      <c r="D606" s="409" t="s">
        <v>1899</v>
      </c>
    </row>
    <row r="607" hidden="1" customHeight="1" spans="1:4">
      <c r="A607" s="408">
        <v>8480790000</v>
      </c>
      <c r="B607" s="408" t="s">
        <v>2535</v>
      </c>
      <c r="D607" s="409" t="s">
        <v>1907</v>
      </c>
    </row>
    <row r="608" hidden="1" customHeight="1" spans="1:4">
      <c r="A608" s="408">
        <v>7326909000</v>
      </c>
      <c r="B608" s="408" t="s">
        <v>2536</v>
      </c>
      <c r="D608" s="409" t="s">
        <v>1899</v>
      </c>
    </row>
    <row r="609" hidden="1" customHeight="1" spans="1:4">
      <c r="A609" s="408">
        <v>7326909000</v>
      </c>
      <c r="B609" s="408" t="s">
        <v>2537</v>
      </c>
      <c r="D609" s="409" t="s">
        <v>1899</v>
      </c>
    </row>
    <row r="610" hidden="1" customHeight="1" spans="1:4">
      <c r="A610" s="408">
        <v>7326909000</v>
      </c>
      <c r="B610" s="408" t="s">
        <v>2538</v>
      </c>
      <c r="D610" s="409" t="s">
        <v>1899</v>
      </c>
    </row>
    <row r="611" hidden="1" customHeight="1" spans="1:4">
      <c r="A611" s="408">
        <v>7326909000</v>
      </c>
      <c r="B611" s="408" t="s">
        <v>2539</v>
      </c>
      <c r="D611" s="409" t="s">
        <v>1899</v>
      </c>
    </row>
    <row r="612" hidden="1" customHeight="1" spans="1:4">
      <c r="A612" s="408">
        <v>7326909000</v>
      </c>
      <c r="B612" s="408" t="s">
        <v>2540</v>
      </c>
      <c r="D612" s="409" t="s">
        <v>2396</v>
      </c>
    </row>
    <row r="613" hidden="1" customHeight="1" spans="1:4">
      <c r="A613" s="408">
        <v>7326909000</v>
      </c>
      <c r="B613" s="408" t="s">
        <v>2541</v>
      </c>
      <c r="D613" s="409" t="s">
        <v>2396</v>
      </c>
    </row>
    <row r="614" hidden="1" customHeight="1" spans="1:4">
      <c r="A614" s="408">
        <v>7326909000</v>
      </c>
      <c r="B614" s="408" t="s">
        <v>2542</v>
      </c>
      <c r="D614" s="409" t="s">
        <v>2396</v>
      </c>
    </row>
    <row r="615" hidden="1" customHeight="1" spans="1:4">
      <c r="A615" s="408">
        <v>7326909000</v>
      </c>
      <c r="B615" s="408" t="s">
        <v>2543</v>
      </c>
      <c r="D615" s="409" t="s">
        <v>2396</v>
      </c>
    </row>
    <row r="616" hidden="1" customHeight="1" spans="1:4">
      <c r="A616" s="408">
        <v>7326909000</v>
      </c>
      <c r="B616" s="408" t="s">
        <v>2544</v>
      </c>
      <c r="D616" s="409" t="s">
        <v>2396</v>
      </c>
    </row>
    <row r="617" hidden="1" customHeight="1" spans="1:4">
      <c r="A617" s="408">
        <v>7326909000</v>
      </c>
      <c r="B617" s="408" t="s">
        <v>2545</v>
      </c>
      <c r="D617" s="409" t="s">
        <v>2396</v>
      </c>
    </row>
    <row r="618" hidden="1" customHeight="1" spans="1:4">
      <c r="A618" s="408">
        <v>7326909000</v>
      </c>
      <c r="B618" s="408" t="s">
        <v>2546</v>
      </c>
      <c r="D618" s="409" t="s">
        <v>2396</v>
      </c>
    </row>
    <row r="619" hidden="1" customHeight="1" spans="1:4">
      <c r="A619" s="408">
        <v>7326909000</v>
      </c>
      <c r="B619" s="408" t="s">
        <v>2547</v>
      </c>
      <c r="D619" s="409" t="s">
        <v>2396</v>
      </c>
    </row>
    <row r="620" hidden="1" customHeight="1" spans="1:4">
      <c r="A620" s="408">
        <v>7326909000</v>
      </c>
      <c r="B620" s="408" t="s">
        <v>2548</v>
      </c>
      <c r="D620" s="409" t="s">
        <v>2396</v>
      </c>
    </row>
    <row r="621" hidden="1" customHeight="1" spans="1:4">
      <c r="A621" s="408">
        <v>7326909000</v>
      </c>
      <c r="B621" s="408" t="s">
        <v>2549</v>
      </c>
      <c r="D621" s="409" t="s">
        <v>2396</v>
      </c>
    </row>
    <row r="622" hidden="1" customHeight="1" spans="1:4">
      <c r="A622" s="408">
        <v>4819100000</v>
      </c>
      <c r="B622" s="408" t="s">
        <v>2550</v>
      </c>
      <c r="D622" s="409" t="s">
        <v>1766</v>
      </c>
    </row>
    <row r="623" hidden="1" customHeight="1" spans="1:4">
      <c r="A623" s="410">
        <v>4819200000</v>
      </c>
      <c r="B623" s="411" t="s">
        <v>2551</v>
      </c>
      <c r="C623" s="411"/>
      <c r="D623" s="413" t="s">
        <v>1993</v>
      </c>
    </row>
    <row r="624" hidden="1" customHeight="1" spans="1:4">
      <c r="A624" s="408">
        <v>8203200090</v>
      </c>
      <c r="B624" s="408" t="s">
        <v>2552</v>
      </c>
      <c r="D624" s="409" t="s">
        <v>2014</v>
      </c>
    </row>
    <row r="625" hidden="1" customHeight="1" spans="1:4">
      <c r="A625" s="410">
        <v>3926909090</v>
      </c>
      <c r="B625" s="411" t="s">
        <v>2553</v>
      </c>
      <c r="C625" s="411"/>
      <c r="D625" s="412" t="s">
        <v>2110</v>
      </c>
    </row>
    <row r="626" hidden="1" customHeight="1" spans="1:4">
      <c r="A626" s="410">
        <v>3926909090</v>
      </c>
      <c r="B626" s="411" t="s">
        <v>2554</v>
      </c>
      <c r="C626" s="411"/>
      <c r="D626" s="412" t="s">
        <v>2110</v>
      </c>
    </row>
    <row r="627" s="408" customFormat="1" hidden="1" customHeight="1" spans="1:4">
      <c r="A627" s="410">
        <v>4823909000</v>
      </c>
      <c r="B627" s="411" t="s">
        <v>2555</v>
      </c>
      <c r="C627" s="411"/>
      <c r="D627" s="412" t="s">
        <v>2556</v>
      </c>
    </row>
    <row r="628" hidden="1" customHeight="1" spans="1:4">
      <c r="A628" s="408">
        <v>7325101000</v>
      </c>
      <c r="B628" s="408" t="s">
        <v>2557</v>
      </c>
      <c r="D628" s="409" t="s">
        <v>2558</v>
      </c>
    </row>
    <row r="629" hidden="1" customHeight="1" spans="1:4">
      <c r="A629" s="408">
        <v>8467190000</v>
      </c>
      <c r="B629" s="408" t="s">
        <v>2559</v>
      </c>
      <c r="D629" s="409" t="s">
        <v>2560</v>
      </c>
    </row>
    <row r="630" hidden="1" customHeight="1" spans="1:4">
      <c r="A630" s="410">
        <v>7326909000</v>
      </c>
      <c r="B630" s="411" t="s">
        <v>2561</v>
      </c>
      <c r="C630" s="411"/>
      <c r="D630" s="413" t="s">
        <v>2562</v>
      </c>
    </row>
    <row r="631" hidden="1" customHeight="1" spans="1:4">
      <c r="A631" s="410">
        <v>7326909000</v>
      </c>
      <c r="B631" s="411" t="s">
        <v>2563</v>
      </c>
      <c r="C631" s="411"/>
      <c r="D631" s="413" t="s">
        <v>2562</v>
      </c>
    </row>
    <row r="632" hidden="1" customHeight="1" spans="1:4">
      <c r="A632" s="408">
        <v>8462119000</v>
      </c>
      <c r="B632" s="408" t="s">
        <v>2564</v>
      </c>
      <c r="D632" s="409" t="s">
        <v>2565</v>
      </c>
    </row>
    <row r="633" hidden="1" customHeight="1" spans="1:4">
      <c r="A633" s="408">
        <v>9503009000</v>
      </c>
      <c r="B633" s="408" t="s">
        <v>2566</v>
      </c>
      <c r="D633" s="409" t="s">
        <v>1983</v>
      </c>
    </row>
    <row r="634" hidden="1" customHeight="1" spans="1:4">
      <c r="A634" s="408">
        <v>8480790000</v>
      </c>
      <c r="B634" s="408" t="s">
        <v>2567</v>
      </c>
      <c r="D634" s="409" t="s">
        <v>1907</v>
      </c>
    </row>
    <row r="635" hidden="1" customHeight="1" spans="1:4">
      <c r="A635" s="408">
        <v>732690900</v>
      </c>
      <c r="B635" s="408" t="s">
        <v>2568</v>
      </c>
      <c r="D635" s="409" t="s">
        <v>1919</v>
      </c>
    </row>
    <row r="636" hidden="1" customHeight="1" spans="1:4">
      <c r="A636" s="408">
        <v>7326909000</v>
      </c>
      <c r="B636" s="408" t="s">
        <v>2569</v>
      </c>
      <c r="D636" s="409" t="s">
        <v>1899</v>
      </c>
    </row>
    <row r="637" hidden="1" customHeight="1" spans="1:4">
      <c r="A637" s="408">
        <v>7326909000</v>
      </c>
      <c r="B637" s="408" t="s">
        <v>2570</v>
      </c>
      <c r="D637" s="409" t="s">
        <v>1899</v>
      </c>
    </row>
    <row r="638" hidden="1" customHeight="1" spans="1:4">
      <c r="A638" s="408">
        <v>8480790000</v>
      </c>
      <c r="B638" s="408" t="s">
        <v>2571</v>
      </c>
      <c r="D638" s="409" t="s">
        <v>1907</v>
      </c>
    </row>
    <row r="639" hidden="1" customHeight="1" spans="1:4">
      <c r="A639" s="408">
        <v>8480790000</v>
      </c>
      <c r="B639" s="408" t="s">
        <v>2572</v>
      </c>
      <c r="D639" s="409" t="s">
        <v>1907</v>
      </c>
    </row>
    <row r="640" hidden="1" customHeight="1" spans="1:4">
      <c r="A640" s="408">
        <v>7326909000</v>
      </c>
      <c r="B640" s="408" t="s">
        <v>2573</v>
      </c>
      <c r="D640" s="409" t="s">
        <v>1899</v>
      </c>
    </row>
    <row r="641" hidden="1" customHeight="1" spans="1:4">
      <c r="A641" s="408">
        <v>8480790000</v>
      </c>
      <c r="B641" s="408" t="s">
        <v>2574</v>
      </c>
      <c r="D641" s="409" t="s">
        <v>1907</v>
      </c>
    </row>
    <row r="642" hidden="1" customHeight="1" spans="1:4">
      <c r="A642" s="408">
        <v>4819200000</v>
      </c>
      <c r="B642" s="408" t="s">
        <v>2575</v>
      </c>
      <c r="D642" s="409" t="s">
        <v>1993</v>
      </c>
    </row>
    <row r="643" hidden="1" customHeight="1" spans="1:4">
      <c r="A643" s="410">
        <v>3926909090</v>
      </c>
      <c r="B643" s="411" t="s">
        <v>2576</v>
      </c>
      <c r="C643" s="411"/>
      <c r="D643" s="413" t="s">
        <v>2463</v>
      </c>
    </row>
    <row r="644" hidden="1" customHeight="1" spans="1:4">
      <c r="A644" s="408">
        <v>8466100000</v>
      </c>
      <c r="B644" s="408" t="s">
        <v>2577</v>
      </c>
      <c r="D644" s="409" t="s">
        <v>2578</v>
      </c>
    </row>
    <row r="645" hidden="1" customHeight="1" spans="1:4">
      <c r="A645" s="408">
        <v>8208101100</v>
      </c>
      <c r="B645" s="408" t="s">
        <v>2579</v>
      </c>
      <c r="D645" s="409" t="s">
        <v>2580</v>
      </c>
    </row>
    <row r="646" hidden="1" customHeight="1" spans="1:4">
      <c r="A646" s="408">
        <v>8451500000</v>
      </c>
      <c r="B646" s="408" t="s">
        <v>2581</v>
      </c>
      <c r="D646" s="409" t="s">
        <v>2582</v>
      </c>
    </row>
    <row r="647" hidden="1" customHeight="1" spans="1:4">
      <c r="A647" s="408">
        <v>8205590000</v>
      </c>
      <c r="B647" s="408" t="s">
        <v>2583</v>
      </c>
      <c r="D647" s="409" t="s">
        <v>2584</v>
      </c>
    </row>
    <row r="648" hidden="1" customHeight="1" spans="1:4">
      <c r="A648" s="408">
        <v>8443999090</v>
      </c>
      <c r="B648" s="408" t="s">
        <v>2585</v>
      </c>
      <c r="D648" s="409" t="s">
        <v>1784</v>
      </c>
    </row>
    <row r="649" hidden="1" customHeight="1" spans="1:4">
      <c r="A649" s="408">
        <v>8468900000</v>
      </c>
      <c r="B649" s="408" t="s">
        <v>2586</v>
      </c>
      <c r="D649" s="409" t="s">
        <v>2128</v>
      </c>
    </row>
    <row r="650" hidden="1" customHeight="1" spans="1:4">
      <c r="A650" s="408">
        <v>9024800000</v>
      </c>
      <c r="B650" s="408" t="s">
        <v>2587</v>
      </c>
      <c r="D650" s="409" t="s">
        <v>2588</v>
      </c>
    </row>
    <row r="651" hidden="1" customHeight="1" spans="1:4">
      <c r="A651" s="410">
        <v>8422400090</v>
      </c>
      <c r="B651" s="411" t="s">
        <v>2589</v>
      </c>
      <c r="C651" s="411"/>
      <c r="D651" s="413" t="s">
        <v>2590</v>
      </c>
    </row>
    <row r="652" hidden="1" customHeight="1" spans="1:4">
      <c r="A652" s="408">
        <v>4002991100</v>
      </c>
      <c r="B652" s="408" t="s">
        <v>2591</v>
      </c>
      <c r="D652" s="409" t="s">
        <v>2592</v>
      </c>
    </row>
    <row r="653" hidden="1" customHeight="1" spans="1:4">
      <c r="A653" s="408">
        <v>4002991100</v>
      </c>
      <c r="B653" s="408" t="s">
        <v>2593</v>
      </c>
      <c r="D653" s="409" t="s">
        <v>2594</v>
      </c>
    </row>
    <row r="654" hidden="1" customHeight="1" spans="1:4">
      <c r="A654" s="410">
        <v>4908900000</v>
      </c>
      <c r="B654" s="411" t="s">
        <v>2595</v>
      </c>
      <c r="C654" s="411"/>
      <c r="D654" s="413" t="s">
        <v>2596</v>
      </c>
    </row>
    <row r="655" hidden="1" customHeight="1" spans="1:4">
      <c r="A655" s="408">
        <v>3215902000</v>
      </c>
      <c r="B655" s="408" t="s">
        <v>2597</v>
      </c>
      <c r="D655" s="409" t="s">
        <v>2598</v>
      </c>
    </row>
    <row r="656" hidden="1" customHeight="1" spans="1:4">
      <c r="A656" s="408">
        <v>3215902000</v>
      </c>
      <c r="B656" s="408" t="s">
        <v>2599</v>
      </c>
      <c r="D656" s="409" t="s">
        <v>2598</v>
      </c>
    </row>
    <row r="657" hidden="1" customHeight="1" spans="1:4">
      <c r="A657" s="408">
        <v>3215902000</v>
      </c>
      <c r="B657" s="408" t="s">
        <v>2600</v>
      </c>
      <c r="D657" s="409" t="s">
        <v>2598</v>
      </c>
    </row>
    <row r="658" hidden="1" customHeight="1" spans="1:4">
      <c r="A658" s="408">
        <v>3215902000</v>
      </c>
      <c r="B658" s="408" t="s">
        <v>2601</v>
      </c>
      <c r="D658" s="409" t="s">
        <v>2598</v>
      </c>
    </row>
    <row r="659" hidden="1" customHeight="1" spans="1:4">
      <c r="A659" s="408">
        <v>3215902000</v>
      </c>
      <c r="B659" s="408" t="s">
        <v>2602</v>
      </c>
      <c r="D659" s="409" t="s">
        <v>2598</v>
      </c>
    </row>
    <row r="660" hidden="1" customHeight="1" spans="1:4">
      <c r="A660" s="408">
        <v>3215902000</v>
      </c>
      <c r="B660" s="408" t="s">
        <v>2603</v>
      </c>
      <c r="D660" s="409" t="s">
        <v>2598</v>
      </c>
    </row>
    <row r="661" hidden="1" customHeight="1" spans="1:4">
      <c r="A661" s="408">
        <v>3215902000</v>
      </c>
      <c r="B661" s="408" t="s">
        <v>2604</v>
      </c>
      <c r="D661" s="409" t="s">
        <v>2598</v>
      </c>
    </row>
    <row r="662" hidden="1" customHeight="1" spans="1:4">
      <c r="A662" s="408">
        <v>3215902000</v>
      </c>
      <c r="B662" s="408" t="s">
        <v>2605</v>
      </c>
      <c r="D662" s="409" t="s">
        <v>2598</v>
      </c>
    </row>
    <row r="663" hidden="1" customHeight="1" spans="1:4">
      <c r="A663" s="408">
        <v>4911101000</v>
      </c>
      <c r="B663" s="408" t="s">
        <v>2606</v>
      </c>
      <c r="D663" s="409" t="s">
        <v>1893</v>
      </c>
    </row>
    <row r="664" customHeight="1" spans="1:4">
      <c r="A664" s="408">
        <v>4821100000</v>
      </c>
      <c r="B664" s="408" t="s">
        <v>2607</v>
      </c>
      <c r="D664" s="409" t="s">
        <v>2608</v>
      </c>
    </row>
    <row r="665" hidden="1" customHeight="1" spans="1:4">
      <c r="A665" s="410">
        <v>3926909090</v>
      </c>
      <c r="B665" s="416" t="s">
        <v>2609</v>
      </c>
      <c r="C665" s="416"/>
      <c r="D665" s="412" t="s">
        <v>2110</v>
      </c>
    </row>
    <row r="666" hidden="1" customHeight="1" spans="1:4">
      <c r="A666" s="410">
        <v>3926909090</v>
      </c>
      <c r="B666" s="416" t="s">
        <v>2610</v>
      </c>
      <c r="C666" s="416"/>
      <c r="D666" s="412" t="s">
        <v>2110</v>
      </c>
    </row>
    <row r="667" hidden="1" customHeight="1" spans="1:4">
      <c r="A667" s="410">
        <v>3926909090</v>
      </c>
      <c r="B667" s="416" t="s">
        <v>2611</v>
      </c>
      <c r="C667" s="416"/>
      <c r="D667" s="412" t="s">
        <v>2110</v>
      </c>
    </row>
    <row r="668" hidden="1" customHeight="1" spans="1:4">
      <c r="A668" s="410">
        <v>5609000000</v>
      </c>
      <c r="B668" s="411" t="s">
        <v>2612</v>
      </c>
      <c r="C668" s="411"/>
      <c r="D668" s="413" t="s">
        <v>2276</v>
      </c>
    </row>
    <row r="669" hidden="1" customHeight="1" spans="1:4">
      <c r="A669" s="408">
        <v>4819100000</v>
      </c>
      <c r="B669" s="408" t="s">
        <v>2613</v>
      </c>
      <c r="D669" s="409" t="s">
        <v>1993</v>
      </c>
    </row>
    <row r="670" hidden="1" customHeight="1" spans="1:4">
      <c r="A670" s="410">
        <v>4821100000</v>
      </c>
      <c r="B670" s="411" t="s">
        <v>2614</v>
      </c>
      <c r="C670" s="411"/>
      <c r="D670" s="412" t="s">
        <v>2615</v>
      </c>
    </row>
    <row r="671" hidden="1" customHeight="1" spans="1:4">
      <c r="A671" s="408">
        <v>9503009000</v>
      </c>
      <c r="B671" s="408" t="s">
        <v>2616</v>
      </c>
      <c r="D671" s="409" t="s">
        <v>1983</v>
      </c>
    </row>
    <row r="672" hidden="1" customHeight="1" spans="1:4">
      <c r="A672" s="408">
        <v>8480790000</v>
      </c>
      <c r="B672" s="408" t="s">
        <v>2617</v>
      </c>
      <c r="D672" s="409" t="s">
        <v>1907</v>
      </c>
    </row>
    <row r="673" hidden="1" customHeight="1" spans="1:4">
      <c r="A673" s="408">
        <v>9503009000</v>
      </c>
      <c r="B673" s="408" t="s">
        <v>2618</v>
      </c>
      <c r="D673" s="409" t="s">
        <v>1983</v>
      </c>
    </row>
    <row r="674" hidden="1" customHeight="1" spans="1:4">
      <c r="A674" s="408">
        <v>8480790000</v>
      </c>
      <c r="B674" s="408" t="s">
        <v>2619</v>
      </c>
      <c r="D674" s="409" t="s">
        <v>1907</v>
      </c>
    </row>
    <row r="675" hidden="1" customHeight="1" spans="1:4">
      <c r="A675" s="408">
        <v>9503008900</v>
      </c>
      <c r="B675" s="408" t="s">
        <v>2620</v>
      </c>
      <c r="D675" s="409" t="s">
        <v>1983</v>
      </c>
    </row>
    <row r="676" hidden="1" customHeight="1" spans="1:4">
      <c r="A676" s="408">
        <v>9503009000</v>
      </c>
      <c r="B676" s="408" t="s">
        <v>2621</v>
      </c>
      <c r="D676" s="409" t="s">
        <v>1983</v>
      </c>
    </row>
    <row r="677" hidden="1" customHeight="1" spans="1:4">
      <c r="A677" s="408">
        <v>8480790000</v>
      </c>
      <c r="B677" s="408" t="s">
        <v>2622</v>
      </c>
      <c r="D677" s="409" t="s">
        <v>1907</v>
      </c>
    </row>
    <row r="678" hidden="1" customHeight="1" spans="1:4">
      <c r="A678" s="408">
        <v>4819200000</v>
      </c>
      <c r="B678" s="408" t="s">
        <v>2623</v>
      </c>
      <c r="D678" s="409" t="s">
        <v>1993</v>
      </c>
    </row>
    <row r="679" hidden="1" customHeight="1" spans="1:4">
      <c r="A679" s="408">
        <v>9503009000</v>
      </c>
      <c r="B679" s="408" t="s">
        <v>2624</v>
      </c>
      <c r="D679" s="409" t="s">
        <v>1983</v>
      </c>
    </row>
    <row r="680" hidden="1" customHeight="1" spans="1:4">
      <c r="A680" s="408">
        <v>9503009000</v>
      </c>
      <c r="B680" s="408" t="s">
        <v>2625</v>
      </c>
      <c r="D680" s="409" t="s">
        <v>1983</v>
      </c>
    </row>
    <row r="681" hidden="1" customHeight="1" spans="1:4">
      <c r="A681" s="408">
        <v>8480790000</v>
      </c>
      <c r="B681" s="408" t="s">
        <v>2626</v>
      </c>
      <c r="D681" s="409" t="s">
        <v>1907</v>
      </c>
    </row>
    <row r="682" hidden="1" customHeight="1" spans="1:4">
      <c r="A682" s="408">
        <v>8480790000</v>
      </c>
      <c r="B682" s="408" t="s">
        <v>2627</v>
      </c>
      <c r="D682" s="409" t="s">
        <v>1907</v>
      </c>
    </row>
    <row r="683" hidden="1" customHeight="1" spans="1:4">
      <c r="A683" s="424">
        <v>3923210000</v>
      </c>
      <c r="B683" s="411" t="s">
        <v>2628</v>
      </c>
      <c r="C683" s="411"/>
      <c r="D683" s="414" t="s">
        <v>2629</v>
      </c>
    </row>
    <row r="684" hidden="1" customHeight="1" spans="1:4">
      <c r="A684" s="408">
        <v>7326909000</v>
      </c>
      <c r="B684" s="408" t="s">
        <v>2630</v>
      </c>
      <c r="D684" s="409" t="s">
        <v>1919</v>
      </c>
    </row>
    <row r="685" hidden="1" customHeight="1" spans="1:4">
      <c r="A685" s="408">
        <v>8467190000</v>
      </c>
      <c r="B685" s="408" t="s">
        <v>2631</v>
      </c>
      <c r="D685" s="409" t="s">
        <v>2632</v>
      </c>
    </row>
    <row r="686" hidden="1" customHeight="1" spans="1:4">
      <c r="A686" s="408">
        <v>8472909000</v>
      </c>
      <c r="B686" s="408" t="s">
        <v>2633</v>
      </c>
      <c r="D686" s="409" t="s">
        <v>2634</v>
      </c>
    </row>
    <row r="687" hidden="1" customHeight="1" spans="1:4">
      <c r="A687" s="408">
        <v>8427900000</v>
      </c>
      <c r="B687" s="408" t="s">
        <v>2635</v>
      </c>
      <c r="D687" s="409" t="s">
        <v>2636</v>
      </c>
    </row>
    <row r="688" hidden="1" customHeight="1" spans="1:4">
      <c r="A688" s="410">
        <v>7326909090</v>
      </c>
      <c r="B688" s="411" t="s">
        <v>2637</v>
      </c>
      <c r="C688" s="411"/>
      <c r="D688" s="414" t="s">
        <v>1899</v>
      </c>
    </row>
    <row r="689" hidden="1" customHeight="1" spans="1:4">
      <c r="A689" s="424">
        <v>4819200000</v>
      </c>
      <c r="B689" s="411" t="s">
        <v>2638</v>
      </c>
      <c r="C689" s="411"/>
      <c r="D689" s="414" t="s">
        <v>1993</v>
      </c>
    </row>
    <row r="690" hidden="1" customHeight="1" spans="1:4">
      <c r="A690" s="410">
        <v>7326909090</v>
      </c>
      <c r="B690" s="411" t="s">
        <v>2639</v>
      </c>
      <c r="C690" s="411"/>
      <c r="D690" s="414" t="s">
        <v>1899</v>
      </c>
    </row>
    <row r="691" hidden="1" customHeight="1" spans="1:4">
      <c r="A691" s="408">
        <v>5807900000</v>
      </c>
      <c r="B691" s="408" t="s">
        <v>2640</v>
      </c>
      <c r="D691" s="409" t="s">
        <v>2107</v>
      </c>
    </row>
    <row r="692" hidden="1" customHeight="1" spans="1:4">
      <c r="A692" s="408">
        <v>5807900000</v>
      </c>
      <c r="B692" s="408" t="s">
        <v>2641</v>
      </c>
      <c r="D692" s="409" t="s">
        <v>2107</v>
      </c>
    </row>
    <row r="693" hidden="1" customHeight="1" spans="1:4">
      <c r="A693" s="408">
        <v>8452300000</v>
      </c>
      <c r="B693" s="408" t="s">
        <v>2642</v>
      </c>
      <c r="D693" s="409" t="s">
        <v>2643</v>
      </c>
    </row>
    <row r="694" hidden="1" customHeight="1" spans="1:4">
      <c r="A694" s="410">
        <v>8208200000</v>
      </c>
      <c r="B694" s="411" t="s">
        <v>2644</v>
      </c>
      <c r="C694" s="411"/>
      <c r="D694" s="413" t="s">
        <v>2645</v>
      </c>
    </row>
    <row r="695" hidden="1" customHeight="1" spans="1:4">
      <c r="A695" s="408">
        <v>9503008900</v>
      </c>
      <c r="B695" s="408" t="s">
        <v>2646</v>
      </c>
      <c r="D695" s="409" t="s">
        <v>1983</v>
      </c>
    </row>
    <row r="696" hidden="1" customHeight="1" spans="1:4">
      <c r="A696" s="408">
        <v>8480790000</v>
      </c>
      <c r="B696" s="408" t="s">
        <v>2647</v>
      </c>
      <c r="D696" s="409" t="s">
        <v>1907</v>
      </c>
    </row>
    <row r="697" hidden="1" customHeight="1" spans="1:4">
      <c r="A697" s="408">
        <v>3506100090</v>
      </c>
      <c r="B697" s="408" t="s">
        <v>2648</v>
      </c>
      <c r="D697" s="409" t="s">
        <v>2649</v>
      </c>
    </row>
    <row r="698" hidden="1" customHeight="1" spans="1:4">
      <c r="A698" s="408">
        <v>4911101000</v>
      </c>
      <c r="B698" s="408" t="s">
        <v>754</v>
      </c>
      <c r="D698" s="409" t="s">
        <v>2650</v>
      </c>
    </row>
    <row r="699" hidden="1" customHeight="1" spans="1:4">
      <c r="A699" s="410">
        <v>4911101000</v>
      </c>
      <c r="B699" s="411" t="s">
        <v>2651</v>
      </c>
      <c r="C699" s="411"/>
      <c r="D699" s="413" t="s">
        <v>1893</v>
      </c>
    </row>
    <row r="700" hidden="1" customHeight="1" spans="1:4">
      <c r="A700" s="418">
        <v>4911101000</v>
      </c>
      <c r="B700" s="419" t="s">
        <v>2652</v>
      </c>
      <c r="C700" s="419"/>
      <c r="D700" s="413" t="s">
        <v>1893</v>
      </c>
    </row>
    <row r="701" hidden="1" customHeight="1" spans="1:4">
      <c r="A701" s="408">
        <v>8422303090</v>
      </c>
      <c r="B701" s="408" t="s">
        <v>2653</v>
      </c>
      <c r="D701" s="409" t="s">
        <v>2654</v>
      </c>
    </row>
    <row r="702" hidden="1" customHeight="1" spans="1:4">
      <c r="A702" s="408">
        <v>3926909090</v>
      </c>
      <c r="B702" s="408" t="s">
        <v>2655</v>
      </c>
      <c r="D702" s="409" t="s">
        <v>1790</v>
      </c>
    </row>
    <row r="703" hidden="1" customHeight="1" spans="1:4">
      <c r="A703" s="408">
        <v>3926909090</v>
      </c>
      <c r="B703" s="408" t="s">
        <v>2656</v>
      </c>
      <c r="D703" s="409" t="s">
        <v>1790</v>
      </c>
    </row>
    <row r="704" hidden="1" customHeight="1" spans="1:4">
      <c r="A704" s="408">
        <v>9503009000</v>
      </c>
      <c r="B704" s="408" t="s">
        <v>2657</v>
      </c>
      <c r="D704" s="409" t="s">
        <v>2658</v>
      </c>
    </row>
    <row r="705" hidden="1" customHeight="1" spans="1:4">
      <c r="A705" s="408">
        <v>9503009000</v>
      </c>
      <c r="B705" s="408" t="s">
        <v>2659</v>
      </c>
      <c r="D705" s="409" t="s">
        <v>2660</v>
      </c>
    </row>
    <row r="706" hidden="1" customHeight="1" spans="1:4">
      <c r="A706" s="410">
        <v>9503009000</v>
      </c>
      <c r="B706" s="411" t="s">
        <v>2661</v>
      </c>
      <c r="C706" s="411"/>
      <c r="D706" s="412" t="s">
        <v>2662</v>
      </c>
    </row>
    <row r="707" hidden="1" customHeight="1" spans="1:4">
      <c r="A707" s="408">
        <v>9503009000</v>
      </c>
      <c r="B707" s="408" t="s">
        <v>2663</v>
      </c>
    </row>
    <row r="708" hidden="1" customHeight="1" spans="1:4">
      <c r="A708" s="408">
        <v>7326909000</v>
      </c>
      <c r="B708" s="408" t="s">
        <v>2664</v>
      </c>
      <c r="D708" s="409" t="s">
        <v>2665</v>
      </c>
    </row>
    <row r="709" hidden="1" customHeight="1" spans="1:4">
      <c r="A709" s="408">
        <v>7326909000</v>
      </c>
      <c r="B709" s="408" t="s">
        <v>2666</v>
      </c>
      <c r="D709" s="409" t="s">
        <v>2665</v>
      </c>
    </row>
    <row r="710" hidden="1" customHeight="1" spans="1:4">
      <c r="A710" s="408">
        <v>8480790000</v>
      </c>
      <c r="B710" s="408" t="s">
        <v>2667</v>
      </c>
    </row>
    <row r="711" hidden="1" customHeight="1" spans="1:4">
      <c r="A711" s="408">
        <v>8452300000</v>
      </c>
      <c r="B711" s="408" t="s">
        <v>2668</v>
      </c>
      <c r="D711" s="409" t="s">
        <v>2669</v>
      </c>
    </row>
    <row r="712" hidden="1" customHeight="1" spans="1:4">
      <c r="A712" s="408">
        <v>8480790000</v>
      </c>
      <c r="B712" s="408" t="s">
        <v>2670</v>
      </c>
    </row>
    <row r="713" hidden="1" customHeight="1" spans="1:4">
      <c r="A713" s="408">
        <v>8480790000</v>
      </c>
      <c r="B713" s="408" t="s">
        <v>2671</v>
      </c>
    </row>
    <row r="714" hidden="1" customHeight="1" spans="1:4">
      <c r="A714" s="408">
        <v>9504200090</v>
      </c>
      <c r="B714" s="408" t="s">
        <v>2672</v>
      </c>
    </row>
    <row r="715" hidden="1" customHeight="1" spans="1:4">
      <c r="A715" s="408">
        <v>8205100000</v>
      </c>
      <c r="B715" s="408" t="s">
        <v>2673</v>
      </c>
      <c r="D715" s="409" t="s">
        <v>2674</v>
      </c>
    </row>
    <row r="716" hidden="1" customHeight="1" spans="1:4">
      <c r="A716" s="408">
        <v>8464201000</v>
      </c>
      <c r="B716" s="408" t="s">
        <v>2675</v>
      </c>
      <c r="D716" s="409" t="s">
        <v>2676</v>
      </c>
    </row>
    <row r="717" hidden="1" customHeight="1" spans="1:4">
      <c r="A717" s="408">
        <v>8506109010</v>
      </c>
      <c r="B717" s="408" t="s">
        <v>2677</v>
      </c>
      <c r="D717" s="409" t="s">
        <v>1889</v>
      </c>
    </row>
    <row r="718" hidden="1" customHeight="1" spans="1:4">
      <c r="A718" s="408">
        <v>9503008900</v>
      </c>
      <c r="B718" s="408" t="s">
        <v>2678</v>
      </c>
      <c r="D718" s="409" t="s">
        <v>1983</v>
      </c>
    </row>
    <row r="719" hidden="1" customHeight="1" spans="1:4">
      <c r="A719" s="408">
        <v>4819100000</v>
      </c>
      <c r="B719" s="408" t="s">
        <v>2679</v>
      </c>
      <c r="D719" s="409" t="s">
        <v>1766</v>
      </c>
    </row>
    <row r="720" hidden="1" customHeight="1" spans="1:4">
      <c r="A720" s="408">
        <v>4821100000</v>
      </c>
      <c r="B720" s="408" t="s">
        <v>2680</v>
      </c>
      <c r="D720" s="409" t="s">
        <v>1973</v>
      </c>
    </row>
    <row r="721" hidden="1" customHeight="1" spans="1:4">
      <c r="A721" s="410">
        <v>4819200000</v>
      </c>
      <c r="B721" s="411" t="s">
        <v>2681</v>
      </c>
      <c r="C721" s="411"/>
      <c r="D721" s="412" t="s">
        <v>1766</v>
      </c>
    </row>
    <row r="722" customHeight="1" spans="1:4">
      <c r="A722" s="410">
        <v>4821100000</v>
      </c>
      <c r="B722" s="411" t="s">
        <v>2682</v>
      </c>
      <c r="C722" s="411"/>
      <c r="D722" s="412" t="s">
        <v>2683</v>
      </c>
    </row>
    <row r="723" customHeight="1" spans="1:4">
      <c r="A723" s="408">
        <v>7326909000</v>
      </c>
      <c r="B723" s="408" t="s">
        <v>2684</v>
      </c>
      <c r="D723" s="409" t="s">
        <v>1899</v>
      </c>
    </row>
    <row r="724" customHeight="1" spans="1:4">
      <c r="A724" s="410">
        <v>4821100000</v>
      </c>
      <c r="B724" s="411" t="s">
        <v>875</v>
      </c>
      <c r="C724" s="411"/>
      <c r="D724" s="415" t="s">
        <v>2685</v>
      </c>
    </row>
    <row r="725" customHeight="1" spans="1:4">
      <c r="A725" s="408">
        <v>4821100000</v>
      </c>
      <c r="B725" s="408" t="s">
        <v>2686</v>
      </c>
      <c r="D725" s="409" t="s">
        <v>2687</v>
      </c>
    </row>
    <row r="726" hidden="1" customHeight="1" spans="1:4">
      <c r="A726" s="408">
        <v>8311100000</v>
      </c>
      <c r="B726" s="408" t="s">
        <v>2688</v>
      </c>
      <c r="D726" s="409" t="s">
        <v>2689</v>
      </c>
    </row>
    <row r="727" hidden="1" customHeight="1" spans="1:4">
      <c r="A727" s="408">
        <v>7326909000</v>
      </c>
      <c r="B727" s="408" t="s">
        <v>2690</v>
      </c>
      <c r="D727" s="409" t="s">
        <v>1899</v>
      </c>
    </row>
    <row r="728" hidden="1" customHeight="1" spans="1:4">
      <c r="A728" s="410">
        <v>4819100000</v>
      </c>
      <c r="B728" s="411" t="s">
        <v>2691</v>
      </c>
      <c r="C728" s="411"/>
      <c r="D728" s="413" t="s">
        <v>1766</v>
      </c>
    </row>
    <row r="729" hidden="1" customHeight="1" spans="1:4">
      <c r="A729" s="408">
        <v>4010390000</v>
      </c>
      <c r="B729" s="408" t="s">
        <v>2692</v>
      </c>
    </row>
    <row r="730" hidden="1" customHeight="1" spans="1:4">
      <c r="A730" s="410">
        <v>7326909000</v>
      </c>
      <c r="B730" s="411" t="s">
        <v>2693</v>
      </c>
      <c r="C730" s="411"/>
      <c r="D730" s="414" t="s">
        <v>1899</v>
      </c>
    </row>
    <row r="731" hidden="1" customHeight="1" spans="1:4">
      <c r="A731" s="410">
        <v>7326909000</v>
      </c>
      <c r="B731" s="411" t="s">
        <v>2694</v>
      </c>
      <c r="C731" s="411"/>
      <c r="D731" s="414" t="s">
        <v>1899</v>
      </c>
    </row>
    <row r="732" hidden="1" customHeight="1" spans="1:4">
      <c r="A732" s="408">
        <v>9503009000</v>
      </c>
      <c r="B732" s="408" t="s">
        <v>2695</v>
      </c>
      <c r="D732" s="409" t="s">
        <v>2696</v>
      </c>
    </row>
    <row r="733" hidden="1" customHeight="1" spans="1:4">
      <c r="A733" s="408">
        <v>9004909000</v>
      </c>
      <c r="B733" s="408" t="s">
        <v>2697</v>
      </c>
      <c r="D733" s="409" t="s">
        <v>2205</v>
      </c>
    </row>
    <row r="734" hidden="1" customHeight="1" spans="1:4">
      <c r="A734" s="410">
        <v>4819100000</v>
      </c>
      <c r="B734" s="411" t="s">
        <v>2698</v>
      </c>
      <c r="C734" s="411"/>
      <c r="D734" s="413" t="s">
        <v>1993</v>
      </c>
    </row>
    <row r="735" hidden="1" customHeight="1" spans="1:4">
      <c r="A735" s="408">
        <v>3926909090</v>
      </c>
      <c r="B735" s="408" t="s">
        <v>2699</v>
      </c>
      <c r="D735" s="409" t="s">
        <v>1941</v>
      </c>
    </row>
    <row r="736" hidden="1" customHeight="1" spans="1:4">
      <c r="A736" s="408">
        <v>7319900000</v>
      </c>
      <c r="B736" s="408" t="s">
        <v>2700</v>
      </c>
      <c r="D736" s="409" t="s">
        <v>2131</v>
      </c>
    </row>
    <row r="737" hidden="1" customHeight="1" spans="1:4">
      <c r="A737" s="410">
        <v>3926909090</v>
      </c>
      <c r="B737" s="411" t="s">
        <v>2701</v>
      </c>
      <c r="C737" s="411"/>
      <c r="D737" s="412" t="s">
        <v>2463</v>
      </c>
    </row>
    <row r="738" hidden="1" customHeight="1" spans="1:4">
      <c r="A738" s="408">
        <v>9503009000</v>
      </c>
      <c r="B738" s="408" t="s">
        <v>2702</v>
      </c>
      <c r="D738" s="409" t="s">
        <v>2703</v>
      </c>
    </row>
    <row r="739" hidden="1" customHeight="1" spans="1:4">
      <c r="A739" s="408">
        <v>3923290000</v>
      </c>
      <c r="B739" s="408" t="s">
        <v>2704</v>
      </c>
      <c r="D739" s="409" t="s">
        <v>2705</v>
      </c>
    </row>
    <row r="740" hidden="1" customHeight="1" spans="1:4">
      <c r="A740" s="408">
        <v>3919109900</v>
      </c>
      <c r="B740" s="408" t="s">
        <v>2706</v>
      </c>
      <c r="D740" s="409" t="s">
        <v>2707</v>
      </c>
    </row>
    <row r="741" hidden="1" customHeight="1" spans="1:4">
      <c r="A741" s="408">
        <v>4819200000</v>
      </c>
      <c r="B741" s="408" t="s">
        <v>2708</v>
      </c>
      <c r="D741" s="409" t="s">
        <v>1766</v>
      </c>
    </row>
    <row r="742" hidden="1" customHeight="1" spans="1:4">
      <c r="A742" s="408">
        <v>7325101000</v>
      </c>
      <c r="B742" s="408" t="s">
        <v>2709</v>
      </c>
      <c r="D742" s="409" t="s">
        <v>2558</v>
      </c>
    </row>
    <row r="743" hidden="1" customHeight="1" spans="1:4">
      <c r="A743" s="408">
        <v>8516800000</v>
      </c>
      <c r="B743" s="408" t="s">
        <v>2710</v>
      </c>
      <c r="D743" s="409" t="s">
        <v>2041</v>
      </c>
    </row>
    <row r="744" hidden="1" customHeight="1" spans="1:4">
      <c r="A744" s="408">
        <v>8443999090</v>
      </c>
      <c r="B744" s="408" t="s">
        <v>2711</v>
      </c>
      <c r="D744" s="409" t="s">
        <v>1784</v>
      </c>
    </row>
    <row r="745" hidden="1" customHeight="1" spans="1:4">
      <c r="A745" s="408">
        <v>9503009000</v>
      </c>
      <c r="B745" s="408" t="s">
        <v>2712</v>
      </c>
    </row>
    <row r="746" hidden="1" customHeight="1" spans="1:4">
      <c r="A746" s="408">
        <v>8480790000</v>
      </c>
      <c r="B746" s="408" t="s">
        <v>2713</v>
      </c>
    </row>
    <row r="747" customHeight="1" spans="1:4">
      <c r="A747" s="410">
        <v>4821100000</v>
      </c>
      <c r="B747" s="411" t="s">
        <v>2714</v>
      </c>
      <c r="C747" s="411"/>
      <c r="D747" s="413" t="s">
        <v>2715</v>
      </c>
    </row>
    <row r="748" customHeight="1" spans="1:4">
      <c r="A748" s="410">
        <v>4821100000</v>
      </c>
      <c r="B748" s="411" t="s">
        <v>2716</v>
      </c>
      <c r="C748" s="411"/>
      <c r="D748" s="413" t="s">
        <v>2715</v>
      </c>
    </row>
    <row r="749" customHeight="1" spans="1:4">
      <c r="A749" s="410">
        <v>4821100000</v>
      </c>
      <c r="B749" s="411" t="s">
        <v>2717</v>
      </c>
      <c r="C749" s="411"/>
      <c r="D749" s="413" t="s">
        <v>2715</v>
      </c>
    </row>
    <row r="750" hidden="1" customHeight="1" spans="1:4">
      <c r="A750" s="408">
        <v>3923900000</v>
      </c>
      <c r="B750" s="408" t="s">
        <v>2718</v>
      </c>
      <c r="D750" s="409" t="s">
        <v>2719</v>
      </c>
    </row>
    <row r="751" hidden="1" customHeight="1" spans="1:4">
      <c r="A751" s="408">
        <v>8480790000</v>
      </c>
      <c r="B751" s="408" t="s">
        <v>2720</v>
      </c>
      <c r="D751" s="409" t="s">
        <v>1907</v>
      </c>
    </row>
    <row r="752" hidden="1" customHeight="1" spans="1:4">
      <c r="A752" s="408">
        <v>3923900000</v>
      </c>
      <c r="B752" s="408" t="s">
        <v>2721</v>
      </c>
      <c r="D752" s="409" t="s">
        <v>1790</v>
      </c>
    </row>
    <row r="753" hidden="1" customHeight="1" spans="1:4">
      <c r="A753" s="408">
        <v>8459699000</v>
      </c>
      <c r="B753" s="408" t="s">
        <v>2722</v>
      </c>
    </row>
    <row r="754" hidden="1" customHeight="1" spans="1:4">
      <c r="A754" s="408">
        <v>5806320000</v>
      </c>
      <c r="B754" s="408" t="s">
        <v>2723</v>
      </c>
      <c r="D754" s="409" t="s">
        <v>2724</v>
      </c>
    </row>
    <row r="755" hidden="1" customHeight="1" spans="1:4">
      <c r="A755" s="408">
        <v>7326909000</v>
      </c>
      <c r="B755" s="408" t="s">
        <v>2725</v>
      </c>
      <c r="D755" s="409" t="s">
        <v>1919</v>
      </c>
    </row>
    <row r="756" hidden="1" customHeight="1" spans="1:4">
      <c r="A756" s="408">
        <v>8428200000</v>
      </c>
      <c r="B756" s="408" t="s">
        <v>2726</v>
      </c>
      <c r="D756" s="409" t="s">
        <v>2727</v>
      </c>
    </row>
    <row r="757" hidden="1" customHeight="1" spans="1:4">
      <c r="A757" s="410">
        <v>3923900000</v>
      </c>
      <c r="B757" s="411" t="s">
        <v>1526</v>
      </c>
      <c r="C757" s="411"/>
      <c r="D757" s="412" t="s">
        <v>1790</v>
      </c>
    </row>
    <row r="758" hidden="1" customHeight="1" spans="1:4">
      <c r="A758" s="408">
        <v>3923900000</v>
      </c>
      <c r="B758" s="408" t="s">
        <v>2728</v>
      </c>
      <c r="D758" s="409" t="s">
        <v>1790</v>
      </c>
    </row>
    <row r="759" hidden="1" customHeight="1" spans="1:4">
      <c r="A759" s="408">
        <v>3923900000</v>
      </c>
      <c r="B759" s="408" t="s">
        <v>2729</v>
      </c>
      <c r="D759" s="409" t="s">
        <v>1790</v>
      </c>
    </row>
    <row r="760" hidden="1" customHeight="1" spans="1:4">
      <c r="A760" s="408">
        <v>3923900000</v>
      </c>
      <c r="B760" s="408" t="s">
        <v>2730</v>
      </c>
      <c r="D760" s="409" t="s">
        <v>1790</v>
      </c>
    </row>
    <row r="761" hidden="1" customHeight="1" spans="1:4">
      <c r="A761" s="410">
        <v>3923900000</v>
      </c>
      <c r="B761" s="411" t="s">
        <v>2731</v>
      </c>
      <c r="C761" s="411"/>
      <c r="D761" s="412" t="s">
        <v>1790</v>
      </c>
    </row>
    <row r="762" hidden="1" customHeight="1" spans="1:4">
      <c r="A762" s="408">
        <v>4819200000</v>
      </c>
      <c r="B762" s="408" t="s">
        <v>2732</v>
      </c>
      <c r="D762" s="409" t="s">
        <v>1766</v>
      </c>
    </row>
    <row r="763" hidden="1" customHeight="1" spans="1:4">
      <c r="A763" s="410">
        <v>4819100000</v>
      </c>
      <c r="B763" s="411" t="s">
        <v>2733</v>
      </c>
      <c r="C763" s="411"/>
      <c r="D763" s="412" t="s">
        <v>1993</v>
      </c>
    </row>
    <row r="764" hidden="1" customHeight="1" spans="1:4">
      <c r="A764" s="408">
        <v>3923900000</v>
      </c>
      <c r="B764" s="408" t="s">
        <v>2734</v>
      </c>
      <c r="D764" s="409" t="s">
        <v>1790</v>
      </c>
    </row>
    <row r="765" hidden="1" customHeight="1" spans="1:4">
      <c r="A765" s="408">
        <v>3923900000</v>
      </c>
      <c r="B765" s="408" t="s">
        <v>2735</v>
      </c>
      <c r="D765" s="409" t="s">
        <v>1790</v>
      </c>
    </row>
    <row r="766" hidden="1" customHeight="1" spans="1:4">
      <c r="A766" s="408">
        <v>8480790000</v>
      </c>
      <c r="B766" s="408" t="s">
        <v>111</v>
      </c>
      <c r="D766" s="409" t="s">
        <v>1907</v>
      </c>
    </row>
    <row r="767" hidden="1" customHeight="1" spans="1:4">
      <c r="A767" s="408">
        <v>3923900000</v>
      </c>
      <c r="B767" s="408" t="s">
        <v>1277</v>
      </c>
      <c r="D767" s="409" t="s">
        <v>1882</v>
      </c>
    </row>
    <row r="768" hidden="1" customHeight="1" spans="1:4">
      <c r="A768" s="408">
        <v>3923900000</v>
      </c>
      <c r="B768" s="408" t="s">
        <v>2736</v>
      </c>
    </row>
    <row r="769" hidden="1" customHeight="1" spans="1:4">
      <c r="A769" s="408">
        <v>3923900000</v>
      </c>
      <c r="B769" s="408" t="s">
        <v>2737</v>
      </c>
      <c r="D769" s="409" t="s">
        <v>1790</v>
      </c>
    </row>
    <row r="770" hidden="1" customHeight="1" spans="1:4">
      <c r="A770" s="408">
        <v>3923900000</v>
      </c>
      <c r="B770" s="408" t="s">
        <v>2738</v>
      </c>
    </row>
    <row r="771" hidden="1" customHeight="1" spans="1:4">
      <c r="A771" s="408">
        <v>3923900000</v>
      </c>
      <c r="B771" s="408" t="s">
        <v>2739</v>
      </c>
    </row>
    <row r="772" hidden="1" customHeight="1" spans="1:4">
      <c r="A772" s="408">
        <v>3923900000</v>
      </c>
      <c r="B772" s="408" t="s">
        <v>2740</v>
      </c>
      <c r="D772" s="409" t="s">
        <v>1790</v>
      </c>
    </row>
    <row r="773" hidden="1" customHeight="1" spans="1:4">
      <c r="A773" s="410">
        <v>5506909000</v>
      </c>
      <c r="B773" s="411" t="s">
        <v>2741</v>
      </c>
      <c r="C773" s="411"/>
      <c r="D773" s="412" t="s">
        <v>2742</v>
      </c>
    </row>
    <row r="774" hidden="1" customHeight="1" spans="1:4">
      <c r="A774" s="408">
        <v>8480790000</v>
      </c>
      <c r="B774" s="408" t="s">
        <v>2743</v>
      </c>
      <c r="D774" s="409" t="s">
        <v>1907</v>
      </c>
    </row>
    <row r="775" hidden="1" customHeight="1" spans="1:4">
      <c r="A775" s="408">
        <v>8443999090</v>
      </c>
      <c r="B775" s="408" t="s">
        <v>2744</v>
      </c>
      <c r="D775" s="409" t="s">
        <v>1784</v>
      </c>
    </row>
    <row r="776" hidden="1" customHeight="1" spans="1:4">
      <c r="A776" s="408">
        <v>8480790000</v>
      </c>
      <c r="B776" s="408" t="s">
        <v>2745</v>
      </c>
    </row>
    <row r="777" hidden="1" customHeight="1" spans="1:4">
      <c r="A777" s="408">
        <v>8213000000</v>
      </c>
      <c r="B777" s="408" t="s">
        <v>2746</v>
      </c>
      <c r="D777" s="409" t="s">
        <v>2747</v>
      </c>
    </row>
    <row r="778" hidden="1" customHeight="1" spans="1:4">
      <c r="A778" s="408">
        <v>3923900000</v>
      </c>
      <c r="B778" s="408" t="s">
        <v>2748</v>
      </c>
      <c r="D778" s="409" t="s">
        <v>1790</v>
      </c>
    </row>
    <row r="779" hidden="1" customHeight="1" spans="1:4">
      <c r="A779" s="408">
        <v>7326909000</v>
      </c>
      <c r="B779" s="408" t="s">
        <v>2749</v>
      </c>
      <c r="D779" s="409" t="s">
        <v>2396</v>
      </c>
    </row>
    <row r="780" hidden="1" customHeight="1" spans="1:4">
      <c r="A780" s="408">
        <v>8422200000</v>
      </c>
      <c r="B780" s="408" t="s">
        <v>2750</v>
      </c>
      <c r="D780" s="409" t="s">
        <v>2751</v>
      </c>
    </row>
    <row r="781" hidden="1" customHeight="1" spans="1:4">
      <c r="A781" s="408">
        <v>8203200090</v>
      </c>
      <c r="B781" s="408" t="s">
        <v>2752</v>
      </c>
      <c r="D781" s="409" t="s">
        <v>2753</v>
      </c>
    </row>
    <row r="782" hidden="1" customHeight="1" spans="1:4">
      <c r="A782" s="408">
        <v>8467920000</v>
      </c>
      <c r="B782" s="408" t="s">
        <v>2754</v>
      </c>
      <c r="D782" s="409" t="s">
        <v>2755</v>
      </c>
    </row>
    <row r="783" hidden="1" customHeight="1" spans="1:4">
      <c r="A783" s="408">
        <v>3926901000</v>
      </c>
      <c r="B783" s="408" t="s">
        <v>2756</v>
      </c>
      <c r="D783" s="409" t="s">
        <v>1790</v>
      </c>
    </row>
    <row r="784" hidden="1" customHeight="1" spans="1:4">
      <c r="A784" s="408">
        <v>8467890000</v>
      </c>
      <c r="B784" s="408" t="s">
        <v>2757</v>
      </c>
      <c r="D784" s="409" t="s">
        <v>2758</v>
      </c>
    </row>
    <row r="785" hidden="1" customHeight="1" spans="1:4">
      <c r="A785" s="408">
        <v>9603302090</v>
      </c>
      <c r="B785" s="408" t="s">
        <v>2759</v>
      </c>
      <c r="D785" s="409" t="s">
        <v>2097</v>
      </c>
    </row>
    <row r="786" hidden="1" customHeight="1" spans="1:4">
      <c r="A786" s="410">
        <v>7326909000</v>
      </c>
      <c r="B786" s="411" t="s">
        <v>2760</v>
      </c>
      <c r="C786" s="411"/>
      <c r="D786" s="412" t="s">
        <v>1899</v>
      </c>
    </row>
    <row r="787" hidden="1" customHeight="1" spans="1:4">
      <c r="A787" s="410">
        <v>7326909000</v>
      </c>
      <c r="B787" s="411" t="s">
        <v>2761</v>
      </c>
      <c r="C787" s="411"/>
      <c r="D787" s="412" t="s">
        <v>1899</v>
      </c>
    </row>
    <row r="788" hidden="1" customHeight="1" spans="1:4">
      <c r="A788" s="408">
        <v>8467890000</v>
      </c>
      <c r="B788" s="408" t="s">
        <v>2762</v>
      </c>
      <c r="D788" s="409" t="s">
        <v>2763</v>
      </c>
    </row>
    <row r="789" hidden="1" customHeight="1" spans="1:4">
      <c r="A789" s="408">
        <v>3923900000</v>
      </c>
      <c r="B789" s="408" t="s">
        <v>2764</v>
      </c>
      <c r="D789" s="409" t="s">
        <v>1790</v>
      </c>
    </row>
    <row r="790" hidden="1" customHeight="1" spans="1:4">
      <c r="A790" s="410">
        <v>7326909090</v>
      </c>
      <c r="B790" s="411" t="s">
        <v>2765</v>
      </c>
      <c r="C790" s="411"/>
      <c r="D790" s="414" t="s">
        <v>1899</v>
      </c>
    </row>
    <row r="791" hidden="1" customHeight="1" spans="1:4">
      <c r="A791" s="408">
        <v>8443999090</v>
      </c>
      <c r="B791" s="408" t="s">
        <v>2766</v>
      </c>
      <c r="D791" s="409" t="s">
        <v>1784</v>
      </c>
    </row>
    <row r="792" hidden="1" customHeight="1" spans="1:4">
      <c r="A792" s="408">
        <v>7326909000</v>
      </c>
      <c r="B792" s="408" t="s">
        <v>2767</v>
      </c>
    </row>
    <row r="793" hidden="1" customHeight="1" spans="1:4">
      <c r="A793" s="410">
        <v>8481400000</v>
      </c>
      <c r="B793" s="416" t="s">
        <v>2768</v>
      </c>
      <c r="C793" s="416"/>
      <c r="D793" s="412" t="s">
        <v>2769</v>
      </c>
    </row>
    <row r="794" hidden="1" customHeight="1" spans="1:4">
      <c r="A794" s="408">
        <v>7326909000</v>
      </c>
      <c r="B794" s="408" t="s">
        <v>2770</v>
      </c>
    </row>
    <row r="795" hidden="1" customHeight="1" spans="1:4">
      <c r="A795" s="410">
        <v>4819200000</v>
      </c>
      <c r="B795" s="411" t="s">
        <v>2771</v>
      </c>
      <c r="C795" s="411"/>
      <c r="D795" s="413" t="s">
        <v>1766</v>
      </c>
    </row>
    <row r="796" hidden="1" customHeight="1" spans="1:4">
      <c r="A796" s="408">
        <v>8480790000</v>
      </c>
      <c r="B796" s="408" t="s">
        <v>2772</v>
      </c>
    </row>
    <row r="797" hidden="1" customHeight="1" spans="1:4">
      <c r="A797" s="408">
        <v>7326909000</v>
      </c>
      <c r="B797" s="408" t="s">
        <v>2773</v>
      </c>
    </row>
    <row r="798" hidden="1" customHeight="1" spans="1:4">
      <c r="A798" s="410">
        <v>7326909090</v>
      </c>
      <c r="B798" s="411" t="s">
        <v>2774</v>
      </c>
      <c r="C798" s="411"/>
      <c r="D798" s="414" t="s">
        <v>1899</v>
      </c>
    </row>
    <row r="799" hidden="1" customHeight="1" spans="1:4">
      <c r="A799" s="410">
        <v>7326909090</v>
      </c>
      <c r="B799" s="411" t="s">
        <v>2775</v>
      </c>
      <c r="C799" s="411"/>
      <c r="D799" s="414" t="s">
        <v>1907</v>
      </c>
    </row>
    <row r="800" hidden="1" customHeight="1" spans="1:4">
      <c r="A800" s="410">
        <v>7326909090</v>
      </c>
      <c r="B800" s="411" t="s">
        <v>2776</v>
      </c>
      <c r="C800" s="411"/>
      <c r="D800" s="414" t="s">
        <v>1907</v>
      </c>
    </row>
    <row r="801" hidden="1" customHeight="1" spans="1:4">
      <c r="A801" s="410">
        <v>8467999000</v>
      </c>
      <c r="B801" s="411" t="s">
        <v>2777</v>
      </c>
      <c r="C801" s="411"/>
      <c r="D801" s="412" t="s">
        <v>2778</v>
      </c>
    </row>
    <row r="802" hidden="1" customHeight="1" spans="1:4">
      <c r="A802" s="410">
        <v>8467999000</v>
      </c>
      <c r="B802" s="411" t="s">
        <v>2779</v>
      </c>
      <c r="C802" s="411"/>
      <c r="D802" s="412" t="s">
        <v>2778</v>
      </c>
    </row>
    <row r="803" hidden="1" customHeight="1" spans="1:4">
      <c r="A803" s="408">
        <v>9503008900</v>
      </c>
      <c r="B803" s="408" t="s">
        <v>2780</v>
      </c>
      <c r="D803" s="409" t="s">
        <v>1983</v>
      </c>
    </row>
    <row r="804" hidden="1" customHeight="1" spans="1:4">
      <c r="A804" s="408">
        <v>9503009000</v>
      </c>
      <c r="B804" s="408" t="s">
        <v>2781</v>
      </c>
      <c r="D804" s="409" t="s">
        <v>1922</v>
      </c>
    </row>
    <row r="805" hidden="1" customHeight="1" spans="1:4">
      <c r="A805" s="410">
        <v>8531200000</v>
      </c>
      <c r="B805" s="411" t="s">
        <v>2782</v>
      </c>
      <c r="C805" s="411"/>
      <c r="D805" s="412" t="s">
        <v>2783</v>
      </c>
    </row>
    <row r="806" hidden="1" customHeight="1" spans="1:4">
      <c r="A806" s="408">
        <v>8422303090</v>
      </c>
      <c r="B806" s="408" t="s">
        <v>2784</v>
      </c>
      <c r="D806" s="409" t="s">
        <v>2785</v>
      </c>
    </row>
    <row r="807" hidden="1" customHeight="1" spans="1:4">
      <c r="A807" s="408">
        <v>9503009000</v>
      </c>
      <c r="B807" s="408" t="s">
        <v>2786</v>
      </c>
      <c r="D807" s="409" t="s">
        <v>2787</v>
      </c>
    </row>
    <row r="808" hidden="1" customHeight="1" spans="1:4">
      <c r="A808" s="408">
        <v>8480790000</v>
      </c>
      <c r="B808" s="408" t="s">
        <v>2788</v>
      </c>
    </row>
    <row r="809" hidden="1" customHeight="1" spans="1:4">
      <c r="A809" s="408">
        <v>7326909000</v>
      </c>
      <c r="B809" s="408" t="s">
        <v>2789</v>
      </c>
      <c r="D809" s="409" t="s">
        <v>2790</v>
      </c>
    </row>
    <row r="810" hidden="1" customHeight="1" spans="1:4">
      <c r="A810" s="408">
        <v>5806320000</v>
      </c>
      <c r="B810" s="408" t="s">
        <v>2791</v>
      </c>
      <c r="D810" s="409" t="s">
        <v>1745</v>
      </c>
    </row>
    <row r="811" hidden="1" customHeight="1" spans="1:4">
      <c r="A811" s="408">
        <v>5806320000</v>
      </c>
      <c r="B811" s="408" t="s">
        <v>2792</v>
      </c>
      <c r="D811" s="409" t="s">
        <v>1745</v>
      </c>
    </row>
    <row r="812" hidden="1" customHeight="1" spans="1:4">
      <c r="A812" s="408">
        <v>5806320000</v>
      </c>
      <c r="B812" s="408" t="s">
        <v>2793</v>
      </c>
      <c r="D812" s="409" t="s">
        <v>1745</v>
      </c>
    </row>
    <row r="813" hidden="1" customHeight="1" spans="1:4">
      <c r="A813" s="408">
        <v>5806320000</v>
      </c>
      <c r="B813" s="408" t="s">
        <v>2794</v>
      </c>
      <c r="D813" s="409" t="s">
        <v>1745</v>
      </c>
    </row>
    <row r="814" hidden="1" customHeight="1" spans="1:4">
      <c r="A814" s="408">
        <v>5806320000</v>
      </c>
      <c r="B814" s="408" t="s">
        <v>2795</v>
      </c>
      <c r="D814" s="409" t="s">
        <v>1745</v>
      </c>
    </row>
    <row r="815" hidden="1" customHeight="1" spans="1:4">
      <c r="A815" s="408">
        <v>3215902000</v>
      </c>
      <c r="B815" s="408" t="s">
        <v>2796</v>
      </c>
      <c r="D815" s="409" t="s">
        <v>2598</v>
      </c>
    </row>
    <row r="816" hidden="1" customHeight="1" spans="1:4">
      <c r="A816" s="410">
        <v>3215902000</v>
      </c>
      <c r="B816" s="411" t="s">
        <v>2797</v>
      </c>
      <c r="C816" s="411"/>
      <c r="D816" s="415" t="s">
        <v>2598</v>
      </c>
    </row>
    <row r="817" hidden="1" customHeight="1" spans="1:4">
      <c r="A817" s="410">
        <v>3215902000</v>
      </c>
      <c r="B817" s="411" t="s">
        <v>2798</v>
      </c>
      <c r="C817" s="411"/>
      <c r="D817" s="415" t="s">
        <v>2598</v>
      </c>
    </row>
    <row r="818" hidden="1" customHeight="1" spans="1:4">
      <c r="A818" s="410">
        <v>3215902000</v>
      </c>
      <c r="B818" s="411" t="s">
        <v>2799</v>
      </c>
      <c r="C818" s="411"/>
      <c r="D818" s="415" t="s">
        <v>2598</v>
      </c>
    </row>
    <row r="819" hidden="1" customHeight="1" spans="1:4">
      <c r="A819" s="410">
        <v>3215902000</v>
      </c>
      <c r="B819" s="411" t="s">
        <v>2800</v>
      </c>
      <c r="C819" s="411"/>
      <c r="D819" s="415" t="s">
        <v>2598</v>
      </c>
    </row>
    <row r="820" hidden="1" customHeight="1" spans="1:4">
      <c r="A820" s="408">
        <v>3215902000</v>
      </c>
      <c r="B820" s="408" t="s">
        <v>2801</v>
      </c>
      <c r="D820" s="409" t="s">
        <v>2598</v>
      </c>
    </row>
    <row r="821" hidden="1" customHeight="1" spans="1:4">
      <c r="A821" s="408">
        <v>3215902000</v>
      </c>
      <c r="B821" s="408" t="s">
        <v>2802</v>
      </c>
      <c r="D821" s="409" t="s">
        <v>2598</v>
      </c>
    </row>
    <row r="822" hidden="1" customHeight="1" spans="1:4">
      <c r="A822" s="408">
        <v>3215902000</v>
      </c>
      <c r="B822" s="408" t="s">
        <v>2803</v>
      </c>
      <c r="D822" s="409" t="s">
        <v>2598</v>
      </c>
    </row>
    <row r="823" hidden="1" customHeight="1" spans="1:4">
      <c r="A823" s="408">
        <v>3215902000</v>
      </c>
      <c r="B823" s="408" t="s">
        <v>2804</v>
      </c>
      <c r="D823" s="409" t="s">
        <v>2598</v>
      </c>
    </row>
    <row r="824" hidden="1" customHeight="1" spans="1:4">
      <c r="A824" s="408">
        <v>7326909000</v>
      </c>
      <c r="B824" s="408" t="s">
        <v>2805</v>
      </c>
      <c r="D824" s="409" t="s">
        <v>1899</v>
      </c>
    </row>
    <row r="825" hidden="1" customHeight="1" spans="1:4">
      <c r="A825" s="408">
        <v>7326909000</v>
      </c>
      <c r="B825" s="408" t="s">
        <v>2806</v>
      </c>
      <c r="D825" s="409" t="s">
        <v>1899</v>
      </c>
    </row>
    <row r="826" hidden="1" customHeight="1" spans="1:4">
      <c r="A826" s="408">
        <v>7326909000</v>
      </c>
      <c r="B826" s="408" t="s">
        <v>2807</v>
      </c>
      <c r="D826" s="409" t="s">
        <v>1899</v>
      </c>
    </row>
    <row r="827" hidden="1" customHeight="1" spans="1:4">
      <c r="A827" s="408">
        <v>4821100000</v>
      </c>
      <c r="B827" s="408" t="s">
        <v>2808</v>
      </c>
      <c r="D827" s="409" t="s">
        <v>2809</v>
      </c>
    </row>
    <row r="828" hidden="1" customHeight="1" spans="1:4">
      <c r="A828" s="408">
        <v>4823909000</v>
      </c>
      <c r="B828" s="425" t="s">
        <v>946</v>
      </c>
      <c r="C828" s="425"/>
      <c r="D828" s="409" t="s">
        <v>2810</v>
      </c>
    </row>
    <row r="829" hidden="1" customHeight="1" spans="1:4">
      <c r="A829" s="410">
        <v>4823909000</v>
      </c>
      <c r="B829" s="411" t="s">
        <v>2811</v>
      </c>
      <c r="C829" s="411"/>
      <c r="D829" s="413" t="s">
        <v>2812</v>
      </c>
    </row>
    <row r="830" hidden="1" customHeight="1" spans="1:4">
      <c r="A830" s="410">
        <v>7326909000</v>
      </c>
      <c r="B830" s="411" t="s">
        <v>2813</v>
      </c>
      <c r="C830" s="411"/>
      <c r="D830" s="412" t="s">
        <v>1899</v>
      </c>
    </row>
    <row r="831" hidden="1" customHeight="1" spans="1:4">
      <c r="A831" s="410">
        <v>7326909000</v>
      </c>
      <c r="B831" s="411" t="s">
        <v>2814</v>
      </c>
      <c r="C831" s="411"/>
      <c r="D831" s="412" t="s">
        <v>1899</v>
      </c>
    </row>
    <row r="832" hidden="1" customHeight="1" spans="1:4">
      <c r="A832" s="410">
        <v>7326909000</v>
      </c>
      <c r="B832" s="411" t="s">
        <v>2815</v>
      </c>
      <c r="C832" s="411"/>
      <c r="D832" s="412" t="s">
        <v>1899</v>
      </c>
    </row>
    <row r="833" hidden="1" customHeight="1" spans="1:4">
      <c r="A833" s="410">
        <v>7326909000</v>
      </c>
      <c r="B833" s="411" t="s">
        <v>2816</v>
      </c>
      <c r="C833" s="411"/>
      <c r="D833" s="412" t="s">
        <v>1899</v>
      </c>
    </row>
    <row r="834" hidden="1" customHeight="1" spans="1:4">
      <c r="A834" s="408">
        <v>8480790000</v>
      </c>
      <c r="B834" s="408" t="s">
        <v>2817</v>
      </c>
      <c r="D834" s="409" t="s">
        <v>1907</v>
      </c>
    </row>
    <row r="835" hidden="1" customHeight="1" spans="1:4">
      <c r="A835" s="410">
        <v>7326909090</v>
      </c>
      <c r="B835" s="411" t="s">
        <v>2818</v>
      </c>
      <c r="C835" s="411"/>
      <c r="D835" s="414" t="s">
        <v>1899</v>
      </c>
    </row>
    <row r="836" hidden="1" customHeight="1" spans="1:4">
      <c r="A836" s="410">
        <v>8480790000</v>
      </c>
      <c r="B836" s="411" t="s">
        <v>2819</v>
      </c>
      <c r="C836" s="411"/>
      <c r="D836" s="414" t="s">
        <v>1907</v>
      </c>
    </row>
    <row r="837" hidden="1" customHeight="1" spans="1:4">
      <c r="A837" s="410">
        <v>7326909090</v>
      </c>
      <c r="B837" s="411" t="s">
        <v>2820</v>
      </c>
      <c r="C837" s="411"/>
      <c r="D837" s="414" t="s">
        <v>1899</v>
      </c>
    </row>
    <row r="838" hidden="1" customHeight="1" spans="1:4">
      <c r="A838" s="408">
        <v>7326909000</v>
      </c>
      <c r="B838" s="408" t="s">
        <v>2821</v>
      </c>
      <c r="D838" s="409" t="s">
        <v>1899</v>
      </c>
    </row>
    <row r="839" hidden="1" customHeight="1" spans="1:4">
      <c r="A839" s="408">
        <v>8480790000</v>
      </c>
      <c r="B839" s="408" t="s">
        <v>2822</v>
      </c>
      <c r="D839" s="409" t="s">
        <v>1907</v>
      </c>
    </row>
    <row r="840" hidden="1" customHeight="1" spans="1:4">
      <c r="A840" s="408">
        <v>8480790000</v>
      </c>
      <c r="B840" s="408" t="s">
        <v>2823</v>
      </c>
      <c r="D840" s="409" t="s">
        <v>1907</v>
      </c>
    </row>
    <row r="841" hidden="1" customHeight="1" spans="1:4">
      <c r="A841" s="408">
        <v>8480790000</v>
      </c>
      <c r="B841" s="408" t="s">
        <v>2824</v>
      </c>
      <c r="D841" s="409" t="s">
        <v>1907</v>
      </c>
    </row>
    <row r="842" hidden="1" customHeight="1" spans="1:4">
      <c r="A842" s="408">
        <v>7326909000</v>
      </c>
      <c r="B842" s="408" t="s">
        <v>2825</v>
      </c>
      <c r="D842" s="409" t="s">
        <v>1899</v>
      </c>
    </row>
    <row r="843" hidden="1" customHeight="1" spans="1:4">
      <c r="A843" s="408">
        <v>8203200090</v>
      </c>
      <c r="B843" s="408" t="s">
        <v>2826</v>
      </c>
      <c r="D843" s="409" t="s">
        <v>2352</v>
      </c>
    </row>
    <row r="844" hidden="1" customHeight="1" spans="1:4">
      <c r="A844" s="408">
        <v>4819100000</v>
      </c>
      <c r="B844" s="408" t="s">
        <v>2827</v>
      </c>
      <c r="D844" s="409" t="s">
        <v>1993</v>
      </c>
    </row>
    <row r="845" hidden="1" customHeight="1" spans="1:4">
      <c r="A845" s="408">
        <v>9503009000</v>
      </c>
      <c r="B845" s="408" t="s">
        <v>2828</v>
      </c>
      <c r="D845" s="409" t="s">
        <v>1983</v>
      </c>
    </row>
    <row r="846" hidden="1" customHeight="1" spans="1:4">
      <c r="A846" s="408">
        <v>9503009000</v>
      </c>
      <c r="B846" s="408" t="s">
        <v>2829</v>
      </c>
      <c r="D846" s="409" t="s">
        <v>1983</v>
      </c>
    </row>
    <row r="847" customHeight="1" spans="1:4">
      <c r="A847" s="408">
        <v>4821100000</v>
      </c>
      <c r="B847" s="408" t="s">
        <v>2830</v>
      </c>
      <c r="D847" s="409" t="s">
        <v>2831</v>
      </c>
    </row>
    <row r="848" hidden="1" customHeight="1" spans="1:4">
      <c r="A848" s="408">
        <v>3926909090</v>
      </c>
      <c r="B848" s="408" t="s">
        <v>2832</v>
      </c>
      <c r="D848" s="409" t="s">
        <v>1941</v>
      </c>
    </row>
    <row r="849" hidden="1" customHeight="1" spans="1:4">
      <c r="A849" s="408">
        <v>8480790000</v>
      </c>
      <c r="B849" s="408" t="s">
        <v>2833</v>
      </c>
      <c r="D849" s="409" t="s">
        <v>1907</v>
      </c>
    </row>
    <row r="850" hidden="1" customHeight="1" spans="1:4">
      <c r="A850" s="408">
        <v>8480790000</v>
      </c>
      <c r="B850" s="408" t="s">
        <v>2834</v>
      </c>
      <c r="D850" s="409" t="s">
        <v>1907</v>
      </c>
    </row>
    <row r="851" hidden="1" customHeight="1" spans="1:4">
      <c r="A851" s="408">
        <v>7326909000</v>
      </c>
      <c r="B851" s="408" t="s">
        <v>2835</v>
      </c>
      <c r="D851" s="409" t="s">
        <v>1899</v>
      </c>
    </row>
    <row r="852" hidden="1" customHeight="1" spans="1:4">
      <c r="A852" s="408">
        <v>8480790000</v>
      </c>
      <c r="B852" s="408" t="s">
        <v>2836</v>
      </c>
      <c r="D852" s="409" t="s">
        <v>1907</v>
      </c>
    </row>
    <row r="853" hidden="1" customHeight="1" spans="1:4">
      <c r="A853" s="408">
        <v>8480790000</v>
      </c>
      <c r="B853" s="408" t="s">
        <v>2837</v>
      </c>
      <c r="D853" s="409" t="s">
        <v>1907</v>
      </c>
    </row>
    <row r="854" hidden="1" customHeight="1" spans="1:4">
      <c r="A854" s="408">
        <v>8480790000</v>
      </c>
      <c r="B854" s="408" t="s">
        <v>2838</v>
      </c>
      <c r="D854" s="409" t="s">
        <v>1907</v>
      </c>
    </row>
    <row r="855" hidden="1" customHeight="1" spans="1:4">
      <c r="A855" s="408">
        <v>7326909000</v>
      </c>
      <c r="B855" s="408" t="s">
        <v>2839</v>
      </c>
      <c r="D855" s="409" t="s">
        <v>1899</v>
      </c>
    </row>
    <row r="856" hidden="1" customHeight="1" spans="1:4">
      <c r="A856" s="408">
        <v>7326909000</v>
      </c>
      <c r="B856" s="408" t="s">
        <v>2840</v>
      </c>
      <c r="D856" s="409" t="s">
        <v>1899</v>
      </c>
    </row>
    <row r="857" hidden="1" customHeight="1" spans="1:4">
      <c r="A857" s="408">
        <v>7326909000</v>
      </c>
      <c r="B857" s="408" t="s">
        <v>2841</v>
      </c>
      <c r="D857" s="409" t="s">
        <v>1899</v>
      </c>
    </row>
    <row r="858" hidden="1" customHeight="1" spans="1:4">
      <c r="A858" s="408">
        <v>7326909000</v>
      </c>
      <c r="B858" s="408" t="s">
        <v>2842</v>
      </c>
      <c r="D858" s="409" t="s">
        <v>1899</v>
      </c>
    </row>
    <row r="859" hidden="1" customHeight="1" spans="1:4">
      <c r="A859" s="408">
        <v>8480790000</v>
      </c>
      <c r="B859" s="408" t="s">
        <v>2843</v>
      </c>
      <c r="D859" s="409" t="s">
        <v>1907</v>
      </c>
    </row>
    <row r="860" hidden="1" customHeight="1" spans="1:4">
      <c r="A860" s="408">
        <v>8480790000</v>
      </c>
      <c r="B860" s="408" t="s">
        <v>2844</v>
      </c>
      <c r="D860" s="409" t="s">
        <v>1907</v>
      </c>
    </row>
    <row r="861" hidden="1" customHeight="1" spans="1:4">
      <c r="A861" s="408">
        <v>7326909000</v>
      </c>
      <c r="B861" s="408" t="s">
        <v>2845</v>
      </c>
      <c r="D861" s="409" t="s">
        <v>1899</v>
      </c>
    </row>
    <row r="862" hidden="1" customHeight="1" spans="1:4">
      <c r="A862" s="408">
        <v>8480790000</v>
      </c>
      <c r="B862" s="408" t="s">
        <v>2846</v>
      </c>
      <c r="D862" s="409" t="s">
        <v>1907</v>
      </c>
    </row>
    <row r="863" hidden="1" customHeight="1" spans="1:4">
      <c r="A863" s="408">
        <v>8480790000</v>
      </c>
      <c r="B863" s="408" t="s">
        <v>2847</v>
      </c>
      <c r="D863" s="409" t="s">
        <v>1907</v>
      </c>
    </row>
    <row r="864" hidden="1" customHeight="1" spans="1:4">
      <c r="A864" s="408">
        <v>7326909000</v>
      </c>
      <c r="B864" s="408" t="s">
        <v>2848</v>
      </c>
      <c r="D864" s="409" t="s">
        <v>1899</v>
      </c>
    </row>
    <row r="865" hidden="1" customHeight="1" spans="1:4">
      <c r="A865" s="408">
        <v>7326909000</v>
      </c>
      <c r="B865" s="408" t="s">
        <v>2849</v>
      </c>
      <c r="D865" s="409" t="s">
        <v>1899</v>
      </c>
    </row>
    <row r="866" hidden="1" customHeight="1" spans="1:4">
      <c r="A866" s="408">
        <v>7326909000</v>
      </c>
      <c r="B866" s="408" t="s">
        <v>2850</v>
      </c>
      <c r="D866" s="409" t="s">
        <v>1899</v>
      </c>
    </row>
    <row r="867" hidden="1" customHeight="1" spans="1:4">
      <c r="A867" s="408">
        <v>8480790000</v>
      </c>
      <c r="B867" s="408" t="s">
        <v>2851</v>
      </c>
      <c r="D867" s="409" t="s">
        <v>1907</v>
      </c>
    </row>
    <row r="868" hidden="1" customHeight="1" spans="1:4">
      <c r="A868" s="408">
        <v>7326909000</v>
      </c>
      <c r="B868" s="408" t="s">
        <v>2852</v>
      </c>
      <c r="D868" s="409" t="s">
        <v>1899</v>
      </c>
    </row>
    <row r="869" hidden="1" customHeight="1" spans="1:4">
      <c r="A869" s="410">
        <v>3923900000</v>
      </c>
      <c r="B869" s="411" t="s">
        <v>2853</v>
      </c>
      <c r="C869" s="411"/>
      <c r="D869" s="413" t="s">
        <v>1790</v>
      </c>
    </row>
    <row r="870" hidden="1" customHeight="1" spans="1:4">
      <c r="A870" s="408">
        <v>8480790000</v>
      </c>
      <c r="B870" s="408" t="s">
        <v>2854</v>
      </c>
      <c r="D870" s="409" t="s">
        <v>1907</v>
      </c>
    </row>
    <row r="871" hidden="1" customHeight="1" spans="1:4">
      <c r="A871" s="408">
        <v>7326909000</v>
      </c>
      <c r="B871" s="408" t="s">
        <v>2855</v>
      </c>
      <c r="D871" s="409" t="s">
        <v>1899</v>
      </c>
    </row>
    <row r="872" hidden="1" customHeight="1" spans="1:4">
      <c r="A872" s="408">
        <v>8480790000</v>
      </c>
      <c r="B872" s="408" t="s">
        <v>2856</v>
      </c>
      <c r="D872" s="409" t="s">
        <v>1907</v>
      </c>
    </row>
    <row r="873" hidden="1" customHeight="1" spans="1:4">
      <c r="A873" s="408">
        <v>8480790000</v>
      </c>
      <c r="B873" s="408" t="s">
        <v>2857</v>
      </c>
      <c r="D873" s="409" t="s">
        <v>1907</v>
      </c>
    </row>
    <row r="874" hidden="1" customHeight="1" spans="1:4">
      <c r="A874" s="408">
        <v>3926909090</v>
      </c>
      <c r="B874" s="408" t="s">
        <v>2858</v>
      </c>
      <c r="D874" s="409" t="s">
        <v>1790</v>
      </c>
    </row>
    <row r="875" hidden="1" customHeight="1" spans="1:4">
      <c r="A875" s="408">
        <v>3921199090</v>
      </c>
      <c r="B875" s="408" t="s">
        <v>2859</v>
      </c>
      <c r="D875" s="409" t="s">
        <v>2860</v>
      </c>
    </row>
    <row r="876" hidden="1" customHeight="1" spans="1:4">
      <c r="A876" s="410">
        <v>8479909090</v>
      </c>
      <c r="B876" s="411" t="s">
        <v>2861</v>
      </c>
      <c r="C876" s="411"/>
      <c r="D876" s="412" t="s">
        <v>2253</v>
      </c>
    </row>
    <row r="877" hidden="1" customHeight="1" spans="1:4">
      <c r="A877" s="408">
        <v>4819200000</v>
      </c>
      <c r="B877" s="408" t="s">
        <v>2862</v>
      </c>
      <c r="D877" s="409" t="s">
        <v>1993</v>
      </c>
    </row>
    <row r="878" hidden="1" customHeight="1" spans="1:4">
      <c r="A878" s="408">
        <v>8205590000</v>
      </c>
      <c r="B878" s="408" t="s">
        <v>2863</v>
      </c>
      <c r="D878" s="409" t="s">
        <v>2864</v>
      </c>
    </row>
    <row r="879" hidden="1" customHeight="1" spans="1:4">
      <c r="A879" s="408">
        <v>4821100000</v>
      </c>
      <c r="B879" s="408" t="s">
        <v>2865</v>
      </c>
      <c r="D879" s="409" t="s">
        <v>1766</v>
      </c>
    </row>
    <row r="880" hidden="1" customHeight="1" spans="1:4">
      <c r="A880" s="408">
        <v>4823909000</v>
      </c>
      <c r="B880" s="408" t="s">
        <v>2866</v>
      </c>
      <c r="D880" s="409" t="s">
        <v>2867</v>
      </c>
    </row>
    <row r="881" hidden="1" customHeight="1" spans="1:4">
      <c r="A881" s="408">
        <v>4823909000</v>
      </c>
      <c r="B881" s="408" t="s">
        <v>2868</v>
      </c>
      <c r="D881" s="409" t="s">
        <v>2869</v>
      </c>
    </row>
    <row r="882" hidden="1" customHeight="1" spans="1:4">
      <c r="A882" s="410">
        <v>4823909000</v>
      </c>
      <c r="B882" s="411" t="s">
        <v>2870</v>
      </c>
      <c r="C882" s="411"/>
      <c r="D882" s="413" t="s">
        <v>2871</v>
      </c>
    </row>
    <row r="883" hidden="1" customHeight="1" spans="1:4">
      <c r="A883" s="408">
        <v>4823909000</v>
      </c>
      <c r="B883" s="408" t="s">
        <v>2872</v>
      </c>
      <c r="D883" s="409" t="s">
        <v>2873</v>
      </c>
    </row>
    <row r="884" hidden="1" customHeight="1" spans="1:4">
      <c r="A884" s="408">
        <v>4823909000</v>
      </c>
      <c r="B884" s="408" t="s">
        <v>2874</v>
      </c>
      <c r="D884" s="409" t="s">
        <v>2875</v>
      </c>
    </row>
    <row r="885" hidden="1" customHeight="1" spans="1:4">
      <c r="A885" s="408">
        <v>4823909000</v>
      </c>
      <c r="B885" s="408" t="s">
        <v>2876</v>
      </c>
      <c r="D885" s="409" t="s">
        <v>2877</v>
      </c>
    </row>
    <row r="886" hidden="1" customHeight="1" spans="1:4">
      <c r="A886" s="410">
        <v>4823909000</v>
      </c>
      <c r="B886" s="411" t="s">
        <v>2878</v>
      </c>
      <c r="C886" s="411"/>
      <c r="D886" s="413" t="s">
        <v>2879</v>
      </c>
    </row>
    <row r="887" hidden="1" customHeight="1" spans="1:4">
      <c r="A887" s="408">
        <v>4819100000</v>
      </c>
      <c r="B887" s="408" t="s">
        <v>914</v>
      </c>
      <c r="D887" s="409" t="s">
        <v>1766</v>
      </c>
    </row>
    <row r="888" hidden="1" customHeight="1" spans="1:4">
      <c r="A888" s="408">
        <v>4821100000</v>
      </c>
      <c r="B888" s="408" t="s">
        <v>2880</v>
      </c>
      <c r="D888" s="409" t="s">
        <v>2881</v>
      </c>
    </row>
    <row r="889" hidden="1" customHeight="1" spans="1:4">
      <c r="A889" s="408">
        <v>8480790000</v>
      </c>
      <c r="B889" s="408" t="s">
        <v>2882</v>
      </c>
      <c r="D889" s="409" t="s">
        <v>1907</v>
      </c>
    </row>
    <row r="890" hidden="1" customHeight="1" spans="1:4">
      <c r="A890" s="408">
        <v>8480790000</v>
      </c>
      <c r="B890" s="408" t="s">
        <v>2883</v>
      </c>
      <c r="D890" s="409" t="s">
        <v>1907</v>
      </c>
    </row>
    <row r="891" hidden="1" customHeight="1" spans="1:4">
      <c r="A891" s="410">
        <v>4819200000</v>
      </c>
      <c r="B891" s="411" t="s">
        <v>2884</v>
      </c>
      <c r="C891" s="411"/>
      <c r="D891" s="412" t="s">
        <v>1766</v>
      </c>
    </row>
    <row r="892" hidden="1" customHeight="1" spans="1:4">
      <c r="A892" s="408">
        <v>8471605000</v>
      </c>
      <c r="B892" s="408" t="s">
        <v>2885</v>
      </c>
      <c r="D892" s="409" t="s">
        <v>2886</v>
      </c>
    </row>
    <row r="893" hidden="1" customHeight="1" spans="1:4">
      <c r="A893" s="408">
        <v>3923900000</v>
      </c>
      <c r="B893" s="408" t="s">
        <v>2887</v>
      </c>
      <c r="D893" s="409" t="s">
        <v>1882</v>
      </c>
    </row>
    <row r="894" hidden="1" customHeight="1" spans="1:4">
      <c r="A894" s="410">
        <v>8480719090</v>
      </c>
      <c r="B894" s="411" t="s">
        <v>2888</v>
      </c>
      <c r="C894" s="411"/>
      <c r="D894" s="412" t="s">
        <v>2889</v>
      </c>
    </row>
    <row r="895" hidden="1" customHeight="1" spans="1:4">
      <c r="A895" s="410">
        <v>8477900000</v>
      </c>
      <c r="B895" s="411" t="s">
        <v>2890</v>
      </c>
      <c r="C895" s="411"/>
      <c r="D895" s="413" t="s">
        <v>2891</v>
      </c>
    </row>
    <row r="896" hidden="1" customHeight="1" spans="1:4">
      <c r="A896" s="408">
        <v>8516800000</v>
      </c>
      <c r="B896" s="408" t="s">
        <v>2892</v>
      </c>
      <c r="D896" s="409" t="s">
        <v>2041</v>
      </c>
    </row>
    <row r="897" hidden="1" customHeight="1" spans="1:4">
      <c r="A897" s="410">
        <v>4908900000</v>
      </c>
      <c r="B897" s="411" t="s">
        <v>2893</v>
      </c>
      <c r="C897" s="411"/>
      <c r="D897" s="413" t="s">
        <v>2596</v>
      </c>
    </row>
    <row r="898" hidden="1" customHeight="1" spans="1:4">
      <c r="A898" s="410">
        <v>4908900000</v>
      </c>
      <c r="B898" s="411" t="s">
        <v>2894</v>
      </c>
      <c r="C898" s="411"/>
      <c r="D898" s="413" t="s">
        <v>2596</v>
      </c>
    </row>
    <row r="899" hidden="1" customHeight="1" spans="1:4">
      <c r="A899" s="410">
        <v>4908900000</v>
      </c>
      <c r="B899" s="411" t="s">
        <v>2895</v>
      </c>
      <c r="C899" s="411"/>
      <c r="D899" s="412" t="s">
        <v>2596</v>
      </c>
    </row>
    <row r="900" hidden="1" customHeight="1" spans="1:4">
      <c r="A900" s="410">
        <v>7326909090</v>
      </c>
      <c r="B900" s="411" t="s">
        <v>2896</v>
      </c>
      <c r="C900" s="411"/>
      <c r="D900" s="414" t="s">
        <v>1899</v>
      </c>
    </row>
    <row r="901" hidden="1" customHeight="1" spans="1:4">
      <c r="A901" s="408">
        <v>9503009000</v>
      </c>
      <c r="B901" s="408" t="s">
        <v>2897</v>
      </c>
      <c r="D901" s="409" t="s">
        <v>1983</v>
      </c>
    </row>
    <row r="902" hidden="1" customHeight="1" spans="1:4">
      <c r="A902" s="408">
        <v>8480790000</v>
      </c>
      <c r="B902" s="408" t="s">
        <v>2898</v>
      </c>
      <c r="D902" s="409" t="s">
        <v>1907</v>
      </c>
    </row>
    <row r="903" hidden="1" customHeight="1" spans="1:4">
      <c r="A903" s="408">
        <v>732690900</v>
      </c>
      <c r="B903" s="408" t="s">
        <v>2899</v>
      </c>
      <c r="D903" s="409" t="s">
        <v>1919</v>
      </c>
    </row>
    <row r="904" hidden="1" customHeight="1" spans="1:4">
      <c r="A904" s="408">
        <v>732690900</v>
      </c>
      <c r="B904" s="408" t="s">
        <v>2900</v>
      </c>
      <c r="D904" s="409" t="s">
        <v>1919</v>
      </c>
    </row>
    <row r="905" hidden="1" customHeight="1" spans="1:4">
      <c r="A905" s="408">
        <v>9503009000</v>
      </c>
      <c r="B905" s="408" t="s">
        <v>2901</v>
      </c>
      <c r="D905" s="409" t="s">
        <v>1983</v>
      </c>
    </row>
    <row r="906" hidden="1" customHeight="1" spans="1:4">
      <c r="A906" s="408">
        <v>9503009000</v>
      </c>
      <c r="B906" s="408" t="s">
        <v>2902</v>
      </c>
      <c r="D906" s="409" t="s">
        <v>1983</v>
      </c>
    </row>
    <row r="907" hidden="1" customHeight="1" spans="1:4">
      <c r="A907" s="408">
        <v>9503009000</v>
      </c>
      <c r="B907" s="408" t="s">
        <v>2903</v>
      </c>
      <c r="D907" s="409" t="s">
        <v>1983</v>
      </c>
    </row>
    <row r="908" hidden="1" customHeight="1" spans="1:4">
      <c r="A908" s="408">
        <v>9503009000</v>
      </c>
      <c r="B908" s="408" t="s">
        <v>2904</v>
      </c>
      <c r="D908" s="409" t="s">
        <v>1983</v>
      </c>
    </row>
    <row r="909" hidden="1" customHeight="1" spans="1:4">
      <c r="A909" s="408">
        <v>9503009000</v>
      </c>
      <c r="B909" s="408" t="s">
        <v>2905</v>
      </c>
      <c r="D909" s="409" t="s">
        <v>1983</v>
      </c>
    </row>
    <row r="910" hidden="1" customHeight="1" spans="1:4">
      <c r="A910" s="408">
        <v>8480790000</v>
      </c>
      <c r="B910" s="408" t="s">
        <v>2906</v>
      </c>
      <c r="D910" s="409" t="s">
        <v>1907</v>
      </c>
    </row>
    <row r="911" hidden="1" customHeight="1" spans="1:4">
      <c r="A911" s="408">
        <v>9503009000</v>
      </c>
      <c r="B911" s="408" t="s">
        <v>2907</v>
      </c>
      <c r="D911" s="409" t="s">
        <v>1983</v>
      </c>
    </row>
    <row r="912" hidden="1" customHeight="1" spans="1:4">
      <c r="A912" s="408">
        <v>732690900</v>
      </c>
      <c r="B912" s="408" t="s">
        <v>2908</v>
      </c>
      <c r="D912" s="409" t="s">
        <v>1919</v>
      </c>
    </row>
    <row r="913" hidden="1" customHeight="1" spans="1:4">
      <c r="A913" s="408">
        <v>8443999090</v>
      </c>
      <c r="B913" s="408" t="s">
        <v>2909</v>
      </c>
      <c r="D913" s="409" t="s">
        <v>1784</v>
      </c>
    </row>
    <row r="914" hidden="1" customHeight="1" spans="1:4">
      <c r="A914" s="408">
        <v>3926909090</v>
      </c>
      <c r="B914" s="408" t="s">
        <v>2910</v>
      </c>
      <c r="D914" s="409" t="s">
        <v>1790</v>
      </c>
    </row>
    <row r="915" hidden="1" customHeight="1" spans="1:4">
      <c r="A915" s="408">
        <v>3926909090</v>
      </c>
      <c r="B915" s="408" t="s">
        <v>2911</v>
      </c>
      <c r="D915" s="409" t="s">
        <v>2912</v>
      </c>
    </row>
    <row r="916" hidden="1" customHeight="1" spans="1:4">
      <c r="A916" s="408">
        <v>8205590000</v>
      </c>
      <c r="B916" s="408" t="s">
        <v>2913</v>
      </c>
      <c r="D916" s="409" t="s">
        <v>2914</v>
      </c>
    </row>
    <row r="917" hidden="1" customHeight="1" spans="1:4">
      <c r="A917" s="408">
        <v>8467190000</v>
      </c>
      <c r="B917" s="408" t="s">
        <v>2915</v>
      </c>
      <c r="D917" s="409" t="s">
        <v>2916</v>
      </c>
    </row>
    <row r="918" hidden="1" customHeight="1" spans="1:4">
      <c r="A918" s="408">
        <v>9504909000</v>
      </c>
      <c r="B918" s="408" t="s">
        <v>1504</v>
      </c>
      <c r="D918" s="409" t="s">
        <v>2917</v>
      </c>
    </row>
    <row r="919" hidden="1" customHeight="1" spans="1:4">
      <c r="A919" s="408">
        <v>8472909000</v>
      </c>
      <c r="B919" s="408" t="s">
        <v>2918</v>
      </c>
      <c r="D919" s="409" t="s">
        <v>2919</v>
      </c>
    </row>
    <row r="920" hidden="1" customHeight="1" spans="1:4">
      <c r="A920" s="410">
        <v>8205100000</v>
      </c>
      <c r="B920" s="411" t="s">
        <v>2920</v>
      </c>
      <c r="C920" s="411"/>
      <c r="D920" s="412" t="s">
        <v>2921</v>
      </c>
    </row>
    <row r="921" hidden="1" customHeight="1" spans="1:4">
      <c r="A921" s="408">
        <v>8480790000</v>
      </c>
      <c r="B921" s="408" t="s">
        <v>2922</v>
      </c>
      <c r="D921" s="409" t="s">
        <v>1907</v>
      </c>
    </row>
    <row r="922" hidden="1" customHeight="1" spans="1:4">
      <c r="A922" s="408">
        <v>8480790000</v>
      </c>
      <c r="B922" s="408" t="s">
        <v>2923</v>
      </c>
      <c r="D922" s="409" t="s">
        <v>1907</v>
      </c>
    </row>
    <row r="923" hidden="1" customHeight="1" spans="1:4">
      <c r="A923" s="410">
        <v>7326909090</v>
      </c>
      <c r="B923" s="411" t="s">
        <v>2924</v>
      </c>
      <c r="C923" s="411"/>
      <c r="D923" s="414" t="s">
        <v>1899</v>
      </c>
    </row>
    <row r="924" hidden="1" customHeight="1" spans="1:4">
      <c r="A924" s="410">
        <v>8480790000</v>
      </c>
      <c r="B924" s="411" t="s">
        <v>2925</v>
      </c>
      <c r="C924" s="411"/>
      <c r="D924" s="414" t="s">
        <v>1907</v>
      </c>
    </row>
    <row r="925" hidden="1" customHeight="1" spans="1:4">
      <c r="A925" s="408">
        <v>8480790000</v>
      </c>
      <c r="B925" s="408" t="s">
        <v>2926</v>
      </c>
      <c r="D925" s="409" t="s">
        <v>1907</v>
      </c>
    </row>
    <row r="926" hidden="1" customHeight="1" spans="1:4">
      <c r="A926" s="408">
        <v>8480790000</v>
      </c>
      <c r="B926" s="408" t="s">
        <v>2927</v>
      </c>
      <c r="D926" s="409" t="s">
        <v>1907</v>
      </c>
    </row>
    <row r="927" hidden="1" customHeight="1" spans="1:4">
      <c r="A927" s="408">
        <v>8480790000</v>
      </c>
      <c r="B927" s="408" t="s">
        <v>2928</v>
      </c>
      <c r="D927" s="409" t="s">
        <v>1907</v>
      </c>
    </row>
    <row r="928" hidden="1" customHeight="1" spans="1:4">
      <c r="A928" s="410">
        <v>7326909090</v>
      </c>
      <c r="B928" s="411" t="s">
        <v>2929</v>
      </c>
      <c r="C928" s="411"/>
      <c r="D928" s="414" t="s">
        <v>1899</v>
      </c>
    </row>
    <row r="929" hidden="1" customHeight="1" spans="1:4">
      <c r="A929" s="408">
        <v>7326909000</v>
      </c>
      <c r="B929" s="408" t="s">
        <v>2930</v>
      </c>
      <c r="D929" s="409" t="s">
        <v>1899</v>
      </c>
    </row>
    <row r="930" hidden="1" customHeight="1" spans="1:4">
      <c r="A930" s="408">
        <v>8480790000</v>
      </c>
      <c r="B930" s="408" t="s">
        <v>2931</v>
      </c>
      <c r="D930" s="409" t="s">
        <v>1907</v>
      </c>
    </row>
    <row r="931" hidden="1" customHeight="1" spans="1:4">
      <c r="A931" s="408">
        <v>8480790000</v>
      </c>
      <c r="B931" s="408" t="s">
        <v>2932</v>
      </c>
      <c r="D931" s="409" t="s">
        <v>1907</v>
      </c>
    </row>
    <row r="932" hidden="1" customHeight="1" spans="1:4">
      <c r="A932" s="408">
        <v>7326909000</v>
      </c>
      <c r="B932" s="408" t="s">
        <v>2933</v>
      </c>
      <c r="D932" s="409" t="s">
        <v>1899</v>
      </c>
    </row>
    <row r="933" hidden="1" customHeight="1" spans="1:4">
      <c r="A933" s="408">
        <v>8480790000</v>
      </c>
      <c r="B933" s="408" t="s">
        <v>2934</v>
      </c>
      <c r="D933" s="409" t="s">
        <v>1907</v>
      </c>
    </row>
    <row r="934" hidden="1" customHeight="1" spans="1:4">
      <c r="A934" s="408">
        <v>8480790000</v>
      </c>
      <c r="B934" s="408" t="s">
        <v>2935</v>
      </c>
      <c r="D934" s="409" t="s">
        <v>1907</v>
      </c>
    </row>
    <row r="935" hidden="1" customHeight="1" spans="1:4">
      <c r="A935" s="408">
        <v>8480790000</v>
      </c>
      <c r="B935" s="408" t="s">
        <v>2936</v>
      </c>
      <c r="D935" s="409" t="s">
        <v>1907</v>
      </c>
    </row>
    <row r="936" hidden="1" customHeight="1" spans="1:4">
      <c r="A936" s="408">
        <v>8480790000</v>
      </c>
      <c r="B936" s="408" t="s">
        <v>2937</v>
      </c>
      <c r="D936" s="409" t="s">
        <v>1907</v>
      </c>
    </row>
    <row r="937" hidden="1" customHeight="1" spans="1:4">
      <c r="A937" s="408">
        <v>7326909000</v>
      </c>
      <c r="B937" s="408" t="s">
        <v>2938</v>
      </c>
      <c r="D937" s="409" t="s">
        <v>2049</v>
      </c>
    </row>
  </sheetData>
  <autoFilter xmlns:etc="http://www.wps.cn/officeDocument/2017/etCustomData" ref="A1:B937" etc:filterBottomFollowUsedRange="0">
    <filterColumn colId="1">
      <filters>
        <filter val="机身贴纸FSC"/>
        <filter val="静电膜空白贴纸"/>
        <filter val="牛奶瓶贴纸"/>
        <filter val="TRY ME贴纸FSC"/>
        <filter val="贴贴纸夹具"/>
        <filter val="警灯正面贴纸"/>
        <filter val="警灯背面贴纸"/>
        <filter val="贴纸-FSC"/>
        <filter val="机尾贴纸FSC"/>
        <filter val="三角形贴纸"/>
        <filter val="TRY ME贴纸"/>
        <filter val="纹身贴纸1-女孩形"/>
        <filter val="纹身贴纸2-闪电形"/>
        <filter val="纹身贴纸3-雪花形"/>
        <filter val="贴纸"/>
        <filter val="产品厂贴贴纸"/>
        <filter val="产品贴纸"/>
        <filter val="价格贴纸"/>
        <filter val="可移贴纸"/>
        <filter val="彩咭贴纸"/>
        <filter val="条码贴纸"/>
        <filter val="圆形LOGO贴纸"/>
        <filter val="防伪贴纸"/>
        <filter val="镜片贴纸"/>
      </filters>
    </filterColumn>
    <extLst/>
  </autoFilter>
  <sortState ref="A2:D1487">
    <sortCondition ref="B2:B1487"/>
  </sortState>
  <conditionalFormatting sqref="B436:B461">
    <cfRule type="duplicateValues" dxfId="1" priority="1"/>
  </conditionalFormatting>
  <conditionalFormatting sqref="B1:C435 C436:C461 B462:C1048576">
    <cfRule type="duplicateValues" dxfId="1" priority="2"/>
  </conditionalFormatting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69"/>
  <sheetViews>
    <sheetView view="pageBreakPreview" zoomScale="80" zoomScaleNormal="100" workbookViewId="0">
      <pane ySplit="8" topLeftCell="A38" activePane="bottomLeft" state="frozen"/>
      <selection/>
      <selection pane="bottomLeft" activeCell="E54" sqref="E54"/>
    </sheetView>
  </sheetViews>
  <sheetFormatPr defaultColWidth="9.81666666666667" defaultRowHeight="16.5" customHeight="1"/>
  <cols>
    <col min="1" max="1" width="5.25" style="336" customWidth="1"/>
    <col min="2" max="2" width="9.08333333333333" style="336" customWidth="1"/>
    <col min="3" max="3" width="15.55" style="340" customWidth="1"/>
    <col min="4" max="4" width="32.5916666666667" style="336" customWidth="1"/>
    <col min="5" max="5" width="38.5916666666667" style="341" customWidth="1"/>
    <col min="6" max="6" width="14.7333333333333" style="342" customWidth="1"/>
    <col min="7" max="7" width="9.81666666666667" style="342" customWidth="1"/>
    <col min="8" max="8" width="18.9" style="342" customWidth="1"/>
    <col min="9" max="9" width="20.25" style="342" customWidth="1"/>
    <col min="10" max="10" width="14.0166666666667" style="343" customWidth="1"/>
    <col min="11" max="12" width="14.0166666666667" style="342" customWidth="1"/>
    <col min="13" max="13" width="14.0166666666667" style="344" customWidth="1"/>
    <col min="14" max="15" width="14.0166666666667" style="342" customWidth="1"/>
    <col min="16" max="17" width="11.8583333333333" style="336" customWidth="1"/>
    <col min="18" max="16381" width="9.81666666666667" style="336" customWidth="1"/>
    <col min="16382" max="16384" width="9.81666666666667" style="336"/>
  </cols>
  <sheetData>
    <row r="1" s="336" customFormat="1" ht="27.75" customHeight="1" spans="2:20">
      <c r="B1" s="336" t="s">
        <v>1551</v>
      </c>
      <c r="E1" s="337"/>
      <c r="F1" s="342"/>
      <c r="G1" s="342"/>
      <c r="H1" s="342"/>
      <c r="I1" s="342"/>
      <c r="J1" s="344"/>
      <c r="K1" s="343"/>
      <c r="L1" s="342"/>
      <c r="M1" s="344"/>
      <c r="N1" s="342"/>
      <c r="O1" s="342"/>
    </row>
    <row r="2" s="336" customFormat="1" ht="14.25" spans="2:20">
      <c r="B2" s="336" t="s">
        <v>2939</v>
      </c>
      <c r="E2" s="337"/>
      <c r="F2" s="342"/>
      <c r="G2" s="342"/>
      <c r="H2" s="342"/>
      <c r="I2" s="342"/>
      <c r="J2" s="344"/>
      <c r="K2" s="343"/>
      <c r="L2" s="342"/>
      <c r="M2" s="344"/>
      <c r="N2" s="342"/>
      <c r="O2" s="342"/>
    </row>
    <row r="3" ht="22.5" customHeight="1" spans="2:20">
      <c r="B3" s="336" t="s">
        <v>2940</v>
      </c>
      <c r="C3" s="336"/>
      <c r="E3" s="336"/>
      <c r="F3" s="344"/>
      <c r="G3" s="344"/>
      <c r="H3" s="344"/>
      <c r="I3" s="342">
        <f>80-33</f>
        <v>47</v>
      </c>
      <c r="J3" s="345" t="str">
        <f>司机资料!A1&amp;司机资料!B1</f>
        <v>订舱号：237891915</v>
      </c>
      <c r="K3" s="346"/>
      <c r="M3" s="345" t="str">
        <f>司机资料!E1&amp;司机资料!F1</f>
        <v/>
      </c>
    </row>
    <row r="4" ht="14.25" spans="2:20">
      <c r="J4" s="342"/>
      <c r="K4" s="343"/>
    </row>
    <row r="5" s="336" customFormat="1" ht="14.25" spans="2:20">
      <c r="B5" s="336" t="s">
        <v>2941</v>
      </c>
      <c r="C5" s="340"/>
      <c r="D5" s="344"/>
      <c r="E5" s="341" t="str">
        <f>司机资料!B2</f>
        <v>MAGU2543655</v>
      </c>
      <c r="F5" s="342"/>
      <c r="G5" s="342" t="s">
        <v>2942</v>
      </c>
      <c r="H5" s="347">
        <v>45619</v>
      </c>
      <c r="I5" s="347"/>
      <c r="J5" s="343" t="s">
        <v>2943</v>
      </c>
      <c r="K5" s="342"/>
      <c r="L5" s="342"/>
      <c r="M5" s="344"/>
      <c r="N5" s="342"/>
      <c r="O5" s="342"/>
    </row>
    <row r="6" s="336" customFormat="1" ht="14.25" spans="2:20">
      <c r="C6" s="340"/>
      <c r="E6" s="341"/>
      <c r="F6" s="342"/>
      <c r="G6" s="342"/>
      <c r="H6" s="342"/>
      <c r="I6" s="342"/>
      <c r="J6" s="343"/>
      <c r="K6" s="342"/>
      <c r="L6" s="342"/>
      <c r="M6" s="344"/>
      <c r="N6" s="342"/>
      <c r="O6" s="342"/>
    </row>
    <row r="7" s="336" customFormat="1" ht="14.25" spans="2:20">
      <c r="B7" s="348" t="s">
        <v>2944</v>
      </c>
      <c r="C7" s="349" t="s">
        <v>1725</v>
      </c>
      <c r="D7" s="350" t="s">
        <v>1726</v>
      </c>
      <c r="E7" s="351" t="s">
        <v>1727</v>
      </c>
      <c r="F7" s="352" t="s">
        <v>2945</v>
      </c>
      <c r="G7" s="353" t="s">
        <v>2946</v>
      </c>
      <c r="H7" s="353" t="s">
        <v>2947</v>
      </c>
      <c r="I7" s="353" t="s">
        <v>2948</v>
      </c>
      <c r="J7" s="354"/>
      <c r="K7" s="352"/>
      <c r="L7" s="352"/>
      <c r="M7" s="355"/>
      <c r="N7" s="342"/>
      <c r="O7" s="342"/>
    </row>
    <row r="8" s="336" customFormat="1" ht="32.25" customHeight="1" spans="2:20">
      <c r="B8" s="356"/>
      <c r="C8" s="357"/>
      <c r="D8" s="357"/>
      <c r="E8" s="358"/>
      <c r="F8" s="359"/>
      <c r="G8" s="359"/>
      <c r="H8" s="359"/>
      <c r="I8" s="359"/>
      <c r="J8" s="354" t="s">
        <v>2949</v>
      </c>
      <c r="K8" s="352" t="s">
        <v>2950</v>
      </c>
      <c r="L8" s="352" t="s">
        <v>2951</v>
      </c>
      <c r="M8" s="355" t="s">
        <v>2952</v>
      </c>
      <c r="N8" s="342"/>
      <c r="O8" s="342"/>
    </row>
    <row r="9" s="337" customFormat="1" ht="40" customHeight="1" spans="2:20">
      <c r="B9" s="360">
        <v>1</v>
      </c>
      <c r="C9" s="361" t="e">
        <f>_xlfn.XLOOKUP(D9,商品汇总表!$B:$B,商品汇总表!$A:$A,"")</f>
        <v>#N/A</v>
      </c>
      <c r="D9" s="362" t="e" cm="1">
        <f t="array" ref="D9">LOOKUP(1,0/(('5.21出货明细'!AR:AR=$D$27)*('5.21出货明细'!A:A=B9)),'5.21出货明细'!E:E)</f>
        <v>#N/A</v>
      </c>
      <c r="E9" s="358" t="e">
        <f>_xlfn.XLOOKUP(D9,商品汇总表!$B:$B,商品汇总表!$D:$D,"")</f>
        <v>#N/A</v>
      </c>
      <c r="F9" s="363" t="e" cm="1">
        <f t="array" ref="F9">_xlfn.LET(_xlpm.数组,B9&amp;D9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9" s="363"/>
      <c r="H9" s="364"/>
      <c r="I9" s="365"/>
      <c r="J9" s="366"/>
      <c r="K9" s="367"/>
      <c r="L9" s="368"/>
      <c r="M9" s="369" t="s">
        <v>2953</v>
      </c>
      <c r="N9" s="370"/>
      <c r="O9" s="370"/>
      <c r="P9" s="371"/>
      <c r="Q9" s="372"/>
      <c r="R9" s="372"/>
      <c r="S9" s="372"/>
      <c r="T9" s="372"/>
    </row>
    <row r="10" s="337" customFormat="1" ht="40" customHeight="1" spans="2:20">
      <c r="B10" s="360">
        <v>2</v>
      </c>
      <c r="C10" s="361" t="e">
        <f>_xlfn.XLOOKUP(D10,商品汇总表!$B:$B,商品汇总表!$A:$A,"")</f>
        <v>#N/A</v>
      </c>
      <c r="D10" s="362" t="e" cm="1">
        <f t="array" ref="D10">LOOKUP(1,0/(('5.21出货明细'!AR:AR=$D$27)*('5.21出货明细'!A:A=B10)),'5.21出货明细'!E:E)</f>
        <v>#N/A</v>
      </c>
      <c r="E10" s="358" t="e">
        <f>_xlfn.XLOOKUP(D10,商品汇总表!$B:$B,商品汇总表!$D:$D,"")</f>
        <v>#N/A</v>
      </c>
      <c r="F10" s="363" t="e" cm="1">
        <f t="array" ref="F10">_xlfn.LET(_xlpm.数组,B10&amp;D10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0" s="373"/>
      <c r="H10" s="364"/>
      <c r="I10" s="365"/>
      <c r="J10" s="366"/>
      <c r="K10" s="367"/>
      <c r="L10" s="368"/>
      <c r="M10" s="369" t="s">
        <v>2953</v>
      </c>
      <c r="N10" s="370"/>
      <c r="O10" s="370"/>
      <c r="P10" s="371"/>
      <c r="Q10" s="372"/>
      <c r="R10" s="372"/>
      <c r="S10" s="372"/>
      <c r="T10" s="372"/>
    </row>
    <row r="11" s="337" customFormat="1" ht="40" customHeight="1" spans="2:20">
      <c r="B11" s="360">
        <v>3</v>
      </c>
      <c r="C11" s="361" t="e">
        <f>_xlfn.XLOOKUP(D11,商品汇总表!$B:$B,商品汇总表!$A:$A,"")</f>
        <v>#N/A</v>
      </c>
      <c r="D11" s="362" t="e" cm="1">
        <f t="array" ref="D11">LOOKUP(1,0/(('5.21出货明细'!AR:AR=$D$27)*('5.21出货明细'!A:A=B11)),'5.21出货明细'!E:E)</f>
        <v>#N/A</v>
      </c>
      <c r="E11" s="358" t="e">
        <f>_xlfn.XLOOKUP(D11,商品汇总表!$B:$B,商品汇总表!$D:$D,"")</f>
        <v>#N/A</v>
      </c>
      <c r="F11" s="363" t="e" cm="1">
        <f t="array" ref="F11">_xlfn.LET(_xlpm.数组,B11&amp;D11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1" s="373"/>
      <c r="H11" s="364"/>
      <c r="I11" s="365"/>
      <c r="J11" s="366"/>
      <c r="K11" s="367"/>
      <c r="L11" s="368"/>
      <c r="M11" s="369" t="s">
        <v>2953</v>
      </c>
      <c r="N11" s="370"/>
      <c r="O11" s="370"/>
      <c r="P11" s="371"/>
      <c r="Q11" s="372"/>
      <c r="R11" s="372"/>
      <c r="S11" s="372"/>
      <c r="T11" s="372"/>
    </row>
    <row r="12" s="337" customFormat="1" ht="40" customHeight="1" spans="2:20">
      <c r="B12" s="360">
        <v>4</v>
      </c>
      <c r="C12" s="361" t="e">
        <f>_xlfn.XLOOKUP(D12,商品汇总表!$B:$B,商品汇总表!$A:$A,"")</f>
        <v>#N/A</v>
      </c>
      <c r="D12" s="362" t="e" cm="1">
        <f t="array" ref="D12">LOOKUP(1,0/(('5.21出货明细'!AR:AR=$D$27)*('5.21出货明细'!A:A=B12)),'5.21出货明细'!E:E)</f>
        <v>#N/A</v>
      </c>
      <c r="E12" s="358" t="e">
        <f>_xlfn.XLOOKUP(D12,商品汇总表!$B:$B,商品汇总表!$D:$D,"")</f>
        <v>#N/A</v>
      </c>
      <c r="F12" s="363" t="e" cm="1">
        <f t="array" ref="F12">_xlfn.LET(_xlpm.数组,B12&amp;D12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2" s="373"/>
      <c r="H12" s="364"/>
      <c r="I12" s="365"/>
      <c r="J12" s="366"/>
      <c r="K12" s="367"/>
      <c r="L12" s="368"/>
      <c r="M12" s="369" t="s">
        <v>2953</v>
      </c>
      <c r="N12" s="370"/>
      <c r="O12" s="370"/>
      <c r="P12" s="371"/>
      <c r="Q12" s="372"/>
      <c r="R12" s="372"/>
      <c r="S12" s="372"/>
      <c r="T12" s="372"/>
    </row>
    <row r="13" s="337" customFormat="1" ht="40" customHeight="1" spans="2:20">
      <c r="B13" s="360">
        <v>5</v>
      </c>
      <c r="C13" s="361" t="e">
        <f>_xlfn.XLOOKUP(D13,商品汇总表!$B:$B,商品汇总表!$A:$A,"")</f>
        <v>#N/A</v>
      </c>
      <c r="D13" s="362" t="e" cm="1">
        <f t="array" ref="D13">LOOKUP(1,0/(('5.21出货明细'!AR:AR=$D$27)*('5.21出货明细'!A:A=B13)),'5.21出货明细'!E:E)</f>
        <v>#N/A</v>
      </c>
      <c r="E13" s="358" t="e">
        <f>_xlfn.XLOOKUP(D13,商品汇总表!$B:$B,商品汇总表!$D:$D,"")</f>
        <v>#N/A</v>
      </c>
      <c r="F13" s="363" t="e" cm="1">
        <f t="array" ref="F13">_xlfn.LET(_xlpm.数组,B13&amp;D13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3" s="373"/>
      <c r="H13" s="364"/>
      <c r="I13" s="365"/>
      <c r="J13" s="366"/>
      <c r="K13" s="367"/>
      <c r="L13" s="368"/>
      <c r="M13" s="369" t="s">
        <v>2953</v>
      </c>
      <c r="N13" s="370"/>
      <c r="O13" s="370"/>
      <c r="P13" s="371"/>
      <c r="Q13" s="372"/>
      <c r="R13" s="372"/>
      <c r="S13" s="372"/>
      <c r="T13" s="372"/>
    </row>
    <row r="14" s="337" customFormat="1" ht="40" customHeight="1" spans="2:20">
      <c r="B14" s="360">
        <v>6</v>
      </c>
      <c r="C14" s="361" t="e">
        <f>_xlfn.XLOOKUP(D14,商品汇总表!$B:$B,商品汇总表!$A:$A,"")</f>
        <v>#N/A</v>
      </c>
      <c r="D14" s="362" t="e" cm="1">
        <f t="array" ref="D14">LOOKUP(1,0/(('5.21出货明细'!AR:AR=$D$27)*('5.21出货明细'!A:A=B14)),'5.21出货明细'!E:E)</f>
        <v>#N/A</v>
      </c>
      <c r="E14" s="358" t="e">
        <f>_xlfn.XLOOKUP(D14,商品汇总表!$B:$B,商品汇总表!$D:$D,"")</f>
        <v>#N/A</v>
      </c>
      <c r="F14" s="363" t="e" cm="1">
        <f t="array" ref="F14">_xlfn.LET(_xlpm.数组,B14&amp;D14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4" s="373"/>
      <c r="H14" s="364"/>
      <c r="I14" s="365"/>
      <c r="J14" s="366"/>
      <c r="K14" s="367"/>
      <c r="L14" s="368"/>
      <c r="M14" s="369" t="s">
        <v>2953</v>
      </c>
      <c r="N14" s="370"/>
      <c r="O14" s="370"/>
      <c r="P14" s="371"/>
      <c r="Q14" s="372"/>
      <c r="R14" s="372"/>
      <c r="S14" s="372"/>
      <c r="T14" s="372"/>
    </row>
    <row r="15" s="337" customFormat="1" ht="40" customHeight="1" spans="2:20">
      <c r="B15" s="360">
        <v>7</v>
      </c>
      <c r="C15" s="361" t="e">
        <f>_xlfn.XLOOKUP(D15,商品汇总表!$B:$B,商品汇总表!$A:$A,"")</f>
        <v>#N/A</v>
      </c>
      <c r="D15" s="362" t="e" cm="1">
        <f t="array" ref="D15">LOOKUP(1,0/(('5.21出货明细'!AR:AR=$D$27)*('5.21出货明细'!A:A=B15)),'5.21出货明细'!E:E)</f>
        <v>#N/A</v>
      </c>
      <c r="E15" s="358" t="e">
        <f>_xlfn.XLOOKUP(D15,商品汇总表!$B:$B,商品汇总表!$D:$D,"")</f>
        <v>#N/A</v>
      </c>
      <c r="F15" s="363" t="e" cm="1">
        <f t="array" ref="F15">_xlfn.LET(_xlpm.数组,B15&amp;D15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5" s="373"/>
      <c r="H15" s="364"/>
      <c r="I15" s="365"/>
      <c r="J15" s="366"/>
      <c r="K15" s="367"/>
      <c r="L15" s="368"/>
      <c r="M15" s="369" t="s">
        <v>2953</v>
      </c>
      <c r="N15" s="370"/>
      <c r="O15" s="370"/>
      <c r="P15" s="371"/>
      <c r="Q15" s="372"/>
      <c r="R15" s="372"/>
      <c r="S15" s="372"/>
      <c r="T15" s="372"/>
    </row>
    <row r="16" s="337" customFormat="1" ht="40" customHeight="1" spans="2:20">
      <c r="B16" s="360">
        <v>8</v>
      </c>
      <c r="C16" s="361" t="e">
        <f>_xlfn.XLOOKUP(D16,商品汇总表!$B:$B,商品汇总表!$A:$A,"")</f>
        <v>#N/A</v>
      </c>
      <c r="D16" s="362" t="e" cm="1">
        <f t="array" ref="D16">LOOKUP(1,0/(('5.21出货明细'!AR:AR=$D$27)*('5.21出货明细'!A:A=B16)),'5.21出货明细'!E:E)</f>
        <v>#N/A</v>
      </c>
      <c r="E16" s="358" t="e">
        <f>_xlfn.XLOOKUP(D16,商品汇总表!$B:$B,商品汇总表!$D:$D,"")</f>
        <v>#N/A</v>
      </c>
      <c r="F16" s="363" t="e" cm="1">
        <f t="array" ref="F16">_xlfn.LET(_xlpm.数组,B16&amp;D16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6" s="373"/>
      <c r="H16" s="364"/>
      <c r="I16" s="365"/>
      <c r="J16" s="366"/>
      <c r="K16" s="367"/>
      <c r="L16" s="368"/>
      <c r="M16" s="369" t="s">
        <v>2953</v>
      </c>
      <c r="N16" s="370"/>
      <c r="O16" s="370"/>
      <c r="P16" s="371"/>
      <c r="Q16" s="372"/>
      <c r="R16" s="372"/>
      <c r="S16" s="372"/>
      <c r="T16" s="372"/>
    </row>
    <row r="17" s="337" customFormat="1" ht="40" customHeight="1" spans="2:20">
      <c r="B17" s="360">
        <v>9</v>
      </c>
      <c r="C17" s="361" t="e">
        <f>_xlfn.XLOOKUP(D17,商品汇总表!$B:$B,商品汇总表!$A:$A,"")</f>
        <v>#N/A</v>
      </c>
      <c r="D17" s="362" t="e" cm="1">
        <f t="array" ref="D17">LOOKUP(1,0/(('5.21出货明细'!AR:AR=$D$27)*('5.21出货明细'!A:A=B17)),'5.21出货明细'!E:E)</f>
        <v>#N/A</v>
      </c>
      <c r="E17" s="358" t="e">
        <f>_xlfn.XLOOKUP(D17,商品汇总表!$B:$B,商品汇总表!$D:$D,"")</f>
        <v>#N/A</v>
      </c>
      <c r="F17" s="363" t="e" cm="1">
        <f t="array" ref="F17">_xlfn.LET(_xlpm.数组,B17&amp;D17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7" s="373"/>
      <c r="H17" s="364"/>
      <c r="I17" s="365"/>
      <c r="J17" s="366"/>
      <c r="K17" s="367"/>
      <c r="L17" s="368"/>
      <c r="M17" s="369" t="s">
        <v>2953</v>
      </c>
      <c r="N17" s="370"/>
      <c r="O17" s="370"/>
      <c r="P17" s="371"/>
      <c r="Q17" s="372"/>
      <c r="R17" s="372"/>
      <c r="S17" s="372"/>
      <c r="T17" s="372"/>
    </row>
    <row r="18" s="337" customFormat="1" ht="40" customHeight="1" spans="2:20">
      <c r="B18" s="360">
        <v>10</v>
      </c>
      <c r="C18" s="361" t="e">
        <f>_xlfn.XLOOKUP(D18,商品汇总表!$B:$B,商品汇总表!$A:$A,"")</f>
        <v>#N/A</v>
      </c>
      <c r="D18" s="362" t="e" cm="1">
        <f t="array" ref="D18">LOOKUP(1,0/(('5.21出货明细'!AR:AR=$D$27)*('5.21出货明细'!A:A=B18)),'5.21出货明细'!E:E)</f>
        <v>#N/A</v>
      </c>
      <c r="E18" s="358" t="e">
        <f>_xlfn.XLOOKUP(D18,商品汇总表!$B:$B,商品汇总表!$D:$D,"")</f>
        <v>#N/A</v>
      </c>
      <c r="F18" s="363" t="e" cm="1">
        <f t="array" ref="F18">_xlfn.LET(_xlpm.数组,B18&amp;D18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8" s="373"/>
      <c r="H18" s="364"/>
      <c r="I18" s="365"/>
      <c r="J18" s="366"/>
      <c r="K18" s="367"/>
      <c r="L18" s="368"/>
      <c r="M18" s="369" t="s">
        <v>2953</v>
      </c>
      <c r="N18" s="370"/>
      <c r="O18" s="370"/>
      <c r="P18" s="371"/>
      <c r="Q18" s="372"/>
      <c r="R18" s="372"/>
      <c r="S18" s="372"/>
      <c r="T18" s="372"/>
    </row>
    <row r="19" s="337" customFormat="1" ht="40" customHeight="1" spans="2:20">
      <c r="B19" s="360">
        <v>11</v>
      </c>
      <c r="C19" s="361" t="e">
        <f>_xlfn.XLOOKUP(D19,商品汇总表!$B:$B,商品汇总表!$A:$A,"")</f>
        <v>#N/A</v>
      </c>
      <c r="D19" s="362" t="e" cm="1">
        <f t="array" ref="D19">LOOKUP(1,0/(('5.21出货明细'!AR:AR=$D$27)*('5.21出货明细'!A:A=B19)),'5.21出货明细'!E:E)</f>
        <v>#N/A</v>
      </c>
      <c r="E19" s="358" t="e">
        <f>_xlfn.XLOOKUP(D19,商品汇总表!$B:$B,商品汇总表!$D:$D,"")</f>
        <v>#N/A</v>
      </c>
      <c r="F19" s="363" t="e" cm="1">
        <f t="array" ref="F19">_xlfn.LET(_xlpm.数组,B19&amp;D19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19" s="373"/>
      <c r="H19" s="364"/>
      <c r="I19" s="365"/>
      <c r="J19" s="366"/>
      <c r="K19" s="367"/>
      <c r="L19" s="368"/>
      <c r="M19" s="369" t="s">
        <v>2953</v>
      </c>
      <c r="N19" s="370"/>
      <c r="O19" s="370"/>
      <c r="P19" s="371"/>
      <c r="Q19" s="372"/>
      <c r="R19" s="372"/>
      <c r="S19" s="372"/>
      <c r="T19" s="372"/>
    </row>
    <row r="20" s="337" customFormat="1" ht="40" customHeight="1" spans="2:20">
      <c r="B20" s="360">
        <v>12</v>
      </c>
      <c r="C20" s="361" t="e">
        <f>_xlfn.XLOOKUP(D20,商品汇总表!$B:$B,商品汇总表!$A:$A,"")</f>
        <v>#N/A</v>
      </c>
      <c r="D20" s="362" t="e" cm="1">
        <f t="array" ref="D20">LOOKUP(1,0/(('5.21出货明细'!AR:AR=$D$27)*('5.21出货明细'!A:A=B20)),'5.21出货明细'!E:E)</f>
        <v>#N/A</v>
      </c>
      <c r="E20" s="358" t="e">
        <f>_xlfn.XLOOKUP(D20,商品汇总表!$B:$B,商品汇总表!$D:$D,"")</f>
        <v>#N/A</v>
      </c>
      <c r="F20" s="363" t="e" cm="1">
        <f t="array" ref="F20">_xlfn.LET(_xlpm.数组,B20&amp;D20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0" s="373"/>
      <c r="H20" s="364"/>
      <c r="I20" s="365"/>
      <c r="J20" s="366"/>
      <c r="K20" s="367"/>
      <c r="L20" s="368"/>
      <c r="M20" s="369" t="s">
        <v>2953</v>
      </c>
      <c r="N20" s="370"/>
      <c r="O20" s="370"/>
      <c r="P20" s="371"/>
      <c r="Q20" s="372"/>
      <c r="R20" s="372"/>
      <c r="S20" s="372"/>
      <c r="T20" s="372"/>
    </row>
    <row r="21" s="337" customFormat="1" ht="40" customHeight="1" spans="2:20">
      <c r="B21" s="360">
        <v>13</v>
      </c>
      <c r="C21" s="361" t="e">
        <f>_xlfn.XLOOKUP(D21,商品汇总表!$B:$B,商品汇总表!$A:$A,"")</f>
        <v>#N/A</v>
      </c>
      <c r="D21" s="362" t="e" cm="1">
        <f t="array" ref="D21">LOOKUP(1,0/(('5.21出货明细'!AR:AR=$D$27)*('5.21出货明细'!A:A=B21)),'5.21出货明细'!E:E)</f>
        <v>#N/A</v>
      </c>
      <c r="E21" s="358" t="e">
        <f>_xlfn.XLOOKUP(D21,商品汇总表!$B:$B,商品汇总表!$D:$D,"")</f>
        <v>#N/A</v>
      </c>
      <c r="F21" s="363" t="e" cm="1">
        <f t="array" ref="F21">_xlfn.LET(_xlpm.数组,B21&amp;D21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1" s="373"/>
      <c r="H21" s="364"/>
      <c r="I21" s="365"/>
      <c r="J21" s="366"/>
      <c r="K21" s="367"/>
      <c r="L21" s="368"/>
      <c r="M21" s="369" t="s">
        <v>2953</v>
      </c>
      <c r="N21" s="370"/>
      <c r="O21" s="370"/>
      <c r="P21" s="371"/>
      <c r="Q21" s="372"/>
      <c r="R21" s="372"/>
      <c r="S21" s="372"/>
      <c r="T21" s="372"/>
    </row>
    <row r="22" s="337" customFormat="1" ht="40" customHeight="1" spans="2:20">
      <c r="B22" s="360">
        <v>14</v>
      </c>
      <c r="C22" s="361" t="e">
        <f>_xlfn.XLOOKUP(D22,商品汇总表!$B:$B,商品汇总表!$A:$A,"")</f>
        <v>#N/A</v>
      </c>
      <c r="D22" s="362" t="e" cm="1">
        <f t="array" ref="D22">LOOKUP(1,0/(('5.21出货明细'!AR:AR=$D$27)*('5.21出货明细'!A:A=B22)),'5.21出货明细'!E:E)</f>
        <v>#N/A</v>
      </c>
      <c r="E22" s="358" t="e">
        <f>_xlfn.XLOOKUP(D22,商品汇总表!$B:$B,商品汇总表!$D:$D,"")</f>
        <v>#N/A</v>
      </c>
      <c r="F22" s="363" t="e" cm="1">
        <f t="array" ref="F22">_xlfn.LET(_xlpm.数组,B22&amp;D22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2" s="373"/>
      <c r="H22" s="364"/>
      <c r="I22" s="365"/>
      <c r="J22" s="366"/>
      <c r="K22" s="367"/>
      <c r="L22" s="368"/>
      <c r="M22" s="369" t="s">
        <v>2953</v>
      </c>
      <c r="N22" s="370"/>
      <c r="O22" s="370"/>
      <c r="P22" s="371"/>
      <c r="Q22" s="372"/>
      <c r="R22" s="372"/>
      <c r="S22" s="372"/>
      <c r="T22" s="372"/>
    </row>
    <row r="23" s="337" customFormat="1" ht="40" customHeight="1" spans="2:20">
      <c r="B23" s="360">
        <v>15</v>
      </c>
      <c r="C23" s="361" t="e">
        <f>_xlfn.XLOOKUP(D23,商品汇总表!$B:$B,商品汇总表!$A:$A,"")</f>
        <v>#N/A</v>
      </c>
      <c r="D23" s="362" t="e" cm="1">
        <f t="array" ref="D23">LOOKUP(1,0/(('5.21出货明细'!AR:AR=$D$27)*('5.21出货明细'!A:A=B23)),'5.21出货明细'!E:E)</f>
        <v>#N/A</v>
      </c>
      <c r="E23" s="358" t="e">
        <f>_xlfn.XLOOKUP(D23,商品汇总表!$B:$B,商品汇总表!$D:$D,"")</f>
        <v>#N/A</v>
      </c>
      <c r="F23" s="363" t="e" cm="1">
        <f t="array" ref="F23">_xlfn.LET(_xlpm.数组,B23&amp;D23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3" s="373"/>
      <c r="H23" s="364"/>
      <c r="I23" s="365"/>
      <c r="J23" s="366"/>
      <c r="K23" s="367"/>
      <c r="L23" s="368"/>
      <c r="M23" s="369" t="s">
        <v>2953</v>
      </c>
      <c r="N23" s="370"/>
      <c r="O23" s="370"/>
      <c r="P23" s="371"/>
      <c r="Q23" s="372"/>
      <c r="R23" s="372"/>
      <c r="S23" s="372"/>
      <c r="T23" s="372"/>
    </row>
    <row r="24" s="337" customFormat="1" ht="40" customHeight="1" spans="2:20">
      <c r="B24" s="360">
        <v>16</v>
      </c>
      <c r="C24" s="361" t="e">
        <f>_xlfn.XLOOKUP(D24,商品汇总表!$B:$B,商品汇总表!$A:$A,"")</f>
        <v>#N/A</v>
      </c>
      <c r="D24" s="362" t="e" cm="1">
        <f t="array" ref="D24">LOOKUP(1,0/(('5.21出货明细'!AR:AR=$D$27)*('5.21出货明细'!A:A=B24)),'5.21出货明细'!E:E)</f>
        <v>#N/A</v>
      </c>
      <c r="E24" s="358" t="e">
        <f>_xlfn.XLOOKUP(D24,商品汇总表!$B:$B,商品汇总表!$D:$D,"")</f>
        <v>#N/A</v>
      </c>
      <c r="F24" s="363" t="e" cm="1">
        <f t="array" ref="F24">_xlfn.LET(_xlpm.数组,B24&amp;D24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4" s="373"/>
      <c r="H24" s="364"/>
      <c r="I24" s="365"/>
      <c r="J24" s="366"/>
      <c r="K24" s="367"/>
      <c r="L24" s="368"/>
      <c r="M24" s="369" t="s">
        <v>2953</v>
      </c>
      <c r="N24" s="370"/>
      <c r="O24" s="370"/>
      <c r="P24" s="371"/>
      <c r="Q24" s="372"/>
      <c r="R24" s="372"/>
      <c r="S24" s="372"/>
      <c r="T24" s="372"/>
    </row>
    <row r="25" s="337" customFormat="1" ht="40" customHeight="1" spans="2:20">
      <c r="B25" s="360">
        <v>17</v>
      </c>
      <c r="C25" s="361" t="e">
        <f>_xlfn.XLOOKUP(D25,商品汇总表!$B:$B,商品汇总表!$A:$A,"")</f>
        <v>#N/A</v>
      </c>
      <c r="D25" s="362" t="e" cm="1">
        <f t="array" ref="D25">LOOKUP(1,0/(('5.21出货明细'!AR:AR=$D$27)*('5.21出货明细'!A:A=B25)),'5.21出货明细'!E:E)</f>
        <v>#N/A</v>
      </c>
      <c r="E25" s="358" t="e">
        <f>_xlfn.XLOOKUP(D25,商品汇总表!$B:$B,商品汇总表!$D:$D,"")</f>
        <v>#N/A</v>
      </c>
      <c r="F25" s="363" t="e" cm="1">
        <f t="array" ref="F25">_xlfn.LET(_xlpm.数组,B25&amp;D25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5" s="373"/>
      <c r="H25" s="364"/>
      <c r="I25" s="365"/>
      <c r="J25" s="366"/>
      <c r="K25" s="367"/>
      <c r="L25" s="368"/>
      <c r="M25" s="369" t="s">
        <v>2953</v>
      </c>
      <c r="N25" s="370"/>
      <c r="O25" s="370"/>
      <c r="P25" s="371"/>
      <c r="Q25" s="372"/>
      <c r="R25" s="372"/>
      <c r="S25" s="372"/>
      <c r="T25" s="372"/>
    </row>
    <row r="26" s="337" customFormat="1" ht="40" customHeight="1" spans="2:20">
      <c r="B26" s="360">
        <v>18</v>
      </c>
      <c r="C26" s="361" t="e">
        <f>_xlfn.XLOOKUP(D26,商品汇总表!$B:$B,商品汇总表!$A:$A,"")</f>
        <v>#N/A</v>
      </c>
      <c r="D26" s="362" t="e" cm="1">
        <f t="array" ref="D26">LOOKUP(1,0/(('5.21出货明细'!AR:AR=$D$27)*('5.21出货明细'!A:A=B26)),'5.21出货明细'!E:E)</f>
        <v>#N/A</v>
      </c>
      <c r="E26" s="358" t="e">
        <f>_xlfn.XLOOKUP(D26,商品汇总表!$B:$B,商品汇总表!$D:$D,"")</f>
        <v>#N/A</v>
      </c>
      <c r="F26" s="363" t="e" cm="1">
        <f t="array" ref="F26">_xlfn.LET(_xlpm.数组,B26&amp;D26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6" s="373"/>
      <c r="H26" s="364"/>
      <c r="I26" s="365"/>
      <c r="J26" s="366"/>
      <c r="K26" s="367"/>
      <c r="L26" s="368"/>
      <c r="M26" s="369" t="s">
        <v>2953</v>
      </c>
      <c r="N26" s="370"/>
      <c r="O26" s="370"/>
      <c r="P26" s="371"/>
      <c r="Q26" s="372"/>
      <c r="R26" s="372"/>
      <c r="S26" s="372"/>
      <c r="T26" s="372"/>
    </row>
    <row r="27" s="337" customFormat="1" ht="29.25" customHeight="1" spans="2:20">
      <c r="B27" s="353"/>
      <c r="C27" s="374"/>
      <c r="D27" s="375" t="s">
        <v>1551</v>
      </c>
      <c r="E27" s="375"/>
      <c r="F27" s="376" t="e">
        <f>SUM(F9:F9)</f>
        <v>#N/A</v>
      </c>
      <c r="G27" s="373"/>
      <c r="H27" s="377"/>
      <c r="I27" s="376">
        <f>SUM(I9:I26)</f>
        <v>0</v>
      </c>
      <c r="J27" s="376">
        <f>SUM(J9:J26)</f>
        <v>0</v>
      </c>
      <c r="K27" s="376">
        <f>SUM(K9:K26)</f>
        <v>0</v>
      </c>
      <c r="L27" s="376">
        <f>SUM(L9:L26)</f>
        <v>0</v>
      </c>
      <c r="M27" s="378"/>
      <c r="N27" s="379"/>
      <c r="O27" s="379"/>
      <c r="P27" s="371"/>
      <c r="Q27" s="372"/>
      <c r="R27" s="372"/>
      <c r="S27" s="372"/>
      <c r="T27" s="372"/>
    </row>
    <row r="28" s="337" customFormat="1" ht="40" customHeight="1" spans="2:20">
      <c r="B28" s="360">
        <v>19</v>
      </c>
      <c r="C28" s="380" t="e">
        <f>_xlfn.XLOOKUP(D28,商品汇总表!$B:$B,商品汇总表!$A:$A,"")</f>
        <v>#N/A</v>
      </c>
      <c r="D28" s="362" t="e" cm="1">
        <f t="array" ref="D28">LOOKUP(1,0/(('5.21出货明细'!AR:AR=$D$39)*('5.21出货明细'!A:A=B28)),'5.21出货明细'!E:E)</f>
        <v>#N/A</v>
      </c>
      <c r="E28" s="358" t="e">
        <f>_xlfn.XLOOKUP(D28,商品汇总表!$B:$B,商品汇总表!$D:$D,"")</f>
        <v>#N/A</v>
      </c>
      <c r="F28" s="363" t="e" cm="1">
        <f t="array" ref="F28">_xlfn.LET(_xlpm.数组,B28&amp;D28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8" s="373"/>
      <c r="H28" s="364"/>
      <c r="I28" s="365"/>
      <c r="J28" s="366"/>
      <c r="K28" s="367"/>
      <c r="L28" s="368"/>
      <c r="M28" s="369" t="s">
        <v>2953</v>
      </c>
      <c r="N28" s="370"/>
      <c r="O28" s="370"/>
      <c r="P28" s="371"/>
      <c r="Q28" s="372"/>
      <c r="R28" s="372"/>
      <c r="S28" s="372"/>
      <c r="T28" s="372"/>
    </row>
    <row r="29" s="337" customFormat="1" ht="40" customHeight="1" spans="2:20">
      <c r="B29" s="360">
        <v>20</v>
      </c>
      <c r="C29" s="380" t="e">
        <f>_xlfn.XLOOKUP(D29,商品汇总表!$B:$B,商品汇总表!$A:$A,"")</f>
        <v>#N/A</v>
      </c>
      <c r="D29" s="362" t="e" cm="1">
        <f t="array" ref="D29">LOOKUP(1,0/(('5.21出货明细'!AR:AR=$D$39)*('5.21出货明细'!A:A=B29)),'5.21出货明细'!E:E)</f>
        <v>#N/A</v>
      </c>
      <c r="E29" s="358" t="e">
        <f>_xlfn.XLOOKUP(D29,商品汇总表!$B:$B,商品汇总表!$D:$D,"")</f>
        <v>#N/A</v>
      </c>
      <c r="F29" s="363" t="e" cm="1">
        <f t="array" ref="F29">_xlfn.LET(_xlpm.数组,B29&amp;D29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29" s="373"/>
      <c r="H29" s="364"/>
      <c r="I29" s="365"/>
      <c r="J29" s="366"/>
      <c r="K29" s="367"/>
      <c r="L29" s="368"/>
      <c r="M29" s="369" t="s">
        <v>2953</v>
      </c>
      <c r="N29" s="370"/>
      <c r="O29" s="370"/>
      <c r="P29" s="371"/>
      <c r="Q29" s="372"/>
      <c r="R29" s="372"/>
      <c r="S29" s="372"/>
      <c r="T29" s="372"/>
    </row>
    <row r="30" s="337" customFormat="1" ht="40" customHeight="1" spans="2:20">
      <c r="B30" s="360">
        <v>21</v>
      </c>
      <c r="C30" s="380" t="e">
        <f>_xlfn.XLOOKUP(D30,商品汇总表!$B:$B,商品汇总表!$A:$A,"")</f>
        <v>#N/A</v>
      </c>
      <c r="D30" s="362" t="e" cm="1">
        <f t="array" ref="D30">LOOKUP(1,0/(('5.21出货明细'!AR:AR=$D$39)*('5.21出货明细'!A:A=B30)),'5.21出货明细'!E:E)</f>
        <v>#N/A</v>
      </c>
      <c r="E30" s="358" t="e">
        <f>_xlfn.XLOOKUP(D30,商品汇总表!$B:$B,商品汇总表!$D:$D,"")</f>
        <v>#N/A</v>
      </c>
      <c r="F30" s="363" t="e" cm="1">
        <f t="array" ref="F30">_xlfn.LET(_xlpm.数组,B30&amp;D30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0" s="373"/>
      <c r="H30" s="364"/>
      <c r="I30" s="365"/>
      <c r="J30" s="366"/>
      <c r="K30" s="367"/>
      <c r="L30" s="368"/>
      <c r="M30" s="369" t="s">
        <v>2953</v>
      </c>
      <c r="N30" s="370"/>
      <c r="O30" s="370"/>
      <c r="P30" s="371"/>
      <c r="Q30" s="372"/>
      <c r="R30" s="372"/>
      <c r="S30" s="372"/>
      <c r="T30" s="372"/>
    </row>
    <row r="31" s="337" customFormat="1" ht="40" customHeight="1" spans="2:20">
      <c r="B31" s="360">
        <v>22</v>
      </c>
      <c r="C31" s="380" t="e">
        <f>_xlfn.XLOOKUP(D31,商品汇总表!$B:$B,商品汇总表!$A:$A,"")</f>
        <v>#N/A</v>
      </c>
      <c r="D31" s="362" t="e" cm="1">
        <f t="array" ref="D31">LOOKUP(1,0/(('5.21出货明细'!AR:AR=$D$39)*('5.21出货明细'!A:A=B31)),'5.21出货明细'!E:E)</f>
        <v>#N/A</v>
      </c>
      <c r="E31" s="358" t="e">
        <f>_xlfn.XLOOKUP(D31,商品汇总表!$B:$B,商品汇总表!$D:$D,"")</f>
        <v>#N/A</v>
      </c>
      <c r="F31" s="363" t="e" cm="1">
        <f t="array" ref="F31">_xlfn.LET(_xlpm.数组,B31&amp;D31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1" s="373"/>
      <c r="H31" s="364"/>
      <c r="I31" s="365"/>
      <c r="J31" s="366"/>
      <c r="K31" s="367"/>
      <c r="L31" s="368"/>
      <c r="M31" s="369" t="s">
        <v>2953</v>
      </c>
      <c r="N31" s="370"/>
      <c r="O31" s="370"/>
      <c r="P31" s="371"/>
      <c r="Q31" s="372"/>
      <c r="R31" s="372"/>
      <c r="S31" s="372"/>
      <c r="T31" s="372"/>
    </row>
    <row r="32" s="337" customFormat="1" ht="40" customHeight="1" spans="2:20">
      <c r="B32" s="360">
        <v>23</v>
      </c>
      <c r="C32" s="380" t="e">
        <f>_xlfn.XLOOKUP(D32,商品汇总表!$B:$B,商品汇总表!$A:$A,"")</f>
        <v>#N/A</v>
      </c>
      <c r="D32" s="362" t="e" cm="1">
        <f t="array" ref="D32">LOOKUP(1,0/(('5.21出货明细'!AR:AR=$D$39)*('5.21出货明细'!A:A=B32)),'5.21出货明细'!E:E)</f>
        <v>#N/A</v>
      </c>
      <c r="E32" s="358" t="e">
        <f>_xlfn.XLOOKUP(D32,商品汇总表!$B:$B,商品汇总表!$D:$D,"")</f>
        <v>#N/A</v>
      </c>
      <c r="F32" s="363" t="e" cm="1">
        <f t="array" ref="F32">_xlfn.LET(_xlpm.数组,B32&amp;D32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2" s="373"/>
      <c r="H32" s="364"/>
      <c r="I32" s="365"/>
      <c r="J32" s="366"/>
      <c r="K32" s="367"/>
      <c r="L32" s="368"/>
      <c r="M32" s="369" t="s">
        <v>2953</v>
      </c>
      <c r="N32" s="370"/>
      <c r="O32" s="370"/>
      <c r="P32" s="371"/>
      <c r="Q32" s="372"/>
      <c r="R32" s="372"/>
      <c r="S32" s="372"/>
      <c r="T32" s="372"/>
    </row>
    <row r="33" s="337" customFormat="1" ht="40" customHeight="1" spans="1:1024 1025:16381">
      <c r="B33" s="360">
        <v>24</v>
      </c>
      <c r="C33" s="380" t="e">
        <f>_xlfn.XLOOKUP(D33,商品汇总表!$B:$B,商品汇总表!$A:$A,"")</f>
        <v>#N/A</v>
      </c>
      <c r="D33" s="362" t="e" cm="1">
        <f t="array" ref="D33">LOOKUP(1,0/(('5.21出货明细'!AR:AR=$D$39)*('5.21出货明细'!A:A=B33)),'5.21出货明细'!E:E)</f>
        <v>#N/A</v>
      </c>
      <c r="E33" s="358" t="e">
        <f>_xlfn.XLOOKUP(D33,商品汇总表!$B:$B,商品汇总表!$D:$D,"")</f>
        <v>#N/A</v>
      </c>
      <c r="F33" s="363" t="e" cm="1">
        <f t="array" ref="F33">_xlfn.LET(_xlpm.数组,B33&amp;D33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3" s="373"/>
      <c r="H33" s="364"/>
      <c r="I33" s="365"/>
      <c r="J33" s="366"/>
      <c r="K33" s="367"/>
      <c r="L33" s="368"/>
      <c r="M33" s="369" t="s">
        <v>2953</v>
      </c>
      <c r="N33" s="370"/>
      <c r="O33" s="370"/>
      <c r="P33" s="371"/>
      <c r="Q33" s="372"/>
      <c r="R33" s="372"/>
      <c r="S33" s="372"/>
      <c r="T33" s="372"/>
    </row>
    <row r="34" s="337" customFormat="1" ht="40" customHeight="1" spans="1:1024 1025:16381">
      <c r="B34" s="360">
        <v>25</v>
      </c>
      <c r="C34" s="380" t="e">
        <f>_xlfn.XLOOKUP(D34,商品汇总表!$B:$B,商品汇总表!$A:$A,"")</f>
        <v>#N/A</v>
      </c>
      <c r="D34" s="362" t="e" cm="1">
        <f t="array" ref="D34">LOOKUP(1,0/(('5.21出货明细'!AR:AR=$D$39)*('5.21出货明细'!A:A=B34)),'5.21出货明细'!E:E)</f>
        <v>#N/A</v>
      </c>
      <c r="E34" s="358" t="e">
        <f>_xlfn.XLOOKUP(D34,商品汇总表!$B:$B,商品汇总表!$D:$D,"")</f>
        <v>#N/A</v>
      </c>
      <c r="F34" s="363" t="e" cm="1">
        <f t="array" ref="F34">_xlfn.LET(_xlpm.数组,B34&amp;D34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4" s="373"/>
      <c r="H34" s="364"/>
      <c r="I34" s="365"/>
      <c r="J34" s="366"/>
      <c r="K34" s="367"/>
      <c r="L34" s="368"/>
      <c r="M34" s="369" t="s">
        <v>2953</v>
      </c>
      <c r="N34" s="370"/>
      <c r="O34" s="370"/>
      <c r="P34" s="371"/>
      <c r="Q34" s="372"/>
      <c r="R34" s="372"/>
      <c r="S34" s="372"/>
      <c r="T34" s="372"/>
    </row>
    <row r="35" s="337" customFormat="1" ht="40" customHeight="1" spans="1:1024 1025:16381">
      <c r="B35" s="360">
        <v>26</v>
      </c>
      <c r="C35" s="380" t="e">
        <f>_xlfn.XLOOKUP(D35,商品汇总表!$B:$B,商品汇总表!$A:$A,"")</f>
        <v>#N/A</v>
      </c>
      <c r="D35" s="362" t="e" cm="1">
        <f t="array" ref="D35">LOOKUP(1,0/(('5.21出货明细'!AR:AR=$D$39)*('5.21出货明细'!A:A=B35)),'5.21出货明细'!E:E)</f>
        <v>#N/A</v>
      </c>
      <c r="E35" s="358" t="e">
        <f>_xlfn.XLOOKUP(D35,商品汇总表!$B:$B,商品汇总表!$D:$D,"")</f>
        <v>#N/A</v>
      </c>
      <c r="F35" s="363" t="e" cm="1">
        <f t="array" ref="F35">_xlfn.LET(_xlpm.数组,B35&amp;D35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5" s="373"/>
      <c r="H35" s="364"/>
      <c r="I35" s="365"/>
      <c r="J35" s="366"/>
      <c r="K35" s="367"/>
      <c r="L35" s="368"/>
      <c r="M35" s="369" t="s">
        <v>2953</v>
      </c>
      <c r="N35" s="370"/>
      <c r="O35" s="370"/>
      <c r="P35" s="371"/>
      <c r="Q35" s="372"/>
      <c r="R35" s="372"/>
      <c r="S35" s="372"/>
      <c r="T35" s="372"/>
    </row>
    <row r="36" s="337" customFormat="1" ht="40" customHeight="1" spans="1:1024 1025:16381">
      <c r="B36" s="360">
        <v>27</v>
      </c>
      <c r="C36" s="380" t="e">
        <f>_xlfn.XLOOKUP(D36,商品汇总表!$B:$B,商品汇总表!$A:$A,"")</f>
        <v>#N/A</v>
      </c>
      <c r="D36" s="362" t="e" cm="1">
        <f t="array" ref="D36">LOOKUP(1,0/(('5.21出货明细'!AR:AR=$D$39)*('5.21出货明细'!A:A=B36)),'5.21出货明细'!E:E)</f>
        <v>#N/A</v>
      </c>
      <c r="E36" s="358" t="e">
        <f>_xlfn.XLOOKUP(D36,商品汇总表!$B:$B,商品汇总表!$D:$D,"")</f>
        <v>#N/A</v>
      </c>
      <c r="F36" s="363" t="e" cm="1">
        <f t="array" ref="F36">_xlfn.LET(_xlpm.数组,B36&amp;D36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6" s="373"/>
      <c r="H36" s="364"/>
      <c r="I36" s="365"/>
      <c r="J36" s="366"/>
      <c r="K36" s="367"/>
      <c r="L36" s="368"/>
      <c r="M36" s="369" t="s">
        <v>2953</v>
      </c>
      <c r="N36" s="370"/>
      <c r="O36" s="370"/>
      <c r="P36" s="371"/>
      <c r="Q36" s="372"/>
      <c r="R36" s="372"/>
      <c r="S36" s="372"/>
      <c r="T36" s="372"/>
    </row>
    <row r="37" s="337" customFormat="1" ht="40" customHeight="1" spans="1:1024 1025:16381">
      <c r="B37" s="360">
        <v>28</v>
      </c>
      <c r="C37" s="380" t="e">
        <f>_xlfn.XLOOKUP(D37,商品汇总表!$B:$B,商品汇总表!$A:$A,"")</f>
        <v>#N/A</v>
      </c>
      <c r="D37" s="362" t="e" cm="1">
        <f t="array" ref="D37">LOOKUP(1,0/(('5.21出货明细'!AR:AR=$D$39)*('5.21出货明细'!A:A=B37)),'5.21出货明细'!E:E)</f>
        <v>#N/A</v>
      </c>
      <c r="E37" s="358" t="e">
        <f>_xlfn.XLOOKUP(D37,商品汇总表!$B:$B,商品汇总表!$D:$D,"")</f>
        <v>#N/A</v>
      </c>
      <c r="F37" s="363" t="e" cm="1">
        <f t="array" ref="F37">_xlfn.LET(_xlpm.数组,B37&amp;D37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7" s="373"/>
      <c r="H37" s="364"/>
      <c r="I37" s="365"/>
      <c r="J37" s="366"/>
      <c r="K37" s="367"/>
      <c r="L37" s="368"/>
      <c r="M37" s="369" t="s">
        <v>2953</v>
      </c>
      <c r="N37" s="370"/>
      <c r="O37" s="370"/>
      <c r="P37" s="371"/>
      <c r="Q37" s="372"/>
      <c r="R37" s="372"/>
      <c r="S37" s="372"/>
      <c r="T37" s="372"/>
    </row>
    <row r="38" s="337" customFormat="1" ht="40" customHeight="1" spans="1:1024 1025:16381">
      <c r="B38" s="360">
        <v>29</v>
      </c>
      <c r="C38" s="380" t="e">
        <f>_xlfn.XLOOKUP(D38,商品汇总表!$B:$B,商品汇总表!$A:$A,"")</f>
        <v>#N/A</v>
      </c>
      <c r="D38" s="362" t="e" cm="1">
        <f t="array" ref="D38">LOOKUP(1,0/(('5.21出货明细'!AR:AR=$D$39)*('5.21出货明细'!A:A=B38)),'5.21出货明细'!E:E)</f>
        <v>#N/A</v>
      </c>
      <c r="E38" s="358" t="e">
        <f>_xlfn.XLOOKUP(D38,商品汇总表!$B:$B,商品汇总表!$D:$D,"")</f>
        <v>#N/A</v>
      </c>
      <c r="F38" s="363" t="e" cm="1">
        <f t="array" ref="F38">_xlfn.LET(_xlpm.数组,B38&amp;D38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38" s="373"/>
      <c r="H38" s="364"/>
      <c r="I38" s="365"/>
      <c r="J38" s="366"/>
      <c r="K38" s="367"/>
      <c r="L38" s="368"/>
      <c r="M38" s="369" t="s">
        <v>2953</v>
      </c>
      <c r="N38" s="370"/>
      <c r="O38" s="370"/>
      <c r="P38" s="371"/>
      <c r="Q38" s="372"/>
      <c r="R38" s="372"/>
      <c r="S38" s="372"/>
      <c r="T38" s="372"/>
    </row>
    <row r="39" s="337" customFormat="1" ht="29.25" customHeight="1" spans="1:1024 1025:16381">
      <c r="B39" s="353"/>
      <c r="C39" s="381"/>
      <c r="D39" s="375" t="s">
        <v>960</v>
      </c>
      <c r="E39" s="375"/>
      <c r="F39" s="376" t="e">
        <f>SUM(F28:F38)</f>
        <v>#N/A</v>
      </c>
      <c r="G39" s="373"/>
      <c r="H39" s="377"/>
      <c r="I39" s="376">
        <f>SUM(I28:I38)</f>
        <v>0</v>
      </c>
      <c r="J39" s="376">
        <f>SUM(J28:J38)</f>
        <v>0</v>
      </c>
      <c r="K39" s="376">
        <f>SUM(K28:K38)</f>
        <v>0</v>
      </c>
      <c r="L39" s="376">
        <f>SUM(L28:L38)</f>
        <v>0</v>
      </c>
      <c r="M39" s="378"/>
      <c r="N39" s="379"/>
      <c r="O39" s="379"/>
      <c r="P39" s="371"/>
      <c r="Q39" s="372"/>
      <c r="R39" s="372"/>
      <c r="S39" s="372"/>
      <c r="T39" s="372"/>
    </row>
    <row r="40" s="338" customFormat="1" ht="29.25" customHeight="1" spans="1:1024 1025:16381">
      <c r="A40" s="344"/>
      <c r="B40" s="382">
        <v>30</v>
      </c>
      <c r="C40" s="380" t="e">
        <f>_xlfn.XLOOKUP(D40,商品汇总表!$B:$B,商品汇总表!$A:$A,"")</f>
        <v>#N/A</v>
      </c>
      <c r="D40" s="362" t="e" cm="1">
        <f t="array" ref="D40">LOOKUP(1,0/(('5.21出货明细'!AR:AR=$D$52)*('5.21出货明细'!A:A=B40)),'5.21出货明细'!E:E)</f>
        <v>#N/A</v>
      </c>
      <c r="E40" s="358" t="e">
        <f>_xlfn.XLOOKUP(D40,商品汇总表!$B:$B,商品汇总表!$D:$D,"")</f>
        <v>#N/A</v>
      </c>
      <c r="F40" s="363" t="e" cm="1">
        <f t="array" ref="F40">_xlfn.LET(_xlpm.数组,B40&amp;D40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0" s="373"/>
      <c r="H40" s="364"/>
      <c r="I40" s="365"/>
      <c r="J40" s="366"/>
      <c r="K40" s="367"/>
      <c r="L40" s="368"/>
      <c r="M40" s="369" t="s">
        <v>2953</v>
      </c>
      <c r="N40" s="370"/>
      <c r="O40" s="370"/>
      <c r="P40" s="383"/>
      <c r="Q40" s="372"/>
      <c r="R40" s="372"/>
      <c r="S40" s="372"/>
      <c r="T40" s="372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344"/>
      <c r="AN40" s="344"/>
      <c r="AO40" s="344"/>
      <c r="AP40" s="344"/>
      <c r="AQ40" s="344"/>
      <c r="AR40" s="344"/>
      <c r="AS40" s="344"/>
      <c r="AT40" s="344"/>
      <c r="AU40" s="344"/>
      <c r="AV40" s="344"/>
      <c r="AW40" s="344"/>
      <c r="AX40" s="344"/>
      <c r="AY40" s="344"/>
      <c r="AZ40" s="344"/>
      <c r="BA40" s="344"/>
      <c r="BB40" s="344"/>
      <c r="BC40" s="344"/>
      <c r="BD40" s="344"/>
      <c r="BE40" s="344"/>
      <c r="BF40" s="344"/>
      <c r="BG40" s="344"/>
      <c r="BH40" s="344"/>
      <c r="BI40" s="344"/>
      <c r="BJ40" s="344"/>
      <c r="BK40" s="344"/>
      <c r="BL40" s="344"/>
      <c r="BM40" s="344"/>
      <c r="BN40" s="344"/>
      <c r="BO40" s="344"/>
      <c r="BP40" s="344"/>
      <c r="BQ40" s="344"/>
      <c r="BR40" s="344"/>
      <c r="BS40" s="344"/>
      <c r="BT40" s="344"/>
      <c r="BU40" s="344"/>
      <c r="BV40" s="344"/>
      <c r="BW40" s="344"/>
      <c r="BX40" s="344"/>
      <c r="BY40" s="344"/>
      <c r="BZ40" s="344"/>
      <c r="CA40" s="344"/>
      <c r="CB40" s="344"/>
      <c r="CC40" s="344"/>
      <c r="CD40" s="344"/>
      <c r="CE40" s="344"/>
      <c r="CF40" s="344"/>
      <c r="CG40" s="344"/>
      <c r="CH40" s="344"/>
      <c r="CI40" s="344"/>
      <c r="CJ40" s="344"/>
      <c r="CK40" s="344"/>
      <c r="CL40" s="344"/>
      <c r="CM40" s="344"/>
      <c r="CN40" s="344"/>
      <c r="CO40" s="344"/>
      <c r="CP40" s="344"/>
      <c r="CQ40" s="344"/>
      <c r="CR40" s="344"/>
      <c r="CS40" s="344"/>
      <c r="CT40" s="344"/>
      <c r="CU40" s="344"/>
      <c r="CV40" s="344"/>
      <c r="CW40" s="344"/>
      <c r="CX40" s="344"/>
      <c r="CY40" s="344"/>
      <c r="CZ40" s="344"/>
      <c r="DA40" s="344"/>
      <c r="DB40" s="344"/>
      <c r="DC40" s="344"/>
      <c r="DD40" s="344"/>
      <c r="DE40" s="344"/>
      <c r="DF40" s="344"/>
      <c r="DG40" s="344"/>
      <c r="DH40" s="344"/>
      <c r="DI40" s="344"/>
      <c r="DJ40" s="344"/>
      <c r="DK40" s="344"/>
      <c r="DL40" s="344"/>
      <c r="DM40" s="344"/>
      <c r="DN40" s="344"/>
      <c r="DO40" s="344"/>
      <c r="DP40" s="344"/>
      <c r="DQ40" s="344"/>
      <c r="DR40" s="344"/>
      <c r="DS40" s="344"/>
      <c r="DT40" s="344"/>
      <c r="DU40" s="344"/>
      <c r="DV40" s="344"/>
      <c r="DW40" s="344"/>
      <c r="DX40" s="344"/>
      <c r="DY40" s="344"/>
      <c r="DZ40" s="344"/>
      <c r="EA40" s="344"/>
      <c r="EB40" s="344"/>
      <c r="EC40" s="344"/>
      <c r="ED40" s="344"/>
      <c r="EE40" s="344"/>
      <c r="EF40" s="344"/>
      <c r="EG40" s="344"/>
      <c r="EH40" s="344"/>
      <c r="EI40" s="344"/>
      <c r="EJ40" s="344"/>
      <c r="EK40" s="344"/>
      <c r="EL40" s="344"/>
      <c r="EM40" s="344"/>
      <c r="EN40" s="344"/>
      <c r="EO40" s="344"/>
      <c r="EP40" s="344"/>
      <c r="EQ40" s="344"/>
      <c r="ER40" s="344"/>
      <c r="ES40" s="344"/>
      <c r="ET40" s="344"/>
      <c r="EU40" s="344"/>
      <c r="EV40" s="344"/>
      <c r="EW40" s="344"/>
      <c r="EX40" s="344"/>
      <c r="EY40" s="344"/>
      <c r="EZ40" s="344"/>
      <c r="FA40" s="344"/>
      <c r="FB40" s="344"/>
      <c r="FC40" s="344"/>
      <c r="FD40" s="344"/>
      <c r="FE40" s="344"/>
      <c r="FF40" s="344"/>
      <c r="FG40" s="344"/>
      <c r="FH40" s="344"/>
      <c r="FI40" s="344"/>
      <c r="FJ40" s="344"/>
      <c r="FK40" s="344"/>
      <c r="FL40" s="344"/>
      <c r="FM40" s="344"/>
      <c r="FN40" s="344"/>
      <c r="FO40" s="344"/>
      <c r="FP40" s="344"/>
      <c r="FQ40" s="344"/>
      <c r="FR40" s="344"/>
      <c r="FS40" s="344"/>
      <c r="FT40" s="344"/>
      <c r="FU40" s="344"/>
      <c r="FV40" s="344"/>
      <c r="FW40" s="344"/>
      <c r="FX40" s="344"/>
      <c r="FY40" s="344"/>
      <c r="FZ40" s="344"/>
      <c r="GA40" s="344"/>
      <c r="GB40" s="344"/>
      <c r="GC40" s="344"/>
      <c r="GD40" s="344"/>
      <c r="GE40" s="344"/>
      <c r="GF40" s="344"/>
      <c r="GG40" s="344"/>
      <c r="GH40" s="344"/>
      <c r="GI40" s="344"/>
      <c r="GJ40" s="344"/>
      <c r="GK40" s="344"/>
      <c r="GL40" s="344"/>
      <c r="GM40" s="344"/>
      <c r="GN40" s="344"/>
      <c r="GO40" s="344"/>
      <c r="GP40" s="344"/>
      <c r="GQ40" s="344"/>
      <c r="GR40" s="344"/>
      <c r="GS40" s="344"/>
      <c r="GT40" s="344"/>
      <c r="GU40" s="344"/>
      <c r="GV40" s="344"/>
      <c r="GW40" s="344"/>
      <c r="GX40" s="344"/>
      <c r="GY40" s="344"/>
      <c r="GZ40" s="344"/>
      <c r="HA40" s="344"/>
      <c r="HB40" s="344"/>
      <c r="HC40" s="344"/>
      <c r="HD40" s="344"/>
      <c r="HE40" s="344"/>
      <c r="HF40" s="344"/>
      <c r="HG40" s="344"/>
      <c r="HH40" s="344"/>
      <c r="HI40" s="344"/>
      <c r="HJ40" s="344"/>
      <c r="HK40" s="344"/>
      <c r="HL40" s="344"/>
      <c r="HM40" s="344"/>
      <c r="HN40" s="344"/>
      <c r="HO40" s="344"/>
      <c r="HP40" s="344"/>
      <c r="HQ40" s="344"/>
      <c r="HR40" s="344"/>
      <c r="HS40" s="344"/>
      <c r="HT40" s="344"/>
      <c r="HU40" s="344"/>
      <c r="HV40" s="344"/>
      <c r="HW40" s="344"/>
      <c r="HX40" s="344"/>
      <c r="HY40" s="344"/>
      <c r="HZ40" s="344"/>
      <c r="IA40" s="344"/>
      <c r="IB40" s="344"/>
      <c r="IC40" s="344"/>
      <c r="ID40" s="344"/>
      <c r="IE40" s="344"/>
      <c r="IF40" s="344"/>
      <c r="IG40" s="344"/>
      <c r="IH40" s="344"/>
      <c r="II40" s="344"/>
      <c r="IJ40" s="344"/>
      <c r="IK40" s="344"/>
      <c r="IL40" s="344"/>
      <c r="IM40" s="344"/>
      <c r="IN40" s="344"/>
      <c r="IO40" s="344"/>
      <c r="IP40" s="344"/>
      <c r="IQ40" s="344"/>
      <c r="IR40" s="344"/>
      <c r="IS40" s="344"/>
      <c r="IT40" s="344"/>
      <c r="IU40" s="344"/>
      <c r="IV40" s="344"/>
      <c r="IW40" s="344"/>
      <c r="IX40" s="344"/>
      <c r="IY40" s="344"/>
      <c r="IZ40" s="344"/>
      <c r="JA40" s="344"/>
      <c r="JB40" s="344"/>
      <c r="JC40" s="344"/>
      <c r="JD40" s="344"/>
      <c r="JE40" s="344"/>
      <c r="JF40" s="344"/>
      <c r="JG40" s="344"/>
      <c r="JH40" s="344"/>
      <c r="JI40" s="344"/>
      <c r="JJ40" s="344"/>
      <c r="JK40" s="344"/>
      <c r="JL40" s="344"/>
      <c r="JM40" s="344"/>
      <c r="JN40" s="344"/>
      <c r="JO40" s="344"/>
      <c r="JP40" s="344"/>
      <c r="JQ40" s="344"/>
      <c r="JR40" s="344"/>
      <c r="JS40" s="344"/>
      <c r="JT40" s="344"/>
      <c r="JU40" s="344"/>
      <c r="JV40" s="344"/>
      <c r="JW40" s="344"/>
      <c r="JX40" s="344"/>
      <c r="JY40" s="344"/>
      <c r="JZ40" s="344"/>
      <c r="KA40" s="344"/>
      <c r="KB40" s="344"/>
      <c r="KC40" s="344"/>
      <c r="KD40" s="344"/>
      <c r="KE40" s="344"/>
      <c r="KF40" s="344"/>
      <c r="KG40" s="344"/>
      <c r="KH40" s="344"/>
      <c r="KI40" s="344"/>
      <c r="KJ40" s="344"/>
      <c r="KK40" s="344"/>
      <c r="KL40" s="344"/>
      <c r="KM40" s="344"/>
      <c r="KN40" s="344"/>
      <c r="KO40" s="344"/>
      <c r="KP40" s="344"/>
      <c r="KQ40" s="344"/>
      <c r="KR40" s="344"/>
      <c r="KS40" s="344"/>
      <c r="KT40" s="344"/>
      <c r="KU40" s="344"/>
      <c r="KV40" s="344"/>
      <c r="KW40" s="344"/>
      <c r="KX40" s="344"/>
      <c r="KY40" s="344"/>
      <c r="KZ40" s="344"/>
      <c r="LA40" s="344"/>
      <c r="LB40" s="344"/>
      <c r="LC40" s="344"/>
      <c r="LD40" s="344"/>
      <c r="LE40" s="344"/>
      <c r="LF40" s="344"/>
      <c r="LG40" s="344"/>
      <c r="LH40" s="344"/>
      <c r="LI40" s="344"/>
      <c r="LJ40" s="344"/>
      <c r="LK40" s="344"/>
      <c r="LL40" s="344"/>
      <c r="LM40" s="344"/>
      <c r="LN40" s="344"/>
      <c r="LO40" s="344"/>
      <c r="LP40" s="344"/>
      <c r="LQ40" s="344"/>
      <c r="LR40" s="344"/>
      <c r="LS40" s="344"/>
      <c r="LT40" s="344"/>
      <c r="LU40" s="344"/>
      <c r="LV40" s="344"/>
      <c r="LW40" s="344"/>
      <c r="LX40" s="344"/>
      <c r="LY40" s="344"/>
      <c r="LZ40" s="344"/>
      <c r="MA40" s="344"/>
      <c r="MB40" s="344"/>
      <c r="MC40" s="344"/>
      <c r="MD40" s="344"/>
      <c r="ME40" s="344"/>
      <c r="MF40" s="344"/>
      <c r="MG40" s="344"/>
      <c r="MH40" s="344"/>
      <c r="MI40" s="344"/>
      <c r="MJ40" s="344"/>
      <c r="MK40" s="344"/>
      <c r="ML40" s="344"/>
      <c r="MM40" s="344"/>
      <c r="MN40" s="344"/>
      <c r="MO40" s="344"/>
      <c r="MP40" s="344"/>
      <c r="MQ40" s="344"/>
      <c r="MR40" s="344"/>
      <c r="MS40" s="344"/>
      <c r="MT40" s="344"/>
      <c r="MU40" s="344"/>
      <c r="MV40" s="344"/>
      <c r="MW40" s="344"/>
      <c r="MX40" s="344"/>
      <c r="MY40" s="344"/>
      <c r="MZ40" s="344"/>
      <c r="NA40" s="344"/>
      <c r="NB40" s="344"/>
      <c r="NC40" s="344"/>
      <c r="ND40" s="344"/>
      <c r="NE40" s="344"/>
      <c r="NF40" s="344"/>
      <c r="NG40" s="344"/>
      <c r="NH40" s="344"/>
      <c r="NI40" s="344"/>
      <c r="NJ40" s="344"/>
      <c r="NK40" s="344"/>
      <c r="NL40" s="344"/>
      <c r="NM40" s="344"/>
      <c r="NN40" s="344"/>
      <c r="NO40" s="344"/>
      <c r="NP40" s="344"/>
      <c r="NQ40" s="344"/>
      <c r="NR40" s="344"/>
      <c r="NS40" s="344"/>
      <c r="NT40" s="344"/>
      <c r="NU40" s="344"/>
      <c r="NV40" s="344"/>
      <c r="NW40" s="344"/>
      <c r="NX40" s="344"/>
      <c r="NY40" s="344"/>
      <c r="NZ40" s="344"/>
      <c r="OA40" s="344"/>
      <c r="OB40" s="344"/>
      <c r="OC40" s="344"/>
      <c r="OD40" s="344"/>
      <c r="OE40" s="344"/>
      <c r="OF40" s="344"/>
      <c r="OG40" s="344"/>
      <c r="OH40" s="344"/>
      <c r="OI40" s="344"/>
      <c r="OJ40" s="344"/>
      <c r="OK40" s="344"/>
      <c r="OL40" s="344"/>
      <c r="OM40" s="344"/>
      <c r="ON40" s="344"/>
      <c r="OO40" s="344"/>
      <c r="OP40" s="344"/>
      <c r="OQ40" s="344"/>
      <c r="OR40" s="344"/>
      <c r="OS40" s="344"/>
      <c r="OT40" s="344"/>
      <c r="OU40" s="344"/>
      <c r="OV40" s="344"/>
      <c r="OW40" s="344"/>
      <c r="OX40" s="344"/>
      <c r="OY40" s="344"/>
      <c r="OZ40" s="344"/>
      <c r="PA40" s="344"/>
      <c r="PB40" s="344"/>
      <c r="PC40" s="344"/>
      <c r="PD40" s="344"/>
      <c r="PE40" s="344"/>
      <c r="PF40" s="344"/>
      <c r="PG40" s="344"/>
      <c r="PH40" s="344"/>
      <c r="PI40" s="344"/>
      <c r="PJ40" s="344"/>
      <c r="PK40" s="344"/>
      <c r="PL40" s="344"/>
      <c r="PM40" s="344"/>
      <c r="PN40" s="344"/>
      <c r="PO40" s="344"/>
      <c r="PP40" s="344"/>
      <c r="PQ40" s="344"/>
      <c r="PR40" s="344"/>
      <c r="PS40" s="344"/>
      <c r="PT40" s="344"/>
      <c r="PU40" s="344"/>
      <c r="PV40" s="344"/>
      <c r="PW40" s="344"/>
      <c r="PX40" s="344"/>
      <c r="PY40" s="344"/>
      <c r="PZ40" s="344"/>
      <c r="QA40" s="344"/>
      <c r="QB40" s="344"/>
      <c r="QC40" s="344"/>
      <c r="QD40" s="344"/>
      <c r="QE40" s="344"/>
      <c r="QF40" s="344"/>
      <c r="QG40" s="344"/>
      <c r="QH40" s="344"/>
      <c r="QI40" s="344"/>
      <c r="QJ40" s="344"/>
      <c r="QK40" s="344"/>
      <c r="QL40" s="344"/>
      <c r="QM40" s="344"/>
      <c r="QN40" s="344"/>
      <c r="QO40" s="344"/>
      <c r="QP40" s="344"/>
      <c r="QQ40" s="344"/>
      <c r="QR40" s="344"/>
      <c r="QS40" s="344"/>
      <c r="QT40" s="344"/>
      <c r="QU40" s="344"/>
      <c r="QV40" s="344"/>
      <c r="QW40" s="344"/>
      <c r="QX40" s="344"/>
      <c r="QY40" s="344"/>
      <c r="QZ40" s="344"/>
      <c r="RA40" s="344"/>
      <c r="RB40" s="344"/>
      <c r="RC40" s="344"/>
      <c r="RD40" s="344"/>
      <c r="RE40" s="344"/>
      <c r="RF40" s="344"/>
      <c r="RG40" s="344"/>
      <c r="RH40" s="344"/>
      <c r="RI40" s="344"/>
      <c r="RJ40" s="344"/>
      <c r="RK40" s="344"/>
      <c r="RL40" s="344"/>
      <c r="RM40" s="344"/>
      <c r="RN40" s="344"/>
      <c r="RO40" s="344"/>
      <c r="RP40" s="344"/>
      <c r="RQ40" s="344"/>
      <c r="RR40" s="344"/>
      <c r="RS40" s="344"/>
      <c r="RT40" s="344"/>
      <c r="RU40" s="344"/>
      <c r="RV40" s="344"/>
      <c r="RW40" s="344"/>
      <c r="RX40" s="344"/>
      <c r="RY40" s="344"/>
      <c r="RZ40" s="344"/>
      <c r="SA40" s="344"/>
      <c r="SB40" s="344"/>
      <c r="SC40" s="344"/>
      <c r="SD40" s="344"/>
      <c r="SE40" s="344"/>
      <c r="SF40" s="344"/>
      <c r="SG40" s="344"/>
      <c r="SH40" s="344"/>
      <c r="SI40" s="344"/>
      <c r="SJ40" s="344"/>
      <c r="SK40" s="344"/>
      <c r="SL40" s="344"/>
      <c r="SM40" s="344"/>
      <c r="SN40" s="344"/>
      <c r="SO40" s="344"/>
      <c r="SP40" s="344"/>
      <c r="SQ40" s="344"/>
      <c r="SR40" s="344"/>
      <c r="SS40" s="344"/>
      <c r="ST40" s="344"/>
      <c r="SU40" s="344"/>
      <c r="SV40" s="344"/>
      <c r="SW40" s="344"/>
      <c r="SX40" s="344"/>
      <c r="SY40" s="344"/>
      <c r="SZ40" s="344"/>
      <c r="TA40" s="344"/>
      <c r="TB40" s="344"/>
      <c r="TC40" s="344"/>
      <c r="TD40" s="344"/>
      <c r="TE40" s="344"/>
      <c r="TF40" s="344"/>
      <c r="TG40" s="344"/>
      <c r="TH40" s="344"/>
      <c r="TI40" s="344"/>
      <c r="TJ40" s="344"/>
      <c r="TK40" s="344"/>
      <c r="TL40" s="344"/>
      <c r="TM40" s="344"/>
      <c r="TN40" s="344"/>
      <c r="TO40" s="344"/>
      <c r="TP40" s="344"/>
      <c r="TQ40" s="344"/>
      <c r="TR40" s="344"/>
      <c r="TS40" s="344"/>
      <c r="TT40" s="344"/>
      <c r="TU40" s="344"/>
      <c r="TV40" s="344"/>
      <c r="TW40" s="344"/>
      <c r="TX40" s="344"/>
      <c r="TY40" s="344"/>
      <c r="TZ40" s="344"/>
      <c r="UA40" s="344"/>
      <c r="UB40" s="344"/>
      <c r="UC40" s="344"/>
      <c r="UD40" s="344"/>
      <c r="UE40" s="344"/>
      <c r="UF40" s="344"/>
      <c r="UG40" s="344"/>
      <c r="UH40" s="344"/>
      <c r="UI40" s="344"/>
      <c r="UJ40" s="344"/>
      <c r="UK40" s="344"/>
      <c r="UL40" s="344"/>
      <c r="UM40" s="344"/>
      <c r="UN40" s="344"/>
      <c r="UO40" s="344"/>
      <c r="UP40" s="344"/>
      <c r="UQ40" s="344"/>
      <c r="UR40" s="344"/>
      <c r="US40" s="344"/>
      <c r="UT40" s="344"/>
      <c r="UU40" s="344"/>
      <c r="UV40" s="344"/>
      <c r="UW40" s="344"/>
      <c r="UX40" s="344"/>
      <c r="UY40" s="344"/>
      <c r="UZ40" s="344"/>
      <c r="VA40" s="344"/>
      <c r="VB40" s="344"/>
      <c r="VC40" s="344"/>
      <c r="VD40" s="344"/>
      <c r="VE40" s="344"/>
      <c r="VF40" s="344"/>
      <c r="VG40" s="344"/>
      <c r="VH40" s="344"/>
      <c r="VI40" s="344"/>
      <c r="VJ40" s="344"/>
      <c r="VK40" s="344"/>
      <c r="VL40" s="344"/>
      <c r="VM40" s="344"/>
      <c r="VN40" s="344"/>
      <c r="VO40" s="344"/>
      <c r="VP40" s="344"/>
      <c r="VQ40" s="344"/>
      <c r="VR40" s="344"/>
      <c r="VS40" s="344"/>
      <c r="VT40" s="344"/>
      <c r="VU40" s="344"/>
      <c r="VV40" s="344"/>
      <c r="VW40" s="344"/>
      <c r="VX40" s="344"/>
      <c r="VY40" s="344"/>
      <c r="VZ40" s="344"/>
      <c r="WA40" s="344"/>
      <c r="WB40" s="344"/>
      <c r="WC40" s="344"/>
      <c r="WD40" s="344"/>
      <c r="WE40" s="344"/>
      <c r="WF40" s="344"/>
      <c r="WG40" s="344"/>
      <c r="WH40" s="344"/>
      <c r="WI40" s="344"/>
      <c r="WJ40" s="344"/>
      <c r="WK40" s="344"/>
      <c r="WL40" s="344"/>
      <c r="WM40" s="344"/>
      <c r="WN40" s="344"/>
      <c r="WO40" s="344"/>
      <c r="WP40" s="344"/>
      <c r="WQ40" s="344"/>
      <c r="WR40" s="344"/>
      <c r="WS40" s="344"/>
      <c r="WT40" s="344"/>
      <c r="WU40" s="344"/>
      <c r="WV40" s="344"/>
      <c r="WW40" s="344"/>
      <c r="WX40" s="344"/>
      <c r="WY40" s="344"/>
      <c r="WZ40" s="344"/>
      <c r="XA40" s="344"/>
      <c r="XB40" s="344"/>
      <c r="XC40" s="344"/>
      <c r="XD40" s="344"/>
      <c r="XE40" s="344"/>
      <c r="XF40" s="344"/>
      <c r="XG40" s="344"/>
      <c r="XH40" s="344"/>
      <c r="XI40" s="344"/>
      <c r="XJ40" s="344"/>
      <c r="XK40" s="344"/>
      <c r="XL40" s="344"/>
      <c r="XM40" s="344"/>
      <c r="XN40" s="344"/>
      <c r="XO40" s="344"/>
      <c r="XP40" s="344"/>
      <c r="XQ40" s="344"/>
      <c r="XR40" s="344"/>
      <c r="XS40" s="344"/>
      <c r="XT40" s="344"/>
      <c r="XU40" s="344"/>
      <c r="XV40" s="344"/>
      <c r="XW40" s="344"/>
      <c r="XX40" s="344"/>
      <c r="XY40" s="344"/>
      <c r="XZ40" s="344"/>
      <c r="YA40" s="344"/>
      <c r="YB40" s="344"/>
      <c r="YC40" s="344"/>
      <c r="YD40" s="344"/>
      <c r="YE40" s="344"/>
      <c r="YF40" s="344"/>
      <c r="YG40" s="344"/>
      <c r="YH40" s="344"/>
      <c r="YI40" s="344"/>
      <c r="YJ40" s="344"/>
      <c r="YK40" s="344"/>
      <c r="YL40" s="344"/>
      <c r="YM40" s="344"/>
      <c r="YN40" s="344"/>
      <c r="YO40" s="344"/>
      <c r="YP40" s="344"/>
      <c r="YQ40" s="344"/>
      <c r="YR40" s="344"/>
      <c r="YS40" s="344"/>
      <c r="YT40" s="344"/>
      <c r="YU40" s="344"/>
      <c r="YV40" s="344"/>
      <c r="YW40" s="344"/>
      <c r="YX40" s="344"/>
      <c r="YY40" s="344"/>
      <c r="YZ40" s="344"/>
      <c r="ZA40" s="344"/>
      <c r="ZB40" s="344"/>
      <c r="ZC40" s="344"/>
      <c r="ZD40" s="344"/>
      <c r="ZE40" s="344"/>
      <c r="ZF40" s="344"/>
      <c r="ZG40" s="344"/>
      <c r="ZH40" s="344"/>
      <c r="ZI40" s="344"/>
      <c r="ZJ40" s="344"/>
      <c r="ZK40" s="344"/>
      <c r="ZL40" s="344"/>
      <c r="ZM40" s="344"/>
      <c r="ZN40" s="344"/>
      <c r="ZO40" s="344"/>
      <c r="ZP40" s="344"/>
      <c r="ZQ40" s="344"/>
      <c r="ZR40" s="344"/>
      <c r="ZS40" s="344"/>
      <c r="ZT40" s="344"/>
      <c r="ZU40" s="344"/>
      <c r="ZV40" s="344"/>
      <c r="ZW40" s="344"/>
      <c r="ZX40" s="344"/>
      <c r="ZY40" s="344"/>
      <c r="ZZ40" s="344"/>
      <c r="AAA40" s="344"/>
      <c r="AAB40" s="344"/>
      <c r="AAC40" s="344"/>
      <c r="AAD40" s="344"/>
      <c r="AAE40" s="344"/>
      <c r="AAF40" s="344"/>
      <c r="AAG40" s="344"/>
      <c r="AAH40" s="344"/>
      <c r="AAI40" s="344"/>
      <c r="AAJ40" s="344"/>
      <c r="AAK40" s="344"/>
      <c r="AAL40" s="344"/>
      <c r="AAM40" s="344"/>
      <c r="AAN40" s="344"/>
      <c r="AAO40" s="344"/>
      <c r="AAP40" s="344"/>
      <c r="AAQ40" s="344"/>
      <c r="AAR40" s="344"/>
      <c r="AAS40" s="344"/>
      <c r="AAT40" s="344"/>
      <c r="AAU40" s="344"/>
      <c r="AAV40" s="344"/>
      <c r="AAW40" s="344"/>
      <c r="AAX40" s="344"/>
      <c r="AAY40" s="344"/>
      <c r="AAZ40" s="344"/>
      <c r="ABA40" s="344"/>
      <c r="ABB40" s="344"/>
      <c r="ABC40" s="344"/>
      <c r="ABD40" s="344"/>
      <c r="ABE40" s="344"/>
      <c r="ABF40" s="344"/>
      <c r="ABG40" s="344"/>
      <c r="ABH40" s="344"/>
      <c r="ABI40" s="344"/>
      <c r="ABJ40" s="344"/>
      <c r="ABK40" s="344"/>
      <c r="ABL40" s="344"/>
      <c r="ABM40" s="344"/>
      <c r="ABN40" s="344"/>
      <c r="ABO40" s="344"/>
      <c r="ABP40" s="344"/>
      <c r="ABQ40" s="344"/>
      <c r="ABR40" s="344"/>
      <c r="ABS40" s="344"/>
      <c r="ABT40" s="344"/>
      <c r="ABU40" s="344"/>
      <c r="ABV40" s="344"/>
      <c r="ABW40" s="344"/>
      <c r="ABX40" s="344"/>
      <c r="ABY40" s="344"/>
      <c r="ABZ40" s="344"/>
      <c r="ACA40" s="344"/>
      <c r="ACB40" s="344"/>
      <c r="ACC40" s="344"/>
      <c r="ACD40" s="344"/>
      <c r="ACE40" s="344"/>
      <c r="ACF40" s="344"/>
      <c r="ACG40" s="344"/>
      <c r="ACH40" s="344"/>
      <c r="ACI40" s="344"/>
      <c r="ACJ40" s="344"/>
      <c r="ACK40" s="344"/>
      <c r="ACL40" s="344"/>
      <c r="ACM40" s="344"/>
      <c r="ACN40" s="344"/>
      <c r="ACO40" s="344"/>
      <c r="ACP40" s="344"/>
      <c r="ACQ40" s="344"/>
      <c r="ACR40" s="344"/>
      <c r="ACS40" s="344"/>
      <c r="ACT40" s="344"/>
      <c r="ACU40" s="344"/>
      <c r="ACV40" s="344"/>
      <c r="ACW40" s="344"/>
      <c r="ACX40" s="344"/>
      <c r="ACY40" s="344"/>
      <c r="ACZ40" s="344"/>
      <c r="ADA40" s="344"/>
      <c r="ADB40" s="344"/>
      <c r="ADC40" s="344"/>
      <c r="ADD40" s="344"/>
      <c r="ADE40" s="344"/>
      <c r="ADF40" s="344"/>
      <c r="ADG40" s="344"/>
      <c r="ADH40" s="344"/>
      <c r="ADI40" s="344"/>
      <c r="ADJ40" s="344"/>
      <c r="ADK40" s="344"/>
      <c r="ADL40" s="344"/>
      <c r="ADM40" s="344"/>
      <c r="ADN40" s="344"/>
      <c r="ADO40" s="344"/>
      <c r="ADP40" s="344"/>
      <c r="ADQ40" s="344"/>
      <c r="ADR40" s="344"/>
      <c r="ADS40" s="344"/>
      <c r="ADT40" s="344"/>
      <c r="ADU40" s="344"/>
      <c r="ADV40" s="344"/>
      <c r="ADW40" s="344"/>
      <c r="ADX40" s="344"/>
      <c r="ADY40" s="344"/>
      <c r="ADZ40" s="344"/>
      <c r="AEA40" s="344"/>
      <c r="AEB40" s="344"/>
      <c r="AEC40" s="344"/>
      <c r="AED40" s="344"/>
      <c r="AEE40" s="344"/>
      <c r="AEF40" s="344"/>
      <c r="AEG40" s="344"/>
      <c r="AEH40" s="344"/>
      <c r="AEI40" s="344"/>
      <c r="AEJ40" s="344"/>
      <c r="AEK40" s="344"/>
      <c r="AEL40" s="344"/>
      <c r="AEM40" s="344"/>
      <c r="AEN40" s="344"/>
      <c r="AEO40" s="344"/>
      <c r="AEP40" s="344"/>
      <c r="AEQ40" s="344"/>
      <c r="AER40" s="344"/>
      <c r="AES40" s="344"/>
      <c r="AET40" s="344"/>
      <c r="AEU40" s="344"/>
      <c r="AEV40" s="344"/>
      <c r="AEW40" s="344"/>
      <c r="AEX40" s="344"/>
      <c r="AEY40" s="344"/>
      <c r="AEZ40" s="344"/>
      <c r="AFA40" s="344"/>
      <c r="AFB40" s="344"/>
      <c r="AFC40" s="344"/>
      <c r="AFD40" s="344"/>
      <c r="AFE40" s="344"/>
      <c r="AFF40" s="344"/>
      <c r="AFG40" s="344"/>
      <c r="AFH40" s="344"/>
      <c r="AFI40" s="344"/>
      <c r="AFJ40" s="344"/>
      <c r="AFK40" s="344"/>
      <c r="AFL40" s="344"/>
      <c r="AFM40" s="344"/>
      <c r="AFN40" s="344"/>
      <c r="AFO40" s="344"/>
      <c r="AFP40" s="344"/>
      <c r="AFQ40" s="344"/>
      <c r="AFR40" s="344"/>
      <c r="AFS40" s="344"/>
      <c r="AFT40" s="344"/>
      <c r="AFU40" s="344"/>
      <c r="AFV40" s="344"/>
      <c r="AFW40" s="344"/>
      <c r="AFX40" s="344"/>
      <c r="AFY40" s="344"/>
      <c r="AFZ40" s="344"/>
      <c r="AGA40" s="344"/>
      <c r="AGB40" s="344"/>
      <c r="AGC40" s="344"/>
      <c r="AGD40" s="344"/>
      <c r="AGE40" s="344"/>
      <c r="AGF40" s="344"/>
      <c r="AGG40" s="344"/>
      <c r="AGH40" s="344"/>
      <c r="AGI40" s="344"/>
      <c r="AGJ40" s="344"/>
      <c r="AGK40" s="344"/>
      <c r="AGL40" s="344"/>
      <c r="AGM40" s="344"/>
      <c r="AGN40" s="344"/>
      <c r="AGO40" s="344"/>
      <c r="AGP40" s="344"/>
      <c r="AGQ40" s="344"/>
      <c r="AGR40" s="344"/>
      <c r="AGS40" s="344"/>
      <c r="AGT40" s="344"/>
      <c r="AGU40" s="344"/>
      <c r="AGV40" s="344"/>
      <c r="AGW40" s="344"/>
      <c r="AGX40" s="344"/>
      <c r="AGY40" s="344"/>
      <c r="AGZ40" s="344"/>
      <c r="AHA40" s="344"/>
      <c r="AHB40" s="344"/>
      <c r="AHC40" s="344"/>
      <c r="AHD40" s="344"/>
      <c r="AHE40" s="344"/>
      <c r="AHF40" s="344"/>
      <c r="AHG40" s="344"/>
      <c r="AHH40" s="344"/>
      <c r="AHI40" s="344"/>
      <c r="AHJ40" s="344"/>
      <c r="AHK40" s="344"/>
      <c r="AHL40" s="344"/>
      <c r="AHM40" s="344"/>
      <c r="AHN40" s="344"/>
      <c r="AHO40" s="344"/>
      <c r="AHP40" s="344"/>
      <c r="AHQ40" s="344"/>
      <c r="AHR40" s="344"/>
      <c r="AHS40" s="344"/>
      <c r="AHT40" s="344"/>
      <c r="AHU40" s="344"/>
      <c r="AHV40" s="344"/>
      <c r="AHW40" s="344"/>
      <c r="AHX40" s="344"/>
      <c r="AHY40" s="344"/>
      <c r="AHZ40" s="344"/>
      <c r="AIA40" s="344"/>
      <c r="AIB40" s="344"/>
      <c r="AIC40" s="344"/>
      <c r="AID40" s="344"/>
      <c r="AIE40" s="344"/>
      <c r="AIF40" s="344"/>
      <c r="AIG40" s="344"/>
      <c r="AIH40" s="344"/>
      <c r="AII40" s="344"/>
      <c r="AIJ40" s="344"/>
      <c r="AIK40" s="344"/>
      <c r="AIL40" s="344"/>
      <c r="AIM40" s="344"/>
      <c r="AIN40" s="344"/>
      <c r="AIO40" s="344"/>
      <c r="AIP40" s="344"/>
      <c r="AIQ40" s="344"/>
      <c r="AIR40" s="344"/>
      <c r="AIS40" s="344"/>
      <c r="AIT40" s="344"/>
      <c r="AIU40" s="344"/>
      <c r="AIV40" s="344"/>
      <c r="AIW40" s="344"/>
      <c r="AIX40" s="344"/>
      <c r="AIY40" s="344"/>
      <c r="AIZ40" s="344"/>
      <c r="AJA40" s="344"/>
      <c r="AJB40" s="344"/>
      <c r="AJC40" s="344"/>
      <c r="AJD40" s="344"/>
      <c r="AJE40" s="344"/>
      <c r="AJF40" s="344"/>
      <c r="AJG40" s="344"/>
      <c r="AJH40" s="344"/>
      <c r="AJI40" s="344"/>
      <c r="AJJ40" s="344"/>
      <c r="AJK40" s="344"/>
      <c r="AJL40" s="344"/>
      <c r="AJM40" s="344"/>
      <c r="AJN40" s="344"/>
      <c r="AJO40" s="344"/>
      <c r="AJP40" s="344"/>
      <c r="AJQ40" s="344"/>
      <c r="AJR40" s="344"/>
      <c r="AJS40" s="344"/>
      <c r="AJT40" s="344"/>
      <c r="AJU40" s="344"/>
      <c r="AJV40" s="344"/>
      <c r="AJW40" s="344"/>
      <c r="AJX40" s="344"/>
      <c r="AJY40" s="344"/>
      <c r="AJZ40" s="344"/>
      <c r="AKA40" s="344"/>
      <c r="AKB40" s="344"/>
      <c r="AKC40" s="344"/>
      <c r="AKD40" s="344"/>
      <c r="AKE40" s="344"/>
      <c r="AKF40" s="344"/>
      <c r="AKG40" s="344"/>
      <c r="AKH40" s="344"/>
      <c r="AKI40" s="344"/>
      <c r="AKJ40" s="344"/>
      <c r="AKK40" s="344"/>
      <c r="AKL40" s="344"/>
      <c r="AKM40" s="344"/>
      <c r="AKN40" s="344"/>
      <c r="AKO40" s="344"/>
      <c r="AKP40" s="344"/>
      <c r="AKQ40" s="344"/>
      <c r="AKR40" s="344"/>
      <c r="AKS40" s="344"/>
      <c r="AKT40" s="344"/>
      <c r="AKU40" s="344"/>
      <c r="AKV40" s="344"/>
      <c r="AKW40" s="344"/>
      <c r="AKX40" s="344"/>
      <c r="AKY40" s="344"/>
      <c r="AKZ40" s="344"/>
      <c r="ALA40" s="344"/>
      <c r="ALB40" s="344"/>
      <c r="ALC40" s="344"/>
      <c r="ALD40" s="344"/>
      <c r="ALE40" s="344"/>
      <c r="ALF40" s="344"/>
      <c r="ALG40" s="344"/>
      <c r="ALH40" s="344"/>
      <c r="ALI40" s="344"/>
      <c r="ALJ40" s="344"/>
      <c r="ALK40" s="344"/>
      <c r="ALL40" s="344"/>
      <c r="ALM40" s="344"/>
      <c r="ALN40" s="344"/>
      <c r="ALO40" s="344"/>
      <c r="ALP40" s="344"/>
      <c r="ALQ40" s="344"/>
      <c r="ALR40" s="344"/>
      <c r="ALS40" s="344"/>
      <c r="ALT40" s="344"/>
      <c r="ALU40" s="344"/>
      <c r="ALV40" s="344"/>
      <c r="ALW40" s="344"/>
      <c r="ALX40" s="344"/>
      <c r="ALY40" s="344"/>
      <c r="ALZ40" s="344"/>
      <c r="AMA40" s="344"/>
      <c r="AMB40" s="344"/>
      <c r="AMC40" s="344"/>
      <c r="AMD40" s="344"/>
      <c r="AME40" s="344"/>
      <c r="AMF40" s="344"/>
      <c r="AMG40" s="344"/>
      <c r="AMH40" s="344"/>
      <c r="AMI40" s="344"/>
      <c r="AMJ40" s="344"/>
      <c r="AMK40" s="344"/>
      <c r="AML40" s="344"/>
      <c r="AMM40" s="344"/>
      <c r="AMN40" s="344"/>
      <c r="AMO40" s="344"/>
      <c r="AMP40" s="344"/>
      <c r="AMQ40" s="344"/>
      <c r="AMR40" s="344"/>
      <c r="AMS40" s="344"/>
      <c r="AMT40" s="344"/>
      <c r="AMU40" s="344"/>
      <c r="AMV40" s="344"/>
      <c r="AMW40" s="344"/>
      <c r="AMX40" s="344"/>
      <c r="AMY40" s="344"/>
      <c r="AMZ40" s="344"/>
      <c r="ANA40" s="344"/>
      <c r="ANB40" s="344"/>
      <c r="ANC40" s="344"/>
      <c r="AND40" s="344"/>
      <c r="ANE40" s="344"/>
      <c r="ANF40" s="344"/>
      <c r="ANG40" s="344"/>
      <c r="ANH40" s="344"/>
      <c r="ANI40" s="344"/>
      <c r="ANJ40" s="344"/>
      <c r="ANK40" s="344"/>
      <c r="ANL40" s="344"/>
      <c r="ANM40" s="344"/>
      <c r="ANN40" s="344"/>
      <c r="ANO40" s="344"/>
      <c r="ANP40" s="344"/>
      <c r="ANQ40" s="344"/>
      <c r="ANR40" s="344"/>
      <c r="ANS40" s="344"/>
      <c r="ANT40" s="344"/>
      <c r="ANU40" s="344"/>
      <c r="ANV40" s="344"/>
      <c r="ANW40" s="344"/>
      <c r="ANX40" s="344"/>
      <c r="ANY40" s="344"/>
      <c r="ANZ40" s="344"/>
      <c r="AOA40" s="344"/>
      <c r="AOB40" s="344"/>
      <c r="AOC40" s="344"/>
      <c r="AOD40" s="344"/>
      <c r="AOE40" s="344"/>
      <c r="AOF40" s="344"/>
      <c r="AOG40" s="344"/>
      <c r="AOH40" s="344"/>
      <c r="AOI40" s="344"/>
      <c r="AOJ40" s="344"/>
      <c r="AOK40" s="344"/>
      <c r="AOL40" s="344"/>
      <c r="AOM40" s="344"/>
      <c r="AON40" s="344"/>
      <c r="AOO40" s="344"/>
      <c r="AOP40" s="344"/>
      <c r="AOQ40" s="344"/>
      <c r="AOR40" s="344"/>
      <c r="AOS40" s="344"/>
      <c r="AOT40" s="344"/>
      <c r="AOU40" s="344"/>
      <c r="AOV40" s="344"/>
      <c r="AOW40" s="344"/>
      <c r="AOX40" s="344"/>
      <c r="AOY40" s="344"/>
      <c r="AOZ40" s="344"/>
      <c r="APA40" s="344"/>
      <c r="APB40" s="344"/>
      <c r="APC40" s="344"/>
      <c r="APD40" s="344"/>
      <c r="APE40" s="344"/>
      <c r="APF40" s="344"/>
      <c r="APG40" s="344"/>
      <c r="APH40" s="344"/>
      <c r="API40" s="344"/>
      <c r="APJ40" s="344"/>
      <c r="APK40" s="344"/>
      <c r="APL40" s="344"/>
      <c r="APM40" s="344"/>
      <c r="APN40" s="344"/>
      <c r="APO40" s="344"/>
      <c r="APP40" s="344"/>
      <c r="APQ40" s="344"/>
      <c r="APR40" s="344"/>
      <c r="APS40" s="344"/>
      <c r="APT40" s="344"/>
      <c r="APU40" s="344"/>
      <c r="APV40" s="344"/>
      <c r="APW40" s="344"/>
      <c r="APX40" s="344"/>
      <c r="APY40" s="344"/>
      <c r="APZ40" s="344"/>
      <c r="AQA40" s="344"/>
      <c r="AQB40" s="344"/>
      <c r="AQC40" s="344"/>
      <c r="AQD40" s="344"/>
      <c r="AQE40" s="344"/>
      <c r="AQF40" s="344"/>
      <c r="AQG40" s="344"/>
      <c r="AQH40" s="344"/>
      <c r="AQI40" s="344"/>
      <c r="AQJ40" s="344"/>
      <c r="AQK40" s="344"/>
      <c r="AQL40" s="344"/>
      <c r="AQM40" s="344"/>
      <c r="AQN40" s="344"/>
      <c r="AQO40" s="344"/>
      <c r="AQP40" s="344"/>
      <c r="AQQ40" s="344"/>
      <c r="AQR40" s="344"/>
      <c r="AQS40" s="344"/>
      <c r="AQT40" s="344"/>
      <c r="AQU40" s="344"/>
      <c r="AQV40" s="344"/>
      <c r="AQW40" s="344"/>
      <c r="AQX40" s="344"/>
      <c r="AQY40" s="344"/>
      <c r="AQZ40" s="344"/>
      <c r="ARA40" s="344"/>
      <c r="ARB40" s="344"/>
      <c r="ARC40" s="344"/>
      <c r="ARD40" s="344"/>
      <c r="ARE40" s="344"/>
      <c r="ARF40" s="344"/>
      <c r="ARG40" s="344"/>
      <c r="ARH40" s="344"/>
      <c r="ARI40" s="344"/>
      <c r="ARJ40" s="344"/>
      <c r="ARK40" s="344"/>
      <c r="ARL40" s="344"/>
      <c r="ARM40" s="344"/>
      <c r="ARN40" s="344"/>
      <c r="ARO40" s="344"/>
      <c r="ARP40" s="344"/>
      <c r="ARQ40" s="344"/>
      <c r="ARR40" s="344"/>
      <c r="ARS40" s="344"/>
      <c r="ART40" s="344"/>
      <c r="ARU40" s="344"/>
      <c r="ARV40" s="344"/>
      <c r="ARW40" s="344"/>
      <c r="ARX40" s="344"/>
      <c r="ARY40" s="344"/>
      <c r="ARZ40" s="344"/>
      <c r="ASA40" s="344"/>
      <c r="ASB40" s="344"/>
      <c r="ASC40" s="344"/>
      <c r="ASD40" s="344"/>
      <c r="ASE40" s="344"/>
      <c r="ASF40" s="344"/>
      <c r="ASG40" s="344"/>
      <c r="ASH40" s="344"/>
      <c r="ASI40" s="344"/>
      <c r="ASJ40" s="344"/>
      <c r="ASK40" s="344"/>
      <c r="ASL40" s="344"/>
      <c r="ASM40" s="344"/>
      <c r="ASN40" s="344"/>
      <c r="ASO40" s="344"/>
      <c r="ASP40" s="344"/>
      <c r="ASQ40" s="344"/>
      <c r="ASR40" s="344"/>
      <c r="ASS40" s="344"/>
      <c r="AST40" s="344"/>
      <c r="ASU40" s="344"/>
      <c r="ASV40" s="344"/>
      <c r="ASW40" s="344"/>
      <c r="ASX40" s="344"/>
      <c r="ASY40" s="344"/>
      <c r="ASZ40" s="344"/>
      <c r="ATA40" s="344"/>
      <c r="ATB40" s="344"/>
      <c r="ATC40" s="344"/>
      <c r="ATD40" s="344"/>
      <c r="ATE40" s="344"/>
      <c r="ATF40" s="344"/>
      <c r="ATG40" s="344"/>
      <c r="ATH40" s="344"/>
      <c r="ATI40" s="344"/>
      <c r="ATJ40" s="344"/>
      <c r="ATK40" s="344"/>
      <c r="ATL40" s="344"/>
      <c r="ATM40" s="344"/>
      <c r="ATN40" s="344"/>
      <c r="ATO40" s="344"/>
      <c r="ATP40" s="344"/>
      <c r="ATQ40" s="344"/>
      <c r="ATR40" s="344"/>
      <c r="ATS40" s="344"/>
      <c r="ATT40" s="344"/>
      <c r="ATU40" s="344"/>
      <c r="ATV40" s="344"/>
      <c r="ATW40" s="344"/>
      <c r="ATX40" s="344"/>
      <c r="ATY40" s="344"/>
      <c r="ATZ40" s="344"/>
      <c r="AUA40" s="344"/>
      <c r="AUB40" s="344"/>
      <c r="AUC40" s="344"/>
      <c r="AUD40" s="344"/>
      <c r="AUE40" s="344"/>
      <c r="AUF40" s="344"/>
      <c r="AUG40" s="344"/>
      <c r="AUH40" s="344"/>
      <c r="AUI40" s="344"/>
      <c r="AUJ40" s="344"/>
      <c r="AUK40" s="344"/>
      <c r="AUL40" s="344"/>
      <c r="AUM40" s="344"/>
      <c r="AUN40" s="344"/>
      <c r="AUO40" s="344"/>
      <c r="AUP40" s="344"/>
      <c r="AUQ40" s="344"/>
      <c r="AUR40" s="344"/>
      <c r="AUS40" s="344"/>
      <c r="AUT40" s="344"/>
      <c r="AUU40" s="344"/>
      <c r="AUV40" s="344"/>
      <c r="AUW40" s="344"/>
      <c r="AUX40" s="344"/>
      <c r="AUY40" s="344"/>
      <c r="AUZ40" s="344"/>
      <c r="AVA40" s="344"/>
      <c r="AVB40" s="344"/>
      <c r="AVC40" s="344"/>
      <c r="AVD40" s="344"/>
      <c r="AVE40" s="344"/>
      <c r="AVF40" s="344"/>
      <c r="AVG40" s="344"/>
      <c r="AVH40" s="344"/>
      <c r="AVI40" s="344"/>
      <c r="AVJ40" s="344"/>
      <c r="AVK40" s="344"/>
      <c r="AVL40" s="344"/>
      <c r="AVM40" s="344"/>
      <c r="AVN40" s="344"/>
      <c r="AVO40" s="344"/>
      <c r="AVP40" s="344"/>
      <c r="AVQ40" s="344"/>
      <c r="AVR40" s="344"/>
      <c r="AVS40" s="344"/>
      <c r="AVT40" s="344"/>
      <c r="AVU40" s="344"/>
      <c r="AVV40" s="344"/>
      <c r="AVW40" s="344"/>
      <c r="AVX40" s="344"/>
      <c r="AVY40" s="344"/>
      <c r="AVZ40" s="344"/>
      <c r="AWA40" s="344"/>
      <c r="AWB40" s="344"/>
      <c r="AWC40" s="344"/>
      <c r="AWD40" s="344"/>
      <c r="AWE40" s="344"/>
      <c r="AWF40" s="344"/>
      <c r="AWG40" s="344"/>
      <c r="AWH40" s="344"/>
      <c r="AWI40" s="344"/>
      <c r="AWJ40" s="344"/>
      <c r="AWK40" s="344"/>
      <c r="AWL40" s="344"/>
      <c r="AWM40" s="344"/>
      <c r="AWN40" s="344"/>
      <c r="AWO40" s="344"/>
      <c r="AWP40" s="344"/>
      <c r="AWQ40" s="344"/>
      <c r="AWR40" s="344"/>
      <c r="AWS40" s="344"/>
      <c r="AWT40" s="344"/>
      <c r="AWU40" s="344"/>
      <c r="AWV40" s="344"/>
      <c r="AWW40" s="344"/>
      <c r="AWX40" s="344"/>
      <c r="AWY40" s="344"/>
      <c r="AWZ40" s="344"/>
      <c r="AXA40" s="344"/>
      <c r="AXB40" s="344"/>
      <c r="AXC40" s="344"/>
      <c r="AXD40" s="344"/>
      <c r="AXE40" s="344"/>
      <c r="AXF40" s="344"/>
      <c r="AXG40" s="344"/>
      <c r="AXH40" s="344"/>
      <c r="AXI40" s="344"/>
      <c r="AXJ40" s="344"/>
      <c r="AXK40" s="344"/>
      <c r="AXL40" s="344"/>
      <c r="AXM40" s="344"/>
      <c r="AXN40" s="344"/>
      <c r="AXO40" s="344"/>
      <c r="AXP40" s="344"/>
      <c r="AXQ40" s="344"/>
      <c r="AXR40" s="344"/>
      <c r="AXS40" s="344"/>
      <c r="AXT40" s="344"/>
      <c r="AXU40" s="344"/>
      <c r="AXV40" s="344"/>
      <c r="AXW40" s="344"/>
      <c r="AXX40" s="344"/>
      <c r="AXY40" s="344"/>
      <c r="AXZ40" s="344"/>
      <c r="AYA40" s="344"/>
      <c r="AYB40" s="344"/>
      <c r="AYC40" s="344"/>
      <c r="AYD40" s="344"/>
      <c r="AYE40" s="344"/>
      <c r="AYF40" s="344"/>
      <c r="AYG40" s="344"/>
      <c r="AYH40" s="344"/>
      <c r="AYI40" s="344"/>
      <c r="AYJ40" s="344"/>
      <c r="AYK40" s="344"/>
      <c r="AYL40" s="344"/>
      <c r="AYM40" s="344"/>
      <c r="AYN40" s="344"/>
      <c r="AYO40" s="344"/>
      <c r="AYP40" s="344"/>
      <c r="AYQ40" s="344"/>
      <c r="AYR40" s="344"/>
      <c r="AYS40" s="344"/>
      <c r="AYT40" s="344"/>
      <c r="AYU40" s="344"/>
      <c r="AYV40" s="344"/>
      <c r="AYW40" s="344"/>
      <c r="AYX40" s="344"/>
      <c r="AYY40" s="344"/>
      <c r="AYZ40" s="344"/>
      <c r="AZA40" s="344"/>
      <c r="AZB40" s="344"/>
      <c r="AZC40" s="344"/>
      <c r="AZD40" s="344"/>
      <c r="AZE40" s="344"/>
      <c r="AZF40" s="344"/>
      <c r="AZG40" s="344"/>
      <c r="AZH40" s="344"/>
      <c r="AZI40" s="344"/>
      <c r="AZJ40" s="344"/>
      <c r="AZK40" s="344"/>
      <c r="AZL40" s="344"/>
      <c r="AZM40" s="344"/>
      <c r="AZN40" s="344"/>
      <c r="AZO40" s="344"/>
      <c r="AZP40" s="344"/>
      <c r="AZQ40" s="344"/>
      <c r="AZR40" s="344"/>
      <c r="AZS40" s="344"/>
      <c r="AZT40" s="344"/>
      <c r="AZU40" s="344"/>
      <c r="AZV40" s="344"/>
      <c r="AZW40" s="344"/>
      <c r="AZX40" s="344"/>
      <c r="AZY40" s="344"/>
      <c r="AZZ40" s="344"/>
      <c r="BAA40" s="344"/>
      <c r="BAB40" s="344"/>
      <c r="BAC40" s="344"/>
      <c r="BAD40" s="344"/>
      <c r="BAE40" s="344"/>
      <c r="BAF40" s="344"/>
      <c r="BAG40" s="344"/>
      <c r="BAH40" s="344"/>
      <c r="BAI40" s="344"/>
      <c r="BAJ40" s="344"/>
      <c r="BAK40" s="344"/>
      <c r="BAL40" s="344"/>
      <c r="BAM40" s="344"/>
      <c r="BAN40" s="344"/>
      <c r="BAO40" s="344"/>
      <c r="BAP40" s="344"/>
      <c r="BAQ40" s="344"/>
      <c r="BAR40" s="344"/>
      <c r="BAS40" s="344"/>
      <c r="BAT40" s="344"/>
      <c r="BAU40" s="344"/>
      <c r="BAV40" s="344"/>
      <c r="BAW40" s="344"/>
      <c r="BAX40" s="344"/>
      <c r="BAY40" s="344"/>
      <c r="BAZ40" s="344"/>
      <c r="BBA40" s="344"/>
      <c r="BBB40" s="344"/>
      <c r="BBC40" s="344"/>
      <c r="BBD40" s="344"/>
      <c r="BBE40" s="344"/>
      <c r="BBF40" s="344"/>
      <c r="BBG40" s="344"/>
      <c r="BBH40" s="344"/>
      <c r="BBI40" s="344"/>
      <c r="BBJ40" s="344"/>
      <c r="BBK40" s="344"/>
      <c r="BBL40" s="344"/>
      <c r="BBM40" s="344"/>
      <c r="BBN40" s="344"/>
      <c r="BBO40" s="344"/>
      <c r="BBP40" s="344"/>
      <c r="BBQ40" s="344"/>
      <c r="BBR40" s="344"/>
      <c r="BBS40" s="344"/>
      <c r="BBT40" s="344"/>
      <c r="BBU40" s="344"/>
      <c r="BBV40" s="344"/>
      <c r="BBW40" s="344"/>
      <c r="BBX40" s="344"/>
      <c r="BBY40" s="344"/>
      <c r="BBZ40" s="344"/>
      <c r="BCA40" s="344"/>
      <c r="BCB40" s="344"/>
      <c r="BCC40" s="344"/>
      <c r="BCD40" s="344"/>
      <c r="BCE40" s="344"/>
      <c r="BCF40" s="344"/>
      <c r="BCG40" s="344"/>
      <c r="BCH40" s="344"/>
      <c r="BCI40" s="344"/>
      <c r="BCJ40" s="344"/>
      <c r="BCK40" s="344"/>
      <c r="BCL40" s="344"/>
      <c r="BCM40" s="344"/>
      <c r="BCN40" s="344"/>
      <c r="BCO40" s="344"/>
      <c r="BCP40" s="344"/>
      <c r="BCQ40" s="344"/>
      <c r="BCR40" s="344"/>
      <c r="BCS40" s="344"/>
      <c r="BCT40" s="344"/>
      <c r="BCU40" s="344"/>
      <c r="BCV40" s="344"/>
      <c r="BCW40" s="344"/>
      <c r="BCX40" s="344"/>
      <c r="BCY40" s="344"/>
      <c r="BCZ40" s="344"/>
      <c r="BDA40" s="344"/>
      <c r="BDB40" s="344"/>
      <c r="BDC40" s="344"/>
      <c r="BDD40" s="344"/>
      <c r="BDE40" s="344"/>
      <c r="BDF40" s="344"/>
      <c r="BDG40" s="344"/>
      <c r="BDH40" s="344"/>
      <c r="BDI40" s="344"/>
      <c r="BDJ40" s="344"/>
      <c r="BDK40" s="344"/>
      <c r="BDL40" s="344"/>
      <c r="BDM40" s="344"/>
      <c r="BDN40" s="344"/>
      <c r="BDO40" s="344"/>
      <c r="BDP40" s="344"/>
      <c r="BDQ40" s="344"/>
      <c r="BDR40" s="344"/>
      <c r="BDS40" s="344"/>
      <c r="BDT40" s="344"/>
      <c r="BDU40" s="344"/>
      <c r="BDV40" s="344"/>
      <c r="BDW40" s="344"/>
      <c r="BDX40" s="344"/>
      <c r="BDY40" s="344"/>
      <c r="BDZ40" s="344"/>
      <c r="BEA40" s="344"/>
      <c r="BEB40" s="344"/>
      <c r="BEC40" s="344"/>
      <c r="BED40" s="344"/>
      <c r="BEE40" s="344"/>
      <c r="BEF40" s="344"/>
      <c r="BEG40" s="344"/>
      <c r="BEH40" s="344"/>
      <c r="BEI40" s="344"/>
      <c r="BEJ40" s="344"/>
      <c r="BEK40" s="344"/>
      <c r="BEL40" s="344"/>
      <c r="BEM40" s="344"/>
      <c r="BEN40" s="344"/>
      <c r="BEO40" s="344"/>
      <c r="BEP40" s="344"/>
      <c r="BEQ40" s="344"/>
      <c r="BER40" s="344"/>
      <c r="BES40" s="344"/>
      <c r="BET40" s="344"/>
      <c r="BEU40" s="344"/>
      <c r="BEV40" s="344"/>
      <c r="BEW40" s="344"/>
      <c r="BEX40" s="344"/>
      <c r="BEY40" s="344"/>
      <c r="BEZ40" s="344"/>
      <c r="BFA40" s="344"/>
      <c r="BFB40" s="344"/>
      <c r="BFC40" s="344"/>
      <c r="BFD40" s="344"/>
      <c r="BFE40" s="344"/>
      <c r="BFF40" s="344"/>
      <c r="BFG40" s="344"/>
      <c r="BFH40" s="344"/>
      <c r="BFI40" s="344"/>
      <c r="BFJ40" s="344"/>
      <c r="BFK40" s="344"/>
      <c r="BFL40" s="344"/>
      <c r="BFM40" s="344"/>
      <c r="BFN40" s="344"/>
      <c r="BFO40" s="344"/>
      <c r="BFP40" s="344"/>
      <c r="BFQ40" s="344"/>
      <c r="BFR40" s="344"/>
      <c r="BFS40" s="344"/>
      <c r="BFT40" s="344"/>
      <c r="BFU40" s="344"/>
      <c r="BFV40" s="344"/>
      <c r="BFW40" s="344"/>
      <c r="BFX40" s="344"/>
      <c r="BFY40" s="344"/>
      <c r="BFZ40" s="344"/>
      <c r="BGA40" s="344"/>
      <c r="BGB40" s="344"/>
      <c r="BGC40" s="344"/>
      <c r="BGD40" s="344"/>
      <c r="BGE40" s="344"/>
      <c r="BGF40" s="344"/>
      <c r="BGG40" s="344"/>
      <c r="BGH40" s="344"/>
      <c r="BGI40" s="344"/>
      <c r="BGJ40" s="344"/>
      <c r="BGK40" s="344"/>
      <c r="BGL40" s="344"/>
      <c r="BGM40" s="344"/>
      <c r="BGN40" s="344"/>
      <c r="BGO40" s="344"/>
      <c r="BGP40" s="344"/>
      <c r="BGQ40" s="344"/>
      <c r="BGR40" s="344"/>
      <c r="BGS40" s="344"/>
      <c r="BGT40" s="344"/>
      <c r="BGU40" s="344"/>
      <c r="BGV40" s="344"/>
      <c r="BGW40" s="344"/>
      <c r="BGX40" s="344"/>
      <c r="BGY40" s="344"/>
      <c r="BGZ40" s="344"/>
      <c r="BHA40" s="344"/>
      <c r="BHB40" s="344"/>
      <c r="BHC40" s="344"/>
      <c r="BHD40" s="344"/>
      <c r="BHE40" s="344"/>
      <c r="BHF40" s="344"/>
      <c r="BHG40" s="344"/>
      <c r="BHH40" s="344"/>
      <c r="BHI40" s="344"/>
      <c r="BHJ40" s="344"/>
      <c r="BHK40" s="344"/>
      <c r="BHL40" s="344"/>
      <c r="BHM40" s="344"/>
      <c r="BHN40" s="344"/>
      <c r="BHO40" s="344"/>
      <c r="BHP40" s="344"/>
      <c r="BHQ40" s="344"/>
      <c r="BHR40" s="344"/>
      <c r="BHS40" s="344"/>
      <c r="BHT40" s="344"/>
      <c r="BHU40" s="344"/>
      <c r="BHV40" s="344"/>
      <c r="BHW40" s="344"/>
      <c r="BHX40" s="344"/>
      <c r="BHY40" s="344"/>
      <c r="BHZ40" s="344"/>
      <c r="BIA40" s="344"/>
      <c r="BIB40" s="344"/>
      <c r="BIC40" s="344"/>
      <c r="BID40" s="344"/>
      <c r="BIE40" s="344"/>
      <c r="BIF40" s="344"/>
      <c r="BIG40" s="344"/>
      <c r="BIH40" s="344"/>
      <c r="BII40" s="344"/>
      <c r="BIJ40" s="344"/>
      <c r="BIK40" s="344"/>
      <c r="BIL40" s="344"/>
      <c r="BIM40" s="344"/>
      <c r="BIN40" s="344"/>
      <c r="BIO40" s="344"/>
      <c r="BIP40" s="344"/>
      <c r="BIQ40" s="344"/>
      <c r="BIR40" s="344"/>
      <c r="BIS40" s="344"/>
      <c r="BIT40" s="344"/>
      <c r="BIU40" s="344"/>
      <c r="BIV40" s="344"/>
      <c r="BIW40" s="344"/>
      <c r="BIX40" s="344"/>
      <c r="BIY40" s="344"/>
      <c r="BIZ40" s="344"/>
      <c r="BJA40" s="344"/>
      <c r="BJB40" s="344"/>
      <c r="BJC40" s="344"/>
      <c r="BJD40" s="344"/>
      <c r="BJE40" s="344"/>
      <c r="BJF40" s="344"/>
      <c r="BJG40" s="344"/>
      <c r="BJH40" s="344"/>
      <c r="BJI40" s="344"/>
      <c r="BJJ40" s="344"/>
      <c r="BJK40" s="344"/>
      <c r="BJL40" s="344"/>
      <c r="BJM40" s="344"/>
      <c r="BJN40" s="344"/>
      <c r="BJO40" s="344"/>
      <c r="BJP40" s="344"/>
      <c r="BJQ40" s="344"/>
      <c r="BJR40" s="344"/>
      <c r="BJS40" s="344"/>
      <c r="BJT40" s="344"/>
      <c r="BJU40" s="344"/>
      <c r="BJV40" s="344"/>
      <c r="BJW40" s="344"/>
      <c r="BJX40" s="344"/>
      <c r="BJY40" s="344"/>
      <c r="BJZ40" s="344"/>
      <c r="BKA40" s="344"/>
      <c r="BKB40" s="344"/>
      <c r="BKC40" s="344"/>
      <c r="BKD40" s="344"/>
      <c r="BKE40" s="344"/>
      <c r="BKF40" s="344"/>
      <c r="BKG40" s="344"/>
      <c r="BKH40" s="344"/>
      <c r="BKI40" s="344"/>
      <c r="BKJ40" s="344"/>
      <c r="BKK40" s="344"/>
      <c r="BKL40" s="344"/>
      <c r="BKM40" s="344"/>
      <c r="BKN40" s="344"/>
      <c r="BKO40" s="344"/>
      <c r="BKP40" s="344"/>
      <c r="BKQ40" s="344"/>
      <c r="BKR40" s="344"/>
      <c r="BKS40" s="344"/>
      <c r="BKT40" s="344"/>
      <c r="BKU40" s="344"/>
      <c r="BKV40" s="344"/>
      <c r="BKW40" s="344"/>
      <c r="BKX40" s="344"/>
      <c r="BKY40" s="344"/>
      <c r="BKZ40" s="344"/>
      <c r="BLA40" s="344"/>
      <c r="BLB40" s="344"/>
      <c r="BLC40" s="344"/>
      <c r="BLD40" s="344"/>
      <c r="BLE40" s="344"/>
      <c r="BLF40" s="344"/>
      <c r="BLG40" s="344"/>
      <c r="BLH40" s="344"/>
      <c r="BLI40" s="344"/>
      <c r="BLJ40" s="344"/>
      <c r="BLK40" s="344"/>
      <c r="BLL40" s="344"/>
      <c r="BLM40" s="344"/>
      <c r="BLN40" s="344"/>
      <c r="BLO40" s="344"/>
      <c r="BLP40" s="344"/>
      <c r="BLQ40" s="344"/>
      <c r="BLR40" s="344"/>
      <c r="BLS40" s="344"/>
      <c r="BLT40" s="344"/>
      <c r="BLU40" s="344"/>
      <c r="BLV40" s="344"/>
      <c r="BLW40" s="344"/>
      <c r="BLX40" s="344"/>
      <c r="BLY40" s="344"/>
      <c r="BLZ40" s="344"/>
      <c r="BMA40" s="344"/>
      <c r="BMB40" s="344"/>
      <c r="BMC40" s="344"/>
      <c r="BMD40" s="344"/>
      <c r="BME40" s="344"/>
      <c r="BMF40" s="344"/>
      <c r="BMG40" s="344"/>
      <c r="BMH40" s="344"/>
      <c r="BMI40" s="344"/>
      <c r="BMJ40" s="344"/>
      <c r="BMK40" s="344"/>
      <c r="BML40" s="344"/>
      <c r="BMM40" s="344"/>
      <c r="BMN40" s="344"/>
      <c r="BMO40" s="344"/>
      <c r="BMP40" s="344"/>
      <c r="BMQ40" s="344"/>
      <c r="BMR40" s="344"/>
      <c r="BMS40" s="344"/>
      <c r="BMT40" s="344"/>
      <c r="BMU40" s="344"/>
      <c r="BMV40" s="344"/>
      <c r="BMW40" s="344"/>
      <c r="BMX40" s="344"/>
      <c r="BMY40" s="344"/>
      <c r="BMZ40" s="344"/>
      <c r="BNA40" s="344"/>
      <c r="BNB40" s="344"/>
      <c r="BNC40" s="344"/>
      <c r="BND40" s="344"/>
      <c r="BNE40" s="344"/>
      <c r="BNF40" s="344"/>
      <c r="BNG40" s="344"/>
      <c r="BNH40" s="344"/>
      <c r="BNI40" s="344"/>
      <c r="BNJ40" s="344"/>
      <c r="BNK40" s="344"/>
      <c r="BNL40" s="344"/>
      <c r="BNM40" s="344"/>
      <c r="BNN40" s="344"/>
      <c r="BNO40" s="344"/>
      <c r="BNP40" s="344"/>
      <c r="BNQ40" s="344"/>
      <c r="BNR40" s="344"/>
      <c r="BNS40" s="344"/>
      <c r="BNT40" s="344"/>
      <c r="BNU40" s="344"/>
      <c r="BNV40" s="344"/>
      <c r="BNW40" s="344"/>
      <c r="BNX40" s="344"/>
      <c r="BNY40" s="344"/>
      <c r="BNZ40" s="344"/>
      <c r="BOA40" s="344"/>
      <c r="BOB40" s="344"/>
      <c r="BOC40" s="344"/>
      <c r="BOD40" s="344"/>
      <c r="BOE40" s="344"/>
      <c r="BOF40" s="344"/>
      <c r="BOG40" s="344"/>
      <c r="BOH40" s="344"/>
      <c r="BOI40" s="344"/>
      <c r="BOJ40" s="344"/>
      <c r="BOK40" s="344"/>
      <c r="BOL40" s="344"/>
      <c r="BOM40" s="344"/>
      <c r="BON40" s="344"/>
      <c r="BOO40" s="344"/>
      <c r="BOP40" s="344"/>
      <c r="BOQ40" s="344"/>
      <c r="BOR40" s="344"/>
      <c r="BOS40" s="344"/>
      <c r="BOT40" s="344"/>
      <c r="BOU40" s="344"/>
      <c r="BOV40" s="344"/>
      <c r="BOW40" s="344"/>
      <c r="BOX40" s="344"/>
      <c r="BOY40" s="344"/>
      <c r="BOZ40" s="344"/>
      <c r="BPA40" s="344"/>
      <c r="BPB40" s="344"/>
      <c r="BPC40" s="344"/>
      <c r="BPD40" s="344"/>
      <c r="BPE40" s="344"/>
      <c r="BPF40" s="344"/>
      <c r="BPG40" s="344"/>
      <c r="BPH40" s="344"/>
      <c r="BPI40" s="344"/>
      <c r="BPJ40" s="344"/>
      <c r="BPK40" s="344"/>
      <c r="BPL40" s="344"/>
      <c r="BPM40" s="344"/>
      <c r="BPN40" s="344"/>
      <c r="BPO40" s="344"/>
      <c r="BPP40" s="344"/>
      <c r="BPQ40" s="344"/>
      <c r="BPR40" s="344"/>
      <c r="BPS40" s="344"/>
      <c r="BPT40" s="344"/>
      <c r="BPU40" s="344"/>
      <c r="BPV40" s="344"/>
      <c r="BPW40" s="344"/>
      <c r="BPX40" s="344"/>
      <c r="BPY40" s="344"/>
      <c r="BPZ40" s="344"/>
      <c r="BQA40" s="344"/>
      <c r="BQB40" s="344"/>
      <c r="BQC40" s="344"/>
      <c r="BQD40" s="344"/>
      <c r="BQE40" s="344"/>
      <c r="BQF40" s="344"/>
      <c r="BQG40" s="344"/>
      <c r="BQH40" s="344"/>
      <c r="BQI40" s="344"/>
      <c r="BQJ40" s="344"/>
      <c r="BQK40" s="344"/>
      <c r="BQL40" s="344"/>
      <c r="BQM40" s="344"/>
      <c r="BQN40" s="344"/>
      <c r="BQO40" s="344"/>
      <c r="BQP40" s="344"/>
      <c r="BQQ40" s="344"/>
      <c r="BQR40" s="344"/>
      <c r="BQS40" s="344"/>
      <c r="BQT40" s="344"/>
      <c r="BQU40" s="344"/>
      <c r="BQV40" s="344"/>
      <c r="BQW40" s="344"/>
      <c r="BQX40" s="344"/>
      <c r="BQY40" s="344"/>
      <c r="BQZ40" s="344"/>
      <c r="BRA40" s="344"/>
      <c r="BRB40" s="344"/>
      <c r="BRC40" s="344"/>
      <c r="BRD40" s="344"/>
      <c r="BRE40" s="344"/>
      <c r="BRF40" s="344"/>
      <c r="BRG40" s="344"/>
      <c r="BRH40" s="344"/>
      <c r="BRI40" s="344"/>
      <c r="BRJ40" s="344"/>
      <c r="BRK40" s="344"/>
      <c r="BRL40" s="344"/>
      <c r="BRM40" s="344"/>
      <c r="BRN40" s="344"/>
      <c r="BRO40" s="344"/>
      <c r="BRP40" s="344"/>
      <c r="BRQ40" s="344"/>
      <c r="BRR40" s="344"/>
      <c r="BRS40" s="344"/>
      <c r="BRT40" s="344"/>
      <c r="BRU40" s="344"/>
      <c r="BRV40" s="344"/>
      <c r="BRW40" s="344"/>
      <c r="BRX40" s="344"/>
      <c r="BRY40" s="344"/>
      <c r="BRZ40" s="344"/>
      <c r="BSA40" s="344"/>
      <c r="BSB40" s="344"/>
      <c r="BSC40" s="344"/>
      <c r="BSD40" s="344"/>
      <c r="BSE40" s="344"/>
      <c r="BSF40" s="344"/>
      <c r="BSG40" s="344"/>
      <c r="BSH40" s="344"/>
      <c r="BSI40" s="344"/>
      <c r="BSJ40" s="344"/>
      <c r="BSK40" s="344"/>
      <c r="BSL40" s="344"/>
      <c r="BSM40" s="344"/>
      <c r="BSN40" s="344"/>
      <c r="BSO40" s="344"/>
      <c r="BSP40" s="344"/>
      <c r="BSQ40" s="344"/>
      <c r="BSR40" s="344"/>
      <c r="BSS40" s="344"/>
      <c r="BST40" s="344"/>
      <c r="BSU40" s="344"/>
      <c r="BSV40" s="344"/>
      <c r="BSW40" s="344"/>
      <c r="BSX40" s="344"/>
      <c r="BSY40" s="344"/>
      <c r="BSZ40" s="344"/>
      <c r="BTA40" s="344"/>
      <c r="BTB40" s="344"/>
      <c r="BTC40" s="344"/>
      <c r="BTD40" s="344"/>
      <c r="BTE40" s="344"/>
      <c r="BTF40" s="344"/>
      <c r="BTG40" s="344"/>
      <c r="BTH40" s="344"/>
      <c r="BTI40" s="344"/>
      <c r="BTJ40" s="344"/>
      <c r="BTK40" s="344"/>
      <c r="BTL40" s="344"/>
      <c r="BTM40" s="344"/>
      <c r="BTN40" s="344"/>
      <c r="BTO40" s="344"/>
      <c r="BTP40" s="344"/>
      <c r="BTQ40" s="344"/>
      <c r="BTR40" s="344"/>
      <c r="BTS40" s="344"/>
      <c r="BTT40" s="344"/>
      <c r="BTU40" s="344"/>
      <c r="BTV40" s="344"/>
      <c r="BTW40" s="344"/>
      <c r="BTX40" s="344"/>
      <c r="BTY40" s="344"/>
      <c r="BTZ40" s="344"/>
      <c r="BUA40" s="344"/>
      <c r="BUB40" s="344"/>
      <c r="BUC40" s="344"/>
      <c r="BUD40" s="344"/>
      <c r="BUE40" s="344"/>
      <c r="BUF40" s="344"/>
      <c r="BUG40" s="344"/>
      <c r="BUH40" s="344"/>
      <c r="BUI40" s="344"/>
      <c r="BUJ40" s="344"/>
      <c r="BUK40" s="344"/>
      <c r="BUL40" s="344"/>
      <c r="BUM40" s="344"/>
      <c r="BUN40" s="344"/>
      <c r="BUO40" s="344"/>
      <c r="BUP40" s="344"/>
      <c r="BUQ40" s="344"/>
      <c r="BUR40" s="344"/>
      <c r="BUS40" s="344"/>
      <c r="BUT40" s="344"/>
      <c r="BUU40" s="344"/>
      <c r="BUV40" s="344"/>
      <c r="BUW40" s="344"/>
      <c r="BUX40" s="344"/>
      <c r="BUY40" s="344"/>
      <c r="BUZ40" s="344"/>
      <c r="BVA40" s="344"/>
      <c r="BVB40" s="344"/>
      <c r="BVC40" s="344"/>
      <c r="BVD40" s="344"/>
      <c r="BVE40" s="344"/>
      <c r="BVF40" s="344"/>
      <c r="BVG40" s="344"/>
      <c r="BVH40" s="344"/>
      <c r="BVI40" s="344"/>
      <c r="BVJ40" s="344"/>
      <c r="BVK40" s="344"/>
      <c r="BVL40" s="344"/>
      <c r="BVM40" s="344"/>
      <c r="BVN40" s="344"/>
      <c r="BVO40" s="344"/>
      <c r="BVP40" s="344"/>
      <c r="BVQ40" s="344"/>
      <c r="BVR40" s="344"/>
      <c r="BVS40" s="344"/>
      <c r="BVT40" s="344"/>
      <c r="BVU40" s="344"/>
      <c r="BVV40" s="344"/>
      <c r="BVW40" s="344"/>
      <c r="BVX40" s="344"/>
      <c r="BVY40" s="344"/>
      <c r="BVZ40" s="344"/>
      <c r="BWA40" s="344"/>
      <c r="BWB40" s="344"/>
      <c r="BWC40" s="344"/>
      <c r="BWD40" s="344"/>
      <c r="BWE40" s="344"/>
      <c r="BWF40" s="344"/>
      <c r="BWG40" s="344"/>
      <c r="BWH40" s="344"/>
      <c r="BWI40" s="344"/>
      <c r="BWJ40" s="344"/>
      <c r="BWK40" s="344"/>
      <c r="BWL40" s="344"/>
      <c r="BWM40" s="344"/>
      <c r="BWN40" s="344"/>
      <c r="BWO40" s="344"/>
      <c r="BWP40" s="344"/>
      <c r="BWQ40" s="344"/>
      <c r="BWR40" s="344"/>
      <c r="BWS40" s="344"/>
      <c r="BWT40" s="344"/>
      <c r="BWU40" s="344"/>
      <c r="BWV40" s="344"/>
      <c r="BWW40" s="344"/>
      <c r="BWX40" s="344"/>
      <c r="BWY40" s="344"/>
      <c r="BWZ40" s="344"/>
      <c r="BXA40" s="344"/>
      <c r="BXB40" s="344"/>
      <c r="BXC40" s="344"/>
      <c r="BXD40" s="344"/>
      <c r="BXE40" s="344"/>
      <c r="BXF40" s="344"/>
      <c r="BXG40" s="344"/>
      <c r="BXH40" s="344"/>
      <c r="BXI40" s="344"/>
      <c r="BXJ40" s="344"/>
      <c r="BXK40" s="344"/>
      <c r="BXL40" s="344"/>
      <c r="BXM40" s="344"/>
      <c r="BXN40" s="344"/>
      <c r="BXO40" s="344"/>
      <c r="BXP40" s="344"/>
      <c r="BXQ40" s="344"/>
      <c r="BXR40" s="344"/>
      <c r="BXS40" s="344"/>
      <c r="BXT40" s="344"/>
      <c r="BXU40" s="344"/>
      <c r="BXV40" s="344"/>
      <c r="BXW40" s="344"/>
      <c r="BXX40" s="344"/>
      <c r="BXY40" s="344"/>
      <c r="BXZ40" s="344"/>
      <c r="BYA40" s="344"/>
      <c r="BYB40" s="344"/>
      <c r="BYC40" s="344"/>
      <c r="BYD40" s="344"/>
      <c r="BYE40" s="344"/>
      <c r="BYF40" s="344"/>
      <c r="BYG40" s="344"/>
      <c r="BYH40" s="344"/>
      <c r="BYI40" s="344"/>
      <c r="BYJ40" s="344"/>
      <c r="BYK40" s="344"/>
      <c r="BYL40" s="344"/>
      <c r="BYM40" s="344"/>
      <c r="BYN40" s="344"/>
      <c r="BYO40" s="344"/>
      <c r="BYP40" s="344"/>
      <c r="BYQ40" s="344"/>
      <c r="BYR40" s="344"/>
      <c r="BYS40" s="344"/>
      <c r="BYT40" s="344"/>
      <c r="BYU40" s="344"/>
      <c r="BYV40" s="344"/>
      <c r="BYW40" s="344"/>
      <c r="BYX40" s="344"/>
      <c r="BYY40" s="344"/>
      <c r="BYZ40" s="344"/>
      <c r="BZA40" s="344"/>
      <c r="BZB40" s="344"/>
      <c r="BZC40" s="344"/>
      <c r="BZD40" s="344"/>
      <c r="BZE40" s="344"/>
      <c r="BZF40" s="344"/>
      <c r="BZG40" s="344"/>
      <c r="BZH40" s="344"/>
      <c r="BZI40" s="344"/>
      <c r="BZJ40" s="344"/>
      <c r="BZK40" s="344"/>
      <c r="BZL40" s="344"/>
      <c r="BZM40" s="344"/>
      <c r="BZN40" s="344"/>
      <c r="BZO40" s="344"/>
      <c r="BZP40" s="344"/>
      <c r="BZQ40" s="344"/>
      <c r="BZR40" s="344"/>
      <c r="BZS40" s="344"/>
      <c r="BZT40" s="344"/>
      <c r="BZU40" s="344"/>
      <c r="BZV40" s="344"/>
      <c r="BZW40" s="344"/>
      <c r="BZX40" s="344"/>
      <c r="BZY40" s="344"/>
      <c r="BZZ40" s="344"/>
      <c r="CAA40" s="344"/>
      <c r="CAB40" s="344"/>
      <c r="CAC40" s="344"/>
      <c r="CAD40" s="344"/>
      <c r="CAE40" s="344"/>
      <c r="CAF40" s="344"/>
      <c r="CAG40" s="344"/>
      <c r="CAH40" s="344"/>
      <c r="CAI40" s="344"/>
      <c r="CAJ40" s="344"/>
      <c r="CAK40" s="344"/>
      <c r="CAL40" s="344"/>
      <c r="CAM40" s="344"/>
      <c r="CAN40" s="344"/>
      <c r="CAO40" s="344"/>
      <c r="CAP40" s="344"/>
      <c r="CAQ40" s="344"/>
      <c r="CAR40" s="344"/>
      <c r="CAS40" s="344"/>
      <c r="CAT40" s="344"/>
      <c r="CAU40" s="344"/>
      <c r="CAV40" s="344"/>
      <c r="CAW40" s="344"/>
      <c r="CAX40" s="344"/>
      <c r="CAY40" s="344"/>
      <c r="CAZ40" s="344"/>
      <c r="CBA40" s="344"/>
      <c r="CBB40" s="344"/>
      <c r="CBC40" s="344"/>
      <c r="CBD40" s="344"/>
      <c r="CBE40" s="344"/>
      <c r="CBF40" s="344"/>
      <c r="CBG40" s="344"/>
      <c r="CBH40" s="344"/>
      <c r="CBI40" s="344"/>
      <c r="CBJ40" s="344"/>
      <c r="CBK40" s="344"/>
      <c r="CBL40" s="344"/>
      <c r="CBM40" s="344"/>
      <c r="CBN40" s="344"/>
      <c r="CBO40" s="344"/>
      <c r="CBP40" s="344"/>
      <c r="CBQ40" s="344"/>
      <c r="CBR40" s="344"/>
      <c r="CBS40" s="344"/>
      <c r="CBT40" s="344"/>
      <c r="CBU40" s="344"/>
      <c r="CBV40" s="344"/>
      <c r="CBW40" s="344"/>
      <c r="CBX40" s="344"/>
      <c r="CBY40" s="344"/>
      <c r="CBZ40" s="344"/>
      <c r="CCA40" s="344"/>
      <c r="CCB40" s="344"/>
      <c r="CCC40" s="344"/>
      <c r="CCD40" s="344"/>
      <c r="CCE40" s="344"/>
      <c r="CCF40" s="344"/>
      <c r="CCG40" s="344"/>
      <c r="CCH40" s="344"/>
      <c r="CCI40" s="344"/>
      <c r="CCJ40" s="344"/>
      <c r="CCK40" s="344"/>
      <c r="CCL40" s="344"/>
      <c r="CCM40" s="344"/>
      <c r="CCN40" s="344"/>
      <c r="CCO40" s="344"/>
      <c r="CCP40" s="344"/>
      <c r="CCQ40" s="344"/>
      <c r="CCR40" s="344"/>
      <c r="CCS40" s="344"/>
      <c r="CCT40" s="344"/>
      <c r="CCU40" s="344"/>
      <c r="CCV40" s="344"/>
      <c r="CCW40" s="344"/>
      <c r="CCX40" s="344"/>
      <c r="CCY40" s="344"/>
      <c r="CCZ40" s="344"/>
      <c r="CDA40" s="344"/>
      <c r="CDB40" s="344"/>
      <c r="CDC40" s="344"/>
      <c r="CDD40" s="344"/>
      <c r="CDE40" s="344"/>
      <c r="CDF40" s="344"/>
      <c r="CDG40" s="344"/>
      <c r="CDH40" s="344"/>
      <c r="CDI40" s="344"/>
      <c r="CDJ40" s="344"/>
      <c r="CDK40" s="344"/>
      <c r="CDL40" s="344"/>
      <c r="CDM40" s="344"/>
      <c r="CDN40" s="344"/>
      <c r="CDO40" s="344"/>
      <c r="CDP40" s="344"/>
      <c r="CDQ40" s="344"/>
      <c r="CDR40" s="344"/>
      <c r="CDS40" s="344"/>
      <c r="CDT40" s="344"/>
      <c r="CDU40" s="344"/>
      <c r="CDV40" s="344"/>
      <c r="CDW40" s="344"/>
      <c r="CDX40" s="344"/>
      <c r="CDY40" s="344"/>
      <c r="CDZ40" s="344"/>
      <c r="CEA40" s="344"/>
      <c r="CEB40" s="344"/>
      <c r="CEC40" s="344"/>
      <c r="CED40" s="344"/>
      <c r="CEE40" s="344"/>
      <c r="CEF40" s="344"/>
      <c r="CEG40" s="344"/>
      <c r="CEH40" s="344"/>
      <c r="CEI40" s="344"/>
      <c r="CEJ40" s="344"/>
      <c r="CEK40" s="344"/>
      <c r="CEL40" s="344"/>
      <c r="CEM40" s="344"/>
      <c r="CEN40" s="344"/>
      <c r="CEO40" s="344"/>
      <c r="CEP40" s="344"/>
      <c r="CEQ40" s="344"/>
      <c r="CER40" s="344"/>
      <c r="CES40" s="344"/>
      <c r="CET40" s="344"/>
      <c r="CEU40" s="344"/>
      <c r="CEV40" s="344"/>
      <c r="CEW40" s="344"/>
      <c r="CEX40" s="344"/>
      <c r="CEY40" s="344"/>
      <c r="CEZ40" s="344"/>
      <c r="CFA40" s="344"/>
      <c r="CFB40" s="344"/>
      <c r="CFC40" s="344"/>
      <c r="CFD40" s="344"/>
      <c r="CFE40" s="344"/>
      <c r="CFF40" s="344"/>
      <c r="CFG40" s="344"/>
      <c r="CFH40" s="344"/>
      <c r="CFI40" s="344"/>
      <c r="CFJ40" s="344"/>
      <c r="CFK40" s="344"/>
      <c r="CFL40" s="344"/>
      <c r="CFM40" s="344"/>
      <c r="CFN40" s="344"/>
      <c r="CFO40" s="344"/>
      <c r="CFP40" s="344"/>
      <c r="CFQ40" s="344"/>
      <c r="CFR40" s="344"/>
      <c r="CFS40" s="344"/>
      <c r="CFT40" s="344"/>
      <c r="CFU40" s="344"/>
      <c r="CFV40" s="344"/>
      <c r="CFW40" s="344"/>
      <c r="CFX40" s="344"/>
      <c r="CFY40" s="344"/>
      <c r="CFZ40" s="344"/>
      <c r="CGA40" s="344"/>
      <c r="CGB40" s="344"/>
      <c r="CGC40" s="344"/>
      <c r="CGD40" s="344"/>
      <c r="CGE40" s="344"/>
      <c r="CGF40" s="344"/>
      <c r="CGG40" s="344"/>
      <c r="CGH40" s="344"/>
      <c r="CGI40" s="344"/>
      <c r="CGJ40" s="344"/>
      <c r="CGK40" s="344"/>
      <c r="CGL40" s="344"/>
      <c r="CGM40" s="344"/>
      <c r="CGN40" s="344"/>
      <c r="CGO40" s="344"/>
      <c r="CGP40" s="344"/>
      <c r="CGQ40" s="344"/>
      <c r="CGR40" s="344"/>
      <c r="CGS40" s="344"/>
      <c r="CGT40" s="344"/>
      <c r="CGU40" s="344"/>
      <c r="CGV40" s="344"/>
      <c r="CGW40" s="344"/>
      <c r="CGX40" s="344"/>
      <c r="CGY40" s="344"/>
      <c r="CGZ40" s="344"/>
      <c r="CHA40" s="344"/>
      <c r="CHB40" s="344"/>
      <c r="CHC40" s="344"/>
      <c r="CHD40" s="344"/>
      <c r="CHE40" s="344"/>
      <c r="CHF40" s="344"/>
      <c r="CHG40" s="344"/>
      <c r="CHH40" s="344"/>
      <c r="CHI40" s="344"/>
      <c r="CHJ40" s="344"/>
      <c r="CHK40" s="344"/>
      <c r="CHL40" s="344"/>
      <c r="CHM40" s="344"/>
      <c r="CHN40" s="344"/>
      <c r="CHO40" s="344"/>
      <c r="CHP40" s="344"/>
      <c r="CHQ40" s="344"/>
      <c r="CHR40" s="344"/>
      <c r="CHS40" s="344"/>
      <c r="CHT40" s="344"/>
      <c r="CHU40" s="344"/>
      <c r="CHV40" s="344"/>
      <c r="CHW40" s="344"/>
      <c r="CHX40" s="344"/>
      <c r="CHY40" s="344"/>
      <c r="CHZ40" s="344"/>
      <c r="CIA40" s="344"/>
      <c r="CIB40" s="344"/>
      <c r="CIC40" s="344"/>
      <c r="CID40" s="344"/>
      <c r="CIE40" s="344"/>
      <c r="CIF40" s="344"/>
      <c r="CIG40" s="344"/>
      <c r="CIH40" s="344"/>
      <c r="CII40" s="344"/>
      <c r="CIJ40" s="344"/>
      <c r="CIK40" s="344"/>
      <c r="CIL40" s="344"/>
      <c r="CIM40" s="344"/>
      <c r="CIN40" s="344"/>
      <c r="CIO40" s="344"/>
      <c r="CIP40" s="344"/>
      <c r="CIQ40" s="344"/>
      <c r="CIR40" s="344"/>
      <c r="CIS40" s="344"/>
      <c r="CIT40" s="344"/>
      <c r="CIU40" s="344"/>
      <c r="CIV40" s="344"/>
      <c r="CIW40" s="344"/>
      <c r="CIX40" s="344"/>
      <c r="CIY40" s="344"/>
      <c r="CIZ40" s="344"/>
      <c r="CJA40" s="344"/>
      <c r="CJB40" s="344"/>
      <c r="CJC40" s="344"/>
      <c r="CJD40" s="344"/>
      <c r="CJE40" s="344"/>
      <c r="CJF40" s="344"/>
      <c r="CJG40" s="344"/>
      <c r="CJH40" s="344"/>
      <c r="CJI40" s="344"/>
      <c r="CJJ40" s="344"/>
      <c r="CJK40" s="344"/>
      <c r="CJL40" s="344"/>
      <c r="CJM40" s="344"/>
      <c r="CJN40" s="344"/>
      <c r="CJO40" s="344"/>
      <c r="CJP40" s="344"/>
      <c r="CJQ40" s="344"/>
      <c r="CJR40" s="344"/>
      <c r="CJS40" s="344"/>
      <c r="CJT40" s="344"/>
      <c r="CJU40" s="344"/>
      <c r="CJV40" s="344"/>
      <c r="CJW40" s="344"/>
      <c r="CJX40" s="344"/>
      <c r="CJY40" s="344"/>
      <c r="CJZ40" s="344"/>
      <c r="CKA40" s="344"/>
      <c r="CKB40" s="344"/>
      <c r="CKC40" s="344"/>
      <c r="CKD40" s="344"/>
      <c r="CKE40" s="344"/>
      <c r="CKF40" s="344"/>
      <c r="CKG40" s="344"/>
      <c r="CKH40" s="344"/>
      <c r="CKI40" s="344"/>
      <c r="CKJ40" s="344"/>
      <c r="CKK40" s="344"/>
      <c r="CKL40" s="344"/>
      <c r="CKM40" s="344"/>
      <c r="CKN40" s="344"/>
      <c r="CKO40" s="344"/>
      <c r="CKP40" s="344"/>
      <c r="CKQ40" s="344"/>
      <c r="CKR40" s="344"/>
      <c r="CKS40" s="344"/>
      <c r="CKT40" s="344"/>
      <c r="CKU40" s="344"/>
      <c r="CKV40" s="344"/>
      <c r="CKW40" s="344"/>
      <c r="CKX40" s="344"/>
      <c r="CKY40" s="344"/>
      <c r="CKZ40" s="344"/>
      <c r="CLA40" s="344"/>
      <c r="CLB40" s="344"/>
      <c r="CLC40" s="344"/>
      <c r="CLD40" s="344"/>
      <c r="CLE40" s="344"/>
      <c r="CLF40" s="344"/>
      <c r="CLG40" s="344"/>
      <c r="CLH40" s="344"/>
      <c r="CLI40" s="344"/>
      <c r="CLJ40" s="344"/>
      <c r="CLK40" s="344"/>
      <c r="CLL40" s="344"/>
      <c r="CLM40" s="344"/>
      <c r="CLN40" s="344"/>
      <c r="CLO40" s="344"/>
      <c r="CLP40" s="344"/>
      <c r="CLQ40" s="344"/>
      <c r="CLR40" s="344"/>
      <c r="CLS40" s="344"/>
      <c r="CLT40" s="344"/>
      <c r="CLU40" s="344"/>
      <c r="CLV40" s="344"/>
      <c r="CLW40" s="344"/>
      <c r="CLX40" s="344"/>
      <c r="CLY40" s="344"/>
      <c r="CLZ40" s="344"/>
      <c r="CMA40" s="344"/>
      <c r="CMB40" s="344"/>
      <c r="CMC40" s="344"/>
      <c r="CMD40" s="344"/>
      <c r="CME40" s="344"/>
      <c r="CMF40" s="344"/>
      <c r="CMG40" s="344"/>
      <c r="CMH40" s="344"/>
      <c r="CMI40" s="344"/>
      <c r="CMJ40" s="344"/>
      <c r="CMK40" s="344"/>
      <c r="CML40" s="344"/>
      <c r="CMM40" s="344"/>
      <c r="CMN40" s="344"/>
      <c r="CMO40" s="344"/>
      <c r="CMP40" s="344"/>
      <c r="CMQ40" s="344"/>
      <c r="CMR40" s="344"/>
      <c r="CMS40" s="344"/>
      <c r="CMT40" s="344"/>
      <c r="CMU40" s="344"/>
      <c r="CMV40" s="344"/>
      <c r="CMW40" s="344"/>
      <c r="CMX40" s="344"/>
      <c r="CMY40" s="344"/>
      <c r="CMZ40" s="344"/>
      <c r="CNA40" s="344"/>
      <c r="CNB40" s="344"/>
      <c r="CNC40" s="344"/>
      <c r="CND40" s="344"/>
      <c r="CNE40" s="344"/>
      <c r="CNF40" s="344"/>
      <c r="CNG40" s="344"/>
      <c r="CNH40" s="344"/>
      <c r="CNI40" s="344"/>
      <c r="CNJ40" s="344"/>
      <c r="CNK40" s="344"/>
      <c r="CNL40" s="344"/>
      <c r="CNM40" s="344"/>
      <c r="CNN40" s="344"/>
      <c r="CNO40" s="344"/>
      <c r="CNP40" s="344"/>
      <c r="CNQ40" s="344"/>
      <c r="CNR40" s="344"/>
      <c r="CNS40" s="344"/>
      <c r="CNT40" s="344"/>
      <c r="CNU40" s="344"/>
      <c r="CNV40" s="344"/>
      <c r="CNW40" s="344"/>
      <c r="CNX40" s="344"/>
      <c r="CNY40" s="344"/>
      <c r="CNZ40" s="344"/>
      <c r="COA40" s="344"/>
      <c r="COB40" s="344"/>
      <c r="COC40" s="344"/>
      <c r="COD40" s="344"/>
      <c r="COE40" s="344"/>
      <c r="COF40" s="344"/>
      <c r="COG40" s="344"/>
      <c r="COH40" s="344"/>
      <c r="COI40" s="344"/>
      <c r="COJ40" s="344"/>
      <c r="COK40" s="344"/>
      <c r="COL40" s="344"/>
      <c r="COM40" s="344"/>
      <c r="CON40" s="344"/>
      <c r="COO40" s="344"/>
      <c r="COP40" s="344"/>
      <c r="COQ40" s="344"/>
      <c r="COR40" s="344"/>
      <c r="COS40" s="344"/>
      <c r="COT40" s="344"/>
      <c r="COU40" s="344"/>
      <c r="COV40" s="344"/>
      <c r="COW40" s="344"/>
      <c r="COX40" s="344"/>
      <c r="COY40" s="344"/>
      <c r="COZ40" s="344"/>
      <c r="CPA40" s="344"/>
      <c r="CPB40" s="344"/>
      <c r="CPC40" s="344"/>
      <c r="CPD40" s="344"/>
      <c r="CPE40" s="344"/>
      <c r="CPF40" s="344"/>
      <c r="CPG40" s="344"/>
      <c r="CPH40" s="344"/>
      <c r="CPI40" s="344"/>
      <c r="CPJ40" s="344"/>
      <c r="CPK40" s="344"/>
      <c r="CPL40" s="344"/>
      <c r="CPM40" s="344"/>
      <c r="CPN40" s="344"/>
      <c r="CPO40" s="344"/>
      <c r="CPP40" s="344"/>
      <c r="CPQ40" s="344"/>
      <c r="CPR40" s="344"/>
      <c r="CPS40" s="344"/>
      <c r="CPT40" s="344"/>
      <c r="CPU40" s="344"/>
      <c r="CPV40" s="344"/>
      <c r="CPW40" s="344"/>
      <c r="CPX40" s="344"/>
      <c r="CPY40" s="344"/>
      <c r="CPZ40" s="344"/>
      <c r="CQA40" s="344"/>
      <c r="CQB40" s="344"/>
      <c r="CQC40" s="344"/>
      <c r="CQD40" s="344"/>
      <c r="CQE40" s="344"/>
      <c r="CQF40" s="344"/>
      <c r="CQG40" s="344"/>
      <c r="CQH40" s="344"/>
      <c r="CQI40" s="344"/>
      <c r="CQJ40" s="344"/>
      <c r="CQK40" s="344"/>
      <c r="CQL40" s="344"/>
      <c r="CQM40" s="344"/>
      <c r="CQN40" s="344"/>
      <c r="CQO40" s="344"/>
      <c r="CQP40" s="344"/>
      <c r="CQQ40" s="344"/>
      <c r="CQR40" s="344"/>
      <c r="CQS40" s="344"/>
      <c r="CQT40" s="344"/>
      <c r="CQU40" s="344"/>
      <c r="CQV40" s="344"/>
      <c r="CQW40" s="344"/>
      <c r="CQX40" s="344"/>
      <c r="CQY40" s="344"/>
      <c r="CQZ40" s="344"/>
      <c r="CRA40" s="344"/>
      <c r="CRB40" s="344"/>
      <c r="CRC40" s="344"/>
      <c r="CRD40" s="344"/>
      <c r="CRE40" s="344"/>
      <c r="CRF40" s="344"/>
      <c r="CRG40" s="344"/>
      <c r="CRH40" s="344"/>
      <c r="CRI40" s="344"/>
      <c r="CRJ40" s="344"/>
      <c r="CRK40" s="344"/>
      <c r="CRL40" s="344"/>
      <c r="CRM40" s="344"/>
      <c r="CRN40" s="344"/>
      <c r="CRO40" s="344"/>
      <c r="CRP40" s="344"/>
      <c r="CRQ40" s="344"/>
      <c r="CRR40" s="344"/>
      <c r="CRS40" s="344"/>
      <c r="CRT40" s="344"/>
      <c r="CRU40" s="344"/>
      <c r="CRV40" s="344"/>
      <c r="CRW40" s="344"/>
      <c r="CRX40" s="344"/>
      <c r="CRY40" s="344"/>
      <c r="CRZ40" s="344"/>
      <c r="CSA40" s="344"/>
      <c r="CSB40" s="344"/>
      <c r="CSC40" s="344"/>
      <c r="CSD40" s="344"/>
      <c r="CSE40" s="344"/>
      <c r="CSF40" s="344"/>
      <c r="CSG40" s="344"/>
      <c r="CSH40" s="344"/>
      <c r="CSI40" s="344"/>
      <c r="CSJ40" s="344"/>
      <c r="CSK40" s="344"/>
      <c r="CSL40" s="344"/>
      <c r="CSM40" s="344"/>
      <c r="CSN40" s="344"/>
      <c r="CSO40" s="344"/>
      <c r="CSP40" s="344"/>
      <c r="CSQ40" s="344"/>
      <c r="CSR40" s="344"/>
      <c r="CSS40" s="344"/>
      <c r="CST40" s="344"/>
      <c r="CSU40" s="344"/>
      <c r="CSV40" s="344"/>
      <c r="CSW40" s="344"/>
      <c r="CSX40" s="344"/>
      <c r="CSY40" s="344"/>
      <c r="CSZ40" s="344"/>
      <c r="CTA40" s="344"/>
      <c r="CTB40" s="344"/>
      <c r="CTC40" s="344"/>
      <c r="CTD40" s="344"/>
      <c r="CTE40" s="344"/>
      <c r="CTF40" s="344"/>
      <c r="CTG40" s="344"/>
      <c r="CTH40" s="344"/>
      <c r="CTI40" s="344"/>
      <c r="CTJ40" s="344"/>
      <c r="CTK40" s="344"/>
      <c r="CTL40" s="344"/>
      <c r="CTM40" s="344"/>
      <c r="CTN40" s="344"/>
      <c r="CTO40" s="344"/>
      <c r="CTP40" s="344"/>
      <c r="CTQ40" s="344"/>
      <c r="CTR40" s="344"/>
      <c r="CTS40" s="344"/>
      <c r="CTT40" s="344"/>
      <c r="CTU40" s="344"/>
      <c r="CTV40" s="344"/>
      <c r="CTW40" s="344"/>
      <c r="CTX40" s="344"/>
      <c r="CTY40" s="344"/>
      <c r="CTZ40" s="344"/>
      <c r="CUA40" s="344"/>
      <c r="CUB40" s="344"/>
      <c r="CUC40" s="344"/>
      <c r="CUD40" s="344"/>
      <c r="CUE40" s="344"/>
      <c r="CUF40" s="344"/>
      <c r="CUG40" s="344"/>
      <c r="CUH40" s="344"/>
      <c r="CUI40" s="344"/>
      <c r="CUJ40" s="344"/>
      <c r="CUK40" s="344"/>
      <c r="CUL40" s="344"/>
      <c r="CUM40" s="344"/>
      <c r="CUN40" s="344"/>
      <c r="CUO40" s="344"/>
      <c r="CUP40" s="344"/>
      <c r="CUQ40" s="344"/>
      <c r="CUR40" s="344"/>
      <c r="CUS40" s="344"/>
      <c r="CUT40" s="344"/>
      <c r="CUU40" s="344"/>
      <c r="CUV40" s="344"/>
      <c r="CUW40" s="344"/>
      <c r="CUX40" s="344"/>
      <c r="CUY40" s="344"/>
      <c r="CUZ40" s="344"/>
      <c r="CVA40" s="344"/>
      <c r="CVB40" s="344"/>
      <c r="CVC40" s="344"/>
      <c r="CVD40" s="344"/>
      <c r="CVE40" s="344"/>
      <c r="CVF40" s="344"/>
      <c r="CVG40" s="344"/>
      <c r="CVH40" s="344"/>
      <c r="CVI40" s="344"/>
      <c r="CVJ40" s="344"/>
      <c r="CVK40" s="344"/>
      <c r="CVL40" s="344"/>
      <c r="CVM40" s="344"/>
      <c r="CVN40" s="344"/>
      <c r="CVO40" s="344"/>
      <c r="CVP40" s="344"/>
      <c r="CVQ40" s="344"/>
      <c r="CVR40" s="344"/>
      <c r="CVS40" s="344"/>
      <c r="CVT40" s="344"/>
      <c r="CVU40" s="344"/>
      <c r="CVV40" s="344"/>
      <c r="CVW40" s="344"/>
      <c r="CVX40" s="344"/>
      <c r="CVY40" s="344"/>
      <c r="CVZ40" s="344"/>
      <c r="CWA40" s="344"/>
      <c r="CWB40" s="344"/>
      <c r="CWC40" s="344"/>
      <c r="CWD40" s="344"/>
      <c r="CWE40" s="344"/>
      <c r="CWF40" s="344"/>
      <c r="CWG40" s="344"/>
      <c r="CWH40" s="344"/>
      <c r="CWI40" s="344"/>
      <c r="CWJ40" s="344"/>
      <c r="CWK40" s="344"/>
      <c r="CWL40" s="344"/>
      <c r="CWM40" s="344"/>
      <c r="CWN40" s="344"/>
      <c r="CWO40" s="344"/>
      <c r="CWP40" s="344"/>
      <c r="CWQ40" s="344"/>
      <c r="CWR40" s="344"/>
      <c r="CWS40" s="344"/>
      <c r="CWT40" s="344"/>
      <c r="CWU40" s="344"/>
      <c r="CWV40" s="344"/>
      <c r="CWW40" s="344"/>
      <c r="CWX40" s="344"/>
      <c r="CWY40" s="344"/>
      <c r="CWZ40" s="344"/>
      <c r="CXA40" s="344"/>
      <c r="CXB40" s="344"/>
      <c r="CXC40" s="344"/>
      <c r="CXD40" s="344"/>
      <c r="CXE40" s="344"/>
      <c r="CXF40" s="344"/>
      <c r="CXG40" s="344"/>
      <c r="CXH40" s="344"/>
      <c r="CXI40" s="344"/>
      <c r="CXJ40" s="344"/>
      <c r="CXK40" s="344"/>
      <c r="CXL40" s="344"/>
      <c r="CXM40" s="344"/>
      <c r="CXN40" s="344"/>
      <c r="CXO40" s="344"/>
      <c r="CXP40" s="344"/>
      <c r="CXQ40" s="344"/>
      <c r="CXR40" s="344"/>
      <c r="CXS40" s="344"/>
      <c r="CXT40" s="344"/>
      <c r="CXU40" s="344"/>
      <c r="CXV40" s="344"/>
      <c r="CXW40" s="344"/>
      <c r="CXX40" s="344"/>
      <c r="CXY40" s="344"/>
      <c r="CXZ40" s="344"/>
      <c r="CYA40" s="344"/>
      <c r="CYB40" s="344"/>
      <c r="CYC40" s="344"/>
      <c r="CYD40" s="344"/>
      <c r="CYE40" s="344"/>
      <c r="CYF40" s="344"/>
      <c r="CYG40" s="344"/>
      <c r="CYH40" s="344"/>
      <c r="CYI40" s="344"/>
      <c r="CYJ40" s="344"/>
      <c r="CYK40" s="344"/>
      <c r="CYL40" s="344"/>
      <c r="CYM40" s="344"/>
      <c r="CYN40" s="344"/>
      <c r="CYO40" s="344"/>
      <c r="CYP40" s="344"/>
      <c r="CYQ40" s="344"/>
      <c r="CYR40" s="344"/>
      <c r="CYS40" s="344"/>
      <c r="CYT40" s="344"/>
      <c r="CYU40" s="344"/>
      <c r="CYV40" s="344"/>
      <c r="CYW40" s="344"/>
      <c r="CYX40" s="344"/>
      <c r="CYY40" s="344"/>
      <c r="CYZ40" s="344"/>
      <c r="CZA40" s="344"/>
      <c r="CZB40" s="344"/>
      <c r="CZC40" s="344"/>
      <c r="CZD40" s="344"/>
      <c r="CZE40" s="344"/>
      <c r="CZF40" s="344"/>
      <c r="CZG40" s="344"/>
      <c r="CZH40" s="344"/>
      <c r="CZI40" s="344"/>
      <c r="CZJ40" s="344"/>
      <c r="CZK40" s="344"/>
      <c r="CZL40" s="344"/>
      <c r="CZM40" s="344"/>
      <c r="CZN40" s="344"/>
      <c r="CZO40" s="344"/>
      <c r="CZP40" s="344"/>
      <c r="CZQ40" s="344"/>
      <c r="CZR40" s="344"/>
      <c r="CZS40" s="344"/>
      <c r="CZT40" s="344"/>
      <c r="CZU40" s="344"/>
      <c r="CZV40" s="344"/>
      <c r="CZW40" s="344"/>
      <c r="CZX40" s="344"/>
      <c r="CZY40" s="344"/>
      <c r="CZZ40" s="344"/>
      <c r="DAA40" s="344"/>
      <c r="DAB40" s="344"/>
      <c r="DAC40" s="344"/>
      <c r="DAD40" s="344"/>
      <c r="DAE40" s="344"/>
      <c r="DAF40" s="344"/>
      <c r="DAG40" s="344"/>
      <c r="DAH40" s="344"/>
      <c r="DAI40" s="344"/>
      <c r="DAJ40" s="344"/>
      <c r="DAK40" s="344"/>
      <c r="DAL40" s="344"/>
      <c r="DAM40" s="344"/>
      <c r="DAN40" s="344"/>
      <c r="DAO40" s="344"/>
      <c r="DAP40" s="344"/>
      <c r="DAQ40" s="344"/>
      <c r="DAR40" s="344"/>
      <c r="DAS40" s="344"/>
      <c r="DAT40" s="344"/>
      <c r="DAU40" s="344"/>
      <c r="DAV40" s="344"/>
      <c r="DAW40" s="344"/>
      <c r="DAX40" s="344"/>
      <c r="DAY40" s="344"/>
      <c r="DAZ40" s="344"/>
      <c r="DBA40" s="344"/>
      <c r="DBB40" s="344"/>
      <c r="DBC40" s="344"/>
      <c r="DBD40" s="344"/>
      <c r="DBE40" s="344"/>
      <c r="DBF40" s="344"/>
      <c r="DBG40" s="344"/>
      <c r="DBH40" s="344"/>
      <c r="DBI40" s="344"/>
      <c r="DBJ40" s="344"/>
      <c r="DBK40" s="344"/>
      <c r="DBL40" s="344"/>
      <c r="DBM40" s="344"/>
      <c r="DBN40" s="344"/>
      <c r="DBO40" s="344"/>
      <c r="DBP40" s="344"/>
      <c r="DBQ40" s="344"/>
      <c r="DBR40" s="344"/>
      <c r="DBS40" s="344"/>
      <c r="DBT40" s="344"/>
      <c r="DBU40" s="344"/>
      <c r="DBV40" s="344"/>
      <c r="DBW40" s="344"/>
      <c r="DBX40" s="344"/>
      <c r="DBY40" s="344"/>
      <c r="DBZ40" s="344"/>
      <c r="DCA40" s="344"/>
      <c r="DCB40" s="344"/>
      <c r="DCC40" s="344"/>
      <c r="DCD40" s="344"/>
      <c r="DCE40" s="344"/>
      <c r="DCF40" s="344"/>
      <c r="DCG40" s="344"/>
      <c r="DCH40" s="344"/>
      <c r="DCI40" s="344"/>
      <c r="DCJ40" s="344"/>
      <c r="DCK40" s="344"/>
      <c r="DCL40" s="344"/>
      <c r="DCM40" s="344"/>
      <c r="DCN40" s="344"/>
      <c r="DCO40" s="344"/>
      <c r="DCP40" s="344"/>
      <c r="DCQ40" s="344"/>
      <c r="DCR40" s="344"/>
      <c r="DCS40" s="344"/>
      <c r="DCT40" s="344"/>
      <c r="DCU40" s="344"/>
      <c r="DCV40" s="344"/>
      <c r="DCW40" s="344"/>
      <c r="DCX40" s="344"/>
      <c r="DCY40" s="344"/>
      <c r="DCZ40" s="344"/>
      <c r="DDA40" s="344"/>
      <c r="DDB40" s="344"/>
      <c r="DDC40" s="344"/>
      <c r="DDD40" s="344"/>
      <c r="DDE40" s="344"/>
      <c r="DDF40" s="344"/>
      <c r="DDG40" s="344"/>
      <c r="DDH40" s="344"/>
      <c r="DDI40" s="344"/>
      <c r="DDJ40" s="344"/>
      <c r="DDK40" s="344"/>
      <c r="DDL40" s="344"/>
      <c r="DDM40" s="344"/>
      <c r="DDN40" s="344"/>
      <c r="DDO40" s="344"/>
      <c r="DDP40" s="344"/>
      <c r="DDQ40" s="344"/>
      <c r="DDR40" s="344"/>
      <c r="DDS40" s="344"/>
      <c r="DDT40" s="344"/>
      <c r="DDU40" s="344"/>
      <c r="DDV40" s="344"/>
      <c r="DDW40" s="344"/>
      <c r="DDX40" s="344"/>
      <c r="DDY40" s="344"/>
      <c r="DDZ40" s="344"/>
      <c r="DEA40" s="344"/>
      <c r="DEB40" s="344"/>
      <c r="DEC40" s="344"/>
      <c r="DED40" s="344"/>
      <c r="DEE40" s="344"/>
      <c r="DEF40" s="344"/>
      <c r="DEG40" s="344"/>
      <c r="DEH40" s="344"/>
      <c r="DEI40" s="344"/>
      <c r="DEJ40" s="344"/>
      <c r="DEK40" s="344"/>
      <c r="DEL40" s="344"/>
      <c r="DEM40" s="344"/>
      <c r="DEN40" s="344"/>
      <c r="DEO40" s="344"/>
      <c r="DEP40" s="344"/>
      <c r="DEQ40" s="344"/>
      <c r="DER40" s="344"/>
      <c r="DES40" s="344"/>
      <c r="DET40" s="344"/>
      <c r="DEU40" s="344"/>
      <c r="DEV40" s="344"/>
      <c r="DEW40" s="344"/>
      <c r="DEX40" s="344"/>
      <c r="DEY40" s="344"/>
      <c r="DEZ40" s="344"/>
      <c r="DFA40" s="344"/>
      <c r="DFB40" s="344"/>
      <c r="DFC40" s="344"/>
      <c r="DFD40" s="344"/>
      <c r="DFE40" s="344"/>
      <c r="DFF40" s="344"/>
      <c r="DFG40" s="344"/>
      <c r="DFH40" s="344"/>
      <c r="DFI40" s="344"/>
      <c r="DFJ40" s="344"/>
      <c r="DFK40" s="344"/>
      <c r="DFL40" s="344"/>
      <c r="DFM40" s="344"/>
      <c r="DFN40" s="344"/>
      <c r="DFO40" s="344"/>
      <c r="DFP40" s="344"/>
      <c r="DFQ40" s="344"/>
      <c r="DFR40" s="344"/>
      <c r="DFS40" s="344"/>
      <c r="DFT40" s="344"/>
      <c r="DFU40" s="344"/>
      <c r="DFV40" s="344"/>
      <c r="DFW40" s="344"/>
      <c r="DFX40" s="344"/>
      <c r="DFY40" s="344"/>
      <c r="DFZ40" s="344"/>
      <c r="DGA40" s="344"/>
      <c r="DGB40" s="344"/>
      <c r="DGC40" s="344"/>
      <c r="DGD40" s="344"/>
      <c r="DGE40" s="344"/>
      <c r="DGF40" s="344"/>
      <c r="DGG40" s="344"/>
      <c r="DGH40" s="344"/>
      <c r="DGI40" s="344"/>
      <c r="DGJ40" s="344"/>
      <c r="DGK40" s="344"/>
      <c r="DGL40" s="344"/>
      <c r="DGM40" s="344"/>
      <c r="DGN40" s="344"/>
      <c r="DGO40" s="344"/>
      <c r="DGP40" s="344"/>
      <c r="DGQ40" s="344"/>
      <c r="DGR40" s="344"/>
      <c r="DGS40" s="344"/>
      <c r="DGT40" s="344"/>
      <c r="DGU40" s="344"/>
      <c r="DGV40" s="344"/>
      <c r="DGW40" s="344"/>
      <c r="DGX40" s="344"/>
      <c r="DGY40" s="344"/>
      <c r="DGZ40" s="344"/>
      <c r="DHA40" s="344"/>
      <c r="DHB40" s="344"/>
      <c r="DHC40" s="344"/>
      <c r="DHD40" s="344"/>
      <c r="DHE40" s="344"/>
      <c r="DHF40" s="344"/>
      <c r="DHG40" s="344"/>
      <c r="DHH40" s="344"/>
      <c r="DHI40" s="344"/>
      <c r="DHJ40" s="344"/>
      <c r="DHK40" s="344"/>
      <c r="DHL40" s="344"/>
      <c r="DHM40" s="344"/>
      <c r="DHN40" s="344"/>
      <c r="DHO40" s="344"/>
      <c r="DHP40" s="344"/>
      <c r="DHQ40" s="344"/>
      <c r="DHR40" s="344"/>
      <c r="DHS40" s="344"/>
      <c r="DHT40" s="344"/>
      <c r="DHU40" s="344"/>
      <c r="DHV40" s="344"/>
      <c r="DHW40" s="344"/>
      <c r="DHX40" s="344"/>
      <c r="DHY40" s="344"/>
      <c r="DHZ40" s="344"/>
      <c r="DIA40" s="344"/>
      <c r="DIB40" s="344"/>
      <c r="DIC40" s="344"/>
      <c r="DID40" s="344"/>
      <c r="DIE40" s="344"/>
      <c r="DIF40" s="344"/>
      <c r="DIG40" s="344"/>
      <c r="DIH40" s="344"/>
      <c r="DII40" s="344"/>
      <c r="DIJ40" s="344"/>
      <c r="DIK40" s="344"/>
      <c r="DIL40" s="344"/>
      <c r="DIM40" s="344"/>
      <c r="DIN40" s="344"/>
      <c r="DIO40" s="344"/>
      <c r="DIP40" s="344"/>
      <c r="DIQ40" s="344"/>
      <c r="DIR40" s="344"/>
      <c r="DIS40" s="344"/>
      <c r="DIT40" s="344"/>
      <c r="DIU40" s="344"/>
      <c r="DIV40" s="344"/>
      <c r="DIW40" s="344"/>
      <c r="DIX40" s="344"/>
      <c r="DIY40" s="344"/>
      <c r="DIZ40" s="344"/>
      <c r="DJA40" s="344"/>
      <c r="DJB40" s="344"/>
      <c r="DJC40" s="344"/>
      <c r="DJD40" s="344"/>
      <c r="DJE40" s="344"/>
      <c r="DJF40" s="344"/>
      <c r="DJG40" s="344"/>
      <c r="DJH40" s="344"/>
      <c r="DJI40" s="344"/>
      <c r="DJJ40" s="344"/>
      <c r="DJK40" s="344"/>
      <c r="DJL40" s="344"/>
      <c r="DJM40" s="344"/>
      <c r="DJN40" s="344"/>
      <c r="DJO40" s="344"/>
      <c r="DJP40" s="344"/>
      <c r="DJQ40" s="344"/>
      <c r="DJR40" s="344"/>
      <c r="DJS40" s="344"/>
      <c r="DJT40" s="344"/>
      <c r="DJU40" s="344"/>
      <c r="DJV40" s="344"/>
      <c r="DJW40" s="344"/>
      <c r="DJX40" s="344"/>
      <c r="DJY40" s="344"/>
      <c r="DJZ40" s="344"/>
      <c r="DKA40" s="344"/>
      <c r="DKB40" s="344"/>
      <c r="DKC40" s="344"/>
      <c r="DKD40" s="344"/>
      <c r="DKE40" s="344"/>
      <c r="DKF40" s="344"/>
      <c r="DKG40" s="344"/>
      <c r="DKH40" s="344"/>
      <c r="DKI40" s="344"/>
      <c r="DKJ40" s="344"/>
      <c r="DKK40" s="344"/>
      <c r="DKL40" s="344"/>
      <c r="DKM40" s="344"/>
      <c r="DKN40" s="344"/>
      <c r="DKO40" s="344"/>
      <c r="DKP40" s="344"/>
      <c r="DKQ40" s="344"/>
      <c r="DKR40" s="344"/>
      <c r="DKS40" s="344"/>
      <c r="DKT40" s="344"/>
      <c r="DKU40" s="344"/>
      <c r="DKV40" s="344"/>
      <c r="DKW40" s="344"/>
      <c r="DKX40" s="344"/>
      <c r="DKY40" s="344"/>
      <c r="DKZ40" s="344"/>
      <c r="DLA40" s="344"/>
      <c r="DLB40" s="344"/>
      <c r="DLC40" s="344"/>
      <c r="DLD40" s="344"/>
      <c r="DLE40" s="344"/>
      <c r="DLF40" s="344"/>
      <c r="DLG40" s="344"/>
      <c r="DLH40" s="344"/>
      <c r="DLI40" s="344"/>
      <c r="DLJ40" s="344"/>
      <c r="DLK40" s="344"/>
      <c r="DLL40" s="344"/>
      <c r="DLM40" s="344"/>
      <c r="DLN40" s="344"/>
      <c r="DLO40" s="344"/>
      <c r="DLP40" s="344"/>
      <c r="DLQ40" s="344"/>
      <c r="DLR40" s="344"/>
      <c r="DLS40" s="344"/>
      <c r="DLT40" s="344"/>
      <c r="DLU40" s="344"/>
      <c r="DLV40" s="344"/>
      <c r="DLW40" s="344"/>
      <c r="DLX40" s="344"/>
      <c r="DLY40" s="344"/>
      <c r="DLZ40" s="344"/>
      <c r="DMA40" s="344"/>
      <c r="DMB40" s="344"/>
      <c r="DMC40" s="344"/>
      <c r="DMD40" s="344"/>
      <c r="DME40" s="344"/>
      <c r="DMF40" s="344"/>
      <c r="DMG40" s="344"/>
      <c r="DMH40" s="344"/>
      <c r="DMI40" s="344"/>
      <c r="DMJ40" s="344"/>
      <c r="DMK40" s="344"/>
      <c r="DML40" s="344"/>
      <c r="DMM40" s="344"/>
      <c r="DMN40" s="344"/>
      <c r="DMO40" s="344"/>
      <c r="DMP40" s="344"/>
      <c r="DMQ40" s="344"/>
      <c r="DMR40" s="344"/>
      <c r="DMS40" s="344"/>
      <c r="DMT40" s="344"/>
      <c r="DMU40" s="344"/>
      <c r="DMV40" s="344"/>
      <c r="DMW40" s="344"/>
      <c r="DMX40" s="344"/>
      <c r="DMY40" s="344"/>
      <c r="DMZ40" s="344"/>
      <c r="DNA40" s="344"/>
      <c r="DNB40" s="344"/>
      <c r="DNC40" s="344"/>
      <c r="DND40" s="344"/>
      <c r="DNE40" s="344"/>
      <c r="DNF40" s="344"/>
      <c r="DNG40" s="344"/>
      <c r="DNH40" s="344"/>
      <c r="DNI40" s="344"/>
      <c r="DNJ40" s="344"/>
      <c r="DNK40" s="344"/>
      <c r="DNL40" s="344"/>
      <c r="DNM40" s="344"/>
      <c r="DNN40" s="344"/>
      <c r="DNO40" s="344"/>
      <c r="DNP40" s="344"/>
      <c r="DNQ40" s="344"/>
      <c r="DNR40" s="344"/>
      <c r="DNS40" s="344"/>
      <c r="DNT40" s="344"/>
      <c r="DNU40" s="344"/>
      <c r="DNV40" s="344"/>
      <c r="DNW40" s="344"/>
      <c r="DNX40" s="344"/>
      <c r="DNY40" s="344"/>
      <c r="DNZ40" s="344"/>
      <c r="DOA40" s="344"/>
      <c r="DOB40" s="344"/>
      <c r="DOC40" s="344"/>
      <c r="DOD40" s="344"/>
      <c r="DOE40" s="344"/>
      <c r="DOF40" s="344"/>
      <c r="DOG40" s="344"/>
      <c r="DOH40" s="344"/>
      <c r="DOI40" s="344"/>
      <c r="DOJ40" s="344"/>
      <c r="DOK40" s="344"/>
      <c r="DOL40" s="344"/>
      <c r="DOM40" s="344"/>
      <c r="DON40" s="344"/>
      <c r="DOO40" s="344"/>
      <c r="DOP40" s="344"/>
      <c r="DOQ40" s="344"/>
      <c r="DOR40" s="344"/>
      <c r="DOS40" s="344"/>
      <c r="DOT40" s="344"/>
      <c r="DOU40" s="344"/>
      <c r="DOV40" s="344"/>
      <c r="DOW40" s="344"/>
      <c r="DOX40" s="344"/>
      <c r="DOY40" s="344"/>
      <c r="DOZ40" s="344"/>
      <c r="DPA40" s="344"/>
      <c r="DPB40" s="344"/>
      <c r="DPC40" s="344"/>
      <c r="DPD40" s="344"/>
      <c r="DPE40" s="344"/>
      <c r="DPF40" s="344"/>
      <c r="DPG40" s="344"/>
      <c r="DPH40" s="344"/>
      <c r="DPI40" s="344"/>
      <c r="DPJ40" s="344"/>
      <c r="DPK40" s="344"/>
      <c r="DPL40" s="344"/>
      <c r="DPM40" s="344"/>
      <c r="DPN40" s="344"/>
      <c r="DPO40" s="344"/>
      <c r="DPP40" s="344"/>
      <c r="DPQ40" s="344"/>
      <c r="DPR40" s="344"/>
      <c r="DPS40" s="344"/>
      <c r="DPT40" s="344"/>
      <c r="DPU40" s="344"/>
      <c r="DPV40" s="344"/>
      <c r="DPW40" s="344"/>
      <c r="DPX40" s="344"/>
      <c r="DPY40" s="344"/>
      <c r="DPZ40" s="344"/>
      <c r="DQA40" s="344"/>
      <c r="DQB40" s="344"/>
      <c r="DQC40" s="344"/>
      <c r="DQD40" s="344"/>
      <c r="DQE40" s="344"/>
      <c r="DQF40" s="344"/>
      <c r="DQG40" s="344"/>
      <c r="DQH40" s="344"/>
      <c r="DQI40" s="344"/>
      <c r="DQJ40" s="344"/>
      <c r="DQK40" s="344"/>
      <c r="DQL40" s="344"/>
      <c r="DQM40" s="344"/>
      <c r="DQN40" s="344"/>
      <c r="DQO40" s="344"/>
      <c r="DQP40" s="344"/>
      <c r="DQQ40" s="344"/>
      <c r="DQR40" s="344"/>
      <c r="DQS40" s="344"/>
      <c r="DQT40" s="344"/>
      <c r="DQU40" s="344"/>
      <c r="DQV40" s="344"/>
      <c r="DQW40" s="344"/>
      <c r="DQX40" s="344"/>
      <c r="DQY40" s="344"/>
      <c r="DQZ40" s="344"/>
      <c r="DRA40" s="344"/>
      <c r="DRB40" s="344"/>
      <c r="DRC40" s="344"/>
      <c r="DRD40" s="344"/>
      <c r="DRE40" s="344"/>
      <c r="DRF40" s="344"/>
      <c r="DRG40" s="344"/>
      <c r="DRH40" s="344"/>
      <c r="DRI40" s="344"/>
      <c r="DRJ40" s="344"/>
      <c r="DRK40" s="344"/>
      <c r="DRL40" s="344"/>
      <c r="DRM40" s="344"/>
      <c r="DRN40" s="344"/>
      <c r="DRO40" s="344"/>
      <c r="DRP40" s="344"/>
      <c r="DRQ40" s="344"/>
      <c r="DRR40" s="344"/>
      <c r="DRS40" s="344"/>
      <c r="DRT40" s="344"/>
      <c r="DRU40" s="344"/>
      <c r="DRV40" s="344"/>
      <c r="DRW40" s="344"/>
      <c r="DRX40" s="344"/>
      <c r="DRY40" s="344"/>
      <c r="DRZ40" s="344"/>
      <c r="DSA40" s="344"/>
      <c r="DSB40" s="344"/>
      <c r="DSC40" s="344"/>
      <c r="DSD40" s="344"/>
      <c r="DSE40" s="344"/>
      <c r="DSF40" s="344"/>
      <c r="DSG40" s="344"/>
      <c r="DSH40" s="344"/>
      <c r="DSI40" s="344"/>
      <c r="DSJ40" s="344"/>
      <c r="DSK40" s="344"/>
      <c r="DSL40" s="344"/>
      <c r="DSM40" s="344"/>
      <c r="DSN40" s="344"/>
      <c r="DSO40" s="344"/>
      <c r="DSP40" s="344"/>
      <c r="DSQ40" s="344"/>
      <c r="DSR40" s="344"/>
      <c r="DSS40" s="344"/>
      <c r="DST40" s="344"/>
      <c r="DSU40" s="344"/>
      <c r="DSV40" s="344"/>
      <c r="DSW40" s="344"/>
      <c r="DSX40" s="344"/>
      <c r="DSY40" s="344"/>
      <c r="DSZ40" s="344"/>
      <c r="DTA40" s="344"/>
      <c r="DTB40" s="344"/>
      <c r="DTC40" s="344"/>
      <c r="DTD40" s="344"/>
      <c r="DTE40" s="344"/>
      <c r="DTF40" s="344"/>
      <c r="DTG40" s="344"/>
      <c r="DTH40" s="344"/>
      <c r="DTI40" s="344"/>
      <c r="DTJ40" s="344"/>
      <c r="DTK40" s="344"/>
      <c r="DTL40" s="344"/>
      <c r="DTM40" s="344"/>
      <c r="DTN40" s="344"/>
      <c r="DTO40" s="344"/>
      <c r="DTP40" s="344"/>
      <c r="DTQ40" s="344"/>
      <c r="DTR40" s="344"/>
      <c r="DTS40" s="344"/>
      <c r="DTT40" s="344"/>
      <c r="DTU40" s="344"/>
      <c r="DTV40" s="344"/>
      <c r="DTW40" s="344"/>
      <c r="DTX40" s="344"/>
      <c r="DTY40" s="344"/>
      <c r="DTZ40" s="344"/>
      <c r="DUA40" s="344"/>
      <c r="DUB40" s="344"/>
      <c r="DUC40" s="344"/>
      <c r="DUD40" s="344"/>
      <c r="DUE40" s="344"/>
      <c r="DUF40" s="344"/>
      <c r="DUG40" s="344"/>
      <c r="DUH40" s="344"/>
      <c r="DUI40" s="344"/>
      <c r="DUJ40" s="344"/>
      <c r="DUK40" s="344"/>
      <c r="DUL40" s="344"/>
      <c r="DUM40" s="344"/>
      <c r="DUN40" s="344"/>
      <c r="DUO40" s="344"/>
      <c r="DUP40" s="344"/>
      <c r="DUQ40" s="344"/>
      <c r="DUR40" s="344"/>
      <c r="DUS40" s="344"/>
      <c r="DUT40" s="344"/>
      <c r="DUU40" s="344"/>
      <c r="DUV40" s="344"/>
      <c r="DUW40" s="344"/>
      <c r="DUX40" s="344"/>
      <c r="DUY40" s="344"/>
      <c r="DUZ40" s="344"/>
      <c r="DVA40" s="344"/>
      <c r="DVB40" s="344"/>
      <c r="DVC40" s="344"/>
      <c r="DVD40" s="344"/>
      <c r="DVE40" s="344"/>
      <c r="DVF40" s="344"/>
      <c r="DVG40" s="344"/>
      <c r="DVH40" s="344"/>
      <c r="DVI40" s="344"/>
      <c r="DVJ40" s="344"/>
      <c r="DVK40" s="344"/>
      <c r="DVL40" s="344"/>
      <c r="DVM40" s="344"/>
      <c r="DVN40" s="344"/>
      <c r="DVO40" s="344"/>
      <c r="DVP40" s="344"/>
      <c r="DVQ40" s="344"/>
      <c r="DVR40" s="344"/>
      <c r="DVS40" s="344"/>
      <c r="DVT40" s="344"/>
      <c r="DVU40" s="344"/>
      <c r="DVV40" s="344"/>
      <c r="DVW40" s="344"/>
      <c r="DVX40" s="344"/>
      <c r="DVY40" s="344"/>
      <c r="DVZ40" s="344"/>
      <c r="DWA40" s="344"/>
      <c r="DWB40" s="344"/>
      <c r="DWC40" s="344"/>
      <c r="DWD40" s="344"/>
      <c r="DWE40" s="344"/>
      <c r="DWF40" s="344"/>
      <c r="DWG40" s="344"/>
      <c r="DWH40" s="344"/>
      <c r="DWI40" s="344"/>
      <c r="DWJ40" s="344"/>
      <c r="DWK40" s="344"/>
      <c r="DWL40" s="344"/>
      <c r="DWM40" s="344"/>
      <c r="DWN40" s="344"/>
      <c r="DWO40" s="344"/>
      <c r="DWP40" s="344"/>
      <c r="DWQ40" s="344"/>
      <c r="DWR40" s="344"/>
      <c r="DWS40" s="344"/>
      <c r="DWT40" s="344"/>
      <c r="DWU40" s="344"/>
      <c r="DWV40" s="344"/>
      <c r="DWW40" s="344"/>
      <c r="DWX40" s="344"/>
      <c r="DWY40" s="344"/>
      <c r="DWZ40" s="344"/>
      <c r="DXA40" s="344"/>
      <c r="DXB40" s="344"/>
      <c r="DXC40" s="344"/>
      <c r="DXD40" s="344"/>
      <c r="DXE40" s="344"/>
      <c r="DXF40" s="344"/>
      <c r="DXG40" s="344"/>
      <c r="DXH40" s="344"/>
      <c r="DXI40" s="344"/>
      <c r="DXJ40" s="344"/>
      <c r="DXK40" s="344"/>
      <c r="DXL40" s="344"/>
      <c r="DXM40" s="344"/>
      <c r="DXN40" s="344"/>
      <c r="DXO40" s="344"/>
      <c r="DXP40" s="344"/>
      <c r="DXQ40" s="344"/>
      <c r="DXR40" s="344"/>
      <c r="DXS40" s="344"/>
      <c r="DXT40" s="344"/>
      <c r="DXU40" s="344"/>
      <c r="DXV40" s="344"/>
      <c r="DXW40" s="344"/>
      <c r="DXX40" s="344"/>
      <c r="DXY40" s="344"/>
      <c r="DXZ40" s="344"/>
      <c r="DYA40" s="344"/>
      <c r="DYB40" s="344"/>
      <c r="DYC40" s="344"/>
      <c r="DYD40" s="344"/>
      <c r="DYE40" s="344"/>
      <c r="DYF40" s="344"/>
      <c r="DYG40" s="344"/>
      <c r="DYH40" s="344"/>
      <c r="DYI40" s="344"/>
      <c r="DYJ40" s="344"/>
      <c r="DYK40" s="344"/>
      <c r="DYL40" s="344"/>
      <c r="DYM40" s="344"/>
      <c r="DYN40" s="344"/>
      <c r="DYO40" s="344"/>
      <c r="DYP40" s="344"/>
      <c r="DYQ40" s="344"/>
      <c r="DYR40" s="344"/>
      <c r="DYS40" s="344"/>
      <c r="DYT40" s="344"/>
      <c r="DYU40" s="344"/>
      <c r="DYV40" s="344"/>
      <c r="DYW40" s="344"/>
      <c r="DYX40" s="344"/>
      <c r="DYY40" s="344"/>
      <c r="DYZ40" s="344"/>
      <c r="DZA40" s="344"/>
      <c r="DZB40" s="344"/>
      <c r="DZC40" s="344"/>
      <c r="DZD40" s="344"/>
      <c r="DZE40" s="344"/>
      <c r="DZF40" s="344"/>
      <c r="DZG40" s="344"/>
      <c r="DZH40" s="344"/>
      <c r="DZI40" s="344"/>
      <c r="DZJ40" s="344"/>
      <c r="DZK40" s="344"/>
      <c r="DZL40" s="344"/>
      <c r="DZM40" s="344"/>
      <c r="DZN40" s="344"/>
      <c r="DZO40" s="344"/>
      <c r="DZP40" s="344"/>
      <c r="DZQ40" s="344"/>
      <c r="DZR40" s="344"/>
      <c r="DZS40" s="344"/>
      <c r="DZT40" s="344"/>
      <c r="DZU40" s="344"/>
      <c r="DZV40" s="344"/>
      <c r="DZW40" s="344"/>
      <c r="DZX40" s="344"/>
      <c r="DZY40" s="344"/>
      <c r="DZZ40" s="344"/>
      <c r="EAA40" s="344"/>
      <c r="EAB40" s="344"/>
      <c r="EAC40" s="344"/>
      <c r="EAD40" s="344"/>
      <c r="EAE40" s="344"/>
      <c r="EAF40" s="344"/>
      <c r="EAG40" s="344"/>
      <c r="EAH40" s="344"/>
      <c r="EAI40" s="344"/>
      <c r="EAJ40" s="344"/>
      <c r="EAK40" s="344"/>
      <c r="EAL40" s="344"/>
      <c r="EAM40" s="344"/>
      <c r="EAN40" s="344"/>
      <c r="EAO40" s="344"/>
      <c r="EAP40" s="344"/>
      <c r="EAQ40" s="344"/>
      <c r="EAR40" s="344"/>
      <c r="EAS40" s="344"/>
      <c r="EAT40" s="344"/>
      <c r="EAU40" s="344"/>
      <c r="EAV40" s="344"/>
      <c r="EAW40" s="344"/>
      <c r="EAX40" s="344"/>
      <c r="EAY40" s="344"/>
      <c r="EAZ40" s="344"/>
      <c r="EBA40" s="344"/>
      <c r="EBB40" s="344"/>
      <c r="EBC40" s="344"/>
      <c r="EBD40" s="344"/>
      <c r="EBE40" s="344"/>
      <c r="EBF40" s="344"/>
      <c r="EBG40" s="344"/>
      <c r="EBH40" s="344"/>
      <c r="EBI40" s="344"/>
      <c r="EBJ40" s="344"/>
      <c r="EBK40" s="344"/>
      <c r="EBL40" s="344"/>
      <c r="EBM40" s="344"/>
      <c r="EBN40" s="344"/>
      <c r="EBO40" s="344"/>
      <c r="EBP40" s="344"/>
      <c r="EBQ40" s="344"/>
      <c r="EBR40" s="344"/>
      <c r="EBS40" s="344"/>
      <c r="EBT40" s="344"/>
      <c r="EBU40" s="344"/>
      <c r="EBV40" s="344"/>
      <c r="EBW40" s="344"/>
      <c r="EBX40" s="344"/>
      <c r="EBY40" s="344"/>
      <c r="EBZ40" s="344"/>
      <c r="ECA40" s="344"/>
      <c r="ECB40" s="344"/>
      <c r="ECC40" s="344"/>
      <c r="ECD40" s="344"/>
      <c r="ECE40" s="344"/>
      <c r="ECF40" s="344"/>
      <c r="ECG40" s="344"/>
      <c r="ECH40" s="344"/>
      <c r="ECI40" s="344"/>
      <c r="ECJ40" s="344"/>
      <c r="ECK40" s="344"/>
      <c r="ECL40" s="344"/>
      <c r="ECM40" s="344"/>
      <c r="ECN40" s="344"/>
      <c r="ECO40" s="344"/>
      <c r="ECP40" s="344"/>
      <c r="ECQ40" s="344"/>
      <c r="ECR40" s="344"/>
      <c r="ECS40" s="344"/>
      <c r="ECT40" s="344"/>
      <c r="ECU40" s="344"/>
      <c r="ECV40" s="344"/>
      <c r="ECW40" s="344"/>
      <c r="ECX40" s="344"/>
      <c r="ECY40" s="344"/>
      <c r="ECZ40" s="344"/>
      <c r="EDA40" s="344"/>
      <c r="EDB40" s="344"/>
      <c r="EDC40" s="344"/>
      <c r="EDD40" s="344"/>
      <c r="EDE40" s="344"/>
      <c r="EDF40" s="344"/>
      <c r="EDG40" s="344"/>
      <c r="EDH40" s="344"/>
      <c r="EDI40" s="344"/>
      <c r="EDJ40" s="344"/>
      <c r="EDK40" s="344"/>
      <c r="EDL40" s="344"/>
      <c r="EDM40" s="344"/>
      <c r="EDN40" s="344"/>
      <c r="EDO40" s="344"/>
      <c r="EDP40" s="344"/>
      <c r="EDQ40" s="344"/>
      <c r="EDR40" s="344"/>
      <c r="EDS40" s="344"/>
      <c r="EDT40" s="344"/>
      <c r="EDU40" s="344"/>
      <c r="EDV40" s="344"/>
      <c r="EDW40" s="344"/>
      <c r="EDX40" s="344"/>
      <c r="EDY40" s="344"/>
      <c r="EDZ40" s="344"/>
      <c r="EEA40" s="344"/>
      <c r="EEB40" s="344"/>
      <c r="EEC40" s="344"/>
      <c r="EED40" s="344"/>
      <c r="EEE40" s="344"/>
      <c r="EEF40" s="344"/>
      <c r="EEG40" s="344"/>
      <c r="EEH40" s="344"/>
      <c r="EEI40" s="344"/>
      <c r="EEJ40" s="344"/>
      <c r="EEK40" s="344"/>
      <c r="EEL40" s="344"/>
      <c r="EEM40" s="344"/>
      <c r="EEN40" s="344"/>
      <c r="EEO40" s="344"/>
      <c r="EEP40" s="344"/>
      <c r="EEQ40" s="344"/>
      <c r="EER40" s="344"/>
      <c r="EES40" s="344"/>
      <c r="EET40" s="344"/>
      <c r="EEU40" s="344"/>
      <c r="EEV40" s="344"/>
      <c r="EEW40" s="344"/>
      <c r="EEX40" s="344"/>
      <c r="EEY40" s="344"/>
      <c r="EEZ40" s="344"/>
      <c r="EFA40" s="344"/>
      <c r="EFB40" s="344"/>
      <c r="EFC40" s="344"/>
      <c r="EFD40" s="344"/>
      <c r="EFE40" s="344"/>
      <c r="EFF40" s="344"/>
      <c r="EFG40" s="344"/>
      <c r="EFH40" s="344"/>
      <c r="EFI40" s="344"/>
      <c r="EFJ40" s="344"/>
      <c r="EFK40" s="344"/>
      <c r="EFL40" s="344"/>
      <c r="EFM40" s="344"/>
      <c r="EFN40" s="344"/>
      <c r="EFO40" s="344"/>
      <c r="EFP40" s="344"/>
      <c r="EFQ40" s="344"/>
      <c r="EFR40" s="344"/>
      <c r="EFS40" s="344"/>
      <c r="EFT40" s="344"/>
      <c r="EFU40" s="344"/>
      <c r="EFV40" s="344"/>
      <c r="EFW40" s="344"/>
      <c r="EFX40" s="344"/>
      <c r="EFY40" s="344"/>
      <c r="EFZ40" s="344"/>
      <c r="EGA40" s="344"/>
      <c r="EGB40" s="344"/>
      <c r="EGC40" s="344"/>
      <c r="EGD40" s="344"/>
      <c r="EGE40" s="344"/>
      <c r="EGF40" s="344"/>
      <c r="EGG40" s="344"/>
      <c r="EGH40" s="344"/>
      <c r="EGI40" s="344"/>
      <c r="EGJ40" s="344"/>
      <c r="EGK40" s="344"/>
      <c r="EGL40" s="344"/>
      <c r="EGM40" s="344"/>
      <c r="EGN40" s="344"/>
      <c r="EGO40" s="344"/>
      <c r="EGP40" s="344"/>
      <c r="EGQ40" s="344"/>
      <c r="EGR40" s="344"/>
      <c r="EGS40" s="344"/>
      <c r="EGT40" s="344"/>
      <c r="EGU40" s="344"/>
      <c r="EGV40" s="344"/>
      <c r="EGW40" s="344"/>
      <c r="EGX40" s="344"/>
      <c r="EGY40" s="344"/>
      <c r="EGZ40" s="344"/>
      <c r="EHA40" s="344"/>
      <c r="EHB40" s="344"/>
      <c r="EHC40" s="344"/>
      <c r="EHD40" s="344"/>
      <c r="EHE40" s="344"/>
      <c r="EHF40" s="344"/>
      <c r="EHG40" s="344"/>
      <c r="EHH40" s="344"/>
      <c r="EHI40" s="344"/>
      <c r="EHJ40" s="344"/>
      <c r="EHK40" s="344"/>
      <c r="EHL40" s="344"/>
      <c r="EHM40" s="344"/>
      <c r="EHN40" s="344"/>
      <c r="EHO40" s="344"/>
      <c r="EHP40" s="344"/>
      <c r="EHQ40" s="344"/>
      <c r="EHR40" s="344"/>
      <c r="EHS40" s="344"/>
      <c r="EHT40" s="344"/>
      <c r="EHU40" s="344"/>
      <c r="EHV40" s="344"/>
      <c r="EHW40" s="344"/>
      <c r="EHX40" s="344"/>
      <c r="EHY40" s="344"/>
      <c r="EHZ40" s="344"/>
      <c r="EIA40" s="344"/>
      <c r="EIB40" s="344"/>
      <c r="EIC40" s="344"/>
      <c r="EID40" s="344"/>
      <c r="EIE40" s="344"/>
      <c r="EIF40" s="344"/>
      <c r="EIG40" s="344"/>
      <c r="EIH40" s="344"/>
      <c r="EII40" s="344"/>
      <c r="EIJ40" s="344"/>
      <c r="EIK40" s="344"/>
      <c r="EIL40" s="344"/>
      <c r="EIM40" s="344"/>
      <c r="EIN40" s="344"/>
      <c r="EIO40" s="344"/>
      <c r="EIP40" s="344"/>
      <c r="EIQ40" s="344"/>
      <c r="EIR40" s="344"/>
      <c r="EIS40" s="344"/>
      <c r="EIT40" s="344"/>
      <c r="EIU40" s="344"/>
      <c r="EIV40" s="344"/>
      <c r="EIW40" s="344"/>
      <c r="EIX40" s="344"/>
      <c r="EIY40" s="344"/>
      <c r="EIZ40" s="344"/>
      <c r="EJA40" s="344"/>
      <c r="EJB40" s="344"/>
      <c r="EJC40" s="344"/>
      <c r="EJD40" s="344"/>
      <c r="EJE40" s="344"/>
      <c r="EJF40" s="344"/>
      <c r="EJG40" s="344"/>
      <c r="EJH40" s="344"/>
      <c r="EJI40" s="344"/>
      <c r="EJJ40" s="344"/>
      <c r="EJK40" s="344"/>
      <c r="EJL40" s="344"/>
      <c r="EJM40" s="344"/>
      <c r="EJN40" s="344"/>
      <c r="EJO40" s="344"/>
      <c r="EJP40" s="344"/>
      <c r="EJQ40" s="344"/>
      <c r="EJR40" s="344"/>
      <c r="EJS40" s="344"/>
      <c r="EJT40" s="344"/>
      <c r="EJU40" s="344"/>
      <c r="EJV40" s="344"/>
      <c r="EJW40" s="344"/>
      <c r="EJX40" s="344"/>
      <c r="EJY40" s="344"/>
      <c r="EJZ40" s="344"/>
      <c r="EKA40" s="344"/>
      <c r="EKB40" s="344"/>
      <c r="EKC40" s="344"/>
      <c r="EKD40" s="344"/>
      <c r="EKE40" s="344"/>
      <c r="EKF40" s="344"/>
      <c r="EKG40" s="344"/>
      <c r="EKH40" s="344"/>
      <c r="EKI40" s="344"/>
      <c r="EKJ40" s="344"/>
      <c r="EKK40" s="344"/>
      <c r="EKL40" s="344"/>
      <c r="EKM40" s="344"/>
      <c r="EKN40" s="344"/>
      <c r="EKO40" s="344"/>
      <c r="EKP40" s="344"/>
      <c r="EKQ40" s="344"/>
      <c r="EKR40" s="344"/>
      <c r="EKS40" s="344"/>
      <c r="EKT40" s="344"/>
      <c r="EKU40" s="344"/>
      <c r="EKV40" s="344"/>
      <c r="EKW40" s="344"/>
      <c r="EKX40" s="344"/>
      <c r="EKY40" s="344"/>
      <c r="EKZ40" s="344"/>
      <c r="ELA40" s="344"/>
      <c r="ELB40" s="344"/>
      <c r="ELC40" s="344"/>
      <c r="ELD40" s="344"/>
      <c r="ELE40" s="344"/>
      <c r="ELF40" s="344"/>
      <c r="ELG40" s="344"/>
      <c r="ELH40" s="344"/>
      <c r="ELI40" s="344"/>
      <c r="ELJ40" s="344"/>
      <c r="ELK40" s="344"/>
      <c r="ELL40" s="344"/>
      <c r="ELM40" s="344"/>
      <c r="ELN40" s="344"/>
      <c r="ELO40" s="344"/>
      <c r="ELP40" s="344"/>
      <c r="ELQ40" s="344"/>
      <c r="ELR40" s="344"/>
      <c r="ELS40" s="344"/>
      <c r="ELT40" s="344"/>
      <c r="ELU40" s="344"/>
      <c r="ELV40" s="344"/>
      <c r="ELW40" s="344"/>
      <c r="ELX40" s="344"/>
      <c r="ELY40" s="344"/>
      <c r="ELZ40" s="344"/>
      <c r="EMA40" s="344"/>
      <c r="EMB40" s="344"/>
      <c r="EMC40" s="344"/>
      <c r="EMD40" s="344"/>
      <c r="EME40" s="344"/>
      <c r="EMF40" s="344"/>
      <c r="EMG40" s="344"/>
      <c r="EMH40" s="344"/>
      <c r="EMI40" s="344"/>
      <c r="EMJ40" s="344"/>
      <c r="EMK40" s="344"/>
      <c r="EML40" s="344"/>
      <c r="EMM40" s="344"/>
      <c r="EMN40" s="344"/>
      <c r="EMO40" s="344"/>
      <c r="EMP40" s="344"/>
      <c r="EMQ40" s="344"/>
      <c r="EMR40" s="344"/>
      <c r="EMS40" s="344"/>
      <c r="EMT40" s="344"/>
      <c r="EMU40" s="344"/>
      <c r="EMV40" s="344"/>
      <c r="EMW40" s="344"/>
      <c r="EMX40" s="344"/>
      <c r="EMY40" s="344"/>
      <c r="EMZ40" s="344"/>
      <c r="ENA40" s="344"/>
      <c r="ENB40" s="344"/>
      <c r="ENC40" s="344"/>
      <c r="END40" s="344"/>
      <c r="ENE40" s="344"/>
      <c r="ENF40" s="344"/>
      <c r="ENG40" s="344"/>
      <c r="ENH40" s="344"/>
      <c r="ENI40" s="344"/>
      <c r="ENJ40" s="344"/>
      <c r="ENK40" s="344"/>
      <c r="ENL40" s="344"/>
      <c r="ENM40" s="344"/>
      <c r="ENN40" s="344"/>
      <c r="ENO40" s="344"/>
      <c r="ENP40" s="344"/>
      <c r="ENQ40" s="344"/>
      <c r="ENR40" s="344"/>
      <c r="ENS40" s="344"/>
      <c r="ENT40" s="344"/>
      <c r="ENU40" s="344"/>
      <c r="ENV40" s="344"/>
      <c r="ENW40" s="344"/>
      <c r="ENX40" s="344"/>
      <c r="ENY40" s="344"/>
      <c r="ENZ40" s="344"/>
      <c r="EOA40" s="344"/>
      <c r="EOB40" s="344"/>
      <c r="EOC40" s="344"/>
      <c r="EOD40" s="344"/>
      <c r="EOE40" s="344"/>
      <c r="EOF40" s="344"/>
      <c r="EOG40" s="344"/>
      <c r="EOH40" s="344"/>
      <c r="EOI40" s="344"/>
      <c r="EOJ40" s="344"/>
      <c r="EOK40" s="344"/>
      <c r="EOL40" s="344"/>
      <c r="EOM40" s="344"/>
      <c r="EON40" s="344"/>
      <c r="EOO40" s="344"/>
      <c r="EOP40" s="344"/>
      <c r="EOQ40" s="344"/>
      <c r="EOR40" s="344"/>
      <c r="EOS40" s="344"/>
      <c r="EOT40" s="344"/>
      <c r="EOU40" s="344"/>
      <c r="EOV40" s="344"/>
      <c r="EOW40" s="344"/>
      <c r="EOX40" s="344"/>
      <c r="EOY40" s="344"/>
      <c r="EOZ40" s="344"/>
      <c r="EPA40" s="344"/>
      <c r="EPB40" s="344"/>
      <c r="EPC40" s="344"/>
      <c r="EPD40" s="344"/>
      <c r="EPE40" s="344"/>
      <c r="EPF40" s="344"/>
      <c r="EPG40" s="344"/>
      <c r="EPH40" s="344"/>
      <c r="EPI40" s="344"/>
      <c r="EPJ40" s="344"/>
      <c r="EPK40" s="344"/>
      <c r="EPL40" s="344"/>
      <c r="EPM40" s="344"/>
      <c r="EPN40" s="344"/>
      <c r="EPO40" s="344"/>
      <c r="EPP40" s="344"/>
      <c r="EPQ40" s="344"/>
      <c r="EPR40" s="344"/>
      <c r="EPS40" s="344"/>
      <c r="EPT40" s="344"/>
      <c r="EPU40" s="344"/>
      <c r="EPV40" s="344"/>
      <c r="EPW40" s="344"/>
      <c r="EPX40" s="344"/>
      <c r="EPY40" s="344"/>
      <c r="EPZ40" s="344"/>
      <c r="EQA40" s="344"/>
      <c r="EQB40" s="344"/>
      <c r="EQC40" s="344"/>
      <c r="EQD40" s="344"/>
      <c r="EQE40" s="344"/>
      <c r="EQF40" s="344"/>
      <c r="EQG40" s="344"/>
      <c r="EQH40" s="344"/>
      <c r="EQI40" s="344"/>
      <c r="EQJ40" s="344"/>
      <c r="EQK40" s="344"/>
      <c r="EQL40" s="344"/>
      <c r="EQM40" s="344"/>
      <c r="EQN40" s="344"/>
      <c r="EQO40" s="344"/>
      <c r="EQP40" s="344"/>
      <c r="EQQ40" s="344"/>
      <c r="EQR40" s="344"/>
      <c r="EQS40" s="344"/>
      <c r="EQT40" s="344"/>
      <c r="EQU40" s="344"/>
      <c r="EQV40" s="344"/>
      <c r="EQW40" s="344"/>
      <c r="EQX40" s="344"/>
      <c r="EQY40" s="344"/>
      <c r="EQZ40" s="344"/>
      <c r="ERA40" s="344"/>
      <c r="ERB40" s="344"/>
      <c r="ERC40" s="344"/>
      <c r="ERD40" s="344"/>
      <c r="ERE40" s="344"/>
      <c r="ERF40" s="344"/>
      <c r="ERG40" s="344"/>
      <c r="ERH40" s="344"/>
      <c r="ERI40" s="344"/>
      <c r="ERJ40" s="344"/>
      <c r="ERK40" s="344"/>
      <c r="ERL40" s="344"/>
      <c r="ERM40" s="344"/>
      <c r="ERN40" s="344"/>
      <c r="ERO40" s="344"/>
      <c r="ERP40" s="344"/>
      <c r="ERQ40" s="344"/>
      <c r="ERR40" s="344"/>
      <c r="ERS40" s="344"/>
      <c r="ERT40" s="344"/>
      <c r="ERU40" s="344"/>
      <c r="ERV40" s="344"/>
      <c r="ERW40" s="344"/>
      <c r="ERX40" s="344"/>
      <c r="ERY40" s="344"/>
      <c r="ERZ40" s="344"/>
      <c r="ESA40" s="344"/>
      <c r="ESB40" s="344"/>
      <c r="ESC40" s="344"/>
      <c r="ESD40" s="344"/>
      <c r="ESE40" s="344"/>
      <c r="ESF40" s="344"/>
      <c r="ESG40" s="344"/>
      <c r="ESH40" s="344"/>
      <c r="ESI40" s="344"/>
      <c r="ESJ40" s="344"/>
      <c r="ESK40" s="344"/>
      <c r="ESL40" s="344"/>
      <c r="ESM40" s="344"/>
      <c r="ESN40" s="344"/>
      <c r="ESO40" s="344"/>
      <c r="ESP40" s="344"/>
      <c r="ESQ40" s="344"/>
      <c r="ESR40" s="344"/>
      <c r="ESS40" s="344"/>
      <c r="EST40" s="344"/>
      <c r="ESU40" s="344"/>
      <c r="ESV40" s="344"/>
      <c r="ESW40" s="344"/>
      <c r="ESX40" s="344"/>
      <c r="ESY40" s="344"/>
      <c r="ESZ40" s="344"/>
      <c r="ETA40" s="344"/>
      <c r="ETB40" s="344"/>
      <c r="ETC40" s="344"/>
      <c r="ETD40" s="344"/>
      <c r="ETE40" s="344"/>
      <c r="ETF40" s="344"/>
      <c r="ETG40" s="344"/>
      <c r="ETH40" s="344"/>
      <c r="ETI40" s="344"/>
      <c r="ETJ40" s="344"/>
      <c r="ETK40" s="344"/>
      <c r="ETL40" s="344"/>
      <c r="ETM40" s="344"/>
      <c r="ETN40" s="344"/>
      <c r="ETO40" s="344"/>
      <c r="ETP40" s="344"/>
      <c r="ETQ40" s="344"/>
      <c r="ETR40" s="344"/>
      <c r="ETS40" s="344"/>
      <c r="ETT40" s="344"/>
      <c r="ETU40" s="344"/>
      <c r="ETV40" s="344"/>
      <c r="ETW40" s="344"/>
      <c r="ETX40" s="344"/>
      <c r="ETY40" s="344"/>
      <c r="ETZ40" s="344"/>
      <c r="EUA40" s="344"/>
      <c r="EUB40" s="344"/>
      <c r="EUC40" s="344"/>
      <c r="EUD40" s="344"/>
      <c r="EUE40" s="344"/>
      <c r="EUF40" s="344"/>
      <c r="EUG40" s="344"/>
      <c r="EUH40" s="344"/>
      <c r="EUI40" s="344"/>
      <c r="EUJ40" s="344"/>
      <c r="EUK40" s="344"/>
      <c r="EUL40" s="344"/>
      <c r="EUM40" s="344"/>
      <c r="EUN40" s="344"/>
      <c r="EUO40" s="344"/>
      <c r="EUP40" s="344"/>
      <c r="EUQ40" s="344"/>
      <c r="EUR40" s="344"/>
      <c r="EUS40" s="344"/>
      <c r="EUT40" s="344"/>
      <c r="EUU40" s="344"/>
      <c r="EUV40" s="344"/>
      <c r="EUW40" s="344"/>
      <c r="EUX40" s="344"/>
      <c r="EUY40" s="344"/>
      <c r="EUZ40" s="344"/>
      <c r="EVA40" s="344"/>
      <c r="EVB40" s="344"/>
      <c r="EVC40" s="344"/>
      <c r="EVD40" s="344"/>
      <c r="EVE40" s="344"/>
      <c r="EVF40" s="344"/>
      <c r="EVG40" s="344"/>
      <c r="EVH40" s="344"/>
      <c r="EVI40" s="344"/>
      <c r="EVJ40" s="344"/>
      <c r="EVK40" s="344"/>
      <c r="EVL40" s="344"/>
      <c r="EVM40" s="344"/>
      <c r="EVN40" s="344"/>
      <c r="EVO40" s="344"/>
      <c r="EVP40" s="344"/>
      <c r="EVQ40" s="344"/>
      <c r="EVR40" s="344"/>
      <c r="EVS40" s="344"/>
      <c r="EVT40" s="344"/>
      <c r="EVU40" s="344"/>
      <c r="EVV40" s="344"/>
      <c r="EVW40" s="344"/>
      <c r="EVX40" s="344"/>
      <c r="EVY40" s="344"/>
      <c r="EVZ40" s="344"/>
      <c r="EWA40" s="344"/>
      <c r="EWB40" s="344"/>
      <c r="EWC40" s="344"/>
      <c r="EWD40" s="344"/>
      <c r="EWE40" s="344"/>
      <c r="EWF40" s="344"/>
      <c r="EWG40" s="344"/>
      <c r="EWH40" s="344"/>
      <c r="EWI40" s="344"/>
      <c r="EWJ40" s="344"/>
      <c r="EWK40" s="344"/>
      <c r="EWL40" s="344"/>
      <c r="EWM40" s="344"/>
      <c r="EWN40" s="344"/>
      <c r="EWO40" s="344"/>
      <c r="EWP40" s="344"/>
      <c r="EWQ40" s="344"/>
      <c r="EWR40" s="344"/>
      <c r="EWS40" s="344"/>
      <c r="EWT40" s="344"/>
      <c r="EWU40" s="344"/>
      <c r="EWV40" s="344"/>
      <c r="EWW40" s="344"/>
      <c r="EWX40" s="344"/>
      <c r="EWY40" s="344"/>
      <c r="EWZ40" s="344"/>
      <c r="EXA40" s="344"/>
      <c r="EXB40" s="344"/>
      <c r="EXC40" s="344"/>
      <c r="EXD40" s="344"/>
      <c r="EXE40" s="344"/>
      <c r="EXF40" s="344"/>
      <c r="EXG40" s="344"/>
      <c r="EXH40" s="344"/>
      <c r="EXI40" s="344"/>
      <c r="EXJ40" s="344"/>
      <c r="EXK40" s="344"/>
      <c r="EXL40" s="344"/>
      <c r="EXM40" s="344"/>
      <c r="EXN40" s="344"/>
      <c r="EXO40" s="344"/>
      <c r="EXP40" s="344"/>
      <c r="EXQ40" s="344"/>
      <c r="EXR40" s="344"/>
      <c r="EXS40" s="344"/>
      <c r="EXT40" s="344"/>
      <c r="EXU40" s="344"/>
      <c r="EXV40" s="344"/>
      <c r="EXW40" s="344"/>
      <c r="EXX40" s="344"/>
      <c r="EXY40" s="344"/>
      <c r="EXZ40" s="344"/>
      <c r="EYA40" s="344"/>
      <c r="EYB40" s="344"/>
      <c r="EYC40" s="344"/>
      <c r="EYD40" s="344"/>
      <c r="EYE40" s="344"/>
      <c r="EYF40" s="344"/>
      <c r="EYG40" s="344"/>
      <c r="EYH40" s="344"/>
      <c r="EYI40" s="344"/>
      <c r="EYJ40" s="344"/>
      <c r="EYK40" s="344"/>
      <c r="EYL40" s="344"/>
      <c r="EYM40" s="344"/>
      <c r="EYN40" s="344"/>
      <c r="EYO40" s="344"/>
      <c r="EYP40" s="344"/>
      <c r="EYQ40" s="344"/>
      <c r="EYR40" s="344"/>
      <c r="EYS40" s="344"/>
      <c r="EYT40" s="344"/>
      <c r="EYU40" s="344"/>
      <c r="EYV40" s="344"/>
      <c r="EYW40" s="344"/>
      <c r="EYX40" s="344"/>
      <c r="EYY40" s="344"/>
      <c r="EYZ40" s="344"/>
      <c r="EZA40" s="344"/>
      <c r="EZB40" s="344"/>
      <c r="EZC40" s="344"/>
      <c r="EZD40" s="344"/>
      <c r="EZE40" s="344"/>
      <c r="EZF40" s="344"/>
      <c r="EZG40" s="344"/>
      <c r="EZH40" s="344"/>
      <c r="EZI40" s="344"/>
      <c r="EZJ40" s="344"/>
      <c r="EZK40" s="344"/>
      <c r="EZL40" s="344"/>
      <c r="EZM40" s="344"/>
      <c r="EZN40" s="344"/>
      <c r="EZO40" s="344"/>
      <c r="EZP40" s="344"/>
      <c r="EZQ40" s="344"/>
      <c r="EZR40" s="344"/>
      <c r="EZS40" s="344"/>
      <c r="EZT40" s="344"/>
      <c r="EZU40" s="344"/>
      <c r="EZV40" s="344"/>
      <c r="EZW40" s="344"/>
      <c r="EZX40" s="344"/>
      <c r="EZY40" s="344"/>
      <c r="EZZ40" s="344"/>
      <c r="FAA40" s="344"/>
      <c r="FAB40" s="344"/>
      <c r="FAC40" s="344"/>
      <c r="FAD40" s="344"/>
      <c r="FAE40" s="344"/>
      <c r="FAF40" s="344"/>
      <c r="FAG40" s="344"/>
      <c r="FAH40" s="344"/>
      <c r="FAI40" s="344"/>
      <c r="FAJ40" s="344"/>
      <c r="FAK40" s="344"/>
      <c r="FAL40" s="344"/>
      <c r="FAM40" s="344"/>
      <c r="FAN40" s="344"/>
      <c r="FAO40" s="344"/>
      <c r="FAP40" s="344"/>
      <c r="FAQ40" s="344"/>
      <c r="FAR40" s="344"/>
      <c r="FAS40" s="344"/>
      <c r="FAT40" s="344"/>
      <c r="FAU40" s="344"/>
      <c r="FAV40" s="344"/>
      <c r="FAW40" s="344"/>
      <c r="FAX40" s="344"/>
      <c r="FAY40" s="344"/>
      <c r="FAZ40" s="344"/>
      <c r="FBA40" s="344"/>
      <c r="FBB40" s="344"/>
      <c r="FBC40" s="344"/>
      <c r="FBD40" s="344"/>
      <c r="FBE40" s="344"/>
      <c r="FBF40" s="344"/>
      <c r="FBG40" s="344"/>
      <c r="FBH40" s="344"/>
      <c r="FBI40" s="344"/>
      <c r="FBJ40" s="344"/>
      <c r="FBK40" s="344"/>
      <c r="FBL40" s="344"/>
      <c r="FBM40" s="344"/>
      <c r="FBN40" s="344"/>
      <c r="FBO40" s="344"/>
      <c r="FBP40" s="344"/>
      <c r="FBQ40" s="344"/>
      <c r="FBR40" s="344"/>
      <c r="FBS40" s="344"/>
      <c r="FBT40" s="344"/>
      <c r="FBU40" s="344"/>
      <c r="FBV40" s="344"/>
      <c r="FBW40" s="344"/>
      <c r="FBX40" s="344"/>
      <c r="FBY40" s="344"/>
      <c r="FBZ40" s="344"/>
      <c r="FCA40" s="344"/>
      <c r="FCB40" s="344"/>
      <c r="FCC40" s="344"/>
      <c r="FCD40" s="344"/>
      <c r="FCE40" s="344"/>
      <c r="FCF40" s="344"/>
      <c r="FCG40" s="344"/>
      <c r="FCH40" s="344"/>
      <c r="FCI40" s="344"/>
      <c r="FCJ40" s="344"/>
      <c r="FCK40" s="344"/>
      <c r="FCL40" s="344"/>
      <c r="FCM40" s="344"/>
      <c r="FCN40" s="344"/>
      <c r="FCO40" s="344"/>
      <c r="FCP40" s="344"/>
      <c r="FCQ40" s="344"/>
      <c r="FCR40" s="344"/>
      <c r="FCS40" s="344"/>
      <c r="FCT40" s="344"/>
      <c r="FCU40" s="344"/>
      <c r="FCV40" s="344"/>
      <c r="FCW40" s="344"/>
      <c r="FCX40" s="344"/>
      <c r="FCY40" s="344"/>
      <c r="FCZ40" s="344"/>
      <c r="FDA40" s="344"/>
      <c r="FDB40" s="344"/>
      <c r="FDC40" s="344"/>
      <c r="FDD40" s="344"/>
      <c r="FDE40" s="344"/>
      <c r="FDF40" s="344"/>
      <c r="FDG40" s="344"/>
      <c r="FDH40" s="344"/>
      <c r="FDI40" s="344"/>
      <c r="FDJ40" s="344"/>
      <c r="FDK40" s="344"/>
      <c r="FDL40" s="344"/>
      <c r="FDM40" s="344"/>
      <c r="FDN40" s="344"/>
      <c r="FDO40" s="344"/>
      <c r="FDP40" s="344"/>
      <c r="FDQ40" s="344"/>
      <c r="FDR40" s="344"/>
      <c r="FDS40" s="344"/>
      <c r="FDT40" s="344"/>
      <c r="FDU40" s="344"/>
      <c r="FDV40" s="344"/>
      <c r="FDW40" s="344"/>
      <c r="FDX40" s="344"/>
      <c r="FDY40" s="344"/>
      <c r="FDZ40" s="344"/>
      <c r="FEA40" s="344"/>
      <c r="FEB40" s="344"/>
      <c r="FEC40" s="344"/>
      <c r="FED40" s="344"/>
      <c r="FEE40" s="344"/>
      <c r="FEF40" s="344"/>
      <c r="FEG40" s="344"/>
      <c r="FEH40" s="344"/>
      <c r="FEI40" s="344"/>
      <c r="FEJ40" s="344"/>
      <c r="FEK40" s="344"/>
      <c r="FEL40" s="344"/>
      <c r="FEM40" s="344"/>
      <c r="FEN40" s="344"/>
      <c r="FEO40" s="344"/>
      <c r="FEP40" s="344"/>
      <c r="FEQ40" s="344"/>
      <c r="FER40" s="344"/>
      <c r="FES40" s="344"/>
      <c r="FET40" s="344"/>
      <c r="FEU40" s="344"/>
      <c r="FEV40" s="344"/>
      <c r="FEW40" s="344"/>
      <c r="FEX40" s="344"/>
      <c r="FEY40" s="344"/>
      <c r="FEZ40" s="344"/>
      <c r="FFA40" s="344"/>
      <c r="FFB40" s="344"/>
      <c r="FFC40" s="344"/>
      <c r="FFD40" s="344"/>
      <c r="FFE40" s="344"/>
      <c r="FFF40" s="344"/>
      <c r="FFG40" s="344"/>
      <c r="FFH40" s="344"/>
      <c r="FFI40" s="344"/>
      <c r="FFJ40" s="344"/>
      <c r="FFK40" s="344"/>
      <c r="FFL40" s="344"/>
      <c r="FFM40" s="344"/>
      <c r="FFN40" s="344"/>
      <c r="FFO40" s="344"/>
      <c r="FFP40" s="344"/>
      <c r="FFQ40" s="344"/>
      <c r="FFR40" s="344"/>
      <c r="FFS40" s="344"/>
      <c r="FFT40" s="344"/>
      <c r="FFU40" s="344"/>
      <c r="FFV40" s="344"/>
      <c r="FFW40" s="344"/>
      <c r="FFX40" s="344"/>
      <c r="FFY40" s="344"/>
      <c r="FFZ40" s="344"/>
      <c r="FGA40" s="344"/>
      <c r="FGB40" s="344"/>
      <c r="FGC40" s="344"/>
      <c r="FGD40" s="344"/>
      <c r="FGE40" s="344"/>
      <c r="FGF40" s="344"/>
      <c r="FGG40" s="344"/>
      <c r="FGH40" s="344"/>
      <c r="FGI40" s="344"/>
      <c r="FGJ40" s="344"/>
      <c r="FGK40" s="344"/>
      <c r="FGL40" s="344"/>
      <c r="FGM40" s="344"/>
      <c r="FGN40" s="344"/>
      <c r="FGO40" s="344"/>
      <c r="FGP40" s="344"/>
      <c r="FGQ40" s="344"/>
      <c r="FGR40" s="344"/>
      <c r="FGS40" s="344"/>
      <c r="FGT40" s="344"/>
      <c r="FGU40" s="344"/>
      <c r="FGV40" s="344"/>
      <c r="FGW40" s="344"/>
      <c r="FGX40" s="344"/>
      <c r="FGY40" s="344"/>
      <c r="FGZ40" s="344"/>
      <c r="FHA40" s="344"/>
      <c r="FHB40" s="344"/>
      <c r="FHC40" s="344"/>
      <c r="FHD40" s="344"/>
      <c r="FHE40" s="344"/>
      <c r="FHF40" s="344"/>
      <c r="FHG40" s="344"/>
      <c r="FHH40" s="344"/>
      <c r="FHI40" s="344"/>
      <c r="FHJ40" s="344"/>
      <c r="FHK40" s="344"/>
      <c r="FHL40" s="344"/>
      <c r="FHM40" s="344"/>
      <c r="FHN40" s="344"/>
      <c r="FHO40" s="344"/>
      <c r="FHP40" s="344"/>
      <c r="FHQ40" s="344"/>
      <c r="FHR40" s="344"/>
      <c r="FHS40" s="344"/>
      <c r="FHT40" s="344"/>
      <c r="FHU40" s="344"/>
      <c r="FHV40" s="344"/>
      <c r="FHW40" s="344"/>
      <c r="FHX40" s="344"/>
      <c r="FHY40" s="344"/>
      <c r="FHZ40" s="344"/>
      <c r="FIA40" s="344"/>
      <c r="FIB40" s="344"/>
      <c r="FIC40" s="344"/>
      <c r="FID40" s="344"/>
      <c r="FIE40" s="344"/>
      <c r="FIF40" s="344"/>
      <c r="FIG40" s="344"/>
      <c r="FIH40" s="344"/>
      <c r="FII40" s="344"/>
      <c r="FIJ40" s="344"/>
      <c r="FIK40" s="344"/>
      <c r="FIL40" s="344"/>
      <c r="FIM40" s="344"/>
      <c r="FIN40" s="344"/>
      <c r="FIO40" s="344"/>
      <c r="FIP40" s="344"/>
      <c r="FIQ40" s="344"/>
      <c r="FIR40" s="344"/>
      <c r="FIS40" s="344"/>
      <c r="FIT40" s="344"/>
      <c r="FIU40" s="344"/>
      <c r="FIV40" s="344"/>
      <c r="FIW40" s="344"/>
      <c r="FIX40" s="344"/>
      <c r="FIY40" s="344"/>
      <c r="FIZ40" s="344"/>
      <c r="FJA40" s="344"/>
      <c r="FJB40" s="344"/>
      <c r="FJC40" s="344"/>
      <c r="FJD40" s="344"/>
      <c r="FJE40" s="344"/>
      <c r="FJF40" s="344"/>
      <c r="FJG40" s="344"/>
      <c r="FJH40" s="344"/>
      <c r="FJI40" s="344"/>
      <c r="FJJ40" s="344"/>
      <c r="FJK40" s="344"/>
      <c r="FJL40" s="344"/>
      <c r="FJM40" s="344"/>
      <c r="FJN40" s="344"/>
      <c r="FJO40" s="344"/>
      <c r="FJP40" s="344"/>
      <c r="FJQ40" s="344"/>
      <c r="FJR40" s="344"/>
      <c r="FJS40" s="344"/>
      <c r="FJT40" s="344"/>
      <c r="FJU40" s="344"/>
      <c r="FJV40" s="344"/>
      <c r="FJW40" s="344"/>
      <c r="FJX40" s="344"/>
      <c r="FJY40" s="344"/>
      <c r="FJZ40" s="344"/>
      <c r="FKA40" s="344"/>
      <c r="FKB40" s="344"/>
      <c r="FKC40" s="344"/>
      <c r="FKD40" s="344"/>
      <c r="FKE40" s="344"/>
      <c r="FKF40" s="344"/>
      <c r="FKG40" s="344"/>
      <c r="FKH40" s="344"/>
      <c r="FKI40" s="344"/>
      <c r="FKJ40" s="344"/>
      <c r="FKK40" s="344"/>
      <c r="FKL40" s="344"/>
      <c r="FKM40" s="344"/>
      <c r="FKN40" s="344"/>
      <c r="FKO40" s="344"/>
      <c r="FKP40" s="344"/>
      <c r="FKQ40" s="344"/>
      <c r="FKR40" s="344"/>
      <c r="FKS40" s="344"/>
      <c r="FKT40" s="344"/>
      <c r="FKU40" s="344"/>
      <c r="FKV40" s="344"/>
      <c r="FKW40" s="344"/>
      <c r="FKX40" s="344"/>
      <c r="FKY40" s="344"/>
      <c r="FKZ40" s="344"/>
      <c r="FLA40" s="344"/>
      <c r="FLB40" s="344"/>
      <c r="FLC40" s="344"/>
      <c r="FLD40" s="344"/>
      <c r="FLE40" s="344"/>
      <c r="FLF40" s="344"/>
      <c r="FLG40" s="344"/>
      <c r="FLH40" s="344"/>
      <c r="FLI40" s="344"/>
      <c r="FLJ40" s="344"/>
      <c r="FLK40" s="344"/>
      <c r="FLL40" s="344"/>
      <c r="FLM40" s="344"/>
      <c r="FLN40" s="344"/>
      <c r="FLO40" s="344"/>
      <c r="FLP40" s="344"/>
      <c r="FLQ40" s="344"/>
      <c r="FLR40" s="344"/>
      <c r="FLS40" s="344"/>
      <c r="FLT40" s="344"/>
      <c r="FLU40" s="344"/>
      <c r="FLV40" s="344"/>
      <c r="FLW40" s="344"/>
      <c r="FLX40" s="344"/>
      <c r="FLY40" s="344"/>
      <c r="FLZ40" s="344"/>
      <c r="FMA40" s="344"/>
      <c r="FMB40" s="344"/>
      <c r="FMC40" s="344"/>
      <c r="FMD40" s="344"/>
      <c r="FME40" s="344"/>
      <c r="FMF40" s="344"/>
      <c r="FMG40" s="344"/>
      <c r="FMH40" s="344"/>
      <c r="FMI40" s="344"/>
      <c r="FMJ40" s="344"/>
      <c r="FMK40" s="344"/>
      <c r="FML40" s="344"/>
      <c r="FMM40" s="344"/>
      <c r="FMN40" s="344"/>
      <c r="FMO40" s="344"/>
      <c r="FMP40" s="344"/>
      <c r="FMQ40" s="344"/>
      <c r="FMR40" s="344"/>
      <c r="FMS40" s="344"/>
      <c r="FMT40" s="344"/>
      <c r="FMU40" s="344"/>
      <c r="FMV40" s="344"/>
      <c r="FMW40" s="344"/>
      <c r="FMX40" s="344"/>
      <c r="FMY40" s="344"/>
      <c r="FMZ40" s="344"/>
      <c r="FNA40" s="344"/>
      <c r="FNB40" s="344"/>
      <c r="FNC40" s="344"/>
      <c r="FND40" s="344"/>
      <c r="FNE40" s="344"/>
      <c r="FNF40" s="344"/>
      <c r="FNG40" s="344"/>
      <c r="FNH40" s="344"/>
      <c r="FNI40" s="344"/>
      <c r="FNJ40" s="344"/>
      <c r="FNK40" s="344"/>
      <c r="FNL40" s="344"/>
      <c r="FNM40" s="344"/>
      <c r="FNN40" s="344"/>
      <c r="FNO40" s="344"/>
      <c r="FNP40" s="344"/>
      <c r="FNQ40" s="344"/>
      <c r="FNR40" s="344"/>
      <c r="FNS40" s="344"/>
      <c r="FNT40" s="344"/>
      <c r="FNU40" s="344"/>
      <c r="FNV40" s="344"/>
      <c r="FNW40" s="344"/>
      <c r="FNX40" s="344"/>
      <c r="FNY40" s="344"/>
      <c r="FNZ40" s="344"/>
      <c r="FOA40" s="344"/>
      <c r="FOB40" s="344"/>
      <c r="FOC40" s="344"/>
      <c r="FOD40" s="344"/>
      <c r="FOE40" s="344"/>
      <c r="FOF40" s="344"/>
      <c r="FOG40" s="344"/>
      <c r="FOH40" s="344"/>
      <c r="FOI40" s="344"/>
      <c r="FOJ40" s="344"/>
      <c r="FOK40" s="344"/>
      <c r="FOL40" s="344"/>
      <c r="FOM40" s="344"/>
      <c r="FON40" s="344"/>
      <c r="FOO40" s="344"/>
      <c r="FOP40" s="344"/>
      <c r="FOQ40" s="344"/>
      <c r="FOR40" s="344"/>
      <c r="FOS40" s="344"/>
      <c r="FOT40" s="344"/>
      <c r="FOU40" s="344"/>
      <c r="FOV40" s="344"/>
      <c r="FOW40" s="344"/>
      <c r="FOX40" s="344"/>
      <c r="FOY40" s="344"/>
      <c r="FOZ40" s="344"/>
      <c r="FPA40" s="344"/>
      <c r="FPB40" s="344"/>
      <c r="FPC40" s="344"/>
      <c r="FPD40" s="344"/>
      <c r="FPE40" s="344"/>
      <c r="FPF40" s="344"/>
      <c r="FPG40" s="344"/>
      <c r="FPH40" s="344"/>
      <c r="FPI40" s="344"/>
      <c r="FPJ40" s="344"/>
      <c r="FPK40" s="344"/>
      <c r="FPL40" s="344"/>
      <c r="FPM40" s="344"/>
      <c r="FPN40" s="344"/>
      <c r="FPO40" s="344"/>
      <c r="FPP40" s="344"/>
      <c r="FPQ40" s="344"/>
      <c r="FPR40" s="344"/>
      <c r="FPS40" s="344"/>
      <c r="FPT40" s="344"/>
      <c r="FPU40" s="344"/>
      <c r="FPV40" s="344"/>
      <c r="FPW40" s="344"/>
      <c r="FPX40" s="344"/>
      <c r="FPY40" s="344"/>
      <c r="FPZ40" s="344"/>
      <c r="FQA40" s="344"/>
      <c r="FQB40" s="344"/>
      <c r="FQC40" s="344"/>
      <c r="FQD40" s="344"/>
      <c r="FQE40" s="344"/>
      <c r="FQF40" s="344"/>
      <c r="FQG40" s="344"/>
      <c r="FQH40" s="344"/>
      <c r="FQI40" s="344"/>
      <c r="FQJ40" s="344"/>
      <c r="FQK40" s="344"/>
      <c r="FQL40" s="344"/>
      <c r="FQM40" s="344"/>
      <c r="FQN40" s="344"/>
      <c r="FQO40" s="344"/>
      <c r="FQP40" s="344"/>
      <c r="FQQ40" s="344"/>
      <c r="FQR40" s="344"/>
      <c r="FQS40" s="344"/>
      <c r="FQT40" s="344"/>
      <c r="FQU40" s="344"/>
      <c r="FQV40" s="344"/>
      <c r="FQW40" s="344"/>
      <c r="FQX40" s="344"/>
      <c r="FQY40" s="344"/>
      <c r="FQZ40" s="344"/>
      <c r="FRA40" s="344"/>
      <c r="FRB40" s="344"/>
      <c r="FRC40" s="344"/>
      <c r="FRD40" s="344"/>
      <c r="FRE40" s="344"/>
      <c r="FRF40" s="344"/>
      <c r="FRG40" s="344"/>
      <c r="FRH40" s="344"/>
      <c r="FRI40" s="344"/>
      <c r="FRJ40" s="344"/>
      <c r="FRK40" s="344"/>
      <c r="FRL40" s="344"/>
      <c r="FRM40" s="344"/>
      <c r="FRN40" s="344"/>
      <c r="FRO40" s="344"/>
      <c r="FRP40" s="344"/>
      <c r="FRQ40" s="344"/>
      <c r="FRR40" s="344"/>
      <c r="FRS40" s="344"/>
      <c r="FRT40" s="344"/>
      <c r="FRU40" s="344"/>
      <c r="FRV40" s="344"/>
      <c r="FRW40" s="344"/>
      <c r="FRX40" s="344"/>
      <c r="FRY40" s="344"/>
      <c r="FRZ40" s="344"/>
      <c r="FSA40" s="344"/>
      <c r="FSB40" s="344"/>
      <c r="FSC40" s="344"/>
      <c r="FSD40" s="344"/>
      <c r="FSE40" s="344"/>
      <c r="FSF40" s="344"/>
      <c r="FSG40" s="344"/>
      <c r="FSH40" s="344"/>
      <c r="FSI40" s="344"/>
      <c r="FSJ40" s="344"/>
      <c r="FSK40" s="344"/>
      <c r="FSL40" s="344"/>
      <c r="FSM40" s="344"/>
      <c r="FSN40" s="344"/>
      <c r="FSO40" s="344"/>
      <c r="FSP40" s="344"/>
      <c r="FSQ40" s="344"/>
      <c r="FSR40" s="344"/>
      <c r="FSS40" s="344"/>
      <c r="FST40" s="344"/>
      <c r="FSU40" s="344"/>
      <c r="FSV40" s="344"/>
      <c r="FSW40" s="344"/>
      <c r="FSX40" s="344"/>
      <c r="FSY40" s="344"/>
      <c r="FSZ40" s="344"/>
      <c r="FTA40" s="344"/>
      <c r="FTB40" s="344"/>
      <c r="FTC40" s="344"/>
      <c r="FTD40" s="344"/>
      <c r="FTE40" s="344"/>
      <c r="FTF40" s="344"/>
      <c r="FTG40" s="344"/>
      <c r="FTH40" s="344"/>
      <c r="FTI40" s="344"/>
      <c r="FTJ40" s="344"/>
      <c r="FTK40" s="344"/>
      <c r="FTL40" s="344"/>
      <c r="FTM40" s="344"/>
      <c r="FTN40" s="344"/>
      <c r="FTO40" s="344"/>
      <c r="FTP40" s="344"/>
      <c r="FTQ40" s="344"/>
      <c r="FTR40" s="344"/>
      <c r="FTS40" s="344"/>
      <c r="FTT40" s="344"/>
      <c r="FTU40" s="344"/>
      <c r="FTV40" s="344"/>
      <c r="FTW40" s="344"/>
      <c r="FTX40" s="344"/>
      <c r="FTY40" s="344"/>
      <c r="FTZ40" s="344"/>
      <c r="FUA40" s="344"/>
      <c r="FUB40" s="344"/>
      <c r="FUC40" s="344"/>
      <c r="FUD40" s="344"/>
      <c r="FUE40" s="344"/>
      <c r="FUF40" s="344"/>
      <c r="FUG40" s="344"/>
      <c r="FUH40" s="344"/>
      <c r="FUI40" s="344"/>
      <c r="FUJ40" s="344"/>
      <c r="FUK40" s="344"/>
      <c r="FUL40" s="344"/>
      <c r="FUM40" s="344"/>
      <c r="FUN40" s="344"/>
      <c r="FUO40" s="344"/>
      <c r="FUP40" s="344"/>
      <c r="FUQ40" s="344"/>
      <c r="FUR40" s="344"/>
      <c r="FUS40" s="344"/>
      <c r="FUT40" s="344"/>
      <c r="FUU40" s="344"/>
      <c r="FUV40" s="344"/>
      <c r="FUW40" s="344"/>
      <c r="FUX40" s="344"/>
      <c r="FUY40" s="344"/>
      <c r="FUZ40" s="344"/>
      <c r="FVA40" s="344"/>
      <c r="FVB40" s="344"/>
      <c r="FVC40" s="344"/>
      <c r="FVD40" s="344"/>
      <c r="FVE40" s="344"/>
      <c r="FVF40" s="344"/>
      <c r="FVG40" s="344"/>
      <c r="FVH40" s="344"/>
      <c r="FVI40" s="344"/>
      <c r="FVJ40" s="344"/>
      <c r="FVK40" s="344"/>
      <c r="FVL40" s="344"/>
      <c r="FVM40" s="344"/>
      <c r="FVN40" s="344"/>
      <c r="FVO40" s="344"/>
      <c r="FVP40" s="344"/>
      <c r="FVQ40" s="344"/>
      <c r="FVR40" s="344"/>
      <c r="FVS40" s="344"/>
      <c r="FVT40" s="344"/>
      <c r="FVU40" s="344"/>
      <c r="FVV40" s="344"/>
      <c r="FVW40" s="344"/>
      <c r="FVX40" s="344"/>
      <c r="FVY40" s="344"/>
      <c r="FVZ40" s="344"/>
      <c r="FWA40" s="344"/>
      <c r="FWB40" s="344"/>
      <c r="FWC40" s="344"/>
      <c r="FWD40" s="344"/>
      <c r="FWE40" s="344"/>
      <c r="FWF40" s="344"/>
      <c r="FWG40" s="344"/>
      <c r="FWH40" s="344"/>
      <c r="FWI40" s="344"/>
      <c r="FWJ40" s="344"/>
      <c r="FWK40" s="344"/>
      <c r="FWL40" s="344"/>
      <c r="FWM40" s="344"/>
      <c r="FWN40" s="344"/>
      <c r="FWO40" s="344"/>
      <c r="FWP40" s="344"/>
      <c r="FWQ40" s="344"/>
      <c r="FWR40" s="344"/>
      <c r="FWS40" s="344"/>
      <c r="FWT40" s="344"/>
      <c r="FWU40" s="344"/>
      <c r="FWV40" s="344"/>
      <c r="FWW40" s="344"/>
      <c r="FWX40" s="344"/>
      <c r="FWY40" s="344"/>
      <c r="FWZ40" s="344"/>
      <c r="FXA40" s="344"/>
      <c r="FXB40" s="344"/>
      <c r="FXC40" s="344"/>
      <c r="FXD40" s="344"/>
      <c r="FXE40" s="344"/>
      <c r="FXF40" s="344"/>
      <c r="FXG40" s="344"/>
      <c r="FXH40" s="344"/>
      <c r="FXI40" s="344"/>
      <c r="FXJ40" s="344"/>
      <c r="FXK40" s="344"/>
      <c r="FXL40" s="344"/>
      <c r="FXM40" s="344"/>
      <c r="FXN40" s="344"/>
      <c r="FXO40" s="344"/>
      <c r="FXP40" s="344"/>
      <c r="FXQ40" s="344"/>
      <c r="FXR40" s="344"/>
      <c r="FXS40" s="344"/>
      <c r="FXT40" s="344"/>
      <c r="FXU40" s="344"/>
      <c r="FXV40" s="344"/>
      <c r="FXW40" s="344"/>
      <c r="FXX40" s="344"/>
      <c r="FXY40" s="344"/>
      <c r="FXZ40" s="344"/>
      <c r="FYA40" s="344"/>
      <c r="FYB40" s="344"/>
      <c r="FYC40" s="344"/>
      <c r="FYD40" s="344"/>
      <c r="FYE40" s="344"/>
      <c r="FYF40" s="344"/>
      <c r="FYG40" s="344"/>
      <c r="FYH40" s="344"/>
      <c r="FYI40" s="344"/>
      <c r="FYJ40" s="344"/>
      <c r="FYK40" s="344"/>
      <c r="FYL40" s="344"/>
      <c r="FYM40" s="344"/>
      <c r="FYN40" s="344"/>
      <c r="FYO40" s="344"/>
      <c r="FYP40" s="344"/>
      <c r="FYQ40" s="344"/>
      <c r="FYR40" s="344"/>
      <c r="FYS40" s="344"/>
      <c r="FYT40" s="344"/>
      <c r="FYU40" s="344"/>
      <c r="FYV40" s="344"/>
      <c r="FYW40" s="344"/>
      <c r="FYX40" s="344"/>
      <c r="FYY40" s="344"/>
      <c r="FYZ40" s="344"/>
      <c r="FZA40" s="344"/>
      <c r="FZB40" s="344"/>
      <c r="FZC40" s="344"/>
      <c r="FZD40" s="344"/>
      <c r="FZE40" s="344"/>
      <c r="FZF40" s="344"/>
      <c r="FZG40" s="344"/>
      <c r="FZH40" s="344"/>
      <c r="FZI40" s="344"/>
      <c r="FZJ40" s="344"/>
      <c r="FZK40" s="344"/>
      <c r="FZL40" s="344"/>
      <c r="FZM40" s="344"/>
      <c r="FZN40" s="344"/>
      <c r="FZO40" s="344"/>
      <c r="FZP40" s="344"/>
      <c r="FZQ40" s="344"/>
      <c r="FZR40" s="344"/>
      <c r="FZS40" s="344"/>
      <c r="FZT40" s="344"/>
      <c r="FZU40" s="344"/>
      <c r="FZV40" s="344"/>
      <c r="FZW40" s="344"/>
      <c r="FZX40" s="344"/>
      <c r="FZY40" s="344"/>
      <c r="FZZ40" s="344"/>
      <c r="GAA40" s="344"/>
      <c r="GAB40" s="344"/>
      <c r="GAC40" s="344"/>
      <c r="GAD40" s="344"/>
      <c r="GAE40" s="344"/>
      <c r="GAF40" s="344"/>
      <c r="GAG40" s="344"/>
      <c r="GAH40" s="344"/>
      <c r="GAI40" s="344"/>
      <c r="GAJ40" s="344"/>
      <c r="GAK40" s="344"/>
      <c r="GAL40" s="344"/>
      <c r="GAM40" s="344"/>
      <c r="GAN40" s="344"/>
      <c r="GAO40" s="344"/>
      <c r="GAP40" s="344"/>
      <c r="GAQ40" s="344"/>
      <c r="GAR40" s="344"/>
      <c r="GAS40" s="344"/>
      <c r="GAT40" s="344"/>
      <c r="GAU40" s="344"/>
      <c r="GAV40" s="344"/>
      <c r="GAW40" s="344"/>
      <c r="GAX40" s="344"/>
      <c r="GAY40" s="344"/>
      <c r="GAZ40" s="344"/>
      <c r="GBA40" s="344"/>
      <c r="GBB40" s="344"/>
      <c r="GBC40" s="344"/>
      <c r="GBD40" s="344"/>
      <c r="GBE40" s="344"/>
      <c r="GBF40" s="344"/>
      <c r="GBG40" s="344"/>
      <c r="GBH40" s="344"/>
      <c r="GBI40" s="344"/>
      <c r="GBJ40" s="344"/>
      <c r="GBK40" s="344"/>
      <c r="GBL40" s="344"/>
      <c r="GBM40" s="344"/>
      <c r="GBN40" s="344"/>
      <c r="GBO40" s="344"/>
      <c r="GBP40" s="344"/>
      <c r="GBQ40" s="344"/>
      <c r="GBR40" s="344"/>
      <c r="GBS40" s="344"/>
      <c r="GBT40" s="344"/>
      <c r="GBU40" s="344"/>
      <c r="GBV40" s="344"/>
      <c r="GBW40" s="344"/>
      <c r="GBX40" s="344"/>
      <c r="GBY40" s="344"/>
      <c r="GBZ40" s="344"/>
      <c r="GCA40" s="344"/>
      <c r="GCB40" s="344"/>
      <c r="GCC40" s="344"/>
      <c r="GCD40" s="344"/>
      <c r="GCE40" s="344"/>
      <c r="GCF40" s="344"/>
      <c r="GCG40" s="344"/>
      <c r="GCH40" s="344"/>
      <c r="GCI40" s="344"/>
      <c r="GCJ40" s="344"/>
      <c r="GCK40" s="344"/>
      <c r="GCL40" s="344"/>
      <c r="GCM40" s="344"/>
      <c r="GCN40" s="344"/>
      <c r="GCO40" s="344"/>
      <c r="GCP40" s="344"/>
      <c r="GCQ40" s="344"/>
      <c r="GCR40" s="344"/>
      <c r="GCS40" s="344"/>
      <c r="GCT40" s="344"/>
      <c r="GCU40" s="344"/>
      <c r="GCV40" s="344"/>
      <c r="GCW40" s="344"/>
      <c r="GCX40" s="344"/>
      <c r="GCY40" s="344"/>
      <c r="GCZ40" s="344"/>
      <c r="GDA40" s="344"/>
      <c r="GDB40" s="344"/>
      <c r="GDC40" s="344"/>
      <c r="GDD40" s="344"/>
      <c r="GDE40" s="344"/>
      <c r="GDF40" s="344"/>
      <c r="GDG40" s="344"/>
      <c r="GDH40" s="344"/>
      <c r="GDI40" s="344"/>
      <c r="GDJ40" s="344"/>
      <c r="GDK40" s="344"/>
      <c r="GDL40" s="344"/>
      <c r="GDM40" s="344"/>
      <c r="GDN40" s="344"/>
      <c r="GDO40" s="344"/>
      <c r="GDP40" s="344"/>
      <c r="GDQ40" s="344"/>
      <c r="GDR40" s="344"/>
      <c r="GDS40" s="344"/>
      <c r="GDT40" s="344"/>
      <c r="GDU40" s="344"/>
      <c r="GDV40" s="344"/>
      <c r="GDW40" s="344"/>
      <c r="GDX40" s="344"/>
      <c r="GDY40" s="344"/>
      <c r="GDZ40" s="344"/>
      <c r="GEA40" s="344"/>
      <c r="GEB40" s="344"/>
      <c r="GEC40" s="344"/>
      <c r="GED40" s="344"/>
      <c r="GEE40" s="344"/>
      <c r="GEF40" s="344"/>
      <c r="GEG40" s="344"/>
      <c r="GEH40" s="344"/>
      <c r="GEI40" s="344"/>
      <c r="GEJ40" s="344"/>
      <c r="GEK40" s="344"/>
      <c r="GEL40" s="344"/>
      <c r="GEM40" s="344"/>
      <c r="GEN40" s="344"/>
      <c r="GEO40" s="344"/>
      <c r="GEP40" s="344"/>
      <c r="GEQ40" s="344"/>
      <c r="GER40" s="344"/>
      <c r="GES40" s="344"/>
      <c r="GET40" s="344"/>
      <c r="GEU40" s="344"/>
      <c r="GEV40" s="344"/>
      <c r="GEW40" s="344"/>
      <c r="GEX40" s="344"/>
      <c r="GEY40" s="344"/>
      <c r="GEZ40" s="344"/>
      <c r="GFA40" s="344"/>
      <c r="GFB40" s="344"/>
      <c r="GFC40" s="344"/>
      <c r="GFD40" s="344"/>
      <c r="GFE40" s="344"/>
      <c r="GFF40" s="344"/>
      <c r="GFG40" s="344"/>
      <c r="GFH40" s="344"/>
      <c r="GFI40" s="344"/>
      <c r="GFJ40" s="344"/>
      <c r="GFK40" s="344"/>
      <c r="GFL40" s="344"/>
      <c r="GFM40" s="344"/>
      <c r="GFN40" s="344"/>
      <c r="GFO40" s="344"/>
      <c r="GFP40" s="344"/>
      <c r="GFQ40" s="344"/>
      <c r="GFR40" s="344"/>
      <c r="GFS40" s="344"/>
      <c r="GFT40" s="344"/>
      <c r="GFU40" s="344"/>
      <c r="GFV40" s="344"/>
      <c r="GFW40" s="344"/>
      <c r="GFX40" s="344"/>
      <c r="GFY40" s="344"/>
      <c r="GFZ40" s="344"/>
      <c r="GGA40" s="344"/>
      <c r="GGB40" s="344"/>
      <c r="GGC40" s="344"/>
      <c r="GGD40" s="344"/>
      <c r="GGE40" s="344"/>
      <c r="GGF40" s="344"/>
      <c r="GGG40" s="344"/>
      <c r="GGH40" s="344"/>
      <c r="GGI40" s="344"/>
      <c r="GGJ40" s="344"/>
      <c r="GGK40" s="344"/>
      <c r="GGL40" s="344"/>
      <c r="GGM40" s="344"/>
      <c r="GGN40" s="344"/>
      <c r="GGO40" s="344"/>
      <c r="GGP40" s="344"/>
      <c r="GGQ40" s="344"/>
      <c r="GGR40" s="344"/>
      <c r="GGS40" s="344"/>
      <c r="GGT40" s="344"/>
      <c r="GGU40" s="344"/>
      <c r="GGV40" s="344"/>
      <c r="GGW40" s="344"/>
      <c r="GGX40" s="344"/>
      <c r="GGY40" s="344"/>
      <c r="GGZ40" s="344"/>
      <c r="GHA40" s="344"/>
      <c r="GHB40" s="344"/>
      <c r="GHC40" s="344"/>
      <c r="GHD40" s="344"/>
      <c r="GHE40" s="344"/>
      <c r="GHF40" s="344"/>
      <c r="GHG40" s="344"/>
      <c r="GHH40" s="344"/>
      <c r="GHI40" s="344"/>
      <c r="GHJ40" s="344"/>
      <c r="GHK40" s="344"/>
      <c r="GHL40" s="344"/>
      <c r="GHM40" s="344"/>
      <c r="GHN40" s="344"/>
      <c r="GHO40" s="344"/>
      <c r="GHP40" s="344"/>
      <c r="GHQ40" s="344"/>
      <c r="GHR40" s="344"/>
      <c r="GHS40" s="344"/>
      <c r="GHT40" s="344"/>
      <c r="GHU40" s="344"/>
      <c r="GHV40" s="344"/>
      <c r="GHW40" s="344"/>
      <c r="GHX40" s="344"/>
      <c r="GHY40" s="344"/>
      <c r="GHZ40" s="344"/>
      <c r="GIA40" s="344"/>
      <c r="GIB40" s="344"/>
      <c r="GIC40" s="344"/>
      <c r="GID40" s="344"/>
      <c r="GIE40" s="344"/>
      <c r="GIF40" s="344"/>
      <c r="GIG40" s="344"/>
      <c r="GIH40" s="344"/>
      <c r="GII40" s="344"/>
      <c r="GIJ40" s="344"/>
      <c r="GIK40" s="344"/>
      <c r="GIL40" s="344"/>
      <c r="GIM40" s="344"/>
      <c r="GIN40" s="344"/>
      <c r="GIO40" s="344"/>
      <c r="GIP40" s="344"/>
      <c r="GIQ40" s="344"/>
      <c r="GIR40" s="344"/>
      <c r="GIS40" s="344"/>
      <c r="GIT40" s="344"/>
      <c r="GIU40" s="344"/>
      <c r="GIV40" s="344"/>
      <c r="GIW40" s="344"/>
      <c r="GIX40" s="344"/>
      <c r="GIY40" s="344"/>
      <c r="GIZ40" s="344"/>
      <c r="GJA40" s="344"/>
      <c r="GJB40" s="344"/>
      <c r="GJC40" s="344"/>
      <c r="GJD40" s="344"/>
      <c r="GJE40" s="344"/>
      <c r="GJF40" s="344"/>
      <c r="GJG40" s="344"/>
      <c r="GJH40" s="344"/>
      <c r="GJI40" s="344"/>
      <c r="GJJ40" s="344"/>
      <c r="GJK40" s="344"/>
      <c r="GJL40" s="344"/>
      <c r="GJM40" s="344"/>
      <c r="GJN40" s="344"/>
      <c r="GJO40" s="344"/>
      <c r="GJP40" s="344"/>
      <c r="GJQ40" s="344"/>
      <c r="GJR40" s="344"/>
      <c r="GJS40" s="344"/>
      <c r="GJT40" s="344"/>
      <c r="GJU40" s="344"/>
      <c r="GJV40" s="344"/>
      <c r="GJW40" s="344"/>
      <c r="GJX40" s="344"/>
      <c r="GJY40" s="344"/>
      <c r="GJZ40" s="344"/>
      <c r="GKA40" s="344"/>
      <c r="GKB40" s="344"/>
      <c r="GKC40" s="344"/>
      <c r="GKD40" s="344"/>
      <c r="GKE40" s="344"/>
      <c r="GKF40" s="344"/>
      <c r="GKG40" s="344"/>
      <c r="GKH40" s="344"/>
      <c r="GKI40" s="344"/>
      <c r="GKJ40" s="344"/>
      <c r="GKK40" s="344"/>
      <c r="GKL40" s="344"/>
      <c r="GKM40" s="344"/>
      <c r="GKN40" s="344"/>
      <c r="GKO40" s="344"/>
      <c r="GKP40" s="344"/>
      <c r="GKQ40" s="344"/>
      <c r="GKR40" s="344"/>
      <c r="GKS40" s="344"/>
      <c r="GKT40" s="344"/>
      <c r="GKU40" s="344"/>
      <c r="GKV40" s="344"/>
      <c r="GKW40" s="344"/>
      <c r="GKX40" s="344"/>
      <c r="GKY40" s="344"/>
      <c r="GKZ40" s="344"/>
      <c r="GLA40" s="344"/>
      <c r="GLB40" s="344"/>
      <c r="GLC40" s="344"/>
      <c r="GLD40" s="344"/>
      <c r="GLE40" s="344"/>
      <c r="GLF40" s="344"/>
      <c r="GLG40" s="344"/>
      <c r="GLH40" s="344"/>
      <c r="GLI40" s="344"/>
      <c r="GLJ40" s="344"/>
      <c r="GLK40" s="344"/>
      <c r="GLL40" s="344"/>
      <c r="GLM40" s="344"/>
      <c r="GLN40" s="344"/>
      <c r="GLO40" s="344"/>
      <c r="GLP40" s="344"/>
      <c r="GLQ40" s="344"/>
      <c r="GLR40" s="344"/>
      <c r="GLS40" s="344"/>
      <c r="GLT40" s="344"/>
      <c r="GLU40" s="344"/>
      <c r="GLV40" s="344"/>
      <c r="GLW40" s="344"/>
      <c r="GLX40" s="344"/>
      <c r="GLY40" s="344"/>
      <c r="GLZ40" s="344"/>
      <c r="GMA40" s="344"/>
      <c r="GMB40" s="344"/>
      <c r="GMC40" s="344"/>
      <c r="GMD40" s="344"/>
      <c r="GME40" s="344"/>
      <c r="GMF40" s="344"/>
      <c r="GMG40" s="344"/>
      <c r="GMH40" s="344"/>
      <c r="GMI40" s="344"/>
      <c r="GMJ40" s="344"/>
      <c r="GMK40" s="344"/>
      <c r="GML40" s="344"/>
      <c r="GMM40" s="344"/>
      <c r="GMN40" s="344"/>
      <c r="GMO40" s="344"/>
      <c r="GMP40" s="344"/>
      <c r="GMQ40" s="344"/>
      <c r="GMR40" s="344"/>
      <c r="GMS40" s="344"/>
      <c r="GMT40" s="344"/>
      <c r="GMU40" s="344"/>
      <c r="GMV40" s="344"/>
      <c r="GMW40" s="344"/>
      <c r="GMX40" s="344"/>
      <c r="GMY40" s="344"/>
      <c r="GMZ40" s="344"/>
      <c r="GNA40" s="344"/>
      <c r="GNB40" s="344"/>
      <c r="GNC40" s="344"/>
      <c r="GND40" s="344"/>
      <c r="GNE40" s="344"/>
      <c r="GNF40" s="344"/>
      <c r="GNG40" s="344"/>
      <c r="GNH40" s="344"/>
      <c r="GNI40" s="344"/>
      <c r="GNJ40" s="344"/>
      <c r="GNK40" s="344"/>
      <c r="GNL40" s="344"/>
      <c r="GNM40" s="344"/>
      <c r="GNN40" s="344"/>
      <c r="GNO40" s="344"/>
      <c r="GNP40" s="344"/>
      <c r="GNQ40" s="344"/>
      <c r="GNR40" s="344"/>
      <c r="GNS40" s="344"/>
      <c r="GNT40" s="344"/>
      <c r="GNU40" s="344"/>
      <c r="GNV40" s="344"/>
      <c r="GNW40" s="344"/>
      <c r="GNX40" s="344"/>
      <c r="GNY40" s="344"/>
      <c r="GNZ40" s="344"/>
      <c r="GOA40" s="344"/>
      <c r="GOB40" s="344"/>
      <c r="GOC40" s="344"/>
      <c r="GOD40" s="344"/>
      <c r="GOE40" s="344"/>
      <c r="GOF40" s="344"/>
      <c r="GOG40" s="344"/>
      <c r="GOH40" s="344"/>
      <c r="GOI40" s="344"/>
      <c r="GOJ40" s="344"/>
      <c r="GOK40" s="344"/>
      <c r="GOL40" s="344"/>
      <c r="GOM40" s="344"/>
      <c r="GON40" s="344"/>
      <c r="GOO40" s="344"/>
      <c r="GOP40" s="344"/>
      <c r="GOQ40" s="344"/>
      <c r="GOR40" s="344"/>
      <c r="GOS40" s="344"/>
      <c r="GOT40" s="344"/>
      <c r="GOU40" s="344"/>
      <c r="GOV40" s="344"/>
      <c r="GOW40" s="344"/>
      <c r="GOX40" s="344"/>
      <c r="GOY40" s="344"/>
      <c r="GOZ40" s="344"/>
      <c r="GPA40" s="344"/>
      <c r="GPB40" s="344"/>
      <c r="GPC40" s="344"/>
      <c r="GPD40" s="344"/>
      <c r="GPE40" s="344"/>
      <c r="GPF40" s="344"/>
      <c r="GPG40" s="344"/>
      <c r="GPH40" s="344"/>
      <c r="GPI40" s="344"/>
      <c r="GPJ40" s="344"/>
      <c r="GPK40" s="344"/>
      <c r="GPL40" s="344"/>
      <c r="GPM40" s="344"/>
      <c r="GPN40" s="344"/>
      <c r="GPO40" s="344"/>
      <c r="GPP40" s="344"/>
      <c r="GPQ40" s="344"/>
      <c r="GPR40" s="344"/>
      <c r="GPS40" s="344"/>
      <c r="GPT40" s="344"/>
      <c r="GPU40" s="344"/>
      <c r="GPV40" s="344"/>
      <c r="GPW40" s="344"/>
      <c r="GPX40" s="344"/>
      <c r="GPY40" s="344"/>
      <c r="GPZ40" s="344"/>
      <c r="GQA40" s="344"/>
      <c r="GQB40" s="344"/>
      <c r="GQC40" s="344"/>
      <c r="GQD40" s="344"/>
      <c r="GQE40" s="344"/>
      <c r="GQF40" s="344"/>
      <c r="GQG40" s="344"/>
      <c r="GQH40" s="344"/>
      <c r="GQI40" s="344"/>
      <c r="GQJ40" s="344"/>
      <c r="GQK40" s="344"/>
      <c r="GQL40" s="344"/>
      <c r="GQM40" s="344"/>
      <c r="GQN40" s="344"/>
      <c r="GQO40" s="344"/>
      <c r="GQP40" s="344"/>
      <c r="GQQ40" s="344"/>
      <c r="GQR40" s="344"/>
      <c r="GQS40" s="344"/>
      <c r="GQT40" s="344"/>
      <c r="GQU40" s="344"/>
      <c r="GQV40" s="344"/>
      <c r="GQW40" s="344"/>
      <c r="GQX40" s="344"/>
      <c r="GQY40" s="344"/>
      <c r="GQZ40" s="344"/>
      <c r="GRA40" s="344"/>
      <c r="GRB40" s="344"/>
      <c r="GRC40" s="344"/>
      <c r="GRD40" s="344"/>
      <c r="GRE40" s="344"/>
      <c r="GRF40" s="344"/>
      <c r="GRG40" s="344"/>
      <c r="GRH40" s="344"/>
      <c r="GRI40" s="344"/>
      <c r="GRJ40" s="344"/>
      <c r="GRK40" s="344"/>
      <c r="GRL40" s="344"/>
      <c r="GRM40" s="344"/>
      <c r="GRN40" s="344"/>
      <c r="GRO40" s="344"/>
      <c r="GRP40" s="344"/>
      <c r="GRQ40" s="344"/>
      <c r="GRR40" s="344"/>
      <c r="GRS40" s="344"/>
      <c r="GRT40" s="344"/>
      <c r="GRU40" s="344"/>
      <c r="GRV40" s="344"/>
      <c r="GRW40" s="344"/>
      <c r="GRX40" s="344"/>
      <c r="GRY40" s="344"/>
      <c r="GRZ40" s="344"/>
      <c r="GSA40" s="344"/>
      <c r="GSB40" s="344"/>
      <c r="GSC40" s="344"/>
      <c r="GSD40" s="344"/>
      <c r="GSE40" s="344"/>
      <c r="GSF40" s="344"/>
      <c r="GSG40" s="344"/>
      <c r="GSH40" s="344"/>
      <c r="GSI40" s="344"/>
      <c r="GSJ40" s="344"/>
      <c r="GSK40" s="344"/>
      <c r="GSL40" s="344"/>
      <c r="GSM40" s="344"/>
      <c r="GSN40" s="344"/>
      <c r="GSO40" s="344"/>
      <c r="GSP40" s="344"/>
      <c r="GSQ40" s="344"/>
      <c r="GSR40" s="344"/>
      <c r="GSS40" s="344"/>
      <c r="GST40" s="344"/>
      <c r="GSU40" s="344"/>
      <c r="GSV40" s="344"/>
      <c r="GSW40" s="344"/>
      <c r="GSX40" s="344"/>
      <c r="GSY40" s="344"/>
      <c r="GSZ40" s="344"/>
      <c r="GTA40" s="344"/>
      <c r="GTB40" s="344"/>
      <c r="GTC40" s="344"/>
      <c r="GTD40" s="344"/>
      <c r="GTE40" s="344"/>
      <c r="GTF40" s="344"/>
      <c r="GTG40" s="344"/>
      <c r="GTH40" s="344"/>
      <c r="GTI40" s="344"/>
      <c r="GTJ40" s="344"/>
      <c r="GTK40" s="344"/>
      <c r="GTL40" s="344"/>
      <c r="GTM40" s="344"/>
      <c r="GTN40" s="344"/>
      <c r="GTO40" s="344"/>
      <c r="GTP40" s="344"/>
      <c r="GTQ40" s="344"/>
      <c r="GTR40" s="344"/>
      <c r="GTS40" s="344"/>
      <c r="GTT40" s="344"/>
      <c r="GTU40" s="344"/>
      <c r="GTV40" s="344"/>
      <c r="GTW40" s="344"/>
      <c r="GTX40" s="344"/>
      <c r="GTY40" s="344"/>
      <c r="GTZ40" s="344"/>
      <c r="GUA40" s="344"/>
      <c r="GUB40" s="344"/>
      <c r="GUC40" s="344"/>
      <c r="GUD40" s="344"/>
      <c r="GUE40" s="344"/>
      <c r="GUF40" s="344"/>
      <c r="GUG40" s="344"/>
      <c r="GUH40" s="344"/>
      <c r="GUI40" s="344"/>
      <c r="GUJ40" s="344"/>
      <c r="GUK40" s="344"/>
      <c r="GUL40" s="344"/>
      <c r="GUM40" s="344"/>
      <c r="GUN40" s="344"/>
      <c r="GUO40" s="344"/>
      <c r="GUP40" s="344"/>
      <c r="GUQ40" s="344"/>
      <c r="GUR40" s="344"/>
      <c r="GUS40" s="344"/>
      <c r="GUT40" s="344"/>
      <c r="GUU40" s="344"/>
      <c r="GUV40" s="344"/>
      <c r="GUW40" s="344"/>
      <c r="GUX40" s="344"/>
      <c r="GUY40" s="344"/>
      <c r="GUZ40" s="344"/>
      <c r="GVA40" s="344"/>
      <c r="GVB40" s="344"/>
      <c r="GVC40" s="344"/>
      <c r="GVD40" s="344"/>
      <c r="GVE40" s="344"/>
      <c r="GVF40" s="344"/>
      <c r="GVG40" s="344"/>
      <c r="GVH40" s="344"/>
      <c r="GVI40" s="344"/>
      <c r="GVJ40" s="344"/>
      <c r="GVK40" s="344"/>
      <c r="GVL40" s="344"/>
      <c r="GVM40" s="344"/>
      <c r="GVN40" s="344"/>
      <c r="GVO40" s="344"/>
      <c r="GVP40" s="344"/>
      <c r="GVQ40" s="344"/>
      <c r="GVR40" s="344"/>
      <c r="GVS40" s="344"/>
      <c r="GVT40" s="344"/>
      <c r="GVU40" s="344"/>
      <c r="GVV40" s="344"/>
      <c r="GVW40" s="344"/>
      <c r="GVX40" s="344"/>
      <c r="GVY40" s="344"/>
      <c r="GVZ40" s="344"/>
      <c r="GWA40" s="344"/>
      <c r="GWB40" s="344"/>
      <c r="GWC40" s="344"/>
      <c r="GWD40" s="344"/>
      <c r="GWE40" s="344"/>
      <c r="GWF40" s="344"/>
      <c r="GWG40" s="344"/>
      <c r="GWH40" s="344"/>
      <c r="GWI40" s="344"/>
      <c r="GWJ40" s="344"/>
      <c r="GWK40" s="344"/>
      <c r="GWL40" s="344"/>
      <c r="GWM40" s="344"/>
      <c r="GWN40" s="344"/>
      <c r="GWO40" s="344"/>
      <c r="GWP40" s="344"/>
      <c r="GWQ40" s="344"/>
      <c r="GWR40" s="344"/>
      <c r="GWS40" s="344"/>
      <c r="GWT40" s="344"/>
      <c r="GWU40" s="344"/>
      <c r="GWV40" s="344"/>
      <c r="GWW40" s="344"/>
      <c r="GWX40" s="344"/>
      <c r="GWY40" s="344"/>
      <c r="GWZ40" s="344"/>
      <c r="GXA40" s="344"/>
      <c r="GXB40" s="344"/>
      <c r="GXC40" s="344"/>
      <c r="GXD40" s="344"/>
      <c r="GXE40" s="344"/>
      <c r="GXF40" s="344"/>
      <c r="GXG40" s="344"/>
      <c r="GXH40" s="344"/>
      <c r="GXI40" s="344"/>
      <c r="GXJ40" s="344"/>
      <c r="GXK40" s="344"/>
      <c r="GXL40" s="344"/>
      <c r="GXM40" s="344"/>
      <c r="GXN40" s="344"/>
      <c r="GXO40" s="344"/>
      <c r="GXP40" s="344"/>
      <c r="GXQ40" s="344"/>
      <c r="GXR40" s="344"/>
      <c r="GXS40" s="344"/>
      <c r="GXT40" s="344"/>
      <c r="GXU40" s="344"/>
      <c r="GXV40" s="344"/>
      <c r="GXW40" s="344"/>
      <c r="GXX40" s="344"/>
      <c r="GXY40" s="344"/>
      <c r="GXZ40" s="344"/>
      <c r="GYA40" s="344"/>
      <c r="GYB40" s="344"/>
      <c r="GYC40" s="344"/>
      <c r="GYD40" s="344"/>
      <c r="GYE40" s="344"/>
      <c r="GYF40" s="344"/>
      <c r="GYG40" s="344"/>
      <c r="GYH40" s="344"/>
      <c r="GYI40" s="344"/>
      <c r="GYJ40" s="344"/>
      <c r="GYK40" s="344"/>
      <c r="GYL40" s="344"/>
      <c r="GYM40" s="344"/>
      <c r="GYN40" s="344"/>
      <c r="GYO40" s="344"/>
      <c r="GYP40" s="344"/>
      <c r="GYQ40" s="344"/>
      <c r="GYR40" s="344"/>
      <c r="GYS40" s="344"/>
      <c r="GYT40" s="344"/>
      <c r="GYU40" s="344"/>
      <c r="GYV40" s="344"/>
      <c r="GYW40" s="344"/>
      <c r="GYX40" s="344"/>
      <c r="GYY40" s="344"/>
      <c r="GYZ40" s="344"/>
      <c r="GZA40" s="344"/>
      <c r="GZB40" s="344"/>
      <c r="GZC40" s="344"/>
      <c r="GZD40" s="344"/>
      <c r="GZE40" s="344"/>
      <c r="GZF40" s="344"/>
      <c r="GZG40" s="344"/>
      <c r="GZH40" s="344"/>
      <c r="GZI40" s="344"/>
      <c r="GZJ40" s="344"/>
      <c r="GZK40" s="344"/>
      <c r="GZL40" s="344"/>
      <c r="GZM40" s="344"/>
      <c r="GZN40" s="344"/>
      <c r="GZO40" s="344"/>
      <c r="GZP40" s="344"/>
      <c r="GZQ40" s="344"/>
      <c r="GZR40" s="344"/>
      <c r="GZS40" s="344"/>
      <c r="GZT40" s="344"/>
      <c r="GZU40" s="344"/>
      <c r="GZV40" s="344"/>
      <c r="GZW40" s="344"/>
      <c r="GZX40" s="344"/>
      <c r="GZY40" s="344"/>
      <c r="GZZ40" s="344"/>
      <c r="HAA40" s="344"/>
      <c r="HAB40" s="344"/>
      <c r="HAC40" s="344"/>
      <c r="HAD40" s="344"/>
      <c r="HAE40" s="344"/>
      <c r="HAF40" s="344"/>
      <c r="HAG40" s="344"/>
      <c r="HAH40" s="344"/>
      <c r="HAI40" s="344"/>
      <c r="HAJ40" s="344"/>
      <c r="HAK40" s="344"/>
      <c r="HAL40" s="344"/>
      <c r="HAM40" s="344"/>
      <c r="HAN40" s="344"/>
      <c r="HAO40" s="344"/>
      <c r="HAP40" s="344"/>
      <c r="HAQ40" s="344"/>
      <c r="HAR40" s="344"/>
      <c r="HAS40" s="344"/>
      <c r="HAT40" s="344"/>
      <c r="HAU40" s="344"/>
      <c r="HAV40" s="344"/>
      <c r="HAW40" s="344"/>
      <c r="HAX40" s="344"/>
      <c r="HAY40" s="344"/>
      <c r="HAZ40" s="344"/>
      <c r="HBA40" s="344"/>
      <c r="HBB40" s="344"/>
      <c r="HBC40" s="344"/>
      <c r="HBD40" s="344"/>
      <c r="HBE40" s="344"/>
      <c r="HBF40" s="344"/>
      <c r="HBG40" s="344"/>
      <c r="HBH40" s="344"/>
      <c r="HBI40" s="344"/>
      <c r="HBJ40" s="344"/>
      <c r="HBK40" s="344"/>
      <c r="HBL40" s="344"/>
      <c r="HBM40" s="344"/>
      <c r="HBN40" s="344"/>
      <c r="HBO40" s="344"/>
      <c r="HBP40" s="344"/>
      <c r="HBQ40" s="344"/>
      <c r="HBR40" s="344"/>
      <c r="HBS40" s="344"/>
      <c r="HBT40" s="344"/>
      <c r="HBU40" s="344"/>
      <c r="HBV40" s="344"/>
      <c r="HBW40" s="344"/>
      <c r="HBX40" s="344"/>
      <c r="HBY40" s="344"/>
      <c r="HBZ40" s="344"/>
      <c r="HCA40" s="344"/>
      <c r="HCB40" s="344"/>
      <c r="HCC40" s="344"/>
      <c r="HCD40" s="344"/>
      <c r="HCE40" s="344"/>
      <c r="HCF40" s="344"/>
      <c r="HCG40" s="344"/>
      <c r="HCH40" s="344"/>
      <c r="HCI40" s="344"/>
      <c r="HCJ40" s="344"/>
      <c r="HCK40" s="344"/>
      <c r="HCL40" s="344"/>
      <c r="HCM40" s="344"/>
      <c r="HCN40" s="344"/>
      <c r="HCO40" s="344"/>
      <c r="HCP40" s="344"/>
      <c r="HCQ40" s="344"/>
      <c r="HCR40" s="344"/>
      <c r="HCS40" s="344"/>
      <c r="HCT40" s="344"/>
      <c r="HCU40" s="344"/>
      <c r="HCV40" s="344"/>
      <c r="HCW40" s="344"/>
      <c r="HCX40" s="344"/>
      <c r="HCY40" s="344"/>
      <c r="HCZ40" s="344"/>
      <c r="HDA40" s="344"/>
      <c r="HDB40" s="344"/>
      <c r="HDC40" s="344"/>
      <c r="HDD40" s="344"/>
      <c r="HDE40" s="344"/>
      <c r="HDF40" s="344"/>
      <c r="HDG40" s="344"/>
      <c r="HDH40" s="344"/>
      <c r="HDI40" s="344"/>
      <c r="HDJ40" s="344"/>
      <c r="HDK40" s="344"/>
      <c r="HDL40" s="344"/>
      <c r="HDM40" s="344"/>
      <c r="HDN40" s="344"/>
      <c r="HDO40" s="344"/>
      <c r="HDP40" s="344"/>
      <c r="HDQ40" s="344"/>
      <c r="HDR40" s="344"/>
      <c r="HDS40" s="344"/>
      <c r="HDT40" s="344"/>
      <c r="HDU40" s="344"/>
      <c r="HDV40" s="344"/>
      <c r="HDW40" s="344"/>
      <c r="HDX40" s="344"/>
      <c r="HDY40" s="344"/>
      <c r="HDZ40" s="344"/>
      <c r="HEA40" s="344"/>
      <c r="HEB40" s="344"/>
      <c r="HEC40" s="344"/>
      <c r="HED40" s="344"/>
      <c r="HEE40" s="344"/>
      <c r="HEF40" s="344"/>
      <c r="HEG40" s="344"/>
      <c r="HEH40" s="344"/>
      <c r="HEI40" s="344"/>
      <c r="HEJ40" s="344"/>
      <c r="HEK40" s="344"/>
      <c r="HEL40" s="344"/>
      <c r="HEM40" s="344"/>
      <c r="HEN40" s="344"/>
      <c r="HEO40" s="344"/>
      <c r="HEP40" s="344"/>
      <c r="HEQ40" s="344"/>
      <c r="HER40" s="344"/>
      <c r="HES40" s="344"/>
      <c r="HET40" s="344"/>
      <c r="HEU40" s="344"/>
      <c r="HEV40" s="344"/>
      <c r="HEW40" s="344"/>
      <c r="HEX40" s="344"/>
      <c r="HEY40" s="344"/>
      <c r="HEZ40" s="344"/>
      <c r="HFA40" s="344"/>
      <c r="HFB40" s="344"/>
      <c r="HFC40" s="344"/>
      <c r="HFD40" s="344"/>
      <c r="HFE40" s="344"/>
      <c r="HFF40" s="344"/>
      <c r="HFG40" s="344"/>
      <c r="HFH40" s="344"/>
      <c r="HFI40" s="344"/>
      <c r="HFJ40" s="344"/>
      <c r="HFK40" s="344"/>
      <c r="HFL40" s="344"/>
      <c r="HFM40" s="344"/>
      <c r="HFN40" s="344"/>
      <c r="HFO40" s="344"/>
      <c r="HFP40" s="344"/>
      <c r="HFQ40" s="344"/>
      <c r="HFR40" s="344"/>
      <c r="HFS40" s="344"/>
      <c r="HFT40" s="344"/>
      <c r="HFU40" s="344"/>
      <c r="HFV40" s="344"/>
      <c r="HFW40" s="344"/>
      <c r="HFX40" s="344"/>
      <c r="HFY40" s="344"/>
      <c r="HFZ40" s="344"/>
      <c r="HGA40" s="344"/>
      <c r="HGB40" s="344"/>
      <c r="HGC40" s="344"/>
      <c r="HGD40" s="344"/>
      <c r="HGE40" s="344"/>
      <c r="HGF40" s="344"/>
      <c r="HGG40" s="344"/>
      <c r="HGH40" s="344"/>
      <c r="HGI40" s="344"/>
      <c r="HGJ40" s="344"/>
      <c r="HGK40" s="344"/>
      <c r="HGL40" s="344"/>
      <c r="HGM40" s="344"/>
      <c r="HGN40" s="344"/>
      <c r="HGO40" s="344"/>
      <c r="HGP40" s="344"/>
      <c r="HGQ40" s="344"/>
      <c r="HGR40" s="344"/>
      <c r="HGS40" s="344"/>
      <c r="HGT40" s="344"/>
      <c r="HGU40" s="344"/>
      <c r="HGV40" s="344"/>
      <c r="HGW40" s="344"/>
      <c r="HGX40" s="344"/>
      <c r="HGY40" s="344"/>
      <c r="HGZ40" s="344"/>
      <c r="HHA40" s="344"/>
      <c r="HHB40" s="344"/>
      <c r="HHC40" s="344"/>
      <c r="HHD40" s="344"/>
      <c r="HHE40" s="344"/>
      <c r="HHF40" s="344"/>
      <c r="HHG40" s="344"/>
      <c r="HHH40" s="344"/>
      <c r="HHI40" s="344"/>
      <c r="HHJ40" s="344"/>
      <c r="HHK40" s="344"/>
      <c r="HHL40" s="344"/>
      <c r="HHM40" s="344"/>
      <c r="HHN40" s="344"/>
      <c r="HHO40" s="344"/>
      <c r="HHP40" s="344"/>
      <c r="HHQ40" s="344"/>
      <c r="HHR40" s="344"/>
      <c r="HHS40" s="344"/>
      <c r="HHT40" s="344"/>
      <c r="HHU40" s="344"/>
      <c r="HHV40" s="344"/>
      <c r="HHW40" s="344"/>
      <c r="HHX40" s="344"/>
      <c r="HHY40" s="344"/>
      <c r="HHZ40" s="344"/>
      <c r="HIA40" s="344"/>
      <c r="HIB40" s="344"/>
      <c r="HIC40" s="344"/>
      <c r="HID40" s="344"/>
      <c r="HIE40" s="344"/>
      <c r="HIF40" s="344"/>
      <c r="HIG40" s="344"/>
      <c r="HIH40" s="344"/>
      <c r="HII40" s="344"/>
      <c r="HIJ40" s="344"/>
      <c r="HIK40" s="344"/>
      <c r="HIL40" s="344"/>
      <c r="HIM40" s="344"/>
      <c r="HIN40" s="344"/>
      <c r="HIO40" s="344"/>
      <c r="HIP40" s="344"/>
      <c r="HIQ40" s="344"/>
      <c r="HIR40" s="344"/>
      <c r="HIS40" s="344"/>
      <c r="HIT40" s="344"/>
      <c r="HIU40" s="344"/>
      <c r="HIV40" s="344"/>
      <c r="HIW40" s="344"/>
      <c r="HIX40" s="344"/>
      <c r="HIY40" s="344"/>
      <c r="HIZ40" s="344"/>
      <c r="HJA40" s="344"/>
      <c r="HJB40" s="344"/>
      <c r="HJC40" s="344"/>
      <c r="HJD40" s="344"/>
      <c r="HJE40" s="344"/>
      <c r="HJF40" s="344"/>
      <c r="HJG40" s="344"/>
      <c r="HJH40" s="344"/>
      <c r="HJI40" s="344"/>
      <c r="HJJ40" s="344"/>
      <c r="HJK40" s="344"/>
      <c r="HJL40" s="344"/>
      <c r="HJM40" s="344"/>
      <c r="HJN40" s="344"/>
      <c r="HJO40" s="344"/>
      <c r="HJP40" s="344"/>
      <c r="HJQ40" s="344"/>
      <c r="HJR40" s="344"/>
      <c r="HJS40" s="344"/>
      <c r="HJT40" s="344"/>
      <c r="HJU40" s="344"/>
      <c r="HJV40" s="344"/>
      <c r="HJW40" s="344"/>
      <c r="HJX40" s="344"/>
      <c r="HJY40" s="344"/>
      <c r="HJZ40" s="344"/>
      <c r="HKA40" s="344"/>
      <c r="HKB40" s="344"/>
      <c r="HKC40" s="344"/>
      <c r="HKD40" s="344"/>
      <c r="HKE40" s="344"/>
      <c r="HKF40" s="344"/>
      <c r="HKG40" s="344"/>
      <c r="HKH40" s="344"/>
      <c r="HKI40" s="344"/>
      <c r="HKJ40" s="344"/>
      <c r="HKK40" s="344"/>
      <c r="HKL40" s="344"/>
      <c r="HKM40" s="344"/>
      <c r="HKN40" s="344"/>
      <c r="HKO40" s="344"/>
      <c r="HKP40" s="344"/>
      <c r="HKQ40" s="344"/>
      <c r="HKR40" s="344"/>
      <c r="HKS40" s="344"/>
      <c r="HKT40" s="344"/>
      <c r="HKU40" s="344"/>
      <c r="HKV40" s="344"/>
      <c r="HKW40" s="344"/>
      <c r="HKX40" s="344"/>
      <c r="HKY40" s="344"/>
      <c r="HKZ40" s="344"/>
      <c r="HLA40" s="344"/>
      <c r="HLB40" s="344"/>
      <c r="HLC40" s="344"/>
      <c r="HLD40" s="344"/>
      <c r="HLE40" s="344"/>
      <c r="HLF40" s="344"/>
      <c r="HLG40" s="344"/>
      <c r="HLH40" s="344"/>
      <c r="HLI40" s="344"/>
      <c r="HLJ40" s="344"/>
      <c r="HLK40" s="344"/>
      <c r="HLL40" s="344"/>
      <c r="HLM40" s="344"/>
      <c r="HLN40" s="344"/>
      <c r="HLO40" s="344"/>
      <c r="HLP40" s="344"/>
      <c r="HLQ40" s="344"/>
      <c r="HLR40" s="344"/>
      <c r="HLS40" s="344"/>
      <c r="HLT40" s="344"/>
      <c r="HLU40" s="344"/>
      <c r="HLV40" s="344"/>
      <c r="HLW40" s="344"/>
      <c r="HLX40" s="344"/>
      <c r="HLY40" s="344"/>
      <c r="HLZ40" s="344"/>
      <c r="HMA40" s="344"/>
      <c r="HMB40" s="344"/>
      <c r="HMC40" s="344"/>
      <c r="HMD40" s="344"/>
      <c r="HME40" s="344"/>
      <c r="HMF40" s="344"/>
      <c r="HMG40" s="344"/>
      <c r="HMH40" s="344"/>
      <c r="HMI40" s="344"/>
      <c r="HMJ40" s="344"/>
      <c r="HMK40" s="344"/>
      <c r="HML40" s="344"/>
      <c r="HMM40" s="344"/>
      <c r="HMN40" s="344"/>
      <c r="HMO40" s="344"/>
      <c r="HMP40" s="344"/>
      <c r="HMQ40" s="344"/>
      <c r="HMR40" s="344"/>
      <c r="HMS40" s="344"/>
      <c r="HMT40" s="344"/>
      <c r="HMU40" s="344"/>
      <c r="HMV40" s="344"/>
      <c r="HMW40" s="344"/>
      <c r="HMX40" s="344"/>
      <c r="HMY40" s="344"/>
      <c r="HMZ40" s="344"/>
      <c r="HNA40" s="344"/>
      <c r="HNB40" s="344"/>
      <c r="HNC40" s="344"/>
      <c r="HND40" s="344"/>
      <c r="HNE40" s="344"/>
      <c r="HNF40" s="344"/>
      <c r="HNG40" s="344"/>
      <c r="HNH40" s="344"/>
      <c r="HNI40" s="344"/>
      <c r="HNJ40" s="344"/>
      <c r="HNK40" s="344"/>
      <c r="HNL40" s="344"/>
      <c r="HNM40" s="344"/>
      <c r="HNN40" s="344"/>
      <c r="HNO40" s="344"/>
      <c r="HNP40" s="344"/>
      <c r="HNQ40" s="344"/>
      <c r="HNR40" s="344"/>
      <c r="HNS40" s="344"/>
      <c r="HNT40" s="344"/>
      <c r="HNU40" s="344"/>
      <c r="HNV40" s="344"/>
      <c r="HNW40" s="344"/>
      <c r="HNX40" s="344"/>
      <c r="HNY40" s="344"/>
      <c r="HNZ40" s="344"/>
      <c r="HOA40" s="344"/>
      <c r="HOB40" s="344"/>
      <c r="HOC40" s="344"/>
      <c r="HOD40" s="344"/>
      <c r="HOE40" s="344"/>
      <c r="HOF40" s="344"/>
      <c r="HOG40" s="344"/>
      <c r="HOH40" s="344"/>
      <c r="HOI40" s="344"/>
      <c r="HOJ40" s="344"/>
      <c r="HOK40" s="344"/>
      <c r="HOL40" s="344"/>
      <c r="HOM40" s="344"/>
      <c r="HON40" s="344"/>
      <c r="HOO40" s="344"/>
      <c r="HOP40" s="344"/>
      <c r="HOQ40" s="344"/>
      <c r="HOR40" s="344"/>
      <c r="HOS40" s="344"/>
      <c r="HOT40" s="344"/>
      <c r="HOU40" s="344"/>
      <c r="HOV40" s="344"/>
      <c r="HOW40" s="344"/>
      <c r="HOX40" s="344"/>
      <c r="HOY40" s="344"/>
      <c r="HOZ40" s="344"/>
      <c r="HPA40" s="344"/>
      <c r="HPB40" s="344"/>
      <c r="HPC40" s="344"/>
      <c r="HPD40" s="344"/>
      <c r="HPE40" s="344"/>
      <c r="HPF40" s="344"/>
      <c r="HPG40" s="344"/>
      <c r="HPH40" s="344"/>
      <c r="HPI40" s="344"/>
      <c r="HPJ40" s="344"/>
      <c r="HPK40" s="344"/>
      <c r="HPL40" s="344"/>
      <c r="HPM40" s="344"/>
      <c r="HPN40" s="344"/>
      <c r="HPO40" s="344"/>
      <c r="HPP40" s="344"/>
      <c r="HPQ40" s="344"/>
      <c r="HPR40" s="344"/>
      <c r="HPS40" s="344"/>
      <c r="HPT40" s="344"/>
      <c r="HPU40" s="344"/>
      <c r="HPV40" s="344"/>
      <c r="HPW40" s="344"/>
      <c r="HPX40" s="344"/>
      <c r="HPY40" s="344"/>
      <c r="HPZ40" s="344"/>
      <c r="HQA40" s="344"/>
      <c r="HQB40" s="344"/>
      <c r="HQC40" s="344"/>
      <c r="HQD40" s="344"/>
      <c r="HQE40" s="344"/>
      <c r="HQF40" s="344"/>
      <c r="HQG40" s="344"/>
      <c r="HQH40" s="344"/>
      <c r="HQI40" s="344"/>
      <c r="HQJ40" s="344"/>
      <c r="HQK40" s="344"/>
      <c r="HQL40" s="344"/>
      <c r="HQM40" s="344"/>
      <c r="HQN40" s="344"/>
      <c r="HQO40" s="344"/>
      <c r="HQP40" s="344"/>
      <c r="HQQ40" s="344"/>
      <c r="HQR40" s="344"/>
      <c r="HQS40" s="344"/>
      <c r="HQT40" s="344"/>
      <c r="HQU40" s="344"/>
      <c r="HQV40" s="344"/>
      <c r="HQW40" s="344"/>
      <c r="HQX40" s="344"/>
      <c r="HQY40" s="344"/>
      <c r="HQZ40" s="344"/>
      <c r="HRA40" s="344"/>
      <c r="HRB40" s="344"/>
      <c r="HRC40" s="344"/>
      <c r="HRD40" s="344"/>
      <c r="HRE40" s="344"/>
      <c r="HRF40" s="344"/>
      <c r="HRG40" s="344"/>
      <c r="HRH40" s="344"/>
      <c r="HRI40" s="344"/>
      <c r="HRJ40" s="344"/>
      <c r="HRK40" s="344"/>
      <c r="HRL40" s="344"/>
      <c r="HRM40" s="344"/>
      <c r="HRN40" s="344"/>
      <c r="HRO40" s="344"/>
      <c r="HRP40" s="344"/>
      <c r="HRQ40" s="344"/>
      <c r="HRR40" s="344"/>
      <c r="HRS40" s="344"/>
      <c r="HRT40" s="344"/>
      <c r="HRU40" s="344"/>
      <c r="HRV40" s="344"/>
      <c r="HRW40" s="344"/>
      <c r="HRX40" s="344"/>
      <c r="HRY40" s="344"/>
      <c r="HRZ40" s="344"/>
      <c r="HSA40" s="344"/>
      <c r="HSB40" s="344"/>
      <c r="HSC40" s="344"/>
      <c r="HSD40" s="344"/>
      <c r="HSE40" s="344"/>
      <c r="HSF40" s="344"/>
      <c r="HSG40" s="344"/>
      <c r="HSH40" s="344"/>
      <c r="HSI40" s="344"/>
      <c r="HSJ40" s="344"/>
      <c r="HSK40" s="344"/>
      <c r="HSL40" s="344"/>
      <c r="HSM40" s="344"/>
      <c r="HSN40" s="344"/>
      <c r="HSO40" s="344"/>
      <c r="HSP40" s="344"/>
      <c r="HSQ40" s="344"/>
      <c r="HSR40" s="344"/>
      <c r="HSS40" s="344"/>
      <c r="HST40" s="344"/>
      <c r="HSU40" s="344"/>
      <c r="HSV40" s="344"/>
      <c r="HSW40" s="344"/>
      <c r="HSX40" s="344"/>
      <c r="HSY40" s="344"/>
      <c r="HSZ40" s="344"/>
      <c r="HTA40" s="344"/>
      <c r="HTB40" s="344"/>
      <c r="HTC40" s="344"/>
      <c r="HTD40" s="344"/>
      <c r="HTE40" s="344"/>
      <c r="HTF40" s="344"/>
      <c r="HTG40" s="344"/>
      <c r="HTH40" s="344"/>
      <c r="HTI40" s="344"/>
      <c r="HTJ40" s="344"/>
      <c r="HTK40" s="344"/>
      <c r="HTL40" s="344"/>
      <c r="HTM40" s="344"/>
      <c r="HTN40" s="344"/>
      <c r="HTO40" s="344"/>
      <c r="HTP40" s="344"/>
      <c r="HTQ40" s="344"/>
      <c r="HTR40" s="344"/>
      <c r="HTS40" s="344"/>
      <c r="HTT40" s="344"/>
      <c r="HTU40" s="344"/>
      <c r="HTV40" s="344"/>
      <c r="HTW40" s="344"/>
      <c r="HTX40" s="344"/>
      <c r="HTY40" s="344"/>
      <c r="HTZ40" s="344"/>
      <c r="HUA40" s="344"/>
      <c r="HUB40" s="344"/>
      <c r="HUC40" s="344"/>
      <c r="HUD40" s="344"/>
      <c r="HUE40" s="344"/>
      <c r="HUF40" s="344"/>
      <c r="HUG40" s="344"/>
      <c r="HUH40" s="344"/>
      <c r="HUI40" s="344"/>
      <c r="HUJ40" s="344"/>
      <c r="HUK40" s="344"/>
      <c r="HUL40" s="344"/>
      <c r="HUM40" s="344"/>
      <c r="HUN40" s="344"/>
      <c r="HUO40" s="344"/>
      <c r="HUP40" s="344"/>
      <c r="HUQ40" s="344"/>
      <c r="HUR40" s="344"/>
      <c r="HUS40" s="344"/>
      <c r="HUT40" s="344"/>
      <c r="HUU40" s="344"/>
      <c r="HUV40" s="344"/>
      <c r="HUW40" s="344"/>
      <c r="HUX40" s="344"/>
      <c r="HUY40" s="344"/>
      <c r="HUZ40" s="344"/>
      <c r="HVA40" s="344"/>
      <c r="HVB40" s="344"/>
      <c r="HVC40" s="344"/>
      <c r="HVD40" s="344"/>
      <c r="HVE40" s="344"/>
      <c r="HVF40" s="344"/>
      <c r="HVG40" s="344"/>
      <c r="HVH40" s="344"/>
      <c r="HVI40" s="344"/>
      <c r="HVJ40" s="344"/>
      <c r="HVK40" s="344"/>
      <c r="HVL40" s="344"/>
      <c r="HVM40" s="344"/>
      <c r="HVN40" s="344"/>
      <c r="HVO40" s="344"/>
      <c r="HVP40" s="344"/>
      <c r="HVQ40" s="344"/>
      <c r="HVR40" s="344"/>
      <c r="HVS40" s="344"/>
      <c r="HVT40" s="344"/>
      <c r="HVU40" s="344"/>
      <c r="HVV40" s="344"/>
      <c r="HVW40" s="344"/>
      <c r="HVX40" s="344"/>
      <c r="HVY40" s="344"/>
      <c r="HVZ40" s="344"/>
      <c r="HWA40" s="344"/>
      <c r="HWB40" s="344"/>
      <c r="HWC40" s="344"/>
      <c r="HWD40" s="344"/>
      <c r="HWE40" s="344"/>
      <c r="HWF40" s="344"/>
      <c r="HWG40" s="344"/>
      <c r="HWH40" s="344"/>
      <c r="HWI40" s="344"/>
      <c r="HWJ40" s="344"/>
      <c r="HWK40" s="344"/>
      <c r="HWL40" s="344"/>
      <c r="HWM40" s="344"/>
      <c r="HWN40" s="344"/>
      <c r="HWO40" s="344"/>
      <c r="HWP40" s="344"/>
      <c r="HWQ40" s="344"/>
      <c r="HWR40" s="344"/>
      <c r="HWS40" s="344"/>
      <c r="HWT40" s="344"/>
      <c r="HWU40" s="344"/>
      <c r="HWV40" s="344"/>
      <c r="HWW40" s="344"/>
      <c r="HWX40" s="344"/>
      <c r="HWY40" s="344"/>
      <c r="HWZ40" s="344"/>
      <c r="HXA40" s="344"/>
      <c r="HXB40" s="344"/>
      <c r="HXC40" s="344"/>
      <c r="HXD40" s="344"/>
      <c r="HXE40" s="344"/>
      <c r="HXF40" s="344"/>
      <c r="HXG40" s="344"/>
      <c r="HXH40" s="344"/>
      <c r="HXI40" s="344"/>
      <c r="HXJ40" s="344"/>
      <c r="HXK40" s="344"/>
      <c r="HXL40" s="344"/>
      <c r="HXM40" s="344"/>
      <c r="HXN40" s="344"/>
      <c r="HXO40" s="344"/>
      <c r="HXP40" s="344"/>
      <c r="HXQ40" s="344"/>
      <c r="HXR40" s="344"/>
      <c r="HXS40" s="344"/>
      <c r="HXT40" s="344"/>
      <c r="HXU40" s="344"/>
      <c r="HXV40" s="344"/>
      <c r="HXW40" s="344"/>
      <c r="HXX40" s="344"/>
      <c r="HXY40" s="344"/>
      <c r="HXZ40" s="344"/>
      <c r="HYA40" s="344"/>
      <c r="HYB40" s="344"/>
      <c r="HYC40" s="344"/>
      <c r="HYD40" s="344"/>
      <c r="HYE40" s="344"/>
      <c r="HYF40" s="344"/>
      <c r="HYG40" s="344"/>
      <c r="HYH40" s="344"/>
      <c r="HYI40" s="344"/>
      <c r="HYJ40" s="344"/>
      <c r="HYK40" s="344"/>
      <c r="HYL40" s="344"/>
      <c r="HYM40" s="344"/>
      <c r="HYN40" s="344"/>
      <c r="HYO40" s="344"/>
      <c r="HYP40" s="344"/>
      <c r="HYQ40" s="344"/>
      <c r="HYR40" s="344"/>
      <c r="HYS40" s="344"/>
      <c r="HYT40" s="344"/>
      <c r="HYU40" s="344"/>
      <c r="HYV40" s="344"/>
      <c r="HYW40" s="344"/>
      <c r="HYX40" s="344"/>
      <c r="HYY40" s="344"/>
      <c r="HYZ40" s="344"/>
      <c r="HZA40" s="344"/>
      <c r="HZB40" s="344"/>
      <c r="HZC40" s="344"/>
      <c r="HZD40" s="344"/>
      <c r="HZE40" s="344"/>
      <c r="HZF40" s="344"/>
      <c r="HZG40" s="344"/>
      <c r="HZH40" s="344"/>
      <c r="HZI40" s="344"/>
      <c r="HZJ40" s="344"/>
      <c r="HZK40" s="344"/>
      <c r="HZL40" s="344"/>
      <c r="HZM40" s="344"/>
      <c r="HZN40" s="344"/>
      <c r="HZO40" s="344"/>
      <c r="HZP40" s="344"/>
      <c r="HZQ40" s="344"/>
      <c r="HZR40" s="344"/>
      <c r="HZS40" s="344"/>
      <c r="HZT40" s="344"/>
      <c r="HZU40" s="344"/>
      <c r="HZV40" s="344"/>
      <c r="HZW40" s="344"/>
      <c r="HZX40" s="344"/>
      <c r="HZY40" s="344"/>
      <c r="HZZ40" s="344"/>
      <c r="IAA40" s="344"/>
      <c r="IAB40" s="344"/>
      <c r="IAC40" s="344"/>
      <c r="IAD40" s="344"/>
      <c r="IAE40" s="344"/>
      <c r="IAF40" s="344"/>
      <c r="IAG40" s="344"/>
      <c r="IAH40" s="344"/>
      <c r="IAI40" s="344"/>
      <c r="IAJ40" s="344"/>
      <c r="IAK40" s="344"/>
      <c r="IAL40" s="344"/>
      <c r="IAM40" s="344"/>
      <c r="IAN40" s="344"/>
      <c r="IAO40" s="344"/>
      <c r="IAP40" s="344"/>
      <c r="IAQ40" s="344"/>
      <c r="IAR40" s="344"/>
      <c r="IAS40" s="344"/>
      <c r="IAT40" s="344"/>
      <c r="IAU40" s="344"/>
      <c r="IAV40" s="344"/>
      <c r="IAW40" s="344"/>
      <c r="IAX40" s="344"/>
      <c r="IAY40" s="344"/>
      <c r="IAZ40" s="344"/>
      <c r="IBA40" s="344"/>
      <c r="IBB40" s="344"/>
      <c r="IBC40" s="344"/>
      <c r="IBD40" s="344"/>
      <c r="IBE40" s="344"/>
      <c r="IBF40" s="344"/>
      <c r="IBG40" s="344"/>
      <c r="IBH40" s="344"/>
      <c r="IBI40" s="344"/>
      <c r="IBJ40" s="344"/>
      <c r="IBK40" s="344"/>
      <c r="IBL40" s="344"/>
      <c r="IBM40" s="344"/>
      <c r="IBN40" s="344"/>
      <c r="IBO40" s="344"/>
      <c r="IBP40" s="344"/>
      <c r="IBQ40" s="344"/>
      <c r="IBR40" s="344"/>
      <c r="IBS40" s="344"/>
      <c r="IBT40" s="344"/>
      <c r="IBU40" s="344"/>
      <c r="IBV40" s="344"/>
      <c r="IBW40" s="344"/>
      <c r="IBX40" s="344"/>
      <c r="IBY40" s="344"/>
      <c r="IBZ40" s="344"/>
      <c r="ICA40" s="344"/>
      <c r="ICB40" s="344"/>
      <c r="ICC40" s="344"/>
      <c r="ICD40" s="344"/>
      <c r="ICE40" s="344"/>
      <c r="ICF40" s="344"/>
      <c r="ICG40" s="344"/>
      <c r="ICH40" s="344"/>
      <c r="ICI40" s="344"/>
      <c r="ICJ40" s="344"/>
      <c r="ICK40" s="344"/>
      <c r="ICL40" s="344"/>
      <c r="ICM40" s="344"/>
      <c r="ICN40" s="344"/>
      <c r="ICO40" s="344"/>
      <c r="ICP40" s="344"/>
      <c r="ICQ40" s="344"/>
      <c r="ICR40" s="344"/>
      <c r="ICS40" s="344"/>
      <c r="ICT40" s="344"/>
      <c r="ICU40" s="344"/>
      <c r="ICV40" s="344"/>
      <c r="ICW40" s="344"/>
      <c r="ICX40" s="344"/>
      <c r="ICY40" s="344"/>
      <c r="ICZ40" s="344"/>
      <c r="IDA40" s="344"/>
      <c r="IDB40" s="344"/>
      <c r="IDC40" s="344"/>
      <c r="IDD40" s="344"/>
      <c r="IDE40" s="344"/>
      <c r="IDF40" s="344"/>
      <c r="IDG40" s="344"/>
      <c r="IDH40" s="344"/>
      <c r="IDI40" s="344"/>
      <c r="IDJ40" s="344"/>
      <c r="IDK40" s="344"/>
      <c r="IDL40" s="344"/>
      <c r="IDM40" s="344"/>
      <c r="IDN40" s="344"/>
      <c r="IDO40" s="344"/>
      <c r="IDP40" s="344"/>
      <c r="IDQ40" s="344"/>
      <c r="IDR40" s="344"/>
      <c r="IDS40" s="344"/>
      <c r="IDT40" s="344"/>
      <c r="IDU40" s="344"/>
      <c r="IDV40" s="344"/>
      <c r="IDW40" s="344"/>
      <c r="IDX40" s="344"/>
      <c r="IDY40" s="344"/>
      <c r="IDZ40" s="344"/>
      <c r="IEA40" s="344"/>
      <c r="IEB40" s="344"/>
      <c r="IEC40" s="344"/>
      <c r="IED40" s="344"/>
      <c r="IEE40" s="344"/>
      <c r="IEF40" s="344"/>
      <c r="IEG40" s="344"/>
      <c r="IEH40" s="344"/>
      <c r="IEI40" s="344"/>
      <c r="IEJ40" s="344"/>
      <c r="IEK40" s="344"/>
      <c r="IEL40" s="344"/>
      <c r="IEM40" s="344"/>
      <c r="IEN40" s="344"/>
      <c r="IEO40" s="344"/>
      <c r="IEP40" s="344"/>
      <c r="IEQ40" s="344"/>
      <c r="IER40" s="344"/>
      <c r="IES40" s="344"/>
      <c r="IET40" s="344"/>
      <c r="IEU40" s="344"/>
      <c r="IEV40" s="344"/>
      <c r="IEW40" s="344"/>
      <c r="IEX40" s="344"/>
      <c r="IEY40" s="344"/>
      <c r="IEZ40" s="344"/>
      <c r="IFA40" s="344"/>
      <c r="IFB40" s="344"/>
      <c r="IFC40" s="344"/>
      <c r="IFD40" s="344"/>
      <c r="IFE40" s="344"/>
      <c r="IFF40" s="344"/>
      <c r="IFG40" s="344"/>
      <c r="IFH40" s="344"/>
      <c r="IFI40" s="344"/>
      <c r="IFJ40" s="344"/>
      <c r="IFK40" s="344"/>
      <c r="IFL40" s="344"/>
      <c r="IFM40" s="344"/>
      <c r="IFN40" s="344"/>
      <c r="IFO40" s="344"/>
      <c r="IFP40" s="344"/>
      <c r="IFQ40" s="344"/>
      <c r="IFR40" s="344"/>
      <c r="IFS40" s="344"/>
      <c r="IFT40" s="344"/>
      <c r="IFU40" s="344"/>
      <c r="IFV40" s="344"/>
      <c r="IFW40" s="344"/>
      <c r="IFX40" s="344"/>
      <c r="IFY40" s="344"/>
      <c r="IFZ40" s="344"/>
      <c r="IGA40" s="344"/>
      <c r="IGB40" s="344"/>
      <c r="IGC40" s="344"/>
      <c r="IGD40" s="344"/>
      <c r="IGE40" s="344"/>
      <c r="IGF40" s="344"/>
      <c r="IGG40" s="344"/>
      <c r="IGH40" s="344"/>
      <c r="IGI40" s="344"/>
      <c r="IGJ40" s="344"/>
      <c r="IGK40" s="344"/>
      <c r="IGL40" s="344"/>
      <c r="IGM40" s="344"/>
      <c r="IGN40" s="344"/>
      <c r="IGO40" s="344"/>
      <c r="IGP40" s="344"/>
      <c r="IGQ40" s="344"/>
      <c r="IGR40" s="344"/>
      <c r="IGS40" s="344"/>
      <c r="IGT40" s="344"/>
      <c r="IGU40" s="344"/>
      <c r="IGV40" s="344"/>
      <c r="IGW40" s="344"/>
      <c r="IGX40" s="344"/>
      <c r="IGY40" s="344"/>
      <c r="IGZ40" s="344"/>
      <c r="IHA40" s="344"/>
      <c r="IHB40" s="344"/>
      <c r="IHC40" s="344"/>
      <c r="IHD40" s="344"/>
      <c r="IHE40" s="344"/>
      <c r="IHF40" s="344"/>
      <c r="IHG40" s="344"/>
      <c r="IHH40" s="344"/>
      <c r="IHI40" s="344"/>
      <c r="IHJ40" s="344"/>
      <c r="IHK40" s="344"/>
      <c r="IHL40" s="344"/>
      <c r="IHM40" s="344"/>
      <c r="IHN40" s="344"/>
      <c r="IHO40" s="344"/>
      <c r="IHP40" s="344"/>
      <c r="IHQ40" s="344"/>
      <c r="IHR40" s="344"/>
      <c r="IHS40" s="344"/>
      <c r="IHT40" s="344"/>
      <c r="IHU40" s="344"/>
      <c r="IHV40" s="344"/>
      <c r="IHW40" s="344"/>
      <c r="IHX40" s="344"/>
      <c r="IHY40" s="344"/>
      <c r="IHZ40" s="344"/>
      <c r="IIA40" s="344"/>
      <c r="IIB40" s="344"/>
      <c r="IIC40" s="344"/>
      <c r="IID40" s="344"/>
      <c r="IIE40" s="344"/>
      <c r="IIF40" s="344"/>
      <c r="IIG40" s="344"/>
      <c r="IIH40" s="344"/>
      <c r="III40" s="344"/>
      <c r="IIJ40" s="344"/>
      <c r="IIK40" s="344"/>
      <c r="IIL40" s="344"/>
      <c r="IIM40" s="344"/>
      <c r="IIN40" s="344"/>
      <c r="IIO40" s="344"/>
      <c r="IIP40" s="344"/>
      <c r="IIQ40" s="344"/>
      <c r="IIR40" s="344"/>
      <c r="IIS40" s="344"/>
      <c r="IIT40" s="344"/>
      <c r="IIU40" s="344"/>
      <c r="IIV40" s="344"/>
      <c r="IIW40" s="344"/>
      <c r="IIX40" s="344"/>
      <c r="IIY40" s="344"/>
      <c r="IIZ40" s="344"/>
      <c r="IJA40" s="344"/>
      <c r="IJB40" s="344"/>
      <c r="IJC40" s="344"/>
      <c r="IJD40" s="344"/>
      <c r="IJE40" s="344"/>
      <c r="IJF40" s="344"/>
      <c r="IJG40" s="344"/>
      <c r="IJH40" s="344"/>
      <c r="IJI40" s="344"/>
      <c r="IJJ40" s="344"/>
      <c r="IJK40" s="344"/>
      <c r="IJL40" s="344"/>
      <c r="IJM40" s="344"/>
      <c r="IJN40" s="344"/>
      <c r="IJO40" s="344"/>
      <c r="IJP40" s="344"/>
      <c r="IJQ40" s="344"/>
      <c r="IJR40" s="344"/>
      <c r="IJS40" s="344"/>
      <c r="IJT40" s="344"/>
      <c r="IJU40" s="344"/>
      <c r="IJV40" s="344"/>
      <c r="IJW40" s="344"/>
      <c r="IJX40" s="344"/>
      <c r="IJY40" s="344"/>
      <c r="IJZ40" s="344"/>
      <c r="IKA40" s="344"/>
      <c r="IKB40" s="344"/>
      <c r="IKC40" s="344"/>
      <c r="IKD40" s="344"/>
      <c r="IKE40" s="344"/>
      <c r="IKF40" s="344"/>
      <c r="IKG40" s="344"/>
      <c r="IKH40" s="344"/>
      <c r="IKI40" s="344"/>
      <c r="IKJ40" s="344"/>
      <c r="IKK40" s="344"/>
      <c r="IKL40" s="344"/>
      <c r="IKM40" s="344"/>
      <c r="IKN40" s="344"/>
      <c r="IKO40" s="344"/>
      <c r="IKP40" s="344"/>
      <c r="IKQ40" s="344"/>
      <c r="IKR40" s="344"/>
      <c r="IKS40" s="344"/>
      <c r="IKT40" s="344"/>
      <c r="IKU40" s="344"/>
      <c r="IKV40" s="344"/>
      <c r="IKW40" s="344"/>
      <c r="IKX40" s="344"/>
      <c r="IKY40" s="344"/>
      <c r="IKZ40" s="344"/>
      <c r="ILA40" s="344"/>
      <c r="ILB40" s="344"/>
      <c r="ILC40" s="344"/>
      <c r="ILD40" s="344"/>
      <c r="ILE40" s="344"/>
      <c r="ILF40" s="344"/>
      <c r="ILG40" s="344"/>
      <c r="ILH40" s="344"/>
      <c r="ILI40" s="344"/>
      <c r="ILJ40" s="344"/>
      <c r="ILK40" s="344"/>
      <c r="ILL40" s="344"/>
      <c r="ILM40" s="344"/>
      <c r="ILN40" s="344"/>
      <c r="ILO40" s="344"/>
      <c r="ILP40" s="344"/>
      <c r="ILQ40" s="344"/>
      <c r="ILR40" s="344"/>
      <c r="ILS40" s="344"/>
      <c r="ILT40" s="344"/>
      <c r="ILU40" s="344"/>
      <c r="ILV40" s="344"/>
      <c r="ILW40" s="344"/>
      <c r="ILX40" s="344"/>
      <c r="ILY40" s="344"/>
      <c r="ILZ40" s="344"/>
      <c r="IMA40" s="344"/>
      <c r="IMB40" s="344"/>
      <c r="IMC40" s="344"/>
      <c r="IMD40" s="344"/>
      <c r="IME40" s="344"/>
      <c r="IMF40" s="344"/>
      <c r="IMG40" s="344"/>
      <c r="IMH40" s="344"/>
      <c r="IMI40" s="344"/>
      <c r="IMJ40" s="344"/>
      <c r="IMK40" s="344"/>
      <c r="IML40" s="344"/>
      <c r="IMM40" s="344"/>
      <c r="IMN40" s="344"/>
      <c r="IMO40" s="344"/>
      <c r="IMP40" s="344"/>
      <c r="IMQ40" s="344"/>
      <c r="IMR40" s="344"/>
      <c r="IMS40" s="344"/>
      <c r="IMT40" s="344"/>
      <c r="IMU40" s="344"/>
      <c r="IMV40" s="344"/>
      <c r="IMW40" s="344"/>
      <c r="IMX40" s="344"/>
      <c r="IMY40" s="344"/>
      <c r="IMZ40" s="344"/>
      <c r="INA40" s="344"/>
      <c r="INB40" s="344"/>
      <c r="INC40" s="344"/>
      <c r="IND40" s="344"/>
      <c r="INE40" s="344"/>
      <c r="INF40" s="344"/>
      <c r="ING40" s="344"/>
      <c r="INH40" s="344"/>
      <c r="INI40" s="344"/>
      <c r="INJ40" s="344"/>
      <c r="INK40" s="344"/>
      <c r="INL40" s="344"/>
      <c r="INM40" s="344"/>
      <c r="INN40" s="344"/>
      <c r="INO40" s="344"/>
      <c r="INP40" s="344"/>
      <c r="INQ40" s="344"/>
      <c r="INR40" s="344"/>
      <c r="INS40" s="344"/>
      <c r="INT40" s="344"/>
      <c r="INU40" s="344"/>
      <c r="INV40" s="344"/>
      <c r="INW40" s="344"/>
      <c r="INX40" s="344"/>
      <c r="INY40" s="344"/>
      <c r="INZ40" s="344"/>
      <c r="IOA40" s="344"/>
      <c r="IOB40" s="344"/>
      <c r="IOC40" s="344"/>
      <c r="IOD40" s="344"/>
      <c r="IOE40" s="344"/>
      <c r="IOF40" s="344"/>
      <c r="IOG40" s="344"/>
      <c r="IOH40" s="344"/>
      <c r="IOI40" s="344"/>
      <c r="IOJ40" s="344"/>
      <c r="IOK40" s="344"/>
      <c r="IOL40" s="344"/>
      <c r="IOM40" s="344"/>
      <c r="ION40" s="344"/>
      <c r="IOO40" s="344"/>
      <c r="IOP40" s="344"/>
      <c r="IOQ40" s="344"/>
      <c r="IOR40" s="344"/>
      <c r="IOS40" s="344"/>
      <c r="IOT40" s="344"/>
      <c r="IOU40" s="344"/>
      <c r="IOV40" s="344"/>
      <c r="IOW40" s="344"/>
      <c r="IOX40" s="344"/>
      <c r="IOY40" s="344"/>
      <c r="IOZ40" s="344"/>
      <c r="IPA40" s="344"/>
      <c r="IPB40" s="344"/>
      <c r="IPC40" s="344"/>
      <c r="IPD40" s="344"/>
      <c r="IPE40" s="344"/>
      <c r="IPF40" s="344"/>
      <c r="IPG40" s="344"/>
      <c r="IPH40" s="344"/>
      <c r="IPI40" s="344"/>
      <c r="IPJ40" s="344"/>
      <c r="IPK40" s="344"/>
      <c r="IPL40" s="344"/>
      <c r="IPM40" s="344"/>
      <c r="IPN40" s="344"/>
      <c r="IPO40" s="344"/>
      <c r="IPP40" s="344"/>
      <c r="IPQ40" s="344"/>
      <c r="IPR40" s="344"/>
      <c r="IPS40" s="344"/>
      <c r="IPT40" s="344"/>
      <c r="IPU40" s="344"/>
      <c r="IPV40" s="344"/>
      <c r="IPW40" s="344"/>
      <c r="IPX40" s="344"/>
      <c r="IPY40" s="344"/>
      <c r="IPZ40" s="344"/>
      <c r="IQA40" s="344"/>
      <c r="IQB40" s="344"/>
      <c r="IQC40" s="344"/>
      <c r="IQD40" s="344"/>
      <c r="IQE40" s="344"/>
      <c r="IQF40" s="344"/>
      <c r="IQG40" s="344"/>
      <c r="IQH40" s="344"/>
      <c r="IQI40" s="344"/>
      <c r="IQJ40" s="344"/>
      <c r="IQK40" s="344"/>
      <c r="IQL40" s="344"/>
      <c r="IQM40" s="344"/>
      <c r="IQN40" s="344"/>
      <c r="IQO40" s="344"/>
      <c r="IQP40" s="344"/>
      <c r="IQQ40" s="344"/>
      <c r="IQR40" s="344"/>
      <c r="IQS40" s="344"/>
      <c r="IQT40" s="344"/>
      <c r="IQU40" s="344"/>
      <c r="IQV40" s="344"/>
      <c r="IQW40" s="344"/>
      <c r="IQX40" s="344"/>
      <c r="IQY40" s="344"/>
      <c r="IQZ40" s="344"/>
      <c r="IRA40" s="344"/>
      <c r="IRB40" s="344"/>
      <c r="IRC40" s="344"/>
      <c r="IRD40" s="344"/>
      <c r="IRE40" s="344"/>
      <c r="IRF40" s="344"/>
      <c r="IRG40" s="344"/>
      <c r="IRH40" s="344"/>
      <c r="IRI40" s="344"/>
      <c r="IRJ40" s="344"/>
      <c r="IRK40" s="344"/>
      <c r="IRL40" s="344"/>
      <c r="IRM40" s="344"/>
      <c r="IRN40" s="344"/>
      <c r="IRO40" s="344"/>
      <c r="IRP40" s="344"/>
      <c r="IRQ40" s="344"/>
      <c r="IRR40" s="344"/>
      <c r="IRS40" s="344"/>
      <c r="IRT40" s="344"/>
      <c r="IRU40" s="344"/>
      <c r="IRV40" s="344"/>
      <c r="IRW40" s="344"/>
      <c r="IRX40" s="344"/>
      <c r="IRY40" s="344"/>
      <c r="IRZ40" s="344"/>
      <c r="ISA40" s="344"/>
      <c r="ISB40" s="344"/>
      <c r="ISC40" s="344"/>
      <c r="ISD40" s="344"/>
      <c r="ISE40" s="344"/>
      <c r="ISF40" s="344"/>
      <c r="ISG40" s="344"/>
      <c r="ISH40" s="344"/>
      <c r="ISI40" s="344"/>
      <c r="ISJ40" s="344"/>
      <c r="ISK40" s="344"/>
      <c r="ISL40" s="344"/>
      <c r="ISM40" s="344"/>
      <c r="ISN40" s="344"/>
      <c r="ISO40" s="344"/>
      <c r="ISP40" s="344"/>
      <c r="ISQ40" s="344"/>
      <c r="ISR40" s="344"/>
      <c r="ISS40" s="344"/>
      <c r="IST40" s="344"/>
      <c r="ISU40" s="344"/>
      <c r="ISV40" s="344"/>
      <c r="ISW40" s="344"/>
      <c r="ISX40" s="344"/>
      <c r="ISY40" s="344"/>
      <c r="ISZ40" s="344"/>
      <c r="ITA40" s="344"/>
      <c r="ITB40" s="344"/>
      <c r="ITC40" s="344"/>
      <c r="ITD40" s="344"/>
      <c r="ITE40" s="344"/>
      <c r="ITF40" s="344"/>
      <c r="ITG40" s="344"/>
      <c r="ITH40" s="344"/>
      <c r="ITI40" s="344"/>
      <c r="ITJ40" s="344"/>
      <c r="ITK40" s="344"/>
      <c r="ITL40" s="344"/>
      <c r="ITM40" s="344"/>
      <c r="ITN40" s="344"/>
      <c r="ITO40" s="344"/>
      <c r="ITP40" s="344"/>
      <c r="ITQ40" s="344"/>
      <c r="ITR40" s="344"/>
      <c r="ITS40" s="344"/>
      <c r="ITT40" s="344"/>
      <c r="ITU40" s="344"/>
      <c r="ITV40" s="344"/>
      <c r="ITW40" s="344"/>
      <c r="ITX40" s="344"/>
      <c r="ITY40" s="344"/>
      <c r="ITZ40" s="344"/>
      <c r="IUA40" s="344"/>
      <c r="IUB40" s="344"/>
      <c r="IUC40" s="344"/>
      <c r="IUD40" s="344"/>
      <c r="IUE40" s="344"/>
      <c r="IUF40" s="344"/>
      <c r="IUG40" s="344"/>
      <c r="IUH40" s="344"/>
      <c r="IUI40" s="344"/>
      <c r="IUJ40" s="344"/>
      <c r="IUK40" s="344"/>
      <c r="IUL40" s="344"/>
      <c r="IUM40" s="344"/>
      <c r="IUN40" s="344"/>
      <c r="IUO40" s="344"/>
      <c r="IUP40" s="344"/>
      <c r="IUQ40" s="344"/>
      <c r="IUR40" s="344"/>
      <c r="IUS40" s="344"/>
      <c r="IUT40" s="344"/>
      <c r="IUU40" s="344"/>
      <c r="IUV40" s="344"/>
      <c r="IUW40" s="344"/>
      <c r="IUX40" s="344"/>
      <c r="IUY40" s="344"/>
      <c r="IUZ40" s="344"/>
      <c r="IVA40" s="344"/>
      <c r="IVB40" s="344"/>
      <c r="IVC40" s="344"/>
      <c r="IVD40" s="344"/>
      <c r="IVE40" s="344"/>
      <c r="IVF40" s="344"/>
      <c r="IVG40" s="344"/>
      <c r="IVH40" s="344"/>
      <c r="IVI40" s="344"/>
      <c r="IVJ40" s="344"/>
      <c r="IVK40" s="344"/>
      <c r="IVL40" s="344"/>
      <c r="IVM40" s="344"/>
      <c r="IVN40" s="344"/>
      <c r="IVO40" s="344"/>
      <c r="IVP40" s="344"/>
      <c r="IVQ40" s="344"/>
      <c r="IVR40" s="344"/>
      <c r="IVS40" s="344"/>
      <c r="IVT40" s="344"/>
      <c r="IVU40" s="344"/>
      <c r="IVV40" s="344"/>
      <c r="IVW40" s="344"/>
      <c r="IVX40" s="344"/>
      <c r="IVY40" s="344"/>
      <c r="IVZ40" s="344"/>
      <c r="IWA40" s="344"/>
      <c r="IWB40" s="344"/>
      <c r="IWC40" s="344"/>
      <c r="IWD40" s="344"/>
      <c r="IWE40" s="344"/>
      <c r="IWF40" s="344"/>
      <c r="IWG40" s="344"/>
      <c r="IWH40" s="344"/>
      <c r="IWI40" s="344"/>
      <c r="IWJ40" s="344"/>
      <c r="IWK40" s="344"/>
      <c r="IWL40" s="344"/>
      <c r="IWM40" s="344"/>
      <c r="IWN40" s="344"/>
      <c r="IWO40" s="344"/>
      <c r="IWP40" s="344"/>
      <c r="IWQ40" s="344"/>
      <c r="IWR40" s="344"/>
      <c r="IWS40" s="344"/>
      <c r="IWT40" s="344"/>
      <c r="IWU40" s="344"/>
      <c r="IWV40" s="344"/>
      <c r="IWW40" s="344"/>
      <c r="IWX40" s="344"/>
      <c r="IWY40" s="344"/>
      <c r="IWZ40" s="344"/>
      <c r="IXA40" s="344"/>
      <c r="IXB40" s="344"/>
      <c r="IXC40" s="344"/>
      <c r="IXD40" s="344"/>
      <c r="IXE40" s="344"/>
      <c r="IXF40" s="344"/>
      <c r="IXG40" s="344"/>
      <c r="IXH40" s="344"/>
      <c r="IXI40" s="344"/>
      <c r="IXJ40" s="344"/>
      <c r="IXK40" s="344"/>
      <c r="IXL40" s="344"/>
      <c r="IXM40" s="344"/>
      <c r="IXN40" s="344"/>
      <c r="IXO40" s="344"/>
      <c r="IXP40" s="344"/>
      <c r="IXQ40" s="344"/>
      <c r="IXR40" s="344"/>
      <c r="IXS40" s="344"/>
      <c r="IXT40" s="344"/>
      <c r="IXU40" s="344"/>
      <c r="IXV40" s="344"/>
      <c r="IXW40" s="344"/>
      <c r="IXX40" s="344"/>
      <c r="IXY40" s="344"/>
      <c r="IXZ40" s="344"/>
      <c r="IYA40" s="344"/>
      <c r="IYB40" s="344"/>
      <c r="IYC40" s="344"/>
      <c r="IYD40" s="344"/>
      <c r="IYE40" s="344"/>
      <c r="IYF40" s="344"/>
      <c r="IYG40" s="344"/>
      <c r="IYH40" s="344"/>
      <c r="IYI40" s="344"/>
      <c r="IYJ40" s="344"/>
      <c r="IYK40" s="344"/>
      <c r="IYL40" s="344"/>
      <c r="IYM40" s="344"/>
      <c r="IYN40" s="344"/>
      <c r="IYO40" s="344"/>
      <c r="IYP40" s="344"/>
      <c r="IYQ40" s="344"/>
      <c r="IYR40" s="344"/>
      <c r="IYS40" s="344"/>
      <c r="IYT40" s="344"/>
      <c r="IYU40" s="344"/>
      <c r="IYV40" s="344"/>
      <c r="IYW40" s="344"/>
      <c r="IYX40" s="344"/>
      <c r="IYY40" s="344"/>
      <c r="IYZ40" s="344"/>
      <c r="IZA40" s="344"/>
      <c r="IZB40" s="344"/>
      <c r="IZC40" s="344"/>
      <c r="IZD40" s="344"/>
      <c r="IZE40" s="344"/>
      <c r="IZF40" s="344"/>
      <c r="IZG40" s="344"/>
      <c r="IZH40" s="344"/>
      <c r="IZI40" s="344"/>
      <c r="IZJ40" s="344"/>
      <c r="IZK40" s="344"/>
      <c r="IZL40" s="344"/>
      <c r="IZM40" s="344"/>
      <c r="IZN40" s="344"/>
      <c r="IZO40" s="344"/>
      <c r="IZP40" s="344"/>
      <c r="IZQ40" s="344"/>
      <c r="IZR40" s="344"/>
      <c r="IZS40" s="344"/>
      <c r="IZT40" s="344"/>
      <c r="IZU40" s="344"/>
      <c r="IZV40" s="344"/>
      <c r="IZW40" s="344"/>
      <c r="IZX40" s="344"/>
      <c r="IZY40" s="344"/>
      <c r="IZZ40" s="344"/>
      <c r="JAA40" s="344"/>
      <c r="JAB40" s="344"/>
      <c r="JAC40" s="344"/>
      <c r="JAD40" s="344"/>
      <c r="JAE40" s="344"/>
      <c r="JAF40" s="344"/>
      <c r="JAG40" s="344"/>
      <c r="JAH40" s="344"/>
      <c r="JAI40" s="344"/>
      <c r="JAJ40" s="344"/>
      <c r="JAK40" s="344"/>
      <c r="JAL40" s="344"/>
      <c r="JAM40" s="344"/>
      <c r="JAN40" s="344"/>
      <c r="JAO40" s="344"/>
      <c r="JAP40" s="344"/>
      <c r="JAQ40" s="344"/>
      <c r="JAR40" s="344"/>
      <c r="JAS40" s="344"/>
      <c r="JAT40" s="344"/>
      <c r="JAU40" s="344"/>
      <c r="JAV40" s="344"/>
      <c r="JAW40" s="344"/>
      <c r="JAX40" s="344"/>
      <c r="JAY40" s="344"/>
      <c r="JAZ40" s="344"/>
      <c r="JBA40" s="344"/>
      <c r="JBB40" s="344"/>
      <c r="JBC40" s="344"/>
      <c r="JBD40" s="344"/>
      <c r="JBE40" s="344"/>
      <c r="JBF40" s="344"/>
      <c r="JBG40" s="344"/>
      <c r="JBH40" s="344"/>
      <c r="JBI40" s="344"/>
      <c r="JBJ40" s="344"/>
      <c r="JBK40" s="344"/>
      <c r="JBL40" s="344"/>
      <c r="JBM40" s="344"/>
      <c r="JBN40" s="344"/>
      <c r="JBO40" s="344"/>
      <c r="JBP40" s="344"/>
      <c r="JBQ40" s="344"/>
      <c r="JBR40" s="344"/>
      <c r="JBS40" s="344"/>
      <c r="JBT40" s="344"/>
      <c r="JBU40" s="344"/>
      <c r="JBV40" s="344"/>
      <c r="JBW40" s="344"/>
      <c r="JBX40" s="344"/>
      <c r="JBY40" s="344"/>
      <c r="JBZ40" s="344"/>
      <c r="JCA40" s="344"/>
      <c r="JCB40" s="344"/>
      <c r="JCC40" s="344"/>
      <c r="JCD40" s="344"/>
      <c r="JCE40" s="344"/>
      <c r="JCF40" s="344"/>
      <c r="JCG40" s="344"/>
      <c r="JCH40" s="344"/>
      <c r="JCI40" s="344"/>
      <c r="JCJ40" s="344"/>
      <c r="JCK40" s="344"/>
      <c r="JCL40" s="344"/>
      <c r="JCM40" s="344"/>
      <c r="JCN40" s="344"/>
      <c r="JCO40" s="344"/>
      <c r="JCP40" s="344"/>
      <c r="JCQ40" s="344"/>
      <c r="JCR40" s="344"/>
      <c r="JCS40" s="344"/>
      <c r="JCT40" s="344"/>
      <c r="JCU40" s="344"/>
      <c r="JCV40" s="344"/>
      <c r="JCW40" s="344"/>
      <c r="JCX40" s="344"/>
      <c r="JCY40" s="344"/>
      <c r="JCZ40" s="344"/>
      <c r="JDA40" s="344"/>
      <c r="JDB40" s="344"/>
      <c r="JDC40" s="344"/>
      <c r="JDD40" s="344"/>
      <c r="JDE40" s="344"/>
      <c r="JDF40" s="344"/>
      <c r="JDG40" s="344"/>
      <c r="JDH40" s="344"/>
      <c r="JDI40" s="344"/>
      <c r="JDJ40" s="344"/>
      <c r="JDK40" s="344"/>
      <c r="JDL40" s="344"/>
      <c r="JDM40" s="344"/>
      <c r="JDN40" s="344"/>
      <c r="JDO40" s="344"/>
      <c r="JDP40" s="344"/>
      <c r="JDQ40" s="344"/>
      <c r="JDR40" s="344"/>
      <c r="JDS40" s="344"/>
      <c r="JDT40" s="344"/>
      <c r="JDU40" s="344"/>
      <c r="JDV40" s="344"/>
      <c r="JDW40" s="344"/>
      <c r="JDX40" s="344"/>
      <c r="JDY40" s="344"/>
      <c r="JDZ40" s="344"/>
      <c r="JEA40" s="344"/>
      <c r="JEB40" s="344"/>
      <c r="JEC40" s="344"/>
      <c r="JED40" s="344"/>
      <c r="JEE40" s="344"/>
      <c r="JEF40" s="344"/>
      <c r="JEG40" s="344"/>
      <c r="JEH40" s="344"/>
      <c r="JEI40" s="344"/>
      <c r="JEJ40" s="344"/>
      <c r="JEK40" s="344"/>
      <c r="JEL40" s="344"/>
      <c r="JEM40" s="344"/>
      <c r="JEN40" s="344"/>
      <c r="JEO40" s="344"/>
      <c r="JEP40" s="344"/>
      <c r="JEQ40" s="344"/>
      <c r="JER40" s="344"/>
      <c r="JES40" s="344"/>
      <c r="JET40" s="344"/>
      <c r="JEU40" s="344"/>
      <c r="JEV40" s="344"/>
      <c r="JEW40" s="344"/>
      <c r="JEX40" s="344"/>
      <c r="JEY40" s="344"/>
      <c r="JEZ40" s="344"/>
      <c r="JFA40" s="344"/>
      <c r="JFB40" s="344"/>
      <c r="JFC40" s="344"/>
      <c r="JFD40" s="344"/>
      <c r="JFE40" s="344"/>
      <c r="JFF40" s="344"/>
      <c r="JFG40" s="344"/>
      <c r="JFH40" s="344"/>
      <c r="JFI40" s="344"/>
      <c r="JFJ40" s="344"/>
      <c r="JFK40" s="344"/>
      <c r="JFL40" s="344"/>
      <c r="JFM40" s="344"/>
      <c r="JFN40" s="344"/>
      <c r="JFO40" s="344"/>
      <c r="JFP40" s="344"/>
      <c r="JFQ40" s="344"/>
      <c r="JFR40" s="344"/>
      <c r="JFS40" s="344"/>
      <c r="JFT40" s="344"/>
      <c r="JFU40" s="344"/>
      <c r="JFV40" s="344"/>
      <c r="JFW40" s="344"/>
      <c r="JFX40" s="344"/>
      <c r="JFY40" s="344"/>
      <c r="JFZ40" s="344"/>
      <c r="JGA40" s="344"/>
      <c r="JGB40" s="344"/>
      <c r="JGC40" s="344"/>
      <c r="JGD40" s="344"/>
      <c r="JGE40" s="344"/>
      <c r="JGF40" s="344"/>
      <c r="JGG40" s="344"/>
      <c r="JGH40" s="344"/>
      <c r="JGI40" s="344"/>
      <c r="JGJ40" s="344"/>
      <c r="JGK40" s="344"/>
      <c r="JGL40" s="344"/>
      <c r="JGM40" s="344"/>
      <c r="JGN40" s="344"/>
      <c r="JGO40" s="344"/>
      <c r="JGP40" s="344"/>
      <c r="JGQ40" s="344"/>
      <c r="JGR40" s="344"/>
      <c r="JGS40" s="344"/>
      <c r="JGT40" s="344"/>
      <c r="JGU40" s="344"/>
      <c r="JGV40" s="344"/>
      <c r="JGW40" s="344"/>
      <c r="JGX40" s="344"/>
      <c r="JGY40" s="344"/>
      <c r="JGZ40" s="344"/>
      <c r="JHA40" s="344"/>
      <c r="JHB40" s="344"/>
      <c r="JHC40" s="344"/>
      <c r="JHD40" s="344"/>
      <c r="JHE40" s="344"/>
      <c r="JHF40" s="344"/>
      <c r="JHG40" s="344"/>
      <c r="JHH40" s="344"/>
      <c r="JHI40" s="344"/>
      <c r="JHJ40" s="344"/>
      <c r="JHK40" s="344"/>
      <c r="JHL40" s="344"/>
      <c r="JHM40" s="344"/>
      <c r="JHN40" s="344"/>
      <c r="JHO40" s="344"/>
      <c r="JHP40" s="344"/>
      <c r="JHQ40" s="344"/>
      <c r="JHR40" s="344"/>
      <c r="JHS40" s="344"/>
      <c r="JHT40" s="344"/>
      <c r="JHU40" s="344"/>
      <c r="JHV40" s="344"/>
      <c r="JHW40" s="344"/>
      <c r="JHX40" s="344"/>
      <c r="JHY40" s="344"/>
      <c r="JHZ40" s="344"/>
      <c r="JIA40" s="344"/>
      <c r="JIB40" s="344"/>
      <c r="JIC40" s="344"/>
      <c r="JID40" s="344"/>
      <c r="JIE40" s="344"/>
      <c r="JIF40" s="344"/>
      <c r="JIG40" s="344"/>
      <c r="JIH40" s="344"/>
      <c r="JII40" s="344"/>
      <c r="JIJ40" s="344"/>
      <c r="JIK40" s="344"/>
      <c r="JIL40" s="344"/>
      <c r="JIM40" s="344"/>
      <c r="JIN40" s="344"/>
      <c r="JIO40" s="344"/>
      <c r="JIP40" s="344"/>
      <c r="JIQ40" s="344"/>
      <c r="JIR40" s="344"/>
      <c r="JIS40" s="344"/>
      <c r="JIT40" s="344"/>
      <c r="JIU40" s="344"/>
      <c r="JIV40" s="344"/>
      <c r="JIW40" s="344"/>
      <c r="JIX40" s="344"/>
      <c r="JIY40" s="344"/>
      <c r="JIZ40" s="344"/>
      <c r="JJA40" s="344"/>
      <c r="JJB40" s="344"/>
      <c r="JJC40" s="344"/>
      <c r="JJD40" s="344"/>
      <c r="JJE40" s="344"/>
      <c r="JJF40" s="344"/>
      <c r="JJG40" s="344"/>
      <c r="JJH40" s="344"/>
      <c r="JJI40" s="344"/>
      <c r="JJJ40" s="344"/>
      <c r="JJK40" s="344"/>
      <c r="JJL40" s="344"/>
      <c r="JJM40" s="344"/>
      <c r="JJN40" s="344"/>
      <c r="JJO40" s="344"/>
      <c r="JJP40" s="344"/>
      <c r="JJQ40" s="344"/>
      <c r="JJR40" s="344"/>
      <c r="JJS40" s="344"/>
      <c r="JJT40" s="344"/>
      <c r="JJU40" s="344"/>
      <c r="JJV40" s="344"/>
      <c r="JJW40" s="344"/>
      <c r="JJX40" s="344"/>
      <c r="JJY40" s="344"/>
      <c r="JJZ40" s="344"/>
      <c r="JKA40" s="344"/>
      <c r="JKB40" s="344"/>
      <c r="JKC40" s="344"/>
      <c r="JKD40" s="344"/>
      <c r="JKE40" s="344"/>
      <c r="JKF40" s="344"/>
      <c r="JKG40" s="344"/>
      <c r="JKH40" s="344"/>
      <c r="JKI40" s="344"/>
      <c r="JKJ40" s="344"/>
      <c r="JKK40" s="344"/>
      <c r="JKL40" s="344"/>
      <c r="JKM40" s="344"/>
      <c r="JKN40" s="344"/>
      <c r="JKO40" s="344"/>
      <c r="JKP40" s="344"/>
      <c r="JKQ40" s="344"/>
      <c r="JKR40" s="344"/>
      <c r="JKS40" s="344"/>
      <c r="JKT40" s="344"/>
      <c r="JKU40" s="344"/>
      <c r="JKV40" s="344"/>
      <c r="JKW40" s="344"/>
      <c r="JKX40" s="344"/>
      <c r="JKY40" s="344"/>
      <c r="JKZ40" s="344"/>
      <c r="JLA40" s="344"/>
      <c r="JLB40" s="344"/>
      <c r="JLC40" s="344"/>
      <c r="JLD40" s="344"/>
      <c r="JLE40" s="344"/>
      <c r="JLF40" s="344"/>
      <c r="JLG40" s="344"/>
      <c r="JLH40" s="344"/>
      <c r="JLI40" s="344"/>
      <c r="JLJ40" s="344"/>
      <c r="JLK40" s="344"/>
      <c r="JLL40" s="344"/>
      <c r="JLM40" s="344"/>
      <c r="JLN40" s="344"/>
      <c r="JLO40" s="344"/>
      <c r="JLP40" s="344"/>
      <c r="JLQ40" s="344"/>
      <c r="JLR40" s="344"/>
      <c r="JLS40" s="344"/>
      <c r="JLT40" s="344"/>
      <c r="JLU40" s="344"/>
      <c r="JLV40" s="344"/>
      <c r="JLW40" s="344"/>
      <c r="JLX40" s="344"/>
      <c r="JLY40" s="344"/>
      <c r="JLZ40" s="344"/>
      <c r="JMA40" s="344"/>
      <c r="JMB40" s="344"/>
      <c r="JMC40" s="344"/>
      <c r="JMD40" s="344"/>
      <c r="JME40" s="344"/>
      <c r="JMF40" s="344"/>
      <c r="JMG40" s="344"/>
      <c r="JMH40" s="344"/>
      <c r="JMI40" s="344"/>
      <c r="JMJ40" s="344"/>
      <c r="JMK40" s="344"/>
      <c r="JML40" s="344"/>
      <c r="JMM40" s="344"/>
      <c r="JMN40" s="344"/>
      <c r="JMO40" s="344"/>
      <c r="JMP40" s="344"/>
      <c r="JMQ40" s="344"/>
      <c r="JMR40" s="344"/>
      <c r="JMS40" s="344"/>
      <c r="JMT40" s="344"/>
      <c r="JMU40" s="344"/>
      <c r="JMV40" s="344"/>
      <c r="JMW40" s="344"/>
      <c r="JMX40" s="344"/>
      <c r="JMY40" s="344"/>
      <c r="JMZ40" s="344"/>
      <c r="JNA40" s="344"/>
      <c r="JNB40" s="344"/>
      <c r="JNC40" s="344"/>
      <c r="JND40" s="344"/>
      <c r="JNE40" s="344"/>
      <c r="JNF40" s="344"/>
      <c r="JNG40" s="344"/>
      <c r="JNH40" s="344"/>
      <c r="JNI40" s="344"/>
      <c r="JNJ40" s="344"/>
      <c r="JNK40" s="344"/>
      <c r="JNL40" s="344"/>
      <c r="JNM40" s="344"/>
      <c r="JNN40" s="344"/>
      <c r="JNO40" s="344"/>
      <c r="JNP40" s="344"/>
      <c r="JNQ40" s="344"/>
      <c r="JNR40" s="344"/>
      <c r="JNS40" s="344"/>
      <c r="JNT40" s="344"/>
      <c r="JNU40" s="344"/>
      <c r="JNV40" s="344"/>
      <c r="JNW40" s="344"/>
      <c r="JNX40" s="344"/>
      <c r="JNY40" s="344"/>
      <c r="JNZ40" s="344"/>
      <c r="JOA40" s="344"/>
      <c r="JOB40" s="344"/>
      <c r="JOC40" s="344"/>
      <c r="JOD40" s="344"/>
      <c r="JOE40" s="344"/>
      <c r="JOF40" s="344"/>
      <c r="JOG40" s="344"/>
      <c r="JOH40" s="344"/>
      <c r="JOI40" s="344"/>
      <c r="JOJ40" s="344"/>
      <c r="JOK40" s="344"/>
      <c r="JOL40" s="344"/>
      <c r="JOM40" s="344"/>
      <c r="JON40" s="344"/>
      <c r="JOO40" s="344"/>
      <c r="JOP40" s="344"/>
      <c r="JOQ40" s="344"/>
      <c r="JOR40" s="344"/>
      <c r="JOS40" s="344"/>
      <c r="JOT40" s="344"/>
      <c r="JOU40" s="344"/>
      <c r="JOV40" s="344"/>
      <c r="JOW40" s="344"/>
      <c r="JOX40" s="344"/>
      <c r="JOY40" s="344"/>
      <c r="JOZ40" s="344"/>
      <c r="JPA40" s="344"/>
      <c r="JPB40" s="344"/>
      <c r="JPC40" s="344"/>
      <c r="JPD40" s="344"/>
      <c r="JPE40" s="344"/>
      <c r="JPF40" s="344"/>
      <c r="JPG40" s="344"/>
      <c r="JPH40" s="344"/>
      <c r="JPI40" s="344"/>
      <c r="JPJ40" s="344"/>
      <c r="JPK40" s="344"/>
      <c r="JPL40" s="344"/>
      <c r="JPM40" s="344"/>
      <c r="JPN40" s="344"/>
      <c r="JPO40" s="344"/>
      <c r="JPP40" s="344"/>
      <c r="JPQ40" s="344"/>
      <c r="JPR40" s="344"/>
      <c r="JPS40" s="344"/>
      <c r="JPT40" s="344"/>
      <c r="JPU40" s="344"/>
      <c r="JPV40" s="344"/>
      <c r="JPW40" s="344"/>
      <c r="JPX40" s="344"/>
      <c r="JPY40" s="344"/>
      <c r="JPZ40" s="344"/>
      <c r="JQA40" s="344"/>
      <c r="JQB40" s="344"/>
      <c r="JQC40" s="344"/>
      <c r="JQD40" s="344"/>
      <c r="JQE40" s="344"/>
      <c r="JQF40" s="344"/>
      <c r="JQG40" s="344"/>
      <c r="JQH40" s="344"/>
      <c r="JQI40" s="344"/>
      <c r="JQJ40" s="344"/>
      <c r="JQK40" s="344"/>
      <c r="JQL40" s="344"/>
      <c r="JQM40" s="344"/>
      <c r="JQN40" s="344"/>
      <c r="JQO40" s="344"/>
      <c r="JQP40" s="344"/>
      <c r="JQQ40" s="344"/>
      <c r="JQR40" s="344"/>
      <c r="JQS40" s="344"/>
      <c r="JQT40" s="344"/>
      <c r="JQU40" s="344"/>
      <c r="JQV40" s="344"/>
      <c r="JQW40" s="344"/>
      <c r="JQX40" s="344"/>
      <c r="JQY40" s="344"/>
      <c r="JQZ40" s="344"/>
      <c r="JRA40" s="344"/>
      <c r="JRB40" s="344"/>
      <c r="JRC40" s="344"/>
      <c r="JRD40" s="344"/>
      <c r="JRE40" s="344"/>
      <c r="JRF40" s="344"/>
      <c r="JRG40" s="344"/>
      <c r="JRH40" s="344"/>
      <c r="JRI40" s="344"/>
      <c r="JRJ40" s="344"/>
      <c r="JRK40" s="344"/>
      <c r="JRL40" s="344"/>
      <c r="JRM40" s="344"/>
      <c r="JRN40" s="344"/>
      <c r="JRO40" s="344"/>
      <c r="JRP40" s="344"/>
      <c r="JRQ40" s="344"/>
      <c r="JRR40" s="344"/>
      <c r="JRS40" s="344"/>
      <c r="JRT40" s="344"/>
      <c r="JRU40" s="344"/>
      <c r="JRV40" s="344"/>
      <c r="JRW40" s="344"/>
      <c r="JRX40" s="344"/>
      <c r="JRY40" s="344"/>
      <c r="JRZ40" s="344"/>
      <c r="JSA40" s="344"/>
      <c r="JSB40" s="344"/>
      <c r="JSC40" s="344"/>
      <c r="JSD40" s="344"/>
      <c r="JSE40" s="344"/>
      <c r="JSF40" s="344"/>
      <c r="JSG40" s="344"/>
      <c r="JSH40" s="344"/>
      <c r="JSI40" s="344"/>
      <c r="JSJ40" s="344"/>
      <c r="JSK40" s="344"/>
      <c r="JSL40" s="344"/>
      <c r="JSM40" s="344"/>
      <c r="JSN40" s="344"/>
      <c r="JSO40" s="344"/>
      <c r="JSP40" s="344"/>
      <c r="JSQ40" s="344"/>
      <c r="JSR40" s="344"/>
      <c r="JSS40" s="344"/>
      <c r="JST40" s="344"/>
      <c r="JSU40" s="344"/>
      <c r="JSV40" s="344"/>
      <c r="JSW40" s="344"/>
      <c r="JSX40" s="344"/>
      <c r="JSY40" s="344"/>
      <c r="JSZ40" s="344"/>
      <c r="JTA40" s="344"/>
      <c r="JTB40" s="344"/>
      <c r="JTC40" s="344"/>
      <c r="JTD40" s="344"/>
      <c r="JTE40" s="344"/>
      <c r="JTF40" s="344"/>
      <c r="JTG40" s="344"/>
      <c r="JTH40" s="344"/>
      <c r="JTI40" s="344"/>
      <c r="JTJ40" s="344"/>
      <c r="JTK40" s="344"/>
      <c r="JTL40" s="344"/>
      <c r="JTM40" s="344"/>
      <c r="JTN40" s="344"/>
      <c r="JTO40" s="344"/>
      <c r="JTP40" s="344"/>
      <c r="JTQ40" s="344"/>
      <c r="JTR40" s="344"/>
      <c r="JTS40" s="344"/>
      <c r="JTT40" s="344"/>
      <c r="JTU40" s="344"/>
      <c r="JTV40" s="344"/>
      <c r="JTW40" s="344"/>
      <c r="JTX40" s="344"/>
      <c r="JTY40" s="344"/>
      <c r="JTZ40" s="344"/>
      <c r="JUA40" s="344"/>
      <c r="JUB40" s="344"/>
      <c r="JUC40" s="344"/>
      <c r="JUD40" s="344"/>
      <c r="JUE40" s="344"/>
      <c r="JUF40" s="344"/>
      <c r="JUG40" s="344"/>
      <c r="JUH40" s="344"/>
      <c r="JUI40" s="344"/>
      <c r="JUJ40" s="344"/>
      <c r="JUK40" s="344"/>
      <c r="JUL40" s="344"/>
      <c r="JUM40" s="344"/>
      <c r="JUN40" s="344"/>
      <c r="JUO40" s="344"/>
      <c r="JUP40" s="344"/>
      <c r="JUQ40" s="344"/>
      <c r="JUR40" s="344"/>
      <c r="JUS40" s="344"/>
      <c r="JUT40" s="344"/>
      <c r="JUU40" s="344"/>
      <c r="JUV40" s="344"/>
      <c r="JUW40" s="344"/>
      <c r="JUX40" s="344"/>
      <c r="JUY40" s="344"/>
      <c r="JUZ40" s="344"/>
      <c r="JVA40" s="344"/>
      <c r="JVB40" s="344"/>
      <c r="JVC40" s="344"/>
      <c r="JVD40" s="344"/>
      <c r="JVE40" s="344"/>
      <c r="JVF40" s="344"/>
      <c r="JVG40" s="344"/>
      <c r="JVH40" s="344"/>
      <c r="JVI40" s="344"/>
      <c r="JVJ40" s="344"/>
      <c r="JVK40" s="344"/>
      <c r="JVL40" s="344"/>
      <c r="JVM40" s="344"/>
      <c r="JVN40" s="344"/>
      <c r="JVO40" s="344"/>
      <c r="JVP40" s="344"/>
      <c r="JVQ40" s="344"/>
      <c r="JVR40" s="344"/>
      <c r="JVS40" s="344"/>
      <c r="JVT40" s="344"/>
      <c r="JVU40" s="344"/>
      <c r="JVV40" s="344"/>
      <c r="JVW40" s="344"/>
      <c r="JVX40" s="344"/>
      <c r="JVY40" s="344"/>
      <c r="JVZ40" s="344"/>
      <c r="JWA40" s="344"/>
      <c r="JWB40" s="344"/>
      <c r="JWC40" s="344"/>
      <c r="JWD40" s="344"/>
      <c r="JWE40" s="344"/>
      <c r="JWF40" s="344"/>
      <c r="JWG40" s="344"/>
      <c r="JWH40" s="344"/>
      <c r="JWI40" s="344"/>
      <c r="JWJ40" s="344"/>
      <c r="JWK40" s="344"/>
      <c r="JWL40" s="344"/>
      <c r="JWM40" s="344"/>
      <c r="JWN40" s="344"/>
      <c r="JWO40" s="344"/>
      <c r="JWP40" s="344"/>
      <c r="JWQ40" s="344"/>
      <c r="JWR40" s="344"/>
      <c r="JWS40" s="344"/>
      <c r="JWT40" s="344"/>
      <c r="JWU40" s="344"/>
      <c r="JWV40" s="344"/>
      <c r="JWW40" s="344"/>
      <c r="JWX40" s="344"/>
      <c r="JWY40" s="344"/>
      <c r="JWZ40" s="344"/>
      <c r="JXA40" s="344"/>
      <c r="JXB40" s="344"/>
      <c r="JXC40" s="344"/>
      <c r="JXD40" s="344"/>
      <c r="JXE40" s="344"/>
      <c r="JXF40" s="344"/>
      <c r="JXG40" s="344"/>
      <c r="JXH40" s="344"/>
      <c r="JXI40" s="344"/>
      <c r="JXJ40" s="344"/>
      <c r="JXK40" s="344"/>
      <c r="JXL40" s="344"/>
      <c r="JXM40" s="344"/>
      <c r="JXN40" s="344"/>
      <c r="JXO40" s="344"/>
      <c r="JXP40" s="344"/>
      <c r="JXQ40" s="344"/>
      <c r="JXR40" s="344"/>
      <c r="JXS40" s="344"/>
      <c r="JXT40" s="344"/>
      <c r="JXU40" s="344"/>
      <c r="JXV40" s="344"/>
      <c r="JXW40" s="344"/>
      <c r="JXX40" s="344"/>
      <c r="JXY40" s="344"/>
      <c r="JXZ40" s="344"/>
      <c r="JYA40" s="344"/>
      <c r="JYB40" s="344"/>
      <c r="JYC40" s="344"/>
      <c r="JYD40" s="344"/>
      <c r="JYE40" s="344"/>
      <c r="JYF40" s="344"/>
      <c r="JYG40" s="344"/>
      <c r="JYH40" s="344"/>
      <c r="JYI40" s="344"/>
      <c r="JYJ40" s="344"/>
      <c r="JYK40" s="344"/>
      <c r="JYL40" s="344"/>
      <c r="JYM40" s="344"/>
      <c r="JYN40" s="344"/>
      <c r="JYO40" s="344"/>
      <c r="JYP40" s="344"/>
      <c r="JYQ40" s="344"/>
      <c r="JYR40" s="344"/>
      <c r="JYS40" s="344"/>
      <c r="JYT40" s="344"/>
      <c r="JYU40" s="344"/>
      <c r="JYV40" s="344"/>
      <c r="JYW40" s="344"/>
      <c r="JYX40" s="344"/>
      <c r="JYY40" s="344"/>
      <c r="JYZ40" s="344"/>
      <c r="JZA40" s="344"/>
      <c r="JZB40" s="344"/>
      <c r="JZC40" s="344"/>
      <c r="JZD40" s="344"/>
      <c r="JZE40" s="344"/>
      <c r="JZF40" s="344"/>
      <c r="JZG40" s="344"/>
      <c r="JZH40" s="344"/>
      <c r="JZI40" s="344"/>
      <c r="JZJ40" s="344"/>
      <c r="JZK40" s="344"/>
      <c r="JZL40" s="344"/>
      <c r="JZM40" s="344"/>
      <c r="JZN40" s="344"/>
      <c r="JZO40" s="344"/>
      <c r="JZP40" s="344"/>
      <c r="JZQ40" s="344"/>
      <c r="JZR40" s="344"/>
      <c r="JZS40" s="344"/>
      <c r="JZT40" s="344"/>
      <c r="JZU40" s="344"/>
      <c r="JZV40" s="344"/>
      <c r="JZW40" s="344"/>
      <c r="JZX40" s="344"/>
      <c r="JZY40" s="344"/>
      <c r="JZZ40" s="344"/>
      <c r="KAA40" s="344"/>
      <c r="KAB40" s="344"/>
      <c r="KAC40" s="344"/>
      <c r="KAD40" s="344"/>
      <c r="KAE40" s="344"/>
      <c r="KAF40" s="344"/>
      <c r="KAG40" s="344"/>
      <c r="KAH40" s="344"/>
      <c r="KAI40" s="344"/>
      <c r="KAJ40" s="344"/>
      <c r="KAK40" s="344"/>
      <c r="KAL40" s="344"/>
      <c r="KAM40" s="344"/>
      <c r="KAN40" s="344"/>
      <c r="KAO40" s="344"/>
      <c r="KAP40" s="344"/>
      <c r="KAQ40" s="344"/>
      <c r="KAR40" s="344"/>
      <c r="KAS40" s="344"/>
      <c r="KAT40" s="344"/>
      <c r="KAU40" s="344"/>
      <c r="KAV40" s="344"/>
      <c r="KAW40" s="344"/>
      <c r="KAX40" s="344"/>
      <c r="KAY40" s="344"/>
      <c r="KAZ40" s="344"/>
      <c r="KBA40" s="344"/>
      <c r="KBB40" s="344"/>
      <c r="KBC40" s="344"/>
      <c r="KBD40" s="344"/>
      <c r="KBE40" s="344"/>
      <c r="KBF40" s="344"/>
      <c r="KBG40" s="344"/>
      <c r="KBH40" s="344"/>
      <c r="KBI40" s="344"/>
      <c r="KBJ40" s="344"/>
      <c r="KBK40" s="344"/>
      <c r="KBL40" s="344"/>
      <c r="KBM40" s="344"/>
      <c r="KBN40" s="344"/>
      <c r="KBO40" s="344"/>
      <c r="KBP40" s="344"/>
      <c r="KBQ40" s="344"/>
      <c r="KBR40" s="344"/>
      <c r="KBS40" s="344"/>
      <c r="KBT40" s="344"/>
      <c r="KBU40" s="344"/>
      <c r="KBV40" s="344"/>
      <c r="KBW40" s="344"/>
      <c r="KBX40" s="344"/>
      <c r="KBY40" s="344"/>
      <c r="KBZ40" s="344"/>
      <c r="KCA40" s="344"/>
      <c r="KCB40" s="344"/>
      <c r="KCC40" s="344"/>
      <c r="KCD40" s="344"/>
      <c r="KCE40" s="344"/>
      <c r="KCF40" s="344"/>
      <c r="KCG40" s="344"/>
      <c r="KCH40" s="344"/>
      <c r="KCI40" s="344"/>
      <c r="KCJ40" s="344"/>
      <c r="KCK40" s="344"/>
      <c r="KCL40" s="344"/>
      <c r="KCM40" s="344"/>
      <c r="KCN40" s="344"/>
      <c r="KCO40" s="344"/>
      <c r="KCP40" s="344"/>
      <c r="KCQ40" s="344"/>
      <c r="KCR40" s="344"/>
      <c r="KCS40" s="344"/>
      <c r="KCT40" s="344"/>
      <c r="KCU40" s="344"/>
      <c r="KCV40" s="344"/>
      <c r="KCW40" s="344"/>
      <c r="KCX40" s="344"/>
      <c r="KCY40" s="344"/>
      <c r="KCZ40" s="344"/>
      <c r="KDA40" s="344"/>
      <c r="KDB40" s="344"/>
      <c r="KDC40" s="344"/>
      <c r="KDD40" s="344"/>
      <c r="KDE40" s="344"/>
      <c r="KDF40" s="344"/>
      <c r="KDG40" s="344"/>
      <c r="KDH40" s="344"/>
      <c r="KDI40" s="344"/>
      <c r="KDJ40" s="344"/>
      <c r="KDK40" s="344"/>
      <c r="KDL40" s="344"/>
      <c r="KDM40" s="344"/>
      <c r="KDN40" s="344"/>
      <c r="KDO40" s="344"/>
      <c r="KDP40" s="344"/>
      <c r="KDQ40" s="344"/>
      <c r="KDR40" s="344"/>
      <c r="KDS40" s="344"/>
      <c r="KDT40" s="344"/>
      <c r="KDU40" s="344"/>
      <c r="KDV40" s="344"/>
      <c r="KDW40" s="344"/>
      <c r="KDX40" s="344"/>
      <c r="KDY40" s="344"/>
      <c r="KDZ40" s="344"/>
      <c r="KEA40" s="344"/>
      <c r="KEB40" s="344"/>
      <c r="KEC40" s="344"/>
      <c r="KED40" s="344"/>
      <c r="KEE40" s="344"/>
      <c r="KEF40" s="344"/>
      <c r="KEG40" s="344"/>
      <c r="KEH40" s="344"/>
      <c r="KEI40" s="344"/>
      <c r="KEJ40" s="344"/>
      <c r="KEK40" s="344"/>
      <c r="KEL40" s="344"/>
      <c r="KEM40" s="344"/>
      <c r="KEN40" s="344"/>
      <c r="KEO40" s="344"/>
      <c r="KEP40" s="344"/>
      <c r="KEQ40" s="344"/>
      <c r="KER40" s="344"/>
      <c r="KES40" s="344"/>
      <c r="KET40" s="344"/>
      <c r="KEU40" s="344"/>
      <c r="KEV40" s="344"/>
      <c r="KEW40" s="344"/>
      <c r="KEX40" s="344"/>
      <c r="KEY40" s="344"/>
      <c r="KEZ40" s="344"/>
      <c r="KFA40" s="344"/>
      <c r="KFB40" s="344"/>
      <c r="KFC40" s="344"/>
      <c r="KFD40" s="344"/>
      <c r="KFE40" s="344"/>
      <c r="KFF40" s="344"/>
      <c r="KFG40" s="344"/>
      <c r="KFH40" s="344"/>
      <c r="KFI40" s="344"/>
      <c r="KFJ40" s="344"/>
      <c r="KFK40" s="344"/>
      <c r="KFL40" s="344"/>
      <c r="KFM40" s="344"/>
      <c r="KFN40" s="344"/>
      <c r="KFO40" s="344"/>
      <c r="KFP40" s="344"/>
      <c r="KFQ40" s="344"/>
      <c r="KFR40" s="344"/>
      <c r="KFS40" s="344"/>
      <c r="KFT40" s="344"/>
      <c r="KFU40" s="344"/>
      <c r="KFV40" s="344"/>
      <c r="KFW40" s="344"/>
      <c r="KFX40" s="344"/>
      <c r="KFY40" s="344"/>
      <c r="KFZ40" s="344"/>
      <c r="KGA40" s="344"/>
      <c r="KGB40" s="344"/>
      <c r="KGC40" s="344"/>
      <c r="KGD40" s="344"/>
      <c r="KGE40" s="344"/>
      <c r="KGF40" s="344"/>
      <c r="KGG40" s="344"/>
      <c r="KGH40" s="344"/>
      <c r="KGI40" s="344"/>
      <c r="KGJ40" s="344"/>
      <c r="KGK40" s="344"/>
      <c r="KGL40" s="344"/>
      <c r="KGM40" s="344"/>
      <c r="KGN40" s="344"/>
      <c r="KGO40" s="344"/>
      <c r="KGP40" s="344"/>
      <c r="KGQ40" s="344"/>
      <c r="KGR40" s="344"/>
      <c r="KGS40" s="344"/>
      <c r="KGT40" s="344"/>
      <c r="KGU40" s="344"/>
      <c r="KGV40" s="344"/>
      <c r="KGW40" s="344"/>
      <c r="KGX40" s="344"/>
      <c r="KGY40" s="344"/>
      <c r="KGZ40" s="344"/>
      <c r="KHA40" s="344"/>
      <c r="KHB40" s="344"/>
      <c r="KHC40" s="344"/>
      <c r="KHD40" s="344"/>
      <c r="KHE40" s="344"/>
      <c r="KHF40" s="344"/>
      <c r="KHG40" s="344"/>
      <c r="KHH40" s="344"/>
      <c r="KHI40" s="344"/>
      <c r="KHJ40" s="344"/>
      <c r="KHK40" s="344"/>
      <c r="KHL40" s="344"/>
      <c r="KHM40" s="344"/>
      <c r="KHN40" s="344"/>
      <c r="KHO40" s="344"/>
      <c r="KHP40" s="344"/>
      <c r="KHQ40" s="344"/>
      <c r="KHR40" s="344"/>
      <c r="KHS40" s="344"/>
      <c r="KHT40" s="344"/>
      <c r="KHU40" s="344"/>
      <c r="KHV40" s="344"/>
      <c r="KHW40" s="344"/>
      <c r="KHX40" s="344"/>
      <c r="KHY40" s="344"/>
      <c r="KHZ40" s="344"/>
      <c r="KIA40" s="344"/>
      <c r="KIB40" s="344"/>
      <c r="KIC40" s="344"/>
      <c r="KID40" s="344"/>
      <c r="KIE40" s="344"/>
      <c r="KIF40" s="344"/>
      <c r="KIG40" s="344"/>
      <c r="KIH40" s="344"/>
      <c r="KII40" s="344"/>
      <c r="KIJ40" s="344"/>
      <c r="KIK40" s="344"/>
      <c r="KIL40" s="344"/>
      <c r="KIM40" s="344"/>
      <c r="KIN40" s="344"/>
      <c r="KIO40" s="344"/>
      <c r="KIP40" s="344"/>
      <c r="KIQ40" s="344"/>
      <c r="KIR40" s="344"/>
      <c r="KIS40" s="344"/>
      <c r="KIT40" s="344"/>
      <c r="KIU40" s="344"/>
      <c r="KIV40" s="344"/>
      <c r="KIW40" s="344"/>
      <c r="KIX40" s="344"/>
      <c r="KIY40" s="344"/>
      <c r="KIZ40" s="344"/>
      <c r="KJA40" s="344"/>
      <c r="KJB40" s="344"/>
      <c r="KJC40" s="344"/>
      <c r="KJD40" s="344"/>
      <c r="KJE40" s="344"/>
      <c r="KJF40" s="344"/>
      <c r="KJG40" s="344"/>
      <c r="KJH40" s="344"/>
      <c r="KJI40" s="344"/>
      <c r="KJJ40" s="344"/>
      <c r="KJK40" s="344"/>
      <c r="KJL40" s="344"/>
      <c r="KJM40" s="344"/>
      <c r="KJN40" s="344"/>
      <c r="KJO40" s="344"/>
      <c r="KJP40" s="344"/>
      <c r="KJQ40" s="344"/>
      <c r="KJR40" s="344"/>
      <c r="KJS40" s="344"/>
      <c r="KJT40" s="344"/>
      <c r="KJU40" s="344"/>
      <c r="KJV40" s="344"/>
      <c r="KJW40" s="344"/>
      <c r="KJX40" s="344"/>
      <c r="KJY40" s="344"/>
      <c r="KJZ40" s="344"/>
      <c r="KKA40" s="344"/>
      <c r="KKB40" s="344"/>
      <c r="KKC40" s="344"/>
      <c r="KKD40" s="344"/>
      <c r="KKE40" s="344"/>
      <c r="KKF40" s="344"/>
      <c r="KKG40" s="344"/>
      <c r="KKH40" s="344"/>
      <c r="KKI40" s="344"/>
      <c r="KKJ40" s="344"/>
      <c r="KKK40" s="344"/>
      <c r="KKL40" s="344"/>
      <c r="KKM40" s="344"/>
      <c r="KKN40" s="344"/>
      <c r="KKO40" s="344"/>
      <c r="KKP40" s="344"/>
      <c r="KKQ40" s="344"/>
      <c r="KKR40" s="344"/>
      <c r="KKS40" s="344"/>
      <c r="KKT40" s="344"/>
      <c r="KKU40" s="344"/>
      <c r="KKV40" s="344"/>
      <c r="KKW40" s="344"/>
      <c r="KKX40" s="344"/>
      <c r="KKY40" s="344"/>
      <c r="KKZ40" s="344"/>
      <c r="KLA40" s="344"/>
      <c r="KLB40" s="344"/>
      <c r="KLC40" s="344"/>
      <c r="KLD40" s="344"/>
      <c r="KLE40" s="344"/>
      <c r="KLF40" s="344"/>
      <c r="KLG40" s="344"/>
      <c r="KLH40" s="344"/>
      <c r="KLI40" s="344"/>
      <c r="KLJ40" s="344"/>
      <c r="KLK40" s="344"/>
      <c r="KLL40" s="344"/>
      <c r="KLM40" s="344"/>
      <c r="KLN40" s="344"/>
      <c r="KLO40" s="344"/>
      <c r="KLP40" s="344"/>
      <c r="KLQ40" s="344"/>
      <c r="KLR40" s="344"/>
      <c r="KLS40" s="344"/>
      <c r="KLT40" s="344"/>
      <c r="KLU40" s="344"/>
      <c r="KLV40" s="344"/>
      <c r="KLW40" s="344"/>
      <c r="KLX40" s="344"/>
      <c r="KLY40" s="344"/>
      <c r="KLZ40" s="344"/>
      <c r="KMA40" s="344"/>
      <c r="KMB40" s="344"/>
      <c r="KMC40" s="344"/>
      <c r="KMD40" s="344"/>
      <c r="KME40" s="344"/>
      <c r="KMF40" s="344"/>
      <c r="KMG40" s="344"/>
      <c r="KMH40" s="344"/>
      <c r="KMI40" s="344"/>
      <c r="KMJ40" s="344"/>
      <c r="KMK40" s="344"/>
      <c r="KML40" s="344"/>
      <c r="KMM40" s="344"/>
      <c r="KMN40" s="344"/>
      <c r="KMO40" s="344"/>
      <c r="KMP40" s="344"/>
      <c r="KMQ40" s="344"/>
      <c r="KMR40" s="344"/>
      <c r="KMS40" s="344"/>
      <c r="KMT40" s="344"/>
      <c r="KMU40" s="344"/>
      <c r="KMV40" s="344"/>
      <c r="KMW40" s="344"/>
      <c r="KMX40" s="344"/>
      <c r="KMY40" s="344"/>
      <c r="KMZ40" s="344"/>
      <c r="KNA40" s="344"/>
      <c r="KNB40" s="344"/>
      <c r="KNC40" s="344"/>
      <c r="KND40" s="344"/>
      <c r="KNE40" s="344"/>
      <c r="KNF40" s="344"/>
      <c r="KNG40" s="344"/>
      <c r="KNH40" s="344"/>
      <c r="KNI40" s="344"/>
      <c r="KNJ40" s="344"/>
      <c r="KNK40" s="344"/>
      <c r="KNL40" s="344"/>
      <c r="KNM40" s="344"/>
      <c r="KNN40" s="344"/>
      <c r="KNO40" s="344"/>
      <c r="KNP40" s="344"/>
      <c r="KNQ40" s="344"/>
      <c r="KNR40" s="344"/>
      <c r="KNS40" s="344"/>
      <c r="KNT40" s="344"/>
      <c r="KNU40" s="344"/>
      <c r="KNV40" s="344"/>
      <c r="KNW40" s="344"/>
      <c r="KNX40" s="344"/>
      <c r="KNY40" s="344"/>
      <c r="KNZ40" s="344"/>
      <c r="KOA40" s="344"/>
      <c r="KOB40" s="344"/>
      <c r="KOC40" s="344"/>
      <c r="KOD40" s="344"/>
      <c r="KOE40" s="344"/>
      <c r="KOF40" s="344"/>
      <c r="KOG40" s="344"/>
      <c r="KOH40" s="344"/>
      <c r="KOI40" s="344"/>
      <c r="KOJ40" s="344"/>
      <c r="KOK40" s="344"/>
      <c r="KOL40" s="344"/>
      <c r="KOM40" s="344"/>
      <c r="KON40" s="344"/>
      <c r="KOO40" s="344"/>
      <c r="KOP40" s="344"/>
      <c r="KOQ40" s="344"/>
      <c r="KOR40" s="344"/>
      <c r="KOS40" s="344"/>
      <c r="KOT40" s="344"/>
      <c r="KOU40" s="344"/>
      <c r="KOV40" s="344"/>
      <c r="KOW40" s="344"/>
      <c r="KOX40" s="344"/>
      <c r="KOY40" s="344"/>
      <c r="KOZ40" s="344"/>
      <c r="KPA40" s="344"/>
      <c r="KPB40" s="344"/>
      <c r="KPC40" s="344"/>
      <c r="KPD40" s="344"/>
      <c r="KPE40" s="344"/>
      <c r="KPF40" s="344"/>
      <c r="KPG40" s="344"/>
      <c r="KPH40" s="344"/>
      <c r="KPI40" s="344"/>
      <c r="KPJ40" s="344"/>
      <c r="KPK40" s="344"/>
      <c r="KPL40" s="344"/>
      <c r="KPM40" s="344"/>
      <c r="KPN40" s="344"/>
      <c r="KPO40" s="344"/>
      <c r="KPP40" s="344"/>
      <c r="KPQ40" s="344"/>
      <c r="KPR40" s="344"/>
      <c r="KPS40" s="344"/>
      <c r="KPT40" s="344"/>
      <c r="KPU40" s="344"/>
      <c r="KPV40" s="344"/>
      <c r="KPW40" s="344"/>
      <c r="KPX40" s="344"/>
      <c r="KPY40" s="344"/>
      <c r="KPZ40" s="344"/>
      <c r="KQA40" s="344"/>
      <c r="KQB40" s="344"/>
      <c r="KQC40" s="344"/>
      <c r="KQD40" s="344"/>
      <c r="KQE40" s="344"/>
      <c r="KQF40" s="344"/>
      <c r="KQG40" s="344"/>
      <c r="KQH40" s="344"/>
      <c r="KQI40" s="344"/>
      <c r="KQJ40" s="344"/>
      <c r="KQK40" s="344"/>
      <c r="KQL40" s="344"/>
      <c r="KQM40" s="344"/>
      <c r="KQN40" s="344"/>
      <c r="KQO40" s="344"/>
      <c r="KQP40" s="344"/>
      <c r="KQQ40" s="344"/>
      <c r="KQR40" s="344"/>
      <c r="KQS40" s="344"/>
      <c r="KQT40" s="344"/>
      <c r="KQU40" s="344"/>
      <c r="KQV40" s="344"/>
      <c r="KQW40" s="344"/>
      <c r="KQX40" s="344"/>
      <c r="KQY40" s="344"/>
      <c r="KQZ40" s="344"/>
      <c r="KRA40" s="344"/>
      <c r="KRB40" s="344"/>
      <c r="KRC40" s="344"/>
      <c r="KRD40" s="344"/>
      <c r="KRE40" s="344"/>
      <c r="KRF40" s="344"/>
      <c r="KRG40" s="344"/>
      <c r="KRH40" s="344"/>
      <c r="KRI40" s="344"/>
      <c r="KRJ40" s="344"/>
      <c r="KRK40" s="344"/>
      <c r="KRL40" s="344"/>
      <c r="KRM40" s="344"/>
      <c r="KRN40" s="344"/>
      <c r="KRO40" s="344"/>
      <c r="KRP40" s="344"/>
      <c r="KRQ40" s="344"/>
      <c r="KRR40" s="344"/>
      <c r="KRS40" s="344"/>
      <c r="KRT40" s="344"/>
      <c r="KRU40" s="344"/>
      <c r="KRV40" s="344"/>
      <c r="KRW40" s="344"/>
      <c r="KRX40" s="344"/>
      <c r="KRY40" s="344"/>
      <c r="KRZ40" s="344"/>
      <c r="KSA40" s="344"/>
      <c r="KSB40" s="344"/>
      <c r="KSC40" s="344"/>
      <c r="KSD40" s="344"/>
      <c r="KSE40" s="344"/>
      <c r="KSF40" s="344"/>
      <c r="KSG40" s="344"/>
      <c r="KSH40" s="344"/>
      <c r="KSI40" s="344"/>
      <c r="KSJ40" s="344"/>
      <c r="KSK40" s="344"/>
      <c r="KSL40" s="344"/>
      <c r="KSM40" s="344"/>
      <c r="KSN40" s="344"/>
      <c r="KSO40" s="344"/>
      <c r="KSP40" s="344"/>
      <c r="KSQ40" s="344"/>
      <c r="KSR40" s="344"/>
      <c r="KSS40" s="344"/>
      <c r="KST40" s="344"/>
      <c r="KSU40" s="344"/>
      <c r="KSV40" s="344"/>
      <c r="KSW40" s="344"/>
      <c r="KSX40" s="344"/>
      <c r="KSY40" s="344"/>
      <c r="KSZ40" s="344"/>
      <c r="KTA40" s="344"/>
      <c r="KTB40" s="344"/>
      <c r="KTC40" s="344"/>
      <c r="KTD40" s="344"/>
      <c r="KTE40" s="344"/>
      <c r="KTF40" s="344"/>
      <c r="KTG40" s="344"/>
      <c r="KTH40" s="344"/>
      <c r="KTI40" s="344"/>
      <c r="KTJ40" s="344"/>
      <c r="KTK40" s="344"/>
      <c r="KTL40" s="344"/>
      <c r="KTM40" s="344"/>
      <c r="KTN40" s="344"/>
      <c r="KTO40" s="344"/>
      <c r="KTP40" s="344"/>
      <c r="KTQ40" s="344"/>
      <c r="KTR40" s="344"/>
      <c r="KTS40" s="344"/>
      <c r="KTT40" s="344"/>
      <c r="KTU40" s="344"/>
      <c r="KTV40" s="344"/>
      <c r="KTW40" s="344"/>
      <c r="KTX40" s="344"/>
      <c r="KTY40" s="344"/>
      <c r="KTZ40" s="344"/>
      <c r="KUA40" s="344"/>
      <c r="KUB40" s="344"/>
      <c r="KUC40" s="344"/>
      <c r="KUD40" s="344"/>
      <c r="KUE40" s="344"/>
      <c r="KUF40" s="344"/>
      <c r="KUG40" s="344"/>
      <c r="KUH40" s="344"/>
      <c r="KUI40" s="344"/>
      <c r="KUJ40" s="344"/>
      <c r="KUK40" s="344"/>
      <c r="KUL40" s="344"/>
      <c r="KUM40" s="344"/>
      <c r="KUN40" s="344"/>
      <c r="KUO40" s="344"/>
      <c r="KUP40" s="344"/>
      <c r="KUQ40" s="344"/>
      <c r="KUR40" s="344"/>
      <c r="KUS40" s="344"/>
      <c r="KUT40" s="344"/>
      <c r="KUU40" s="344"/>
      <c r="KUV40" s="344"/>
      <c r="KUW40" s="344"/>
      <c r="KUX40" s="344"/>
      <c r="KUY40" s="344"/>
      <c r="KUZ40" s="344"/>
      <c r="KVA40" s="344"/>
      <c r="KVB40" s="344"/>
      <c r="KVC40" s="344"/>
      <c r="KVD40" s="344"/>
      <c r="KVE40" s="344"/>
      <c r="KVF40" s="344"/>
      <c r="KVG40" s="344"/>
      <c r="KVH40" s="344"/>
      <c r="KVI40" s="344"/>
      <c r="KVJ40" s="344"/>
      <c r="KVK40" s="344"/>
      <c r="KVL40" s="344"/>
      <c r="KVM40" s="344"/>
      <c r="KVN40" s="344"/>
      <c r="KVO40" s="344"/>
      <c r="KVP40" s="344"/>
      <c r="KVQ40" s="344"/>
      <c r="KVR40" s="344"/>
      <c r="KVS40" s="344"/>
      <c r="KVT40" s="344"/>
      <c r="KVU40" s="344"/>
      <c r="KVV40" s="344"/>
      <c r="KVW40" s="344"/>
      <c r="KVX40" s="344"/>
      <c r="KVY40" s="344"/>
      <c r="KVZ40" s="344"/>
      <c r="KWA40" s="344"/>
      <c r="KWB40" s="344"/>
      <c r="KWC40" s="344"/>
      <c r="KWD40" s="344"/>
      <c r="KWE40" s="344"/>
      <c r="KWF40" s="344"/>
      <c r="KWG40" s="344"/>
      <c r="KWH40" s="344"/>
      <c r="KWI40" s="344"/>
      <c r="KWJ40" s="344"/>
      <c r="KWK40" s="344"/>
      <c r="KWL40" s="344"/>
      <c r="KWM40" s="344"/>
      <c r="KWN40" s="344"/>
      <c r="KWO40" s="344"/>
      <c r="KWP40" s="344"/>
      <c r="KWQ40" s="344"/>
      <c r="KWR40" s="344"/>
      <c r="KWS40" s="344"/>
      <c r="KWT40" s="344"/>
      <c r="KWU40" s="344"/>
      <c r="KWV40" s="344"/>
      <c r="KWW40" s="344"/>
      <c r="KWX40" s="344"/>
      <c r="KWY40" s="344"/>
      <c r="KWZ40" s="344"/>
      <c r="KXA40" s="344"/>
      <c r="KXB40" s="344"/>
      <c r="KXC40" s="344"/>
      <c r="KXD40" s="344"/>
      <c r="KXE40" s="344"/>
      <c r="KXF40" s="344"/>
      <c r="KXG40" s="344"/>
      <c r="KXH40" s="344"/>
      <c r="KXI40" s="344"/>
      <c r="KXJ40" s="344"/>
      <c r="KXK40" s="344"/>
      <c r="KXL40" s="344"/>
      <c r="KXM40" s="344"/>
      <c r="KXN40" s="344"/>
      <c r="KXO40" s="344"/>
      <c r="KXP40" s="344"/>
      <c r="KXQ40" s="344"/>
      <c r="KXR40" s="344"/>
      <c r="KXS40" s="344"/>
      <c r="KXT40" s="344"/>
      <c r="KXU40" s="344"/>
      <c r="KXV40" s="344"/>
      <c r="KXW40" s="344"/>
      <c r="KXX40" s="344"/>
      <c r="KXY40" s="344"/>
      <c r="KXZ40" s="344"/>
      <c r="KYA40" s="344"/>
      <c r="KYB40" s="344"/>
      <c r="KYC40" s="344"/>
      <c r="KYD40" s="344"/>
      <c r="KYE40" s="344"/>
      <c r="KYF40" s="344"/>
      <c r="KYG40" s="344"/>
      <c r="KYH40" s="344"/>
      <c r="KYI40" s="344"/>
      <c r="KYJ40" s="344"/>
      <c r="KYK40" s="344"/>
      <c r="KYL40" s="344"/>
      <c r="KYM40" s="344"/>
      <c r="KYN40" s="344"/>
      <c r="KYO40" s="344"/>
      <c r="KYP40" s="344"/>
      <c r="KYQ40" s="344"/>
      <c r="KYR40" s="344"/>
      <c r="KYS40" s="344"/>
      <c r="KYT40" s="344"/>
      <c r="KYU40" s="344"/>
      <c r="KYV40" s="344"/>
      <c r="KYW40" s="344"/>
      <c r="KYX40" s="344"/>
      <c r="KYY40" s="344"/>
      <c r="KYZ40" s="344"/>
      <c r="KZA40" s="344"/>
      <c r="KZB40" s="344"/>
      <c r="KZC40" s="344"/>
      <c r="KZD40" s="344"/>
      <c r="KZE40" s="344"/>
      <c r="KZF40" s="344"/>
      <c r="KZG40" s="344"/>
      <c r="KZH40" s="344"/>
      <c r="KZI40" s="344"/>
      <c r="KZJ40" s="344"/>
      <c r="KZK40" s="344"/>
      <c r="KZL40" s="344"/>
      <c r="KZM40" s="344"/>
      <c r="KZN40" s="344"/>
      <c r="KZO40" s="344"/>
      <c r="KZP40" s="344"/>
      <c r="KZQ40" s="344"/>
      <c r="KZR40" s="344"/>
      <c r="KZS40" s="344"/>
      <c r="KZT40" s="344"/>
      <c r="KZU40" s="344"/>
      <c r="KZV40" s="344"/>
      <c r="KZW40" s="344"/>
      <c r="KZX40" s="344"/>
      <c r="KZY40" s="344"/>
      <c r="KZZ40" s="344"/>
      <c r="LAA40" s="344"/>
      <c r="LAB40" s="344"/>
      <c r="LAC40" s="344"/>
      <c r="LAD40" s="344"/>
      <c r="LAE40" s="344"/>
      <c r="LAF40" s="344"/>
      <c r="LAG40" s="344"/>
      <c r="LAH40" s="344"/>
      <c r="LAI40" s="344"/>
      <c r="LAJ40" s="344"/>
      <c r="LAK40" s="344"/>
      <c r="LAL40" s="344"/>
      <c r="LAM40" s="344"/>
      <c r="LAN40" s="344"/>
      <c r="LAO40" s="344"/>
      <c r="LAP40" s="344"/>
      <c r="LAQ40" s="344"/>
      <c r="LAR40" s="344"/>
      <c r="LAS40" s="344"/>
      <c r="LAT40" s="344"/>
      <c r="LAU40" s="344"/>
      <c r="LAV40" s="344"/>
      <c r="LAW40" s="344"/>
      <c r="LAX40" s="344"/>
      <c r="LAY40" s="344"/>
      <c r="LAZ40" s="344"/>
      <c r="LBA40" s="344"/>
      <c r="LBB40" s="344"/>
      <c r="LBC40" s="344"/>
      <c r="LBD40" s="344"/>
      <c r="LBE40" s="344"/>
      <c r="LBF40" s="344"/>
      <c r="LBG40" s="344"/>
      <c r="LBH40" s="344"/>
      <c r="LBI40" s="344"/>
      <c r="LBJ40" s="344"/>
      <c r="LBK40" s="344"/>
      <c r="LBL40" s="344"/>
      <c r="LBM40" s="344"/>
      <c r="LBN40" s="344"/>
      <c r="LBO40" s="344"/>
      <c r="LBP40" s="344"/>
      <c r="LBQ40" s="344"/>
      <c r="LBR40" s="344"/>
      <c r="LBS40" s="344"/>
      <c r="LBT40" s="344"/>
      <c r="LBU40" s="344"/>
      <c r="LBV40" s="344"/>
      <c r="LBW40" s="344"/>
      <c r="LBX40" s="344"/>
      <c r="LBY40" s="344"/>
      <c r="LBZ40" s="344"/>
      <c r="LCA40" s="344"/>
      <c r="LCB40" s="344"/>
      <c r="LCC40" s="344"/>
      <c r="LCD40" s="344"/>
      <c r="LCE40" s="344"/>
      <c r="LCF40" s="344"/>
      <c r="LCG40" s="344"/>
      <c r="LCH40" s="344"/>
      <c r="LCI40" s="344"/>
      <c r="LCJ40" s="344"/>
      <c r="LCK40" s="344"/>
      <c r="LCL40" s="344"/>
      <c r="LCM40" s="344"/>
      <c r="LCN40" s="344"/>
      <c r="LCO40" s="344"/>
      <c r="LCP40" s="344"/>
      <c r="LCQ40" s="344"/>
      <c r="LCR40" s="344"/>
      <c r="LCS40" s="344"/>
      <c r="LCT40" s="344"/>
      <c r="LCU40" s="344"/>
      <c r="LCV40" s="344"/>
      <c r="LCW40" s="344"/>
      <c r="LCX40" s="344"/>
      <c r="LCY40" s="344"/>
      <c r="LCZ40" s="344"/>
      <c r="LDA40" s="344"/>
      <c r="LDB40" s="344"/>
      <c r="LDC40" s="344"/>
      <c r="LDD40" s="344"/>
      <c r="LDE40" s="344"/>
      <c r="LDF40" s="344"/>
      <c r="LDG40" s="344"/>
      <c r="LDH40" s="344"/>
      <c r="LDI40" s="344"/>
      <c r="LDJ40" s="344"/>
      <c r="LDK40" s="344"/>
      <c r="LDL40" s="344"/>
      <c r="LDM40" s="344"/>
      <c r="LDN40" s="344"/>
      <c r="LDO40" s="344"/>
      <c r="LDP40" s="344"/>
      <c r="LDQ40" s="344"/>
      <c r="LDR40" s="344"/>
      <c r="LDS40" s="344"/>
      <c r="LDT40" s="344"/>
      <c r="LDU40" s="344"/>
      <c r="LDV40" s="344"/>
      <c r="LDW40" s="344"/>
      <c r="LDX40" s="344"/>
      <c r="LDY40" s="344"/>
      <c r="LDZ40" s="344"/>
      <c r="LEA40" s="344"/>
      <c r="LEB40" s="344"/>
      <c r="LEC40" s="344"/>
      <c r="LED40" s="344"/>
      <c r="LEE40" s="344"/>
      <c r="LEF40" s="344"/>
      <c r="LEG40" s="344"/>
      <c r="LEH40" s="344"/>
      <c r="LEI40" s="344"/>
      <c r="LEJ40" s="344"/>
      <c r="LEK40" s="344"/>
      <c r="LEL40" s="344"/>
      <c r="LEM40" s="344"/>
      <c r="LEN40" s="344"/>
      <c r="LEO40" s="344"/>
      <c r="LEP40" s="344"/>
      <c r="LEQ40" s="344"/>
      <c r="LER40" s="344"/>
      <c r="LES40" s="344"/>
      <c r="LET40" s="344"/>
      <c r="LEU40" s="344"/>
      <c r="LEV40" s="344"/>
      <c r="LEW40" s="344"/>
      <c r="LEX40" s="344"/>
      <c r="LEY40" s="344"/>
      <c r="LEZ40" s="344"/>
      <c r="LFA40" s="344"/>
      <c r="LFB40" s="344"/>
      <c r="LFC40" s="344"/>
      <c r="LFD40" s="344"/>
      <c r="LFE40" s="344"/>
      <c r="LFF40" s="344"/>
      <c r="LFG40" s="344"/>
      <c r="LFH40" s="344"/>
      <c r="LFI40" s="344"/>
      <c r="LFJ40" s="344"/>
      <c r="LFK40" s="344"/>
      <c r="LFL40" s="344"/>
      <c r="LFM40" s="344"/>
      <c r="LFN40" s="344"/>
      <c r="LFO40" s="344"/>
      <c r="LFP40" s="344"/>
      <c r="LFQ40" s="344"/>
      <c r="LFR40" s="344"/>
      <c r="LFS40" s="344"/>
      <c r="LFT40" s="344"/>
      <c r="LFU40" s="344"/>
      <c r="LFV40" s="344"/>
      <c r="LFW40" s="344"/>
      <c r="LFX40" s="344"/>
      <c r="LFY40" s="344"/>
      <c r="LFZ40" s="344"/>
      <c r="LGA40" s="344"/>
      <c r="LGB40" s="344"/>
      <c r="LGC40" s="344"/>
      <c r="LGD40" s="344"/>
      <c r="LGE40" s="344"/>
      <c r="LGF40" s="344"/>
      <c r="LGG40" s="344"/>
      <c r="LGH40" s="344"/>
      <c r="LGI40" s="344"/>
      <c r="LGJ40" s="344"/>
      <c r="LGK40" s="344"/>
      <c r="LGL40" s="344"/>
      <c r="LGM40" s="344"/>
      <c r="LGN40" s="344"/>
      <c r="LGO40" s="344"/>
      <c r="LGP40" s="344"/>
      <c r="LGQ40" s="344"/>
      <c r="LGR40" s="344"/>
      <c r="LGS40" s="344"/>
      <c r="LGT40" s="344"/>
      <c r="LGU40" s="344"/>
      <c r="LGV40" s="344"/>
      <c r="LGW40" s="344"/>
      <c r="LGX40" s="344"/>
      <c r="LGY40" s="344"/>
      <c r="LGZ40" s="344"/>
      <c r="LHA40" s="344"/>
      <c r="LHB40" s="344"/>
      <c r="LHC40" s="344"/>
      <c r="LHD40" s="344"/>
      <c r="LHE40" s="344"/>
      <c r="LHF40" s="344"/>
      <c r="LHG40" s="344"/>
      <c r="LHH40" s="344"/>
      <c r="LHI40" s="344"/>
      <c r="LHJ40" s="344"/>
      <c r="LHK40" s="344"/>
      <c r="LHL40" s="344"/>
      <c r="LHM40" s="344"/>
      <c r="LHN40" s="344"/>
      <c r="LHO40" s="344"/>
      <c r="LHP40" s="344"/>
      <c r="LHQ40" s="344"/>
      <c r="LHR40" s="344"/>
      <c r="LHS40" s="344"/>
      <c r="LHT40" s="344"/>
      <c r="LHU40" s="344"/>
      <c r="LHV40" s="344"/>
      <c r="LHW40" s="344"/>
      <c r="LHX40" s="344"/>
      <c r="LHY40" s="344"/>
      <c r="LHZ40" s="344"/>
      <c r="LIA40" s="344"/>
      <c r="LIB40" s="344"/>
      <c r="LIC40" s="344"/>
      <c r="LID40" s="344"/>
      <c r="LIE40" s="344"/>
      <c r="LIF40" s="344"/>
      <c r="LIG40" s="344"/>
      <c r="LIH40" s="344"/>
      <c r="LII40" s="344"/>
      <c r="LIJ40" s="344"/>
      <c r="LIK40" s="344"/>
      <c r="LIL40" s="344"/>
      <c r="LIM40" s="344"/>
      <c r="LIN40" s="344"/>
      <c r="LIO40" s="344"/>
      <c r="LIP40" s="344"/>
      <c r="LIQ40" s="344"/>
      <c r="LIR40" s="344"/>
      <c r="LIS40" s="344"/>
      <c r="LIT40" s="344"/>
      <c r="LIU40" s="344"/>
      <c r="LIV40" s="344"/>
      <c r="LIW40" s="344"/>
      <c r="LIX40" s="344"/>
      <c r="LIY40" s="344"/>
      <c r="LIZ40" s="344"/>
      <c r="LJA40" s="344"/>
      <c r="LJB40" s="344"/>
      <c r="LJC40" s="344"/>
      <c r="LJD40" s="344"/>
      <c r="LJE40" s="344"/>
      <c r="LJF40" s="344"/>
      <c r="LJG40" s="344"/>
      <c r="LJH40" s="344"/>
      <c r="LJI40" s="344"/>
      <c r="LJJ40" s="344"/>
      <c r="LJK40" s="344"/>
      <c r="LJL40" s="344"/>
      <c r="LJM40" s="344"/>
      <c r="LJN40" s="344"/>
      <c r="LJO40" s="344"/>
      <c r="LJP40" s="344"/>
      <c r="LJQ40" s="344"/>
      <c r="LJR40" s="344"/>
      <c r="LJS40" s="344"/>
      <c r="LJT40" s="344"/>
      <c r="LJU40" s="344"/>
      <c r="LJV40" s="344"/>
      <c r="LJW40" s="344"/>
      <c r="LJX40" s="344"/>
      <c r="LJY40" s="344"/>
      <c r="LJZ40" s="344"/>
      <c r="LKA40" s="344"/>
      <c r="LKB40" s="344"/>
      <c r="LKC40" s="344"/>
      <c r="LKD40" s="344"/>
      <c r="LKE40" s="344"/>
      <c r="LKF40" s="344"/>
      <c r="LKG40" s="344"/>
      <c r="LKH40" s="344"/>
      <c r="LKI40" s="344"/>
      <c r="LKJ40" s="344"/>
      <c r="LKK40" s="344"/>
      <c r="LKL40" s="344"/>
      <c r="LKM40" s="344"/>
      <c r="LKN40" s="344"/>
      <c r="LKO40" s="344"/>
      <c r="LKP40" s="344"/>
      <c r="LKQ40" s="344"/>
      <c r="LKR40" s="344"/>
      <c r="LKS40" s="344"/>
      <c r="LKT40" s="344"/>
      <c r="LKU40" s="344"/>
      <c r="LKV40" s="344"/>
      <c r="LKW40" s="344"/>
      <c r="LKX40" s="344"/>
      <c r="LKY40" s="344"/>
      <c r="LKZ40" s="344"/>
      <c r="LLA40" s="344"/>
      <c r="LLB40" s="344"/>
      <c r="LLC40" s="344"/>
      <c r="LLD40" s="344"/>
      <c r="LLE40" s="344"/>
      <c r="LLF40" s="344"/>
      <c r="LLG40" s="344"/>
      <c r="LLH40" s="344"/>
      <c r="LLI40" s="344"/>
      <c r="LLJ40" s="344"/>
      <c r="LLK40" s="344"/>
      <c r="LLL40" s="344"/>
      <c r="LLM40" s="344"/>
      <c r="LLN40" s="344"/>
      <c r="LLO40" s="344"/>
      <c r="LLP40" s="344"/>
      <c r="LLQ40" s="344"/>
      <c r="LLR40" s="344"/>
      <c r="LLS40" s="344"/>
      <c r="LLT40" s="344"/>
      <c r="LLU40" s="344"/>
      <c r="LLV40" s="344"/>
      <c r="LLW40" s="344"/>
      <c r="LLX40" s="344"/>
      <c r="LLY40" s="344"/>
      <c r="LLZ40" s="344"/>
      <c r="LMA40" s="344"/>
      <c r="LMB40" s="344"/>
      <c r="LMC40" s="344"/>
      <c r="LMD40" s="344"/>
      <c r="LME40" s="344"/>
      <c r="LMF40" s="344"/>
      <c r="LMG40" s="344"/>
      <c r="LMH40" s="344"/>
      <c r="LMI40" s="344"/>
      <c r="LMJ40" s="344"/>
      <c r="LMK40" s="344"/>
      <c r="LML40" s="344"/>
      <c r="LMM40" s="344"/>
      <c r="LMN40" s="344"/>
      <c r="LMO40" s="344"/>
      <c r="LMP40" s="344"/>
      <c r="LMQ40" s="344"/>
      <c r="LMR40" s="344"/>
      <c r="LMS40" s="344"/>
      <c r="LMT40" s="344"/>
      <c r="LMU40" s="344"/>
      <c r="LMV40" s="344"/>
      <c r="LMW40" s="344"/>
      <c r="LMX40" s="344"/>
      <c r="LMY40" s="344"/>
      <c r="LMZ40" s="344"/>
      <c r="LNA40" s="344"/>
      <c r="LNB40" s="344"/>
      <c r="LNC40" s="344"/>
      <c r="LND40" s="344"/>
      <c r="LNE40" s="344"/>
      <c r="LNF40" s="344"/>
      <c r="LNG40" s="344"/>
      <c r="LNH40" s="344"/>
      <c r="LNI40" s="344"/>
      <c r="LNJ40" s="344"/>
      <c r="LNK40" s="344"/>
      <c r="LNL40" s="344"/>
      <c r="LNM40" s="344"/>
      <c r="LNN40" s="344"/>
      <c r="LNO40" s="344"/>
      <c r="LNP40" s="344"/>
      <c r="LNQ40" s="344"/>
      <c r="LNR40" s="344"/>
      <c r="LNS40" s="344"/>
      <c r="LNT40" s="344"/>
      <c r="LNU40" s="344"/>
      <c r="LNV40" s="344"/>
      <c r="LNW40" s="344"/>
      <c r="LNX40" s="344"/>
      <c r="LNY40" s="344"/>
      <c r="LNZ40" s="344"/>
      <c r="LOA40" s="344"/>
      <c r="LOB40" s="344"/>
      <c r="LOC40" s="344"/>
      <c r="LOD40" s="344"/>
      <c r="LOE40" s="344"/>
      <c r="LOF40" s="344"/>
      <c r="LOG40" s="344"/>
      <c r="LOH40" s="344"/>
      <c r="LOI40" s="344"/>
      <c r="LOJ40" s="344"/>
      <c r="LOK40" s="344"/>
      <c r="LOL40" s="344"/>
      <c r="LOM40" s="344"/>
      <c r="LON40" s="344"/>
      <c r="LOO40" s="344"/>
      <c r="LOP40" s="344"/>
      <c r="LOQ40" s="344"/>
      <c r="LOR40" s="344"/>
      <c r="LOS40" s="344"/>
      <c r="LOT40" s="344"/>
      <c r="LOU40" s="344"/>
      <c r="LOV40" s="344"/>
      <c r="LOW40" s="344"/>
      <c r="LOX40" s="344"/>
      <c r="LOY40" s="344"/>
      <c r="LOZ40" s="344"/>
      <c r="LPA40" s="344"/>
      <c r="LPB40" s="344"/>
      <c r="LPC40" s="344"/>
      <c r="LPD40" s="344"/>
      <c r="LPE40" s="344"/>
      <c r="LPF40" s="344"/>
      <c r="LPG40" s="344"/>
      <c r="LPH40" s="344"/>
      <c r="LPI40" s="344"/>
      <c r="LPJ40" s="344"/>
      <c r="LPK40" s="344"/>
      <c r="LPL40" s="344"/>
      <c r="LPM40" s="344"/>
      <c r="LPN40" s="344"/>
      <c r="LPO40" s="344"/>
      <c r="LPP40" s="344"/>
      <c r="LPQ40" s="344"/>
      <c r="LPR40" s="344"/>
      <c r="LPS40" s="344"/>
      <c r="LPT40" s="344"/>
      <c r="LPU40" s="344"/>
      <c r="LPV40" s="344"/>
      <c r="LPW40" s="344"/>
      <c r="LPX40" s="344"/>
      <c r="LPY40" s="344"/>
      <c r="LPZ40" s="344"/>
      <c r="LQA40" s="344"/>
      <c r="LQB40" s="344"/>
      <c r="LQC40" s="344"/>
      <c r="LQD40" s="344"/>
      <c r="LQE40" s="344"/>
      <c r="LQF40" s="344"/>
      <c r="LQG40" s="344"/>
      <c r="LQH40" s="344"/>
      <c r="LQI40" s="344"/>
      <c r="LQJ40" s="344"/>
      <c r="LQK40" s="344"/>
      <c r="LQL40" s="344"/>
      <c r="LQM40" s="344"/>
      <c r="LQN40" s="344"/>
      <c r="LQO40" s="344"/>
      <c r="LQP40" s="344"/>
      <c r="LQQ40" s="344"/>
      <c r="LQR40" s="344"/>
      <c r="LQS40" s="344"/>
      <c r="LQT40" s="344"/>
      <c r="LQU40" s="344"/>
      <c r="LQV40" s="344"/>
      <c r="LQW40" s="344"/>
      <c r="LQX40" s="344"/>
      <c r="LQY40" s="344"/>
      <c r="LQZ40" s="344"/>
      <c r="LRA40" s="344"/>
      <c r="LRB40" s="344"/>
      <c r="LRC40" s="344"/>
      <c r="LRD40" s="344"/>
      <c r="LRE40" s="344"/>
      <c r="LRF40" s="344"/>
      <c r="LRG40" s="344"/>
      <c r="LRH40" s="344"/>
      <c r="LRI40" s="344"/>
      <c r="LRJ40" s="344"/>
      <c r="LRK40" s="344"/>
      <c r="LRL40" s="344"/>
      <c r="LRM40" s="344"/>
      <c r="LRN40" s="344"/>
      <c r="LRO40" s="344"/>
      <c r="LRP40" s="344"/>
      <c r="LRQ40" s="344"/>
      <c r="LRR40" s="344"/>
      <c r="LRS40" s="344"/>
      <c r="LRT40" s="344"/>
      <c r="LRU40" s="344"/>
      <c r="LRV40" s="344"/>
      <c r="LRW40" s="344"/>
      <c r="LRX40" s="344"/>
      <c r="LRY40" s="344"/>
      <c r="LRZ40" s="344"/>
      <c r="LSA40" s="344"/>
      <c r="LSB40" s="344"/>
      <c r="LSC40" s="344"/>
      <c r="LSD40" s="344"/>
      <c r="LSE40" s="344"/>
      <c r="LSF40" s="344"/>
      <c r="LSG40" s="344"/>
      <c r="LSH40" s="344"/>
      <c r="LSI40" s="344"/>
      <c r="LSJ40" s="344"/>
      <c r="LSK40" s="344"/>
      <c r="LSL40" s="344"/>
      <c r="LSM40" s="344"/>
      <c r="LSN40" s="344"/>
      <c r="LSO40" s="344"/>
      <c r="LSP40" s="344"/>
      <c r="LSQ40" s="344"/>
      <c r="LSR40" s="344"/>
      <c r="LSS40" s="344"/>
      <c r="LST40" s="344"/>
      <c r="LSU40" s="344"/>
      <c r="LSV40" s="344"/>
      <c r="LSW40" s="344"/>
      <c r="LSX40" s="344"/>
      <c r="LSY40" s="344"/>
      <c r="LSZ40" s="344"/>
      <c r="LTA40" s="344"/>
      <c r="LTB40" s="344"/>
      <c r="LTC40" s="344"/>
      <c r="LTD40" s="344"/>
      <c r="LTE40" s="344"/>
      <c r="LTF40" s="344"/>
      <c r="LTG40" s="344"/>
      <c r="LTH40" s="344"/>
      <c r="LTI40" s="344"/>
      <c r="LTJ40" s="344"/>
      <c r="LTK40" s="344"/>
      <c r="LTL40" s="344"/>
      <c r="LTM40" s="344"/>
      <c r="LTN40" s="344"/>
      <c r="LTO40" s="344"/>
      <c r="LTP40" s="344"/>
      <c r="LTQ40" s="344"/>
      <c r="LTR40" s="344"/>
      <c r="LTS40" s="344"/>
      <c r="LTT40" s="344"/>
      <c r="LTU40" s="344"/>
      <c r="LTV40" s="344"/>
      <c r="LTW40" s="344"/>
      <c r="LTX40" s="344"/>
      <c r="LTY40" s="344"/>
      <c r="LTZ40" s="344"/>
      <c r="LUA40" s="344"/>
      <c r="LUB40" s="344"/>
      <c r="LUC40" s="344"/>
      <c r="LUD40" s="344"/>
      <c r="LUE40" s="344"/>
      <c r="LUF40" s="344"/>
      <c r="LUG40" s="344"/>
      <c r="LUH40" s="344"/>
      <c r="LUI40" s="344"/>
      <c r="LUJ40" s="344"/>
      <c r="LUK40" s="344"/>
      <c r="LUL40" s="344"/>
      <c r="LUM40" s="344"/>
      <c r="LUN40" s="344"/>
      <c r="LUO40" s="344"/>
      <c r="LUP40" s="344"/>
      <c r="LUQ40" s="344"/>
      <c r="LUR40" s="344"/>
      <c r="LUS40" s="344"/>
      <c r="LUT40" s="344"/>
      <c r="LUU40" s="344"/>
      <c r="LUV40" s="344"/>
      <c r="LUW40" s="344"/>
      <c r="LUX40" s="344"/>
      <c r="LUY40" s="344"/>
      <c r="LUZ40" s="344"/>
      <c r="LVA40" s="344"/>
      <c r="LVB40" s="344"/>
      <c r="LVC40" s="344"/>
      <c r="LVD40" s="344"/>
      <c r="LVE40" s="344"/>
      <c r="LVF40" s="344"/>
      <c r="LVG40" s="344"/>
      <c r="LVH40" s="344"/>
      <c r="LVI40" s="344"/>
      <c r="LVJ40" s="344"/>
      <c r="LVK40" s="344"/>
      <c r="LVL40" s="344"/>
      <c r="LVM40" s="344"/>
      <c r="LVN40" s="344"/>
      <c r="LVO40" s="344"/>
      <c r="LVP40" s="344"/>
      <c r="LVQ40" s="344"/>
      <c r="LVR40" s="344"/>
      <c r="LVS40" s="344"/>
      <c r="LVT40" s="344"/>
      <c r="LVU40" s="344"/>
      <c r="LVV40" s="344"/>
      <c r="LVW40" s="344"/>
      <c r="LVX40" s="344"/>
      <c r="LVY40" s="344"/>
      <c r="LVZ40" s="344"/>
      <c r="LWA40" s="344"/>
      <c r="LWB40" s="344"/>
      <c r="LWC40" s="344"/>
      <c r="LWD40" s="344"/>
      <c r="LWE40" s="344"/>
      <c r="LWF40" s="344"/>
      <c r="LWG40" s="344"/>
      <c r="LWH40" s="344"/>
      <c r="LWI40" s="344"/>
      <c r="LWJ40" s="344"/>
      <c r="LWK40" s="344"/>
      <c r="LWL40" s="344"/>
      <c r="LWM40" s="344"/>
      <c r="LWN40" s="344"/>
      <c r="LWO40" s="344"/>
      <c r="LWP40" s="344"/>
      <c r="LWQ40" s="344"/>
      <c r="LWR40" s="344"/>
      <c r="LWS40" s="344"/>
      <c r="LWT40" s="344"/>
      <c r="LWU40" s="344"/>
      <c r="LWV40" s="344"/>
      <c r="LWW40" s="344"/>
      <c r="LWX40" s="344"/>
      <c r="LWY40" s="344"/>
      <c r="LWZ40" s="344"/>
      <c r="LXA40" s="344"/>
      <c r="LXB40" s="344"/>
      <c r="LXC40" s="344"/>
      <c r="LXD40" s="344"/>
      <c r="LXE40" s="344"/>
      <c r="LXF40" s="344"/>
      <c r="LXG40" s="344"/>
      <c r="LXH40" s="344"/>
      <c r="LXI40" s="344"/>
      <c r="LXJ40" s="344"/>
      <c r="LXK40" s="344"/>
      <c r="LXL40" s="344"/>
      <c r="LXM40" s="344"/>
      <c r="LXN40" s="344"/>
      <c r="LXO40" s="344"/>
      <c r="LXP40" s="344"/>
      <c r="LXQ40" s="344"/>
      <c r="LXR40" s="344"/>
      <c r="LXS40" s="344"/>
      <c r="LXT40" s="344"/>
      <c r="LXU40" s="344"/>
      <c r="LXV40" s="344"/>
      <c r="LXW40" s="344"/>
      <c r="LXX40" s="344"/>
      <c r="LXY40" s="344"/>
      <c r="LXZ40" s="344"/>
      <c r="LYA40" s="344"/>
      <c r="LYB40" s="344"/>
      <c r="LYC40" s="344"/>
      <c r="LYD40" s="344"/>
      <c r="LYE40" s="344"/>
      <c r="LYF40" s="344"/>
      <c r="LYG40" s="344"/>
      <c r="LYH40" s="344"/>
      <c r="LYI40" s="344"/>
      <c r="LYJ40" s="344"/>
      <c r="LYK40" s="344"/>
      <c r="LYL40" s="344"/>
      <c r="LYM40" s="344"/>
      <c r="LYN40" s="344"/>
      <c r="LYO40" s="344"/>
      <c r="LYP40" s="344"/>
      <c r="LYQ40" s="344"/>
      <c r="LYR40" s="344"/>
      <c r="LYS40" s="344"/>
      <c r="LYT40" s="344"/>
      <c r="LYU40" s="344"/>
      <c r="LYV40" s="344"/>
      <c r="LYW40" s="344"/>
      <c r="LYX40" s="344"/>
      <c r="LYY40" s="344"/>
      <c r="LYZ40" s="344"/>
      <c r="LZA40" s="344"/>
      <c r="LZB40" s="344"/>
      <c r="LZC40" s="344"/>
      <c r="LZD40" s="344"/>
      <c r="LZE40" s="344"/>
      <c r="LZF40" s="344"/>
      <c r="LZG40" s="344"/>
      <c r="LZH40" s="344"/>
      <c r="LZI40" s="344"/>
      <c r="LZJ40" s="344"/>
      <c r="LZK40" s="344"/>
      <c r="LZL40" s="344"/>
      <c r="LZM40" s="344"/>
      <c r="LZN40" s="344"/>
      <c r="LZO40" s="344"/>
      <c r="LZP40" s="344"/>
      <c r="LZQ40" s="344"/>
      <c r="LZR40" s="344"/>
      <c r="LZS40" s="344"/>
      <c r="LZT40" s="344"/>
      <c r="LZU40" s="344"/>
      <c r="LZV40" s="344"/>
      <c r="LZW40" s="344"/>
      <c r="LZX40" s="344"/>
      <c r="LZY40" s="344"/>
      <c r="LZZ40" s="344"/>
      <c r="MAA40" s="344"/>
      <c r="MAB40" s="344"/>
      <c r="MAC40" s="344"/>
      <c r="MAD40" s="344"/>
      <c r="MAE40" s="344"/>
      <c r="MAF40" s="344"/>
      <c r="MAG40" s="344"/>
      <c r="MAH40" s="344"/>
      <c r="MAI40" s="344"/>
      <c r="MAJ40" s="344"/>
      <c r="MAK40" s="344"/>
      <c r="MAL40" s="344"/>
      <c r="MAM40" s="344"/>
      <c r="MAN40" s="344"/>
      <c r="MAO40" s="344"/>
      <c r="MAP40" s="344"/>
      <c r="MAQ40" s="344"/>
      <c r="MAR40" s="344"/>
      <c r="MAS40" s="344"/>
      <c r="MAT40" s="344"/>
      <c r="MAU40" s="344"/>
      <c r="MAV40" s="344"/>
      <c r="MAW40" s="344"/>
      <c r="MAX40" s="344"/>
      <c r="MAY40" s="344"/>
      <c r="MAZ40" s="344"/>
      <c r="MBA40" s="344"/>
      <c r="MBB40" s="344"/>
      <c r="MBC40" s="344"/>
      <c r="MBD40" s="344"/>
      <c r="MBE40" s="344"/>
      <c r="MBF40" s="344"/>
      <c r="MBG40" s="344"/>
      <c r="MBH40" s="344"/>
      <c r="MBI40" s="344"/>
      <c r="MBJ40" s="344"/>
      <c r="MBK40" s="344"/>
      <c r="MBL40" s="344"/>
      <c r="MBM40" s="344"/>
      <c r="MBN40" s="344"/>
      <c r="MBO40" s="344"/>
      <c r="MBP40" s="344"/>
      <c r="MBQ40" s="344"/>
      <c r="MBR40" s="344"/>
      <c r="MBS40" s="344"/>
      <c r="MBT40" s="344"/>
      <c r="MBU40" s="344"/>
      <c r="MBV40" s="344"/>
      <c r="MBW40" s="344"/>
      <c r="MBX40" s="344"/>
      <c r="MBY40" s="344"/>
      <c r="MBZ40" s="344"/>
      <c r="MCA40" s="344"/>
      <c r="MCB40" s="344"/>
      <c r="MCC40" s="344"/>
      <c r="MCD40" s="344"/>
      <c r="MCE40" s="344"/>
      <c r="MCF40" s="344"/>
      <c r="MCG40" s="344"/>
      <c r="MCH40" s="344"/>
      <c r="MCI40" s="344"/>
      <c r="MCJ40" s="344"/>
      <c r="MCK40" s="344"/>
      <c r="MCL40" s="344"/>
      <c r="MCM40" s="344"/>
      <c r="MCN40" s="344"/>
      <c r="MCO40" s="344"/>
      <c r="MCP40" s="344"/>
      <c r="MCQ40" s="344"/>
      <c r="MCR40" s="344"/>
      <c r="MCS40" s="344"/>
      <c r="MCT40" s="344"/>
      <c r="MCU40" s="344"/>
      <c r="MCV40" s="344"/>
      <c r="MCW40" s="344"/>
      <c r="MCX40" s="344"/>
      <c r="MCY40" s="344"/>
      <c r="MCZ40" s="344"/>
      <c r="MDA40" s="344"/>
      <c r="MDB40" s="344"/>
      <c r="MDC40" s="344"/>
      <c r="MDD40" s="344"/>
      <c r="MDE40" s="344"/>
      <c r="MDF40" s="344"/>
      <c r="MDG40" s="344"/>
      <c r="MDH40" s="344"/>
      <c r="MDI40" s="344"/>
      <c r="MDJ40" s="344"/>
      <c r="MDK40" s="344"/>
      <c r="MDL40" s="344"/>
      <c r="MDM40" s="344"/>
      <c r="MDN40" s="344"/>
      <c r="MDO40" s="344"/>
      <c r="MDP40" s="344"/>
      <c r="MDQ40" s="344"/>
      <c r="MDR40" s="344"/>
      <c r="MDS40" s="344"/>
      <c r="MDT40" s="344"/>
      <c r="MDU40" s="344"/>
      <c r="MDV40" s="344"/>
      <c r="MDW40" s="344"/>
      <c r="MDX40" s="344"/>
      <c r="MDY40" s="344"/>
      <c r="MDZ40" s="344"/>
      <c r="MEA40" s="344"/>
      <c r="MEB40" s="344"/>
      <c r="MEC40" s="344"/>
      <c r="MED40" s="344"/>
      <c r="MEE40" s="344"/>
      <c r="MEF40" s="344"/>
      <c r="MEG40" s="344"/>
      <c r="MEH40" s="344"/>
      <c r="MEI40" s="344"/>
      <c r="MEJ40" s="344"/>
      <c r="MEK40" s="344"/>
      <c r="MEL40" s="344"/>
      <c r="MEM40" s="344"/>
      <c r="MEN40" s="344"/>
      <c r="MEO40" s="344"/>
      <c r="MEP40" s="344"/>
      <c r="MEQ40" s="344"/>
      <c r="MER40" s="344"/>
      <c r="MES40" s="344"/>
      <c r="MET40" s="344"/>
      <c r="MEU40" s="344"/>
      <c r="MEV40" s="344"/>
      <c r="MEW40" s="344"/>
      <c r="MEX40" s="344"/>
      <c r="MEY40" s="344"/>
      <c r="MEZ40" s="344"/>
      <c r="MFA40" s="344"/>
      <c r="MFB40" s="344"/>
      <c r="MFC40" s="344"/>
      <c r="MFD40" s="344"/>
      <c r="MFE40" s="344"/>
      <c r="MFF40" s="344"/>
      <c r="MFG40" s="344"/>
      <c r="MFH40" s="344"/>
      <c r="MFI40" s="344"/>
      <c r="MFJ40" s="344"/>
      <c r="MFK40" s="344"/>
      <c r="MFL40" s="344"/>
      <c r="MFM40" s="344"/>
      <c r="MFN40" s="344"/>
      <c r="MFO40" s="344"/>
      <c r="MFP40" s="344"/>
      <c r="MFQ40" s="344"/>
      <c r="MFR40" s="344"/>
      <c r="MFS40" s="344"/>
      <c r="MFT40" s="344"/>
      <c r="MFU40" s="344"/>
      <c r="MFV40" s="344"/>
      <c r="MFW40" s="344"/>
      <c r="MFX40" s="344"/>
      <c r="MFY40" s="344"/>
      <c r="MFZ40" s="344"/>
      <c r="MGA40" s="344"/>
      <c r="MGB40" s="344"/>
      <c r="MGC40" s="344"/>
      <c r="MGD40" s="344"/>
      <c r="MGE40" s="344"/>
      <c r="MGF40" s="344"/>
      <c r="MGG40" s="344"/>
      <c r="MGH40" s="344"/>
      <c r="MGI40" s="344"/>
      <c r="MGJ40" s="344"/>
      <c r="MGK40" s="344"/>
      <c r="MGL40" s="344"/>
      <c r="MGM40" s="344"/>
      <c r="MGN40" s="344"/>
      <c r="MGO40" s="344"/>
      <c r="MGP40" s="344"/>
      <c r="MGQ40" s="344"/>
      <c r="MGR40" s="344"/>
      <c r="MGS40" s="344"/>
      <c r="MGT40" s="344"/>
      <c r="MGU40" s="344"/>
      <c r="MGV40" s="344"/>
      <c r="MGW40" s="344"/>
      <c r="MGX40" s="344"/>
      <c r="MGY40" s="344"/>
      <c r="MGZ40" s="344"/>
      <c r="MHA40" s="344"/>
      <c r="MHB40" s="344"/>
      <c r="MHC40" s="344"/>
      <c r="MHD40" s="344"/>
      <c r="MHE40" s="344"/>
      <c r="MHF40" s="344"/>
      <c r="MHG40" s="344"/>
      <c r="MHH40" s="344"/>
      <c r="MHI40" s="344"/>
      <c r="MHJ40" s="344"/>
      <c r="MHK40" s="344"/>
      <c r="MHL40" s="344"/>
      <c r="MHM40" s="344"/>
      <c r="MHN40" s="344"/>
      <c r="MHO40" s="344"/>
      <c r="MHP40" s="344"/>
      <c r="MHQ40" s="344"/>
      <c r="MHR40" s="344"/>
      <c r="MHS40" s="344"/>
      <c r="MHT40" s="344"/>
      <c r="MHU40" s="344"/>
      <c r="MHV40" s="344"/>
      <c r="MHW40" s="344"/>
      <c r="MHX40" s="344"/>
      <c r="MHY40" s="344"/>
      <c r="MHZ40" s="344"/>
      <c r="MIA40" s="344"/>
      <c r="MIB40" s="344"/>
      <c r="MIC40" s="344"/>
      <c r="MID40" s="344"/>
      <c r="MIE40" s="344"/>
      <c r="MIF40" s="344"/>
      <c r="MIG40" s="344"/>
      <c r="MIH40" s="344"/>
      <c r="MII40" s="344"/>
      <c r="MIJ40" s="344"/>
      <c r="MIK40" s="344"/>
      <c r="MIL40" s="344"/>
      <c r="MIM40" s="344"/>
      <c r="MIN40" s="344"/>
      <c r="MIO40" s="344"/>
      <c r="MIP40" s="344"/>
      <c r="MIQ40" s="344"/>
      <c r="MIR40" s="344"/>
      <c r="MIS40" s="344"/>
      <c r="MIT40" s="344"/>
      <c r="MIU40" s="344"/>
      <c r="MIV40" s="344"/>
      <c r="MIW40" s="344"/>
      <c r="MIX40" s="344"/>
      <c r="MIY40" s="344"/>
      <c r="MIZ40" s="344"/>
      <c r="MJA40" s="344"/>
      <c r="MJB40" s="344"/>
      <c r="MJC40" s="344"/>
      <c r="MJD40" s="344"/>
      <c r="MJE40" s="344"/>
      <c r="MJF40" s="344"/>
      <c r="MJG40" s="344"/>
      <c r="MJH40" s="344"/>
      <c r="MJI40" s="344"/>
      <c r="MJJ40" s="344"/>
      <c r="MJK40" s="344"/>
      <c r="MJL40" s="344"/>
      <c r="MJM40" s="344"/>
      <c r="MJN40" s="344"/>
      <c r="MJO40" s="344"/>
      <c r="MJP40" s="344"/>
      <c r="MJQ40" s="344"/>
      <c r="MJR40" s="344"/>
      <c r="MJS40" s="344"/>
      <c r="MJT40" s="344"/>
      <c r="MJU40" s="344"/>
      <c r="MJV40" s="344"/>
      <c r="MJW40" s="344"/>
      <c r="MJX40" s="344"/>
      <c r="MJY40" s="344"/>
      <c r="MJZ40" s="344"/>
      <c r="MKA40" s="344"/>
      <c r="MKB40" s="344"/>
      <c r="MKC40" s="344"/>
      <c r="MKD40" s="344"/>
      <c r="MKE40" s="344"/>
      <c r="MKF40" s="344"/>
      <c r="MKG40" s="344"/>
      <c r="MKH40" s="344"/>
      <c r="MKI40" s="344"/>
      <c r="MKJ40" s="344"/>
      <c r="MKK40" s="344"/>
      <c r="MKL40" s="344"/>
      <c r="MKM40" s="344"/>
      <c r="MKN40" s="344"/>
      <c r="MKO40" s="344"/>
      <c r="MKP40" s="344"/>
      <c r="MKQ40" s="344"/>
      <c r="MKR40" s="344"/>
      <c r="MKS40" s="344"/>
      <c r="MKT40" s="344"/>
      <c r="MKU40" s="344"/>
      <c r="MKV40" s="344"/>
      <c r="MKW40" s="344"/>
      <c r="MKX40" s="344"/>
      <c r="MKY40" s="344"/>
      <c r="MKZ40" s="344"/>
      <c r="MLA40" s="344"/>
      <c r="MLB40" s="344"/>
      <c r="MLC40" s="344"/>
      <c r="MLD40" s="344"/>
      <c r="MLE40" s="344"/>
      <c r="MLF40" s="344"/>
      <c r="MLG40" s="344"/>
      <c r="MLH40" s="344"/>
      <c r="MLI40" s="344"/>
      <c r="MLJ40" s="344"/>
      <c r="MLK40" s="344"/>
      <c r="MLL40" s="344"/>
      <c r="MLM40" s="344"/>
      <c r="MLN40" s="344"/>
      <c r="MLO40" s="344"/>
      <c r="MLP40" s="344"/>
      <c r="MLQ40" s="344"/>
      <c r="MLR40" s="344"/>
      <c r="MLS40" s="344"/>
      <c r="MLT40" s="344"/>
      <c r="MLU40" s="344"/>
      <c r="MLV40" s="344"/>
      <c r="MLW40" s="344"/>
      <c r="MLX40" s="344"/>
      <c r="MLY40" s="344"/>
      <c r="MLZ40" s="344"/>
      <c r="MMA40" s="344"/>
      <c r="MMB40" s="344"/>
      <c r="MMC40" s="344"/>
      <c r="MMD40" s="344"/>
      <c r="MME40" s="344"/>
      <c r="MMF40" s="344"/>
      <c r="MMG40" s="344"/>
      <c r="MMH40" s="344"/>
      <c r="MMI40" s="344"/>
      <c r="MMJ40" s="344"/>
      <c r="MMK40" s="344"/>
      <c r="MML40" s="344"/>
      <c r="MMM40" s="344"/>
      <c r="MMN40" s="344"/>
      <c r="MMO40" s="344"/>
      <c r="MMP40" s="344"/>
      <c r="MMQ40" s="344"/>
      <c r="MMR40" s="344"/>
      <c r="MMS40" s="344"/>
      <c r="MMT40" s="344"/>
      <c r="MMU40" s="344"/>
      <c r="MMV40" s="344"/>
      <c r="MMW40" s="344"/>
      <c r="MMX40" s="344"/>
      <c r="MMY40" s="344"/>
      <c r="MMZ40" s="344"/>
      <c r="MNA40" s="344"/>
      <c r="MNB40" s="344"/>
      <c r="MNC40" s="344"/>
      <c r="MND40" s="344"/>
      <c r="MNE40" s="344"/>
      <c r="MNF40" s="344"/>
      <c r="MNG40" s="344"/>
      <c r="MNH40" s="344"/>
      <c r="MNI40" s="344"/>
      <c r="MNJ40" s="344"/>
      <c r="MNK40" s="344"/>
      <c r="MNL40" s="344"/>
      <c r="MNM40" s="344"/>
      <c r="MNN40" s="344"/>
      <c r="MNO40" s="344"/>
      <c r="MNP40" s="344"/>
      <c r="MNQ40" s="344"/>
      <c r="MNR40" s="344"/>
      <c r="MNS40" s="344"/>
      <c r="MNT40" s="344"/>
      <c r="MNU40" s="344"/>
      <c r="MNV40" s="344"/>
      <c r="MNW40" s="344"/>
      <c r="MNX40" s="344"/>
      <c r="MNY40" s="344"/>
      <c r="MNZ40" s="344"/>
      <c r="MOA40" s="344"/>
      <c r="MOB40" s="344"/>
      <c r="MOC40" s="344"/>
      <c r="MOD40" s="344"/>
      <c r="MOE40" s="344"/>
      <c r="MOF40" s="344"/>
      <c r="MOG40" s="344"/>
      <c r="MOH40" s="344"/>
      <c r="MOI40" s="344"/>
      <c r="MOJ40" s="344"/>
      <c r="MOK40" s="344"/>
      <c r="MOL40" s="344"/>
      <c r="MOM40" s="344"/>
      <c r="MON40" s="344"/>
      <c r="MOO40" s="344"/>
      <c r="MOP40" s="344"/>
      <c r="MOQ40" s="344"/>
      <c r="MOR40" s="344"/>
      <c r="MOS40" s="344"/>
      <c r="MOT40" s="344"/>
      <c r="MOU40" s="344"/>
      <c r="MOV40" s="344"/>
      <c r="MOW40" s="344"/>
      <c r="MOX40" s="344"/>
      <c r="MOY40" s="344"/>
      <c r="MOZ40" s="344"/>
      <c r="MPA40" s="344"/>
      <c r="MPB40" s="344"/>
      <c r="MPC40" s="344"/>
      <c r="MPD40" s="344"/>
      <c r="MPE40" s="344"/>
      <c r="MPF40" s="344"/>
      <c r="MPG40" s="344"/>
      <c r="MPH40" s="344"/>
      <c r="MPI40" s="344"/>
      <c r="MPJ40" s="344"/>
      <c r="MPK40" s="344"/>
      <c r="MPL40" s="344"/>
      <c r="MPM40" s="344"/>
      <c r="MPN40" s="344"/>
      <c r="MPO40" s="344"/>
      <c r="MPP40" s="344"/>
      <c r="MPQ40" s="344"/>
      <c r="MPR40" s="344"/>
      <c r="MPS40" s="344"/>
      <c r="MPT40" s="344"/>
      <c r="MPU40" s="344"/>
      <c r="MPV40" s="344"/>
      <c r="MPW40" s="344"/>
      <c r="MPX40" s="344"/>
      <c r="MPY40" s="344"/>
      <c r="MPZ40" s="344"/>
      <c r="MQA40" s="344"/>
      <c r="MQB40" s="344"/>
      <c r="MQC40" s="344"/>
      <c r="MQD40" s="344"/>
      <c r="MQE40" s="344"/>
      <c r="MQF40" s="344"/>
      <c r="MQG40" s="344"/>
      <c r="MQH40" s="344"/>
      <c r="MQI40" s="344"/>
      <c r="MQJ40" s="344"/>
      <c r="MQK40" s="344"/>
      <c r="MQL40" s="344"/>
      <c r="MQM40" s="344"/>
      <c r="MQN40" s="344"/>
      <c r="MQO40" s="344"/>
      <c r="MQP40" s="344"/>
      <c r="MQQ40" s="344"/>
      <c r="MQR40" s="344"/>
      <c r="MQS40" s="344"/>
      <c r="MQT40" s="344"/>
      <c r="MQU40" s="344"/>
      <c r="MQV40" s="344"/>
      <c r="MQW40" s="344"/>
      <c r="MQX40" s="344"/>
      <c r="MQY40" s="344"/>
      <c r="MQZ40" s="344"/>
      <c r="MRA40" s="344"/>
      <c r="MRB40" s="344"/>
      <c r="MRC40" s="344"/>
      <c r="MRD40" s="344"/>
      <c r="MRE40" s="344"/>
      <c r="MRF40" s="344"/>
      <c r="MRG40" s="344"/>
      <c r="MRH40" s="344"/>
      <c r="MRI40" s="344"/>
      <c r="MRJ40" s="344"/>
      <c r="MRK40" s="344"/>
      <c r="MRL40" s="344"/>
      <c r="MRM40" s="344"/>
      <c r="MRN40" s="344"/>
      <c r="MRO40" s="344"/>
      <c r="MRP40" s="344"/>
      <c r="MRQ40" s="344"/>
      <c r="MRR40" s="344"/>
      <c r="MRS40" s="344"/>
      <c r="MRT40" s="344"/>
      <c r="MRU40" s="344"/>
      <c r="MRV40" s="344"/>
      <c r="MRW40" s="344"/>
      <c r="MRX40" s="344"/>
      <c r="MRY40" s="344"/>
      <c r="MRZ40" s="344"/>
      <c r="MSA40" s="344"/>
      <c r="MSB40" s="344"/>
      <c r="MSC40" s="344"/>
      <c r="MSD40" s="344"/>
      <c r="MSE40" s="344"/>
      <c r="MSF40" s="344"/>
      <c r="MSG40" s="344"/>
      <c r="MSH40" s="344"/>
      <c r="MSI40" s="344"/>
      <c r="MSJ40" s="344"/>
      <c r="MSK40" s="344"/>
      <c r="MSL40" s="344"/>
      <c r="MSM40" s="344"/>
      <c r="MSN40" s="344"/>
      <c r="MSO40" s="344"/>
      <c r="MSP40" s="344"/>
      <c r="MSQ40" s="344"/>
      <c r="MSR40" s="344"/>
      <c r="MSS40" s="344"/>
      <c r="MST40" s="344"/>
      <c r="MSU40" s="344"/>
      <c r="MSV40" s="344"/>
      <c r="MSW40" s="344"/>
      <c r="MSX40" s="344"/>
      <c r="MSY40" s="344"/>
      <c r="MSZ40" s="344"/>
      <c r="MTA40" s="344"/>
      <c r="MTB40" s="344"/>
      <c r="MTC40" s="344"/>
      <c r="MTD40" s="344"/>
      <c r="MTE40" s="344"/>
      <c r="MTF40" s="344"/>
      <c r="MTG40" s="344"/>
      <c r="MTH40" s="344"/>
      <c r="MTI40" s="344"/>
      <c r="MTJ40" s="344"/>
      <c r="MTK40" s="344"/>
      <c r="MTL40" s="344"/>
      <c r="MTM40" s="344"/>
      <c r="MTN40" s="344"/>
      <c r="MTO40" s="344"/>
      <c r="MTP40" s="344"/>
      <c r="MTQ40" s="344"/>
      <c r="MTR40" s="344"/>
      <c r="MTS40" s="344"/>
      <c r="MTT40" s="344"/>
      <c r="MTU40" s="344"/>
      <c r="MTV40" s="344"/>
      <c r="MTW40" s="344"/>
      <c r="MTX40" s="344"/>
      <c r="MTY40" s="344"/>
      <c r="MTZ40" s="344"/>
      <c r="MUA40" s="344"/>
      <c r="MUB40" s="344"/>
      <c r="MUC40" s="344"/>
      <c r="MUD40" s="344"/>
      <c r="MUE40" s="344"/>
      <c r="MUF40" s="344"/>
      <c r="MUG40" s="344"/>
      <c r="MUH40" s="344"/>
      <c r="MUI40" s="344"/>
      <c r="MUJ40" s="344"/>
      <c r="MUK40" s="344"/>
      <c r="MUL40" s="344"/>
      <c r="MUM40" s="344"/>
      <c r="MUN40" s="344"/>
      <c r="MUO40" s="344"/>
      <c r="MUP40" s="344"/>
      <c r="MUQ40" s="344"/>
      <c r="MUR40" s="344"/>
      <c r="MUS40" s="344"/>
      <c r="MUT40" s="344"/>
      <c r="MUU40" s="344"/>
      <c r="MUV40" s="344"/>
      <c r="MUW40" s="344"/>
      <c r="MUX40" s="344"/>
      <c r="MUY40" s="344"/>
      <c r="MUZ40" s="344"/>
      <c r="MVA40" s="344"/>
      <c r="MVB40" s="344"/>
      <c r="MVC40" s="344"/>
      <c r="MVD40" s="344"/>
      <c r="MVE40" s="344"/>
      <c r="MVF40" s="344"/>
      <c r="MVG40" s="344"/>
      <c r="MVH40" s="344"/>
      <c r="MVI40" s="344"/>
      <c r="MVJ40" s="344"/>
      <c r="MVK40" s="344"/>
      <c r="MVL40" s="344"/>
      <c r="MVM40" s="344"/>
      <c r="MVN40" s="344"/>
      <c r="MVO40" s="344"/>
      <c r="MVP40" s="344"/>
      <c r="MVQ40" s="344"/>
      <c r="MVR40" s="344"/>
      <c r="MVS40" s="344"/>
      <c r="MVT40" s="344"/>
      <c r="MVU40" s="344"/>
      <c r="MVV40" s="344"/>
      <c r="MVW40" s="344"/>
      <c r="MVX40" s="344"/>
      <c r="MVY40" s="344"/>
      <c r="MVZ40" s="344"/>
      <c r="MWA40" s="344"/>
      <c r="MWB40" s="344"/>
      <c r="MWC40" s="344"/>
      <c r="MWD40" s="344"/>
      <c r="MWE40" s="344"/>
      <c r="MWF40" s="344"/>
      <c r="MWG40" s="344"/>
      <c r="MWH40" s="344"/>
      <c r="MWI40" s="344"/>
      <c r="MWJ40" s="344"/>
      <c r="MWK40" s="344"/>
      <c r="MWL40" s="344"/>
      <c r="MWM40" s="344"/>
      <c r="MWN40" s="344"/>
      <c r="MWO40" s="344"/>
      <c r="MWP40" s="344"/>
      <c r="MWQ40" s="344"/>
      <c r="MWR40" s="344"/>
      <c r="MWS40" s="344"/>
      <c r="MWT40" s="344"/>
      <c r="MWU40" s="344"/>
      <c r="MWV40" s="344"/>
      <c r="MWW40" s="344"/>
      <c r="MWX40" s="344"/>
      <c r="MWY40" s="344"/>
      <c r="MWZ40" s="344"/>
      <c r="MXA40" s="344"/>
      <c r="MXB40" s="344"/>
      <c r="MXC40" s="344"/>
      <c r="MXD40" s="344"/>
      <c r="MXE40" s="344"/>
      <c r="MXF40" s="344"/>
      <c r="MXG40" s="344"/>
      <c r="MXH40" s="344"/>
      <c r="MXI40" s="344"/>
      <c r="MXJ40" s="344"/>
      <c r="MXK40" s="344"/>
      <c r="MXL40" s="344"/>
      <c r="MXM40" s="344"/>
      <c r="MXN40" s="344"/>
      <c r="MXO40" s="344"/>
      <c r="MXP40" s="344"/>
      <c r="MXQ40" s="344"/>
      <c r="MXR40" s="344"/>
      <c r="MXS40" s="344"/>
      <c r="MXT40" s="344"/>
      <c r="MXU40" s="344"/>
      <c r="MXV40" s="344"/>
      <c r="MXW40" s="344"/>
      <c r="MXX40" s="344"/>
      <c r="MXY40" s="344"/>
      <c r="MXZ40" s="344"/>
      <c r="MYA40" s="344"/>
      <c r="MYB40" s="344"/>
      <c r="MYC40" s="344"/>
      <c r="MYD40" s="344"/>
      <c r="MYE40" s="344"/>
      <c r="MYF40" s="344"/>
      <c r="MYG40" s="344"/>
      <c r="MYH40" s="344"/>
      <c r="MYI40" s="344"/>
      <c r="MYJ40" s="344"/>
      <c r="MYK40" s="344"/>
      <c r="MYL40" s="344"/>
      <c r="MYM40" s="344"/>
      <c r="MYN40" s="344"/>
      <c r="MYO40" s="344"/>
      <c r="MYP40" s="344"/>
      <c r="MYQ40" s="344"/>
      <c r="MYR40" s="344"/>
      <c r="MYS40" s="344"/>
      <c r="MYT40" s="344"/>
      <c r="MYU40" s="344"/>
      <c r="MYV40" s="344"/>
      <c r="MYW40" s="344"/>
      <c r="MYX40" s="344"/>
      <c r="MYY40" s="344"/>
      <c r="MYZ40" s="344"/>
      <c r="MZA40" s="344"/>
      <c r="MZB40" s="344"/>
      <c r="MZC40" s="344"/>
      <c r="MZD40" s="344"/>
      <c r="MZE40" s="344"/>
      <c r="MZF40" s="344"/>
      <c r="MZG40" s="344"/>
      <c r="MZH40" s="344"/>
      <c r="MZI40" s="344"/>
      <c r="MZJ40" s="344"/>
      <c r="MZK40" s="344"/>
      <c r="MZL40" s="344"/>
      <c r="MZM40" s="344"/>
      <c r="MZN40" s="344"/>
      <c r="MZO40" s="344"/>
      <c r="MZP40" s="344"/>
      <c r="MZQ40" s="344"/>
      <c r="MZR40" s="344"/>
      <c r="MZS40" s="344"/>
      <c r="MZT40" s="344"/>
      <c r="MZU40" s="344"/>
      <c r="MZV40" s="344"/>
      <c r="MZW40" s="344"/>
      <c r="MZX40" s="344"/>
      <c r="MZY40" s="344"/>
      <c r="MZZ40" s="344"/>
      <c r="NAA40" s="344"/>
      <c r="NAB40" s="344"/>
      <c r="NAC40" s="344"/>
      <c r="NAD40" s="344"/>
      <c r="NAE40" s="344"/>
      <c r="NAF40" s="344"/>
      <c r="NAG40" s="344"/>
      <c r="NAH40" s="344"/>
      <c r="NAI40" s="344"/>
      <c r="NAJ40" s="344"/>
      <c r="NAK40" s="344"/>
      <c r="NAL40" s="344"/>
      <c r="NAM40" s="344"/>
      <c r="NAN40" s="344"/>
      <c r="NAO40" s="344"/>
      <c r="NAP40" s="344"/>
      <c r="NAQ40" s="344"/>
      <c r="NAR40" s="344"/>
      <c r="NAS40" s="344"/>
      <c r="NAT40" s="344"/>
      <c r="NAU40" s="344"/>
      <c r="NAV40" s="344"/>
      <c r="NAW40" s="344"/>
      <c r="NAX40" s="344"/>
      <c r="NAY40" s="344"/>
      <c r="NAZ40" s="344"/>
      <c r="NBA40" s="344"/>
      <c r="NBB40" s="344"/>
      <c r="NBC40" s="344"/>
      <c r="NBD40" s="344"/>
      <c r="NBE40" s="344"/>
      <c r="NBF40" s="344"/>
      <c r="NBG40" s="344"/>
      <c r="NBH40" s="344"/>
      <c r="NBI40" s="344"/>
      <c r="NBJ40" s="344"/>
      <c r="NBK40" s="344"/>
      <c r="NBL40" s="344"/>
      <c r="NBM40" s="344"/>
      <c r="NBN40" s="344"/>
      <c r="NBO40" s="344"/>
      <c r="NBP40" s="344"/>
      <c r="NBQ40" s="344"/>
      <c r="NBR40" s="344"/>
      <c r="NBS40" s="344"/>
      <c r="NBT40" s="344"/>
      <c r="NBU40" s="344"/>
      <c r="NBV40" s="344"/>
      <c r="NBW40" s="344"/>
      <c r="NBX40" s="344"/>
      <c r="NBY40" s="344"/>
      <c r="NBZ40" s="344"/>
      <c r="NCA40" s="344"/>
      <c r="NCB40" s="344"/>
      <c r="NCC40" s="344"/>
      <c r="NCD40" s="344"/>
      <c r="NCE40" s="344"/>
      <c r="NCF40" s="344"/>
      <c r="NCG40" s="344"/>
      <c r="NCH40" s="344"/>
      <c r="NCI40" s="344"/>
      <c r="NCJ40" s="344"/>
      <c r="NCK40" s="344"/>
      <c r="NCL40" s="344"/>
      <c r="NCM40" s="344"/>
      <c r="NCN40" s="344"/>
      <c r="NCO40" s="344"/>
      <c r="NCP40" s="344"/>
      <c r="NCQ40" s="344"/>
      <c r="NCR40" s="344"/>
      <c r="NCS40" s="344"/>
      <c r="NCT40" s="344"/>
      <c r="NCU40" s="344"/>
      <c r="NCV40" s="344"/>
      <c r="NCW40" s="344"/>
      <c r="NCX40" s="344"/>
      <c r="NCY40" s="344"/>
      <c r="NCZ40" s="344"/>
      <c r="NDA40" s="344"/>
      <c r="NDB40" s="344"/>
      <c r="NDC40" s="344"/>
      <c r="NDD40" s="344"/>
      <c r="NDE40" s="344"/>
      <c r="NDF40" s="344"/>
      <c r="NDG40" s="344"/>
      <c r="NDH40" s="344"/>
      <c r="NDI40" s="344"/>
      <c r="NDJ40" s="344"/>
      <c r="NDK40" s="344"/>
      <c r="NDL40" s="344"/>
      <c r="NDM40" s="344"/>
      <c r="NDN40" s="344"/>
      <c r="NDO40" s="344"/>
      <c r="NDP40" s="344"/>
      <c r="NDQ40" s="344"/>
      <c r="NDR40" s="344"/>
      <c r="NDS40" s="344"/>
      <c r="NDT40" s="344"/>
      <c r="NDU40" s="344"/>
      <c r="NDV40" s="344"/>
      <c r="NDW40" s="344"/>
      <c r="NDX40" s="344"/>
      <c r="NDY40" s="344"/>
      <c r="NDZ40" s="344"/>
      <c r="NEA40" s="344"/>
      <c r="NEB40" s="344"/>
      <c r="NEC40" s="344"/>
      <c r="NED40" s="344"/>
      <c r="NEE40" s="344"/>
      <c r="NEF40" s="344"/>
      <c r="NEG40" s="344"/>
      <c r="NEH40" s="344"/>
      <c r="NEI40" s="344"/>
      <c r="NEJ40" s="344"/>
      <c r="NEK40" s="344"/>
      <c r="NEL40" s="344"/>
      <c r="NEM40" s="344"/>
      <c r="NEN40" s="344"/>
      <c r="NEO40" s="344"/>
      <c r="NEP40" s="344"/>
      <c r="NEQ40" s="344"/>
      <c r="NER40" s="344"/>
      <c r="NES40" s="344"/>
      <c r="NET40" s="344"/>
      <c r="NEU40" s="344"/>
      <c r="NEV40" s="344"/>
      <c r="NEW40" s="344"/>
      <c r="NEX40" s="344"/>
      <c r="NEY40" s="344"/>
      <c r="NEZ40" s="344"/>
      <c r="NFA40" s="344"/>
      <c r="NFB40" s="344"/>
      <c r="NFC40" s="344"/>
      <c r="NFD40" s="344"/>
      <c r="NFE40" s="344"/>
      <c r="NFF40" s="344"/>
      <c r="NFG40" s="344"/>
      <c r="NFH40" s="344"/>
      <c r="NFI40" s="344"/>
      <c r="NFJ40" s="344"/>
      <c r="NFK40" s="344"/>
      <c r="NFL40" s="344"/>
      <c r="NFM40" s="344"/>
      <c r="NFN40" s="344"/>
      <c r="NFO40" s="344"/>
      <c r="NFP40" s="344"/>
      <c r="NFQ40" s="344"/>
      <c r="NFR40" s="344"/>
      <c r="NFS40" s="344"/>
      <c r="NFT40" s="344"/>
      <c r="NFU40" s="344"/>
      <c r="NFV40" s="344"/>
      <c r="NFW40" s="344"/>
      <c r="NFX40" s="344"/>
      <c r="NFY40" s="344"/>
      <c r="NFZ40" s="344"/>
      <c r="NGA40" s="344"/>
      <c r="NGB40" s="344"/>
      <c r="NGC40" s="344"/>
      <c r="NGD40" s="344"/>
      <c r="NGE40" s="344"/>
      <c r="NGF40" s="344"/>
      <c r="NGG40" s="344"/>
      <c r="NGH40" s="344"/>
      <c r="NGI40" s="344"/>
      <c r="NGJ40" s="344"/>
      <c r="NGK40" s="344"/>
      <c r="NGL40" s="344"/>
      <c r="NGM40" s="344"/>
      <c r="NGN40" s="344"/>
      <c r="NGO40" s="344"/>
      <c r="NGP40" s="344"/>
      <c r="NGQ40" s="344"/>
      <c r="NGR40" s="344"/>
      <c r="NGS40" s="344"/>
      <c r="NGT40" s="344"/>
      <c r="NGU40" s="344"/>
      <c r="NGV40" s="344"/>
      <c r="NGW40" s="344"/>
      <c r="NGX40" s="344"/>
      <c r="NGY40" s="344"/>
      <c r="NGZ40" s="344"/>
      <c r="NHA40" s="344"/>
      <c r="NHB40" s="344"/>
      <c r="NHC40" s="344"/>
      <c r="NHD40" s="344"/>
      <c r="NHE40" s="344"/>
      <c r="NHF40" s="344"/>
      <c r="NHG40" s="344"/>
      <c r="NHH40" s="344"/>
      <c r="NHI40" s="344"/>
      <c r="NHJ40" s="344"/>
      <c r="NHK40" s="344"/>
      <c r="NHL40" s="344"/>
      <c r="NHM40" s="344"/>
      <c r="NHN40" s="344"/>
      <c r="NHO40" s="344"/>
      <c r="NHP40" s="344"/>
      <c r="NHQ40" s="344"/>
      <c r="NHR40" s="344"/>
      <c r="NHS40" s="344"/>
      <c r="NHT40" s="344"/>
      <c r="NHU40" s="344"/>
      <c r="NHV40" s="344"/>
      <c r="NHW40" s="344"/>
      <c r="NHX40" s="344"/>
      <c r="NHY40" s="344"/>
      <c r="NHZ40" s="344"/>
      <c r="NIA40" s="344"/>
      <c r="NIB40" s="344"/>
      <c r="NIC40" s="344"/>
      <c r="NID40" s="344"/>
      <c r="NIE40" s="344"/>
      <c r="NIF40" s="344"/>
      <c r="NIG40" s="344"/>
      <c r="NIH40" s="344"/>
      <c r="NII40" s="344"/>
      <c r="NIJ40" s="344"/>
      <c r="NIK40" s="344"/>
      <c r="NIL40" s="344"/>
      <c r="NIM40" s="344"/>
      <c r="NIN40" s="344"/>
      <c r="NIO40" s="344"/>
      <c r="NIP40" s="344"/>
      <c r="NIQ40" s="344"/>
      <c r="NIR40" s="344"/>
      <c r="NIS40" s="344"/>
      <c r="NIT40" s="344"/>
      <c r="NIU40" s="344"/>
      <c r="NIV40" s="344"/>
      <c r="NIW40" s="344"/>
      <c r="NIX40" s="344"/>
      <c r="NIY40" s="344"/>
      <c r="NIZ40" s="344"/>
      <c r="NJA40" s="344"/>
      <c r="NJB40" s="344"/>
      <c r="NJC40" s="344"/>
      <c r="NJD40" s="344"/>
      <c r="NJE40" s="344"/>
      <c r="NJF40" s="344"/>
      <c r="NJG40" s="344"/>
      <c r="NJH40" s="344"/>
      <c r="NJI40" s="344"/>
      <c r="NJJ40" s="344"/>
      <c r="NJK40" s="344"/>
      <c r="NJL40" s="344"/>
      <c r="NJM40" s="344"/>
      <c r="NJN40" s="344"/>
      <c r="NJO40" s="344"/>
      <c r="NJP40" s="344"/>
      <c r="NJQ40" s="344"/>
      <c r="NJR40" s="344"/>
      <c r="NJS40" s="344"/>
      <c r="NJT40" s="344"/>
      <c r="NJU40" s="344"/>
      <c r="NJV40" s="344"/>
      <c r="NJW40" s="344"/>
      <c r="NJX40" s="344"/>
      <c r="NJY40" s="344"/>
      <c r="NJZ40" s="344"/>
      <c r="NKA40" s="344"/>
      <c r="NKB40" s="344"/>
      <c r="NKC40" s="344"/>
      <c r="NKD40" s="344"/>
      <c r="NKE40" s="344"/>
      <c r="NKF40" s="344"/>
      <c r="NKG40" s="344"/>
      <c r="NKH40" s="344"/>
      <c r="NKI40" s="344"/>
      <c r="NKJ40" s="344"/>
      <c r="NKK40" s="344"/>
      <c r="NKL40" s="344"/>
      <c r="NKM40" s="344"/>
      <c r="NKN40" s="344"/>
      <c r="NKO40" s="344"/>
      <c r="NKP40" s="344"/>
      <c r="NKQ40" s="344"/>
      <c r="NKR40" s="344"/>
      <c r="NKS40" s="344"/>
      <c r="NKT40" s="344"/>
      <c r="NKU40" s="344"/>
      <c r="NKV40" s="344"/>
      <c r="NKW40" s="344"/>
      <c r="NKX40" s="344"/>
      <c r="NKY40" s="344"/>
      <c r="NKZ40" s="344"/>
      <c r="NLA40" s="344"/>
      <c r="NLB40" s="344"/>
      <c r="NLC40" s="344"/>
      <c r="NLD40" s="344"/>
      <c r="NLE40" s="344"/>
      <c r="NLF40" s="344"/>
      <c r="NLG40" s="344"/>
      <c r="NLH40" s="344"/>
      <c r="NLI40" s="344"/>
      <c r="NLJ40" s="344"/>
      <c r="NLK40" s="344"/>
      <c r="NLL40" s="344"/>
      <c r="NLM40" s="344"/>
      <c r="NLN40" s="344"/>
      <c r="NLO40" s="344"/>
      <c r="NLP40" s="344"/>
      <c r="NLQ40" s="344"/>
      <c r="NLR40" s="344"/>
      <c r="NLS40" s="344"/>
      <c r="NLT40" s="344"/>
      <c r="NLU40" s="344"/>
      <c r="NLV40" s="344"/>
      <c r="NLW40" s="344"/>
      <c r="NLX40" s="344"/>
      <c r="NLY40" s="344"/>
      <c r="NLZ40" s="344"/>
      <c r="NMA40" s="344"/>
      <c r="NMB40" s="344"/>
      <c r="NMC40" s="344"/>
      <c r="NMD40" s="344"/>
      <c r="NME40" s="344"/>
      <c r="NMF40" s="344"/>
      <c r="NMG40" s="344"/>
      <c r="NMH40" s="344"/>
      <c r="NMI40" s="344"/>
      <c r="NMJ40" s="344"/>
      <c r="NMK40" s="344"/>
      <c r="NML40" s="344"/>
      <c r="NMM40" s="344"/>
      <c r="NMN40" s="344"/>
      <c r="NMO40" s="344"/>
      <c r="NMP40" s="344"/>
      <c r="NMQ40" s="344"/>
      <c r="NMR40" s="344"/>
      <c r="NMS40" s="344"/>
      <c r="NMT40" s="344"/>
      <c r="NMU40" s="344"/>
      <c r="NMV40" s="344"/>
      <c r="NMW40" s="344"/>
      <c r="NMX40" s="344"/>
      <c r="NMY40" s="344"/>
      <c r="NMZ40" s="344"/>
      <c r="NNA40" s="344"/>
      <c r="NNB40" s="344"/>
      <c r="NNC40" s="344"/>
      <c r="NND40" s="344"/>
      <c r="NNE40" s="344"/>
      <c r="NNF40" s="344"/>
      <c r="NNG40" s="344"/>
      <c r="NNH40" s="344"/>
      <c r="NNI40" s="344"/>
      <c r="NNJ40" s="344"/>
      <c r="NNK40" s="344"/>
      <c r="NNL40" s="344"/>
      <c r="NNM40" s="344"/>
      <c r="NNN40" s="344"/>
      <c r="NNO40" s="344"/>
      <c r="NNP40" s="344"/>
      <c r="NNQ40" s="344"/>
      <c r="NNR40" s="344"/>
      <c r="NNS40" s="344"/>
      <c r="NNT40" s="344"/>
      <c r="NNU40" s="344"/>
      <c r="NNV40" s="344"/>
      <c r="NNW40" s="344"/>
      <c r="NNX40" s="344"/>
      <c r="NNY40" s="344"/>
      <c r="NNZ40" s="344"/>
      <c r="NOA40" s="344"/>
      <c r="NOB40" s="344"/>
      <c r="NOC40" s="344"/>
      <c r="NOD40" s="344"/>
      <c r="NOE40" s="344"/>
      <c r="NOF40" s="344"/>
      <c r="NOG40" s="344"/>
      <c r="NOH40" s="344"/>
      <c r="NOI40" s="344"/>
      <c r="NOJ40" s="344"/>
      <c r="NOK40" s="344"/>
      <c r="NOL40" s="344"/>
      <c r="NOM40" s="344"/>
      <c r="NON40" s="344"/>
      <c r="NOO40" s="344"/>
      <c r="NOP40" s="344"/>
      <c r="NOQ40" s="344"/>
      <c r="NOR40" s="344"/>
      <c r="NOS40" s="344"/>
      <c r="NOT40" s="344"/>
      <c r="NOU40" s="344"/>
      <c r="NOV40" s="344"/>
      <c r="NOW40" s="344"/>
      <c r="NOX40" s="344"/>
      <c r="NOY40" s="344"/>
      <c r="NOZ40" s="344"/>
      <c r="NPA40" s="344"/>
      <c r="NPB40" s="344"/>
      <c r="NPC40" s="344"/>
      <c r="NPD40" s="344"/>
      <c r="NPE40" s="344"/>
      <c r="NPF40" s="344"/>
      <c r="NPG40" s="344"/>
      <c r="NPH40" s="344"/>
      <c r="NPI40" s="344"/>
      <c r="NPJ40" s="344"/>
      <c r="NPK40" s="344"/>
      <c r="NPL40" s="344"/>
      <c r="NPM40" s="344"/>
      <c r="NPN40" s="344"/>
      <c r="NPO40" s="344"/>
      <c r="NPP40" s="344"/>
      <c r="NPQ40" s="344"/>
      <c r="NPR40" s="344"/>
      <c r="NPS40" s="344"/>
      <c r="NPT40" s="344"/>
      <c r="NPU40" s="344"/>
      <c r="NPV40" s="344"/>
      <c r="NPW40" s="344"/>
      <c r="NPX40" s="344"/>
      <c r="NPY40" s="344"/>
      <c r="NPZ40" s="344"/>
      <c r="NQA40" s="344"/>
      <c r="NQB40" s="344"/>
      <c r="NQC40" s="344"/>
      <c r="NQD40" s="344"/>
      <c r="NQE40" s="344"/>
      <c r="NQF40" s="344"/>
      <c r="NQG40" s="344"/>
      <c r="NQH40" s="344"/>
      <c r="NQI40" s="344"/>
      <c r="NQJ40" s="344"/>
      <c r="NQK40" s="344"/>
      <c r="NQL40" s="344"/>
      <c r="NQM40" s="344"/>
      <c r="NQN40" s="344"/>
      <c r="NQO40" s="344"/>
      <c r="NQP40" s="344"/>
      <c r="NQQ40" s="344"/>
      <c r="NQR40" s="344"/>
      <c r="NQS40" s="344"/>
      <c r="NQT40" s="344"/>
      <c r="NQU40" s="344"/>
      <c r="NQV40" s="344"/>
      <c r="NQW40" s="344"/>
      <c r="NQX40" s="344"/>
      <c r="NQY40" s="344"/>
      <c r="NQZ40" s="344"/>
      <c r="NRA40" s="344"/>
      <c r="NRB40" s="344"/>
      <c r="NRC40" s="344"/>
      <c r="NRD40" s="344"/>
      <c r="NRE40" s="344"/>
      <c r="NRF40" s="344"/>
      <c r="NRG40" s="344"/>
      <c r="NRH40" s="344"/>
      <c r="NRI40" s="344"/>
      <c r="NRJ40" s="344"/>
      <c r="NRK40" s="344"/>
      <c r="NRL40" s="344"/>
      <c r="NRM40" s="344"/>
      <c r="NRN40" s="344"/>
      <c r="NRO40" s="344"/>
      <c r="NRP40" s="344"/>
      <c r="NRQ40" s="344"/>
      <c r="NRR40" s="344"/>
      <c r="NRS40" s="344"/>
      <c r="NRT40" s="344"/>
      <c r="NRU40" s="344"/>
      <c r="NRV40" s="344"/>
      <c r="NRW40" s="344"/>
      <c r="NRX40" s="344"/>
      <c r="NRY40" s="344"/>
      <c r="NRZ40" s="344"/>
      <c r="NSA40" s="344"/>
      <c r="NSB40" s="344"/>
      <c r="NSC40" s="344"/>
      <c r="NSD40" s="344"/>
      <c r="NSE40" s="344"/>
      <c r="NSF40" s="344"/>
      <c r="NSG40" s="344"/>
      <c r="NSH40" s="344"/>
      <c r="NSI40" s="344"/>
      <c r="NSJ40" s="344"/>
      <c r="NSK40" s="344"/>
      <c r="NSL40" s="344"/>
      <c r="NSM40" s="344"/>
      <c r="NSN40" s="344"/>
      <c r="NSO40" s="344"/>
      <c r="NSP40" s="344"/>
      <c r="NSQ40" s="344"/>
      <c r="NSR40" s="344"/>
      <c r="NSS40" s="344"/>
      <c r="NST40" s="344"/>
      <c r="NSU40" s="344"/>
      <c r="NSV40" s="344"/>
      <c r="NSW40" s="344"/>
      <c r="NSX40" s="344"/>
      <c r="NSY40" s="344"/>
      <c r="NSZ40" s="344"/>
      <c r="NTA40" s="344"/>
      <c r="NTB40" s="344"/>
      <c r="NTC40" s="344"/>
      <c r="NTD40" s="344"/>
      <c r="NTE40" s="344"/>
      <c r="NTF40" s="344"/>
      <c r="NTG40" s="344"/>
      <c r="NTH40" s="344"/>
      <c r="NTI40" s="344"/>
      <c r="NTJ40" s="344"/>
      <c r="NTK40" s="344"/>
      <c r="NTL40" s="344"/>
      <c r="NTM40" s="344"/>
      <c r="NTN40" s="344"/>
      <c r="NTO40" s="344"/>
      <c r="NTP40" s="344"/>
      <c r="NTQ40" s="344"/>
      <c r="NTR40" s="344"/>
      <c r="NTS40" s="344"/>
      <c r="NTT40" s="344"/>
      <c r="NTU40" s="344"/>
      <c r="NTV40" s="344"/>
      <c r="NTW40" s="344"/>
      <c r="NTX40" s="344"/>
      <c r="NTY40" s="344"/>
      <c r="NTZ40" s="344"/>
      <c r="NUA40" s="344"/>
      <c r="NUB40" s="344"/>
      <c r="NUC40" s="344"/>
      <c r="NUD40" s="344"/>
      <c r="NUE40" s="344"/>
      <c r="NUF40" s="344"/>
      <c r="NUG40" s="344"/>
      <c r="NUH40" s="344"/>
      <c r="NUI40" s="344"/>
      <c r="NUJ40" s="344"/>
      <c r="NUK40" s="344"/>
      <c r="NUL40" s="344"/>
      <c r="NUM40" s="344"/>
      <c r="NUN40" s="344"/>
      <c r="NUO40" s="344"/>
      <c r="NUP40" s="344"/>
      <c r="NUQ40" s="344"/>
      <c r="NUR40" s="344"/>
      <c r="NUS40" s="344"/>
      <c r="NUT40" s="344"/>
      <c r="NUU40" s="344"/>
      <c r="NUV40" s="344"/>
      <c r="NUW40" s="344"/>
      <c r="NUX40" s="344"/>
      <c r="NUY40" s="344"/>
      <c r="NUZ40" s="344"/>
      <c r="NVA40" s="344"/>
      <c r="NVB40" s="344"/>
      <c r="NVC40" s="344"/>
      <c r="NVD40" s="344"/>
      <c r="NVE40" s="344"/>
      <c r="NVF40" s="344"/>
      <c r="NVG40" s="344"/>
      <c r="NVH40" s="344"/>
      <c r="NVI40" s="344"/>
      <c r="NVJ40" s="344"/>
      <c r="NVK40" s="344"/>
      <c r="NVL40" s="344"/>
      <c r="NVM40" s="344"/>
      <c r="NVN40" s="344"/>
      <c r="NVO40" s="344"/>
      <c r="NVP40" s="344"/>
      <c r="NVQ40" s="344"/>
      <c r="NVR40" s="344"/>
      <c r="NVS40" s="344"/>
      <c r="NVT40" s="344"/>
      <c r="NVU40" s="344"/>
      <c r="NVV40" s="344"/>
      <c r="NVW40" s="344"/>
      <c r="NVX40" s="344"/>
      <c r="NVY40" s="344"/>
      <c r="NVZ40" s="344"/>
      <c r="NWA40" s="344"/>
      <c r="NWB40" s="344"/>
      <c r="NWC40" s="344"/>
      <c r="NWD40" s="344"/>
      <c r="NWE40" s="344"/>
      <c r="NWF40" s="344"/>
      <c r="NWG40" s="344"/>
      <c r="NWH40" s="344"/>
      <c r="NWI40" s="344"/>
      <c r="NWJ40" s="344"/>
      <c r="NWK40" s="344"/>
      <c r="NWL40" s="344"/>
      <c r="NWM40" s="344"/>
      <c r="NWN40" s="344"/>
      <c r="NWO40" s="344"/>
      <c r="NWP40" s="344"/>
      <c r="NWQ40" s="344"/>
      <c r="NWR40" s="344"/>
      <c r="NWS40" s="344"/>
      <c r="NWT40" s="344"/>
      <c r="NWU40" s="344"/>
      <c r="NWV40" s="344"/>
      <c r="NWW40" s="344"/>
      <c r="NWX40" s="344"/>
      <c r="NWY40" s="344"/>
      <c r="NWZ40" s="344"/>
      <c r="NXA40" s="344"/>
      <c r="NXB40" s="344"/>
      <c r="NXC40" s="344"/>
      <c r="NXD40" s="344"/>
      <c r="NXE40" s="344"/>
      <c r="NXF40" s="344"/>
      <c r="NXG40" s="344"/>
      <c r="NXH40" s="344"/>
      <c r="NXI40" s="344"/>
      <c r="NXJ40" s="344"/>
      <c r="NXK40" s="344"/>
      <c r="NXL40" s="344"/>
      <c r="NXM40" s="344"/>
      <c r="NXN40" s="344"/>
      <c r="NXO40" s="344"/>
      <c r="NXP40" s="344"/>
      <c r="NXQ40" s="344"/>
      <c r="NXR40" s="344"/>
      <c r="NXS40" s="344"/>
      <c r="NXT40" s="344"/>
      <c r="NXU40" s="344"/>
      <c r="NXV40" s="344"/>
      <c r="NXW40" s="344"/>
      <c r="NXX40" s="344"/>
      <c r="NXY40" s="344"/>
      <c r="NXZ40" s="344"/>
      <c r="NYA40" s="344"/>
      <c r="NYB40" s="344"/>
      <c r="NYC40" s="344"/>
      <c r="NYD40" s="344"/>
      <c r="NYE40" s="344"/>
      <c r="NYF40" s="344"/>
      <c r="NYG40" s="344"/>
      <c r="NYH40" s="344"/>
      <c r="NYI40" s="344"/>
      <c r="NYJ40" s="344"/>
      <c r="NYK40" s="344"/>
      <c r="NYL40" s="344"/>
      <c r="NYM40" s="344"/>
      <c r="NYN40" s="344"/>
      <c r="NYO40" s="344"/>
      <c r="NYP40" s="344"/>
      <c r="NYQ40" s="344"/>
      <c r="NYR40" s="344"/>
      <c r="NYS40" s="344"/>
      <c r="NYT40" s="344"/>
      <c r="NYU40" s="344"/>
      <c r="NYV40" s="344"/>
      <c r="NYW40" s="344"/>
      <c r="NYX40" s="344"/>
      <c r="NYY40" s="344"/>
      <c r="NYZ40" s="344"/>
      <c r="NZA40" s="344"/>
      <c r="NZB40" s="344"/>
      <c r="NZC40" s="344"/>
      <c r="NZD40" s="344"/>
      <c r="NZE40" s="344"/>
      <c r="NZF40" s="344"/>
      <c r="NZG40" s="344"/>
      <c r="NZH40" s="344"/>
      <c r="NZI40" s="344"/>
      <c r="NZJ40" s="344"/>
      <c r="NZK40" s="344"/>
      <c r="NZL40" s="344"/>
      <c r="NZM40" s="344"/>
      <c r="NZN40" s="344"/>
      <c r="NZO40" s="344"/>
      <c r="NZP40" s="344"/>
      <c r="NZQ40" s="344"/>
      <c r="NZR40" s="344"/>
      <c r="NZS40" s="344"/>
      <c r="NZT40" s="344"/>
      <c r="NZU40" s="344"/>
      <c r="NZV40" s="344"/>
      <c r="NZW40" s="344"/>
      <c r="NZX40" s="344"/>
      <c r="NZY40" s="344"/>
      <c r="NZZ40" s="344"/>
      <c r="OAA40" s="344"/>
      <c r="OAB40" s="344"/>
      <c r="OAC40" s="344"/>
      <c r="OAD40" s="344"/>
      <c r="OAE40" s="344"/>
      <c r="OAF40" s="344"/>
      <c r="OAG40" s="344"/>
      <c r="OAH40" s="344"/>
      <c r="OAI40" s="344"/>
      <c r="OAJ40" s="344"/>
      <c r="OAK40" s="344"/>
      <c r="OAL40" s="344"/>
      <c r="OAM40" s="344"/>
      <c r="OAN40" s="344"/>
      <c r="OAO40" s="344"/>
      <c r="OAP40" s="344"/>
      <c r="OAQ40" s="344"/>
      <c r="OAR40" s="344"/>
      <c r="OAS40" s="344"/>
      <c r="OAT40" s="344"/>
      <c r="OAU40" s="344"/>
      <c r="OAV40" s="344"/>
      <c r="OAW40" s="344"/>
      <c r="OAX40" s="344"/>
      <c r="OAY40" s="344"/>
      <c r="OAZ40" s="344"/>
      <c r="OBA40" s="344"/>
      <c r="OBB40" s="344"/>
      <c r="OBC40" s="344"/>
      <c r="OBD40" s="344"/>
      <c r="OBE40" s="344"/>
      <c r="OBF40" s="344"/>
      <c r="OBG40" s="344"/>
      <c r="OBH40" s="344"/>
      <c r="OBI40" s="344"/>
      <c r="OBJ40" s="344"/>
      <c r="OBK40" s="344"/>
      <c r="OBL40" s="344"/>
      <c r="OBM40" s="344"/>
      <c r="OBN40" s="344"/>
      <c r="OBO40" s="344"/>
      <c r="OBP40" s="344"/>
      <c r="OBQ40" s="344"/>
      <c r="OBR40" s="344"/>
      <c r="OBS40" s="344"/>
      <c r="OBT40" s="344"/>
      <c r="OBU40" s="344"/>
      <c r="OBV40" s="344"/>
      <c r="OBW40" s="344"/>
      <c r="OBX40" s="344"/>
      <c r="OBY40" s="344"/>
      <c r="OBZ40" s="344"/>
      <c r="OCA40" s="344"/>
      <c r="OCB40" s="344"/>
      <c r="OCC40" s="344"/>
      <c r="OCD40" s="344"/>
      <c r="OCE40" s="344"/>
      <c r="OCF40" s="344"/>
      <c r="OCG40" s="344"/>
      <c r="OCH40" s="344"/>
      <c r="OCI40" s="344"/>
      <c r="OCJ40" s="344"/>
      <c r="OCK40" s="344"/>
      <c r="OCL40" s="344"/>
      <c r="OCM40" s="344"/>
      <c r="OCN40" s="344"/>
      <c r="OCO40" s="344"/>
      <c r="OCP40" s="344"/>
      <c r="OCQ40" s="344"/>
      <c r="OCR40" s="344"/>
      <c r="OCS40" s="344"/>
      <c r="OCT40" s="344"/>
      <c r="OCU40" s="344"/>
      <c r="OCV40" s="344"/>
      <c r="OCW40" s="344"/>
      <c r="OCX40" s="344"/>
      <c r="OCY40" s="344"/>
      <c r="OCZ40" s="344"/>
      <c r="ODA40" s="344"/>
      <c r="ODB40" s="344"/>
      <c r="ODC40" s="344"/>
      <c r="ODD40" s="344"/>
      <c r="ODE40" s="344"/>
      <c r="ODF40" s="344"/>
      <c r="ODG40" s="344"/>
      <c r="ODH40" s="344"/>
      <c r="ODI40" s="344"/>
      <c r="ODJ40" s="344"/>
      <c r="ODK40" s="344"/>
      <c r="ODL40" s="344"/>
      <c r="ODM40" s="344"/>
      <c r="ODN40" s="344"/>
      <c r="ODO40" s="344"/>
      <c r="ODP40" s="344"/>
      <c r="ODQ40" s="344"/>
      <c r="ODR40" s="344"/>
      <c r="ODS40" s="344"/>
      <c r="ODT40" s="344"/>
      <c r="ODU40" s="344"/>
      <c r="ODV40" s="344"/>
      <c r="ODW40" s="344"/>
      <c r="ODX40" s="344"/>
      <c r="ODY40" s="344"/>
      <c r="ODZ40" s="344"/>
      <c r="OEA40" s="344"/>
      <c r="OEB40" s="344"/>
      <c r="OEC40" s="344"/>
      <c r="OED40" s="344"/>
      <c r="OEE40" s="344"/>
      <c r="OEF40" s="344"/>
      <c r="OEG40" s="344"/>
      <c r="OEH40" s="344"/>
      <c r="OEI40" s="344"/>
      <c r="OEJ40" s="344"/>
      <c r="OEK40" s="344"/>
      <c r="OEL40" s="344"/>
      <c r="OEM40" s="344"/>
      <c r="OEN40" s="344"/>
      <c r="OEO40" s="344"/>
      <c r="OEP40" s="344"/>
      <c r="OEQ40" s="344"/>
      <c r="OER40" s="344"/>
      <c r="OES40" s="344"/>
      <c r="OET40" s="344"/>
      <c r="OEU40" s="344"/>
      <c r="OEV40" s="344"/>
      <c r="OEW40" s="344"/>
      <c r="OEX40" s="344"/>
      <c r="OEY40" s="344"/>
      <c r="OEZ40" s="344"/>
      <c r="OFA40" s="344"/>
      <c r="OFB40" s="344"/>
      <c r="OFC40" s="344"/>
      <c r="OFD40" s="344"/>
      <c r="OFE40" s="344"/>
      <c r="OFF40" s="344"/>
      <c r="OFG40" s="344"/>
      <c r="OFH40" s="344"/>
      <c r="OFI40" s="344"/>
      <c r="OFJ40" s="344"/>
      <c r="OFK40" s="344"/>
      <c r="OFL40" s="344"/>
      <c r="OFM40" s="344"/>
      <c r="OFN40" s="344"/>
      <c r="OFO40" s="344"/>
      <c r="OFP40" s="344"/>
      <c r="OFQ40" s="344"/>
      <c r="OFR40" s="344"/>
      <c r="OFS40" s="344"/>
      <c r="OFT40" s="344"/>
      <c r="OFU40" s="344"/>
      <c r="OFV40" s="344"/>
      <c r="OFW40" s="344"/>
      <c r="OFX40" s="344"/>
      <c r="OFY40" s="344"/>
      <c r="OFZ40" s="344"/>
      <c r="OGA40" s="344"/>
      <c r="OGB40" s="344"/>
      <c r="OGC40" s="344"/>
      <c r="OGD40" s="344"/>
      <c r="OGE40" s="344"/>
      <c r="OGF40" s="344"/>
      <c r="OGG40" s="344"/>
      <c r="OGH40" s="344"/>
      <c r="OGI40" s="344"/>
      <c r="OGJ40" s="344"/>
      <c r="OGK40" s="344"/>
      <c r="OGL40" s="344"/>
      <c r="OGM40" s="344"/>
      <c r="OGN40" s="344"/>
      <c r="OGO40" s="344"/>
      <c r="OGP40" s="344"/>
      <c r="OGQ40" s="344"/>
      <c r="OGR40" s="344"/>
      <c r="OGS40" s="344"/>
      <c r="OGT40" s="344"/>
      <c r="OGU40" s="344"/>
      <c r="OGV40" s="344"/>
      <c r="OGW40" s="344"/>
      <c r="OGX40" s="344"/>
      <c r="OGY40" s="344"/>
      <c r="OGZ40" s="344"/>
      <c r="OHA40" s="344"/>
      <c r="OHB40" s="344"/>
      <c r="OHC40" s="344"/>
      <c r="OHD40" s="344"/>
      <c r="OHE40" s="344"/>
      <c r="OHF40" s="344"/>
      <c r="OHG40" s="344"/>
      <c r="OHH40" s="344"/>
      <c r="OHI40" s="344"/>
      <c r="OHJ40" s="344"/>
      <c r="OHK40" s="344"/>
      <c r="OHL40" s="344"/>
      <c r="OHM40" s="344"/>
      <c r="OHN40" s="344"/>
      <c r="OHO40" s="344"/>
      <c r="OHP40" s="344"/>
      <c r="OHQ40" s="344"/>
      <c r="OHR40" s="344"/>
      <c r="OHS40" s="344"/>
      <c r="OHT40" s="344"/>
      <c r="OHU40" s="344"/>
      <c r="OHV40" s="344"/>
      <c r="OHW40" s="344"/>
      <c r="OHX40" s="344"/>
      <c r="OHY40" s="344"/>
      <c r="OHZ40" s="344"/>
      <c r="OIA40" s="344"/>
      <c r="OIB40" s="344"/>
      <c r="OIC40" s="344"/>
      <c r="OID40" s="344"/>
      <c r="OIE40" s="344"/>
      <c r="OIF40" s="344"/>
      <c r="OIG40" s="344"/>
      <c r="OIH40" s="344"/>
      <c r="OII40" s="344"/>
      <c r="OIJ40" s="344"/>
      <c r="OIK40" s="344"/>
      <c r="OIL40" s="344"/>
      <c r="OIM40" s="344"/>
      <c r="OIN40" s="344"/>
      <c r="OIO40" s="344"/>
      <c r="OIP40" s="344"/>
      <c r="OIQ40" s="344"/>
      <c r="OIR40" s="344"/>
      <c r="OIS40" s="344"/>
      <c r="OIT40" s="344"/>
      <c r="OIU40" s="344"/>
      <c r="OIV40" s="344"/>
      <c r="OIW40" s="344"/>
      <c r="OIX40" s="344"/>
      <c r="OIY40" s="344"/>
      <c r="OIZ40" s="344"/>
      <c r="OJA40" s="344"/>
      <c r="OJB40" s="344"/>
      <c r="OJC40" s="344"/>
      <c r="OJD40" s="344"/>
      <c r="OJE40" s="344"/>
      <c r="OJF40" s="344"/>
      <c r="OJG40" s="344"/>
      <c r="OJH40" s="344"/>
      <c r="OJI40" s="344"/>
      <c r="OJJ40" s="344"/>
      <c r="OJK40" s="344"/>
      <c r="OJL40" s="344"/>
      <c r="OJM40" s="344"/>
      <c r="OJN40" s="344"/>
      <c r="OJO40" s="344"/>
      <c r="OJP40" s="344"/>
      <c r="OJQ40" s="344"/>
      <c r="OJR40" s="344"/>
      <c r="OJS40" s="344"/>
      <c r="OJT40" s="344"/>
      <c r="OJU40" s="344"/>
      <c r="OJV40" s="344"/>
      <c r="OJW40" s="344"/>
      <c r="OJX40" s="344"/>
      <c r="OJY40" s="344"/>
      <c r="OJZ40" s="344"/>
      <c r="OKA40" s="344"/>
      <c r="OKB40" s="344"/>
      <c r="OKC40" s="344"/>
      <c r="OKD40" s="344"/>
      <c r="OKE40" s="344"/>
      <c r="OKF40" s="344"/>
      <c r="OKG40" s="344"/>
      <c r="OKH40" s="344"/>
      <c r="OKI40" s="344"/>
      <c r="OKJ40" s="344"/>
      <c r="OKK40" s="344"/>
      <c r="OKL40" s="344"/>
      <c r="OKM40" s="344"/>
      <c r="OKN40" s="344"/>
      <c r="OKO40" s="344"/>
      <c r="OKP40" s="344"/>
      <c r="OKQ40" s="344"/>
      <c r="OKR40" s="344"/>
      <c r="OKS40" s="344"/>
      <c r="OKT40" s="344"/>
      <c r="OKU40" s="344"/>
      <c r="OKV40" s="344"/>
      <c r="OKW40" s="344"/>
      <c r="OKX40" s="344"/>
      <c r="OKY40" s="344"/>
      <c r="OKZ40" s="344"/>
      <c r="OLA40" s="344"/>
      <c r="OLB40" s="344"/>
      <c r="OLC40" s="344"/>
      <c r="OLD40" s="344"/>
      <c r="OLE40" s="344"/>
      <c r="OLF40" s="344"/>
      <c r="OLG40" s="344"/>
      <c r="OLH40" s="344"/>
      <c r="OLI40" s="344"/>
      <c r="OLJ40" s="344"/>
      <c r="OLK40" s="344"/>
      <c r="OLL40" s="344"/>
      <c r="OLM40" s="344"/>
      <c r="OLN40" s="344"/>
      <c r="OLO40" s="344"/>
      <c r="OLP40" s="344"/>
      <c r="OLQ40" s="344"/>
      <c r="OLR40" s="344"/>
      <c r="OLS40" s="344"/>
      <c r="OLT40" s="344"/>
      <c r="OLU40" s="344"/>
      <c r="OLV40" s="344"/>
      <c r="OLW40" s="344"/>
      <c r="OLX40" s="344"/>
      <c r="OLY40" s="344"/>
      <c r="OLZ40" s="344"/>
      <c r="OMA40" s="344"/>
      <c r="OMB40" s="344"/>
      <c r="OMC40" s="344"/>
      <c r="OMD40" s="344"/>
      <c r="OME40" s="344"/>
      <c r="OMF40" s="344"/>
      <c r="OMG40" s="344"/>
      <c r="OMH40" s="344"/>
      <c r="OMI40" s="344"/>
      <c r="OMJ40" s="344"/>
      <c r="OMK40" s="344"/>
      <c r="OML40" s="344"/>
      <c r="OMM40" s="344"/>
      <c r="OMN40" s="344"/>
      <c r="OMO40" s="344"/>
      <c r="OMP40" s="344"/>
      <c r="OMQ40" s="344"/>
      <c r="OMR40" s="344"/>
      <c r="OMS40" s="344"/>
      <c r="OMT40" s="344"/>
      <c r="OMU40" s="344"/>
      <c r="OMV40" s="344"/>
      <c r="OMW40" s="344"/>
      <c r="OMX40" s="344"/>
      <c r="OMY40" s="344"/>
      <c r="OMZ40" s="344"/>
      <c r="ONA40" s="344"/>
      <c r="ONB40" s="344"/>
      <c r="ONC40" s="344"/>
      <c r="OND40" s="344"/>
      <c r="ONE40" s="344"/>
      <c r="ONF40" s="344"/>
      <c r="ONG40" s="344"/>
      <c r="ONH40" s="344"/>
      <c r="ONI40" s="344"/>
      <c r="ONJ40" s="344"/>
      <c r="ONK40" s="344"/>
      <c r="ONL40" s="344"/>
      <c r="ONM40" s="344"/>
      <c r="ONN40" s="344"/>
      <c r="ONO40" s="344"/>
      <c r="ONP40" s="344"/>
      <c r="ONQ40" s="344"/>
      <c r="ONR40" s="344"/>
      <c r="ONS40" s="344"/>
      <c r="ONT40" s="344"/>
      <c r="ONU40" s="344"/>
      <c r="ONV40" s="344"/>
      <c r="ONW40" s="344"/>
      <c r="ONX40" s="344"/>
      <c r="ONY40" s="344"/>
      <c r="ONZ40" s="344"/>
      <c r="OOA40" s="344"/>
      <c r="OOB40" s="344"/>
      <c r="OOC40" s="344"/>
      <c r="OOD40" s="344"/>
      <c r="OOE40" s="344"/>
      <c r="OOF40" s="344"/>
      <c r="OOG40" s="344"/>
      <c r="OOH40" s="344"/>
      <c r="OOI40" s="344"/>
      <c r="OOJ40" s="344"/>
      <c r="OOK40" s="344"/>
      <c r="OOL40" s="344"/>
      <c r="OOM40" s="344"/>
      <c r="OON40" s="344"/>
      <c r="OOO40" s="344"/>
      <c r="OOP40" s="344"/>
      <c r="OOQ40" s="344"/>
      <c r="OOR40" s="344"/>
      <c r="OOS40" s="344"/>
      <c r="OOT40" s="344"/>
      <c r="OOU40" s="344"/>
      <c r="OOV40" s="344"/>
      <c r="OOW40" s="344"/>
      <c r="OOX40" s="344"/>
      <c r="OOY40" s="344"/>
      <c r="OOZ40" s="344"/>
      <c r="OPA40" s="344"/>
      <c r="OPB40" s="344"/>
      <c r="OPC40" s="344"/>
      <c r="OPD40" s="344"/>
      <c r="OPE40" s="344"/>
      <c r="OPF40" s="344"/>
      <c r="OPG40" s="344"/>
      <c r="OPH40" s="344"/>
      <c r="OPI40" s="344"/>
      <c r="OPJ40" s="344"/>
      <c r="OPK40" s="344"/>
      <c r="OPL40" s="344"/>
      <c r="OPM40" s="344"/>
      <c r="OPN40" s="344"/>
      <c r="OPO40" s="344"/>
      <c r="OPP40" s="344"/>
      <c r="OPQ40" s="344"/>
      <c r="OPR40" s="344"/>
      <c r="OPS40" s="344"/>
      <c r="OPT40" s="344"/>
      <c r="OPU40" s="344"/>
      <c r="OPV40" s="344"/>
      <c r="OPW40" s="344"/>
      <c r="OPX40" s="344"/>
      <c r="OPY40" s="344"/>
      <c r="OPZ40" s="344"/>
      <c r="OQA40" s="344"/>
      <c r="OQB40" s="344"/>
      <c r="OQC40" s="344"/>
      <c r="OQD40" s="344"/>
      <c r="OQE40" s="344"/>
      <c r="OQF40" s="344"/>
      <c r="OQG40" s="344"/>
      <c r="OQH40" s="344"/>
      <c r="OQI40" s="344"/>
      <c r="OQJ40" s="344"/>
      <c r="OQK40" s="344"/>
      <c r="OQL40" s="344"/>
      <c r="OQM40" s="344"/>
      <c r="OQN40" s="344"/>
      <c r="OQO40" s="344"/>
      <c r="OQP40" s="344"/>
      <c r="OQQ40" s="344"/>
      <c r="OQR40" s="344"/>
      <c r="OQS40" s="344"/>
      <c r="OQT40" s="344"/>
      <c r="OQU40" s="344"/>
      <c r="OQV40" s="344"/>
      <c r="OQW40" s="344"/>
      <c r="OQX40" s="344"/>
      <c r="OQY40" s="344"/>
      <c r="OQZ40" s="344"/>
      <c r="ORA40" s="344"/>
      <c r="ORB40" s="344"/>
      <c r="ORC40" s="344"/>
      <c r="ORD40" s="344"/>
      <c r="ORE40" s="344"/>
      <c r="ORF40" s="344"/>
      <c r="ORG40" s="344"/>
      <c r="ORH40" s="344"/>
      <c r="ORI40" s="344"/>
      <c r="ORJ40" s="344"/>
      <c r="ORK40" s="344"/>
      <c r="ORL40" s="344"/>
      <c r="ORM40" s="344"/>
      <c r="ORN40" s="344"/>
      <c r="ORO40" s="344"/>
      <c r="ORP40" s="344"/>
      <c r="ORQ40" s="344"/>
      <c r="ORR40" s="344"/>
      <c r="ORS40" s="344"/>
      <c r="ORT40" s="344"/>
      <c r="ORU40" s="344"/>
      <c r="ORV40" s="344"/>
      <c r="ORW40" s="344"/>
      <c r="ORX40" s="344"/>
      <c r="ORY40" s="344"/>
      <c r="ORZ40" s="344"/>
      <c r="OSA40" s="344"/>
      <c r="OSB40" s="344"/>
      <c r="OSC40" s="344"/>
      <c r="OSD40" s="344"/>
      <c r="OSE40" s="344"/>
      <c r="OSF40" s="344"/>
      <c r="OSG40" s="344"/>
      <c r="OSH40" s="344"/>
      <c r="OSI40" s="344"/>
      <c r="OSJ40" s="344"/>
      <c r="OSK40" s="344"/>
      <c r="OSL40" s="344"/>
      <c r="OSM40" s="344"/>
      <c r="OSN40" s="344"/>
      <c r="OSO40" s="344"/>
      <c r="OSP40" s="344"/>
      <c r="OSQ40" s="344"/>
      <c r="OSR40" s="344"/>
      <c r="OSS40" s="344"/>
      <c r="OST40" s="344"/>
      <c r="OSU40" s="344"/>
      <c r="OSV40" s="344"/>
      <c r="OSW40" s="344"/>
      <c r="OSX40" s="344"/>
      <c r="OSY40" s="344"/>
      <c r="OSZ40" s="344"/>
      <c r="OTA40" s="344"/>
      <c r="OTB40" s="344"/>
      <c r="OTC40" s="344"/>
      <c r="OTD40" s="344"/>
      <c r="OTE40" s="344"/>
      <c r="OTF40" s="344"/>
      <c r="OTG40" s="344"/>
      <c r="OTH40" s="344"/>
      <c r="OTI40" s="344"/>
      <c r="OTJ40" s="344"/>
      <c r="OTK40" s="344"/>
      <c r="OTL40" s="344"/>
      <c r="OTM40" s="344"/>
      <c r="OTN40" s="344"/>
      <c r="OTO40" s="344"/>
      <c r="OTP40" s="344"/>
      <c r="OTQ40" s="344"/>
      <c r="OTR40" s="344"/>
      <c r="OTS40" s="344"/>
      <c r="OTT40" s="344"/>
      <c r="OTU40" s="344"/>
      <c r="OTV40" s="344"/>
      <c r="OTW40" s="344"/>
      <c r="OTX40" s="344"/>
      <c r="OTY40" s="344"/>
      <c r="OTZ40" s="344"/>
      <c r="OUA40" s="344"/>
      <c r="OUB40" s="344"/>
      <c r="OUC40" s="344"/>
      <c r="OUD40" s="344"/>
      <c r="OUE40" s="344"/>
      <c r="OUF40" s="344"/>
      <c r="OUG40" s="344"/>
      <c r="OUH40" s="344"/>
      <c r="OUI40" s="344"/>
      <c r="OUJ40" s="344"/>
      <c r="OUK40" s="344"/>
      <c r="OUL40" s="344"/>
      <c r="OUM40" s="344"/>
      <c r="OUN40" s="344"/>
      <c r="OUO40" s="344"/>
      <c r="OUP40" s="344"/>
      <c r="OUQ40" s="344"/>
      <c r="OUR40" s="344"/>
      <c r="OUS40" s="344"/>
      <c r="OUT40" s="344"/>
      <c r="OUU40" s="344"/>
      <c r="OUV40" s="344"/>
      <c r="OUW40" s="344"/>
      <c r="OUX40" s="344"/>
      <c r="OUY40" s="344"/>
      <c r="OUZ40" s="344"/>
      <c r="OVA40" s="344"/>
      <c r="OVB40" s="344"/>
      <c r="OVC40" s="344"/>
      <c r="OVD40" s="344"/>
      <c r="OVE40" s="344"/>
      <c r="OVF40" s="344"/>
      <c r="OVG40" s="344"/>
      <c r="OVH40" s="344"/>
      <c r="OVI40" s="344"/>
      <c r="OVJ40" s="344"/>
      <c r="OVK40" s="344"/>
      <c r="OVL40" s="344"/>
      <c r="OVM40" s="344"/>
      <c r="OVN40" s="344"/>
      <c r="OVO40" s="344"/>
      <c r="OVP40" s="344"/>
      <c r="OVQ40" s="344"/>
      <c r="OVR40" s="344"/>
      <c r="OVS40" s="344"/>
      <c r="OVT40" s="344"/>
      <c r="OVU40" s="344"/>
      <c r="OVV40" s="344"/>
      <c r="OVW40" s="344"/>
      <c r="OVX40" s="344"/>
      <c r="OVY40" s="344"/>
      <c r="OVZ40" s="344"/>
      <c r="OWA40" s="344"/>
      <c r="OWB40" s="344"/>
      <c r="OWC40" s="344"/>
      <c r="OWD40" s="344"/>
      <c r="OWE40" s="344"/>
      <c r="OWF40" s="344"/>
      <c r="OWG40" s="344"/>
      <c r="OWH40" s="344"/>
      <c r="OWI40" s="344"/>
      <c r="OWJ40" s="344"/>
      <c r="OWK40" s="344"/>
      <c r="OWL40" s="344"/>
      <c r="OWM40" s="344"/>
      <c r="OWN40" s="344"/>
      <c r="OWO40" s="344"/>
      <c r="OWP40" s="344"/>
      <c r="OWQ40" s="344"/>
      <c r="OWR40" s="344"/>
      <c r="OWS40" s="344"/>
      <c r="OWT40" s="344"/>
      <c r="OWU40" s="344"/>
      <c r="OWV40" s="344"/>
      <c r="OWW40" s="344"/>
      <c r="OWX40" s="344"/>
      <c r="OWY40" s="344"/>
      <c r="OWZ40" s="344"/>
      <c r="OXA40" s="344"/>
      <c r="OXB40" s="344"/>
      <c r="OXC40" s="344"/>
      <c r="OXD40" s="344"/>
      <c r="OXE40" s="344"/>
      <c r="OXF40" s="344"/>
      <c r="OXG40" s="344"/>
      <c r="OXH40" s="344"/>
      <c r="OXI40" s="344"/>
      <c r="OXJ40" s="344"/>
      <c r="OXK40" s="344"/>
      <c r="OXL40" s="344"/>
      <c r="OXM40" s="344"/>
      <c r="OXN40" s="344"/>
      <c r="OXO40" s="344"/>
      <c r="OXP40" s="344"/>
      <c r="OXQ40" s="344"/>
      <c r="OXR40" s="344"/>
      <c r="OXS40" s="344"/>
      <c r="OXT40" s="344"/>
      <c r="OXU40" s="344"/>
      <c r="OXV40" s="344"/>
      <c r="OXW40" s="344"/>
      <c r="OXX40" s="344"/>
      <c r="OXY40" s="344"/>
      <c r="OXZ40" s="344"/>
      <c r="OYA40" s="344"/>
      <c r="OYB40" s="344"/>
      <c r="OYC40" s="344"/>
      <c r="OYD40" s="344"/>
      <c r="OYE40" s="344"/>
      <c r="OYF40" s="344"/>
      <c r="OYG40" s="344"/>
      <c r="OYH40" s="344"/>
      <c r="OYI40" s="344"/>
      <c r="OYJ40" s="344"/>
      <c r="OYK40" s="344"/>
      <c r="OYL40" s="344"/>
      <c r="OYM40" s="344"/>
      <c r="OYN40" s="344"/>
      <c r="OYO40" s="344"/>
      <c r="OYP40" s="344"/>
      <c r="OYQ40" s="344"/>
      <c r="OYR40" s="344"/>
      <c r="OYS40" s="344"/>
      <c r="OYT40" s="344"/>
      <c r="OYU40" s="344"/>
      <c r="OYV40" s="344"/>
      <c r="OYW40" s="344"/>
      <c r="OYX40" s="344"/>
      <c r="OYY40" s="344"/>
      <c r="OYZ40" s="344"/>
      <c r="OZA40" s="344"/>
      <c r="OZB40" s="344"/>
      <c r="OZC40" s="344"/>
      <c r="OZD40" s="344"/>
      <c r="OZE40" s="344"/>
      <c r="OZF40" s="344"/>
      <c r="OZG40" s="344"/>
      <c r="OZH40" s="344"/>
      <c r="OZI40" s="344"/>
      <c r="OZJ40" s="344"/>
      <c r="OZK40" s="344"/>
      <c r="OZL40" s="344"/>
      <c r="OZM40" s="344"/>
      <c r="OZN40" s="344"/>
      <c r="OZO40" s="344"/>
      <c r="OZP40" s="344"/>
      <c r="OZQ40" s="344"/>
      <c r="OZR40" s="344"/>
      <c r="OZS40" s="344"/>
      <c r="OZT40" s="344"/>
      <c r="OZU40" s="344"/>
      <c r="OZV40" s="344"/>
      <c r="OZW40" s="344"/>
      <c r="OZX40" s="344"/>
      <c r="OZY40" s="344"/>
      <c r="OZZ40" s="344"/>
      <c r="PAA40" s="344"/>
      <c r="PAB40" s="344"/>
      <c r="PAC40" s="344"/>
      <c r="PAD40" s="344"/>
      <c r="PAE40" s="344"/>
      <c r="PAF40" s="344"/>
      <c r="PAG40" s="344"/>
      <c r="PAH40" s="344"/>
      <c r="PAI40" s="344"/>
      <c r="PAJ40" s="344"/>
      <c r="PAK40" s="344"/>
      <c r="PAL40" s="344"/>
      <c r="PAM40" s="344"/>
      <c r="PAN40" s="344"/>
      <c r="PAO40" s="344"/>
      <c r="PAP40" s="344"/>
      <c r="PAQ40" s="344"/>
      <c r="PAR40" s="344"/>
      <c r="PAS40" s="344"/>
      <c r="PAT40" s="344"/>
      <c r="PAU40" s="344"/>
      <c r="PAV40" s="344"/>
      <c r="PAW40" s="344"/>
      <c r="PAX40" s="344"/>
      <c r="PAY40" s="344"/>
      <c r="PAZ40" s="344"/>
      <c r="PBA40" s="344"/>
      <c r="PBB40" s="344"/>
      <c r="PBC40" s="344"/>
      <c r="PBD40" s="344"/>
      <c r="PBE40" s="344"/>
      <c r="PBF40" s="344"/>
      <c r="PBG40" s="344"/>
      <c r="PBH40" s="344"/>
      <c r="PBI40" s="344"/>
      <c r="PBJ40" s="344"/>
      <c r="PBK40" s="344"/>
      <c r="PBL40" s="344"/>
      <c r="PBM40" s="344"/>
      <c r="PBN40" s="344"/>
      <c r="PBO40" s="344"/>
      <c r="PBP40" s="344"/>
      <c r="PBQ40" s="344"/>
      <c r="PBR40" s="344"/>
      <c r="PBS40" s="344"/>
      <c r="PBT40" s="344"/>
      <c r="PBU40" s="344"/>
      <c r="PBV40" s="344"/>
      <c r="PBW40" s="344"/>
      <c r="PBX40" s="344"/>
      <c r="PBY40" s="344"/>
      <c r="PBZ40" s="344"/>
      <c r="PCA40" s="344"/>
      <c r="PCB40" s="344"/>
      <c r="PCC40" s="344"/>
      <c r="PCD40" s="344"/>
      <c r="PCE40" s="344"/>
      <c r="PCF40" s="344"/>
      <c r="PCG40" s="344"/>
      <c r="PCH40" s="344"/>
      <c r="PCI40" s="344"/>
      <c r="PCJ40" s="344"/>
      <c r="PCK40" s="344"/>
      <c r="PCL40" s="344"/>
      <c r="PCM40" s="344"/>
      <c r="PCN40" s="344"/>
      <c r="PCO40" s="344"/>
      <c r="PCP40" s="344"/>
      <c r="PCQ40" s="344"/>
      <c r="PCR40" s="344"/>
      <c r="PCS40" s="344"/>
      <c r="PCT40" s="344"/>
      <c r="PCU40" s="344"/>
      <c r="PCV40" s="344"/>
      <c r="PCW40" s="344"/>
      <c r="PCX40" s="344"/>
      <c r="PCY40" s="344"/>
      <c r="PCZ40" s="344"/>
      <c r="PDA40" s="344"/>
      <c r="PDB40" s="344"/>
      <c r="PDC40" s="344"/>
      <c r="PDD40" s="344"/>
      <c r="PDE40" s="344"/>
      <c r="PDF40" s="344"/>
      <c r="PDG40" s="344"/>
      <c r="PDH40" s="344"/>
      <c r="PDI40" s="344"/>
      <c r="PDJ40" s="344"/>
      <c r="PDK40" s="344"/>
      <c r="PDL40" s="344"/>
      <c r="PDM40" s="344"/>
      <c r="PDN40" s="344"/>
      <c r="PDO40" s="344"/>
      <c r="PDP40" s="344"/>
      <c r="PDQ40" s="344"/>
      <c r="PDR40" s="344"/>
      <c r="PDS40" s="344"/>
      <c r="PDT40" s="344"/>
      <c r="PDU40" s="344"/>
      <c r="PDV40" s="344"/>
      <c r="PDW40" s="344"/>
      <c r="PDX40" s="344"/>
      <c r="PDY40" s="344"/>
      <c r="PDZ40" s="344"/>
      <c r="PEA40" s="344"/>
      <c r="PEB40" s="344"/>
      <c r="PEC40" s="344"/>
      <c r="PED40" s="344"/>
      <c r="PEE40" s="344"/>
      <c r="PEF40" s="344"/>
      <c r="PEG40" s="344"/>
      <c r="PEH40" s="344"/>
      <c r="PEI40" s="344"/>
      <c r="PEJ40" s="344"/>
      <c r="PEK40" s="344"/>
      <c r="PEL40" s="344"/>
      <c r="PEM40" s="344"/>
      <c r="PEN40" s="344"/>
      <c r="PEO40" s="344"/>
      <c r="PEP40" s="344"/>
      <c r="PEQ40" s="344"/>
      <c r="PER40" s="344"/>
      <c r="PES40" s="344"/>
      <c r="PET40" s="344"/>
      <c r="PEU40" s="344"/>
      <c r="PEV40" s="344"/>
      <c r="PEW40" s="344"/>
      <c r="PEX40" s="344"/>
      <c r="PEY40" s="344"/>
      <c r="PEZ40" s="344"/>
      <c r="PFA40" s="344"/>
      <c r="PFB40" s="344"/>
      <c r="PFC40" s="344"/>
      <c r="PFD40" s="344"/>
      <c r="PFE40" s="344"/>
      <c r="PFF40" s="344"/>
      <c r="PFG40" s="344"/>
      <c r="PFH40" s="344"/>
      <c r="PFI40" s="344"/>
      <c r="PFJ40" s="344"/>
      <c r="PFK40" s="344"/>
      <c r="PFL40" s="344"/>
      <c r="PFM40" s="344"/>
      <c r="PFN40" s="344"/>
      <c r="PFO40" s="344"/>
      <c r="PFP40" s="344"/>
      <c r="PFQ40" s="344"/>
      <c r="PFR40" s="344"/>
      <c r="PFS40" s="344"/>
      <c r="PFT40" s="344"/>
      <c r="PFU40" s="344"/>
      <c r="PFV40" s="344"/>
      <c r="PFW40" s="344"/>
      <c r="PFX40" s="344"/>
      <c r="PFY40" s="344"/>
      <c r="PFZ40" s="344"/>
      <c r="PGA40" s="344"/>
      <c r="PGB40" s="344"/>
      <c r="PGC40" s="344"/>
      <c r="PGD40" s="344"/>
      <c r="PGE40" s="344"/>
      <c r="PGF40" s="344"/>
      <c r="PGG40" s="344"/>
      <c r="PGH40" s="344"/>
      <c r="PGI40" s="344"/>
      <c r="PGJ40" s="344"/>
      <c r="PGK40" s="344"/>
      <c r="PGL40" s="344"/>
      <c r="PGM40" s="344"/>
      <c r="PGN40" s="344"/>
      <c r="PGO40" s="344"/>
      <c r="PGP40" s="344"/>
      <c r="PGQ40" s="344"/>
      <c r="PGR40" s="344"/>
      <c r="PGS40" s="344"/>
      <c r="PGT40" s="344"/>
      <c r="PGU40" s="344"/>
      <c r="PGV40" s="344"/>
      <c r="PGW40" s="344"/>
      <c r="PGX40" s="344"/>
      <c r="PGY40" s="344"/>
      <c r="PGZ40" s="344"/>
      <c r="PHA40" s="344"/>
      <c r="PHB40" s="344"/>
      <c r="PHC40" s="344"/>
      <c r="PHD40" s="344"/>
      <c r="PHE40" s="344"/>
      <c r="PHF40" s="344"/>
      <c r="PHG40" s="344"/>
      <c r="PHH40" s="344"/>
      <c r="PHI40" s="344"/>
      <c r="PHJ40" s="344"/>
      <c r="PHK40" s="344"/>
      <c r="PHL40" s="344"/>
      <c r="PHM40" s="344"/>
      <c r="PHN40" s="344"/>
      <c r="PHO40" s="344"/>
      <c r="PHP40" s="344"/>
      <c r="PHQ40" s="344"/>
      <c r="PHR40" s="344"/>
      <c r="PHS40" s="344"/>
      <c r="PHT40" s="344"/>
      <c r="PHU40" s="344"/>
      <c r="PHV40" s="344"/>
      <c r="PHW40" s="344"/>
      <c r="PHX40" s="344"/>
      <c r="PHY40" s="344"/>
      <c r="PHZ40" s="344"/>
      <c r="PIA40" s="344"/>
      <c r="PIB40" s="344"/>
      <c r="PIC40" s="344"/>
      <c r="PID40" s="344"/>
      <c r="PIE40" s="344"/>
      <c r="PIF40" s="344"/>
      <c r="PIG40" s="344"/>
      <c r="PIH40" s="344"/>
      <c r="PII40" s="344"/>
      <c r="PIJ40" s="344"/>
      <c r="PIK40" s="344"/>
      <c r="PIL40" s="344"/>
      <c r="PIM40" s="344"/>
      <c r="PIN40" s="344"/>
      <c r="PIO40" s="344"/>
      <c r="PIP40" s="344"/>
      <c r="PIQ40" s="344"/>
      <c r="PIR40" s="344"/>
      <c r="PIS40" s="344"/>
      <c r="PIT40" s="344"/>
      <c r="PIU40" s="344"/>
      <c r="PIV40" s="344"/>
      <c r="PIW40" s="344"/>
      <c r="PIX40" s="344"/>
      <c r="PIY40" s="344"/>
      <c r="PIZ40" s="344"/>
      <c r="PJA40" s="344"/>
      <c r="PJB40" s="344"/>
      <c r="PJC40" s="344"/>
      <c r="PJD40" s="344"/>
      <c r="PJE40" s="344"/>
      <c r="PJF40" s="344"/>
      <c r="PJG40" s="344"/>
      <c r="PJH40" s="344"/>
      <c r="PJI40" s="344"/>
      <c r="PJJ40" s="344"/>
      <c r="PJK40" s="344"/>
      <c r="PJL40" s="344"/>
      <c r="PJM40" s="344"/>
      <c r="PJN40" s="344"/>
      <c r="PJO40" s="344"/>
      <c r="PJP40" s="344"/>
      <c r="PJQ40" s="344"/>
      <c r="PJR40" s="344"/>
      <c r="PJS40" s="344"/>
      <c r="PJT40" s="344"/>
      <c r="PJU40" s="344"/>
      <c r="PJV40" s="344"/>
      <c r="PJW40" s="344"/>
      <c r="PJX40" s="344"/>
      <c r="PJY40" s="344"/>
      <c r="PJZ40" s="344"/>
      <c r="PKA40" s="344"/>
      <c r="PKB40" s="344"/>
      <c r="PKC40" s="344"/>
      <c r="PKD40" s="344"/>
      <c r="PKE40" s="344"/>
      <c r="PKF40" s="344"/>
      <c r="PKG40" s="344"/>
      <c r="PKH40" s="344"/>
      <c r="PKI40" s="344"/>
      <c r="PKJ40" s="344"/>
      <c r="PKK40" s="344"/>
      <c r="PKL40" s="344"/>
      <c r="PKM40" s="344"/>
      <c r="PKN40" s="344"/>
      <c r="PKO40" s="344"/>
      <c r="PKP40" s="344"/>
      <c r="PKQ40" s="344"/>
      <c r="PKR40" s="344"/>
      <c r="PKS40" s="344"/>
      <c r="PKT40" s="344"/>
      <c r="PKU40" s="344"/>
      <c r="PKV40" s="344"/>
      <c r="PKW40" s="344"/>
      <c r="PKX40" s="344"/>
      <c r="PKY40" s="344"/>
      <c r="PKZ40" s="344"/>
      <c r="PLA40" s="344"/>
      <c r="PLB40" s="344"/>
      <c r="PLC40" s="344"/>
      <c r="PLD40" s="344"/>
      <c r="PLE40" s="344"/>
      <c r="PLF40" s="344"/>
      <c r="PLG40" s="344"/>
      <c r="PLH40" s="344"/>
      <c r="PLI40" s="344"/>
      <c r="PLJ40" s="344"/>
      <c r="PLK40" s="344"/>
      <c r="PLL40" s="344"/>
      <c r="PLM40" s="344"/>
      <c r="PLN40" s="344"/>
      <c r="PLO40" s="344"/>
      <c r="PLP40" s="344"/>
      <c r="PLQ40" s="344"/>
      <c r="PLR40" s="344"/>
      <c r="PLS40" s="344"/>
      <c r="PLT40" s="344"/>
      <c r="PLU40" s="344"/>
      <c r="PLV40" s="344"/>
      <c r="PLW40" s="344"/>
      <c r="PLX40" s="344"/>
      <c r="PLY40" s="344"/>
      <c r="PLZ40" s="344"/>
      <c r="PMA40" s="344"/>
      <c r="PMB40" s="344"/>
      <c r="PMC40" s="344"/>
      <c r="PMD40" s="344"/>
      <c r="PME40" s="344"/>
      <c r="PMF40" s="344"/>
      <c r="PMG40" s="344"/>
      <c r="PMH40" s="344"/>
      <c r="PMI40" s="344"/>
      <c r="PMJ40" s="344"/>
      <c r="PMK40" s="344"/>
      <c r="PML40" s="344"/>
      <c r="PMM40" s="344"/>
      <c r="PMN40" s="344"/>
      <c r="PMO40" s="344"/>
      <c r="PMP40" s="344"/>
      <c r="PMQ40" s="344"/>
      <c r="PMR40" s="344"/>
      <c r="PMS40" s="344"/>
      <c r="PMT40" s="344"/>
      <c r="PMU40" s="344"/>
      <c r="PMV40" s="344"/>
      <c r="PMW40" s="344"/>
      <c r="PMX40" s="344"/>
      <c r="PMY40" s="344"/>
      <c r="PMZ40" s="344"/>
      <c r="PNA40" s="344"/>
      <c r="PNB40" s="344"/>
      <c r="PNC40" s="344"/>
      <c r="PND40" s="344"/>
      <c r="PNE40" s="344"/>
      <c r="PNF40" s="344"/>
      <c r="PNG40" s="344"/>
      <c r="PNH40" s="344"/>
      <c r="PNI40" s="344"/>
      <c r="PNJ40" s="344"/>
      <c r="PNK40" s="344"/>
      <c r="PNL40" s="344"/>
      <c r="PNM40" s="344"/>
      <c r="PNN40" s="344"/>
      <c r="PNO40" s="344"/>
      <c r="PNP40" s="344"/>
      <c r="PNQ40" s="344"/>
      <c r="PNR40" s="344"/>
      <c r="PNS40" s="344"/>
      <c r="PNT40" s="344"/>
      <c r="PNU40" s="344"/>
      <c r="PNV40" s="344"/>
      <c r="PNW40" s="344"/>
      <c r="PNX40" s="344"/>
      <c r="PNY40" s="344"/>
      <c r="PNZ40" s="344"/>
      <c r="POA40" s="344"/>
      <c r="POB40" s="344"/>
      <c r="POC40" s="344"/>
      <c r="POD40" s="344"/>
      <c r="POE40" s="344"/>
      <c r="POF40" s="344"/>
      <c r="POG40" s="344"/>
      <c r="POH40" s="344"/>
      <c r="POI40" s="344"/>
      <c r="POJ40" s="344"/>
      <c r="POK40" s="344"/>
      <c r="POL40" s="344"/>
      <c r="POM40" s="344"/>
      <c r="PON40" s="344"/>
      <c r="POO40" s="344"/>
      <c r="POP40" s="344"/>
      <c r="POQ40" s="344"/>
      <c r="POR40" s="344"/>
      <c r="POS40" s="344"/>
      <c r="POT40" s="344"/>
      <c r="POU40" s="344"/>
      <c r="POV40" s="344"/>
      <c r="POW40" s="344"/>
      <c r="POX40" s="344"/>
      <c r="POY40" s="344"/>
      <c r="POZ40" s="344"/>
      <c r="PPA40" s="344"/>
      <c r="PPB40" s="344"/>
      <c r="PPC40" s="344"/>
      <c r="PPD40" s="344"/>
      <c r="PPE40" s="344"/>
      <c r="PPF40" s="344"/>
      <c r="PPG40" s="344"/>
      <c r="PPH40" s="344"/>
      <c r="PPI40" s="344"/>
      <c r="PPJ40" s="344"/>
      <c r="PPK40" s="344"/>
      <c r="PPL40" s="344"/>
      <c r="PPM40" s="344"/>
      <c r="PPN40" s="344"/>
      <c r="PPO40" s="344"/>
      <c r="PPP40" s="344"/>
      <c r="PPQ40" s="344"/>
      <c r="PPR40" s="344"/>
      <c r="PPS40" s="344"/>
      <c r="PPT40" s="344"/>
      <c r="PPU40" s="344"/>
      <c r="PPV40" s="344"/>
      <c r="PPW40" s="344"/>
      <c r="PPX40" s="344"/>
      <c r="PPY40" s="344"/>
      <c r="PPZ40" s="344"/>
      <c r="PQA40" s="344"/>
      <c r="PQB40" s="344"/>
      <c r="PQC40" s="344"/>
      <c r="PQD40" s="344"/>
      <c r="PQE40" s="344"/>
      <c r="PQF40" s="344"/>
      <c r="PQG40" s="344"/>
      <c r="PQH40" s="344"/>
      <c r="PQI40" s="344"/>
      <c r="PQJ40" s="344"/>
      <c r="PQK40" s="344"/>
      <c r="PQL40" s="344"/>
      <c r="PQM40" s="344"/>
      <c r="PQN40" s="344"/>
      <c r="PQO40" s="344"/>
      <c r="PQP40" s="344"/>
      <c r="PQQ40" s="344"/>
      <c r="PQR40" s="344"/>
      <c r="PQS40" s="344"/>
      <c r="PQT40" s="344"/>
      <c r="PQU40" s="344"/>
      <c r="PQV40" s="344"/>
      <c r="PQW40" s="344"/>
      <c r="PQX40" s="344"/>
      <c r="PQY40" s="344"/>
      <c r="PQZ40" s="344"/>
      <c r="PRA40" s="344"/>
      <c r="PRB40" s="344"/>
      <c r="PRC40" s="344"/>
      <c r="PRD40" s="344"/>
      <c r="PRE40" s="344"/>
      <c r="PRF40" s="344"/>
      <c r="PRG40" s="344"/>
      <c r="PRH40" s="344"/>
      <c r="PRI40" s="344"/>
      <c r="PRJ40" s="344"/>
      <c r="PRK40" s="344"/>
      <c r="PRL40" s="344"/>
      <c r="PRM40" s="344"/>
      <c r="PRN40" s="344"/>
      <c r="PRO40" s="344"/>
      <c r="PRP40" s="344"/>
      <c r="PRQ40" s="344"/>
      <c r="PRR40" s="344"/>
      <c r="PRS40" s="344"/>
      <c r="PRT40" s="344"/>
      <c r="PRU40" s="344"/>
      <c r="PRV40" s="344"/>
      <c r="PRW40" s="344"/>
      <c r="PRX40" s="344"/>
      <c r="PRY40" s="344"/>
      <c r="PRZ40" s="344"/>
      <c r="PSA40" s="344"/>
      <c r="PSB40" s="344"/>
      <c r="PSC40" s="344"/>
      <c r="PSD40" s="344"/>
      <c r="PSE40" s="344"/>
      <c r="PSF40" s="344"/>
      <c r="PSG40" s="344"/>
      <c r="PSH40" s="344"/>
      <c r="PSI40" s="344"/>
      <c r="PSJ40" s="344"/>
      <c r="PSK40" s="344"/>
      <c r="PSL40" s="344"/>
      <c r="PSM40" s="344"/>
      <c r="PSN40" s="344"/>
      <c r="PSO40" s="344"/>
      <c r="PSP40" s="344"/>
      <c r="PSQ40" s="344"/>
      <c r="PSR40" s="344"/>
      <c r="PSS40" s="344"/>
      <c r="PST40" s="344"/>
      <c r="PSU40" s="344"/>
      <c r="PSV40" s="344"/>
      <c r="PSW40" s="344"/>
      <c r="PSX40" s="344"/>
      <c r="PSY40" s="344"/>
      <c r="PSZ40" s="344"/>
      <c r="PTA40" s="344"/>
      <c r="PTB40" s="344"/>
      <c r="PTC40" s="344"/>
      <c r="PTD40" s="344"/>
      <c r="PTE40" s="344"/>
      <c r="PTF40" s="344"/>
      <c r="PTG40" s="344"/>
      <c r="PTH40" s="344"/>
      <c r="PTI40" s="344"/>
      <c r="PTJ40" s="344"/>
      <c r="PTK40" s="344"/>
      <c r="PTL40" s="344"/>
      <c r="PTM40" s="344"/>
      <c r="PTN40" s="344"/>
      <c r="PTO40" s="344"/>
      <c r="PTP40" s="344"/>
      <c r="PTQ40" s="344"/>
      <c r="PTR40" s="344"/>
      <c r="PTS40" s="344"/>
      <c r="PTT40" s="344"/>
      <c r="PTU40" s="344"/>
      <c r="PTV40" s="344"/>
      <c r="PTW40" s="344"/>
      <c r="PTX40" s="344"/>
      <c r="PTY40" s="344"/>
      <c r="PTZ40" s="344"/>
      <c r="PUA40" s="344"/>
      <c r="PUB40" s="344"/>
      <c r="PUC40" s="344"/>
      <c r="PUD40" s="344"/>
      <c r="PUE40" s="344"/>
      <c r="PUF40" s="344"/>
      <c r="PUG40" s="344"/>
      <c r="PUH40" s="344"/>
      <c r="PUI40" s="344"/>
      <c r="PUJ40" s="344"/>
      <c r="PUK40" s="344"/>
      <c r="PUL40" s="344"/>
      <c r="PUM40" s="344"/>
      <c r="PUN40" s="344"/>
      <c r="PUO40" s="344"/>
      <c r="PUP40" s="344"/>
      <c r="PUQ40" s="344"/>
      <c r="PUR40" s="344"/>
      <c r="PUS40" s="344"/>
      <c r="PUT40" s="344"/>
      <c r="PUU40" s="344"/>
      <c r="PUV40" s="344"/>
      <c r="PUW40" s="344"/>
      <c r="PUX40" s="344"/>
      <c r="PUY40" s="344"/>
      <c r="PUZ40" s="344"/>
      <c r="PVA40" s="344"/>
      <c r="PVB40" s="344"/>
      <c r="PVC40" s="344"/>
      <c r="PVD40" s="344"/>
      <c r="PVE40" s="344"/>
      <c r="PVF40" s="344"/>
      <c r="PVG40" s="344"/>
      <c r="PVH40" s="344"/>
      <c r="PVI40" s="344"/>
      <c r="PVJ40" s="344"/>
      <c r="PVK40" s="344"/>
      <c r="PVL40" s="344"/>
      <c r="PVM40" s="344"/>
      <c r="PVN40" s="344"/>
      <c r="PVO40" s="344"/>
      <c r="PVP40" s="344"/>
      <c r="PVQ40" s="344"/>
      <c r="PVR40" s="344"/>
      <c r="PVS40" s="344"/>
      <c r="PVT40" s="344"/>
      <c r="PVU40" s="344"/>
      <c r="PVV40" s="344"/>
      <c r="PVW40" s="344"/>
      <c r="PVX40" s="344"/>
      <c r="PVY40" s="344"/>
      <c r="PVZ40" s="344"/>
      <c r="PWA40" s="344"/>
      <c r="PWB40" s="344"/>
      <c r="PWC40" s="344"/>
      <c r="PWD40" s="344"/>
      <c r="PWE40" s="344"/>
      <c r="PWF40" s="344"/>
      <c r="PWG40" s="344"/>
      <c r="PWH40" s="344"/>
      <c r="PWI40" s="344"/>
      <c r="PWJ40" s="344"/>
      <c r="PWK40" s="344"/>
      <c r="PWL40" s="344"/>
      <c r="PWM40" s="344"/>
      <c r="PWN40" s="344"/>
      <c r="PWO40" s="344"/>
      <c r="PWP40" s="344"/>
      <c r="PWQ40" s="344"/>
      <c r="PWR40" s="344"/>
      <c r="PWS40" s="344"/>
      <c r="PWT40" s="344"/>
      <c r="PWU40" s="344"/>
      <c r="PWV40" s="344"/>
      <c r="PWW40" s="344"/>
      <c r="PWX40" s="344"/>
      <c r="PWY40" s="344"/>
      <c r="PWZ40" s="344"/>
      <c r="PXA40" s="344"/>
      <c r="PXB40" s="344"/>
      <c r="PXC40" s="344"/>
      <c r="PXD40" s="344"/>
      <c r="PXE40" s="344"/>
      <c r="PXF40" s="344"/>
      <c r="PXG40" s="344"/>
      <c r="PXH40" s="344"/>
      <c r="PXI40" s="344"/>
      <c r="PXJ40" s="344"/>
      <c r="PXK40" s="344"/>
      <c r="PXL40" s="344"/>
      <c r="PXM40" s="344"/>
      <c r="PXN40" s="344"/>
      <c r="PXO40" s="344"/>
      <c r="PXP40" s="344"/>
      <c r="PXQ40" s="344"/>
      <c r="PXR40" s="344"/>
      <c r="PXS40" s="344"/>
      <c r="PXT40" s="344"/>
      <c r="PXU40" s="344"/>
      <c r="PXV40" s="344"/>
      <c r="PXW40" s="344"/>
      <c r="PXX40" s="344"/>
      <c r="PXY40" s="344"/>
      <c r="PXZ40" s="344"/>
      <c r="PYA40" s="344"/>
      <c r="PYB40" s="344"/>
      <c r="PYC40" s="344"/>
      <c r="PYD40" s="344"/>
      <c r="PYE40" s="344"/>
      <c r="PYF40" s="344"/>
      <c r="PYG40" s="344"/>
      <c r="PYH40" s="344"/>
      <c r="PYI40" s="344"/>
      <c r="PYJ40" s="344"/>
      <c r="PYK40" s="344"/>
      <c r="PYL40" s="344"/>
      <c r="PYM40" s="344"/>
      <c r="PYN40" s="344"/>
      <c r="PYO40" s="344"/>
      <c r="PYP40" s="344"/>
      <c r="PYQ40" s="344"/>
      <c r="PYR40" s="344"/>
      <c r="PYS40" s="344"/>
      <c r="PYT40" s="344"/>
      <c r="PYU40" s="344"/>
      <c r="PYV40" s="344"/>
      <c r="PYW40" s="344"/>
      <c r="PYX40" s="344"/>
      <c r="PYY40" s="344"/>
      <c r="PYZ40" s="344"/>
      <c r="PZA40" s="344"/>
      <c r="PZB40" s="344"/>
      <c r="PZC40" s="344"/>
      <c r="PZD40" s="344"/>
      <c r="PZE40" s="344"/>
      <c r="PZF40" s="344"/>
      <c r="PZG40" s="344"/>
      <c r="PZH40" s="344"/>
      <c r="PZI40" s="344"/>
      <c r="PZJ40" s="344"/>
      <c r="PZK40" s="344"/>
      <c r="PZL40" s="344"/>
      <c r="PZM40" s="344"/>
      <c r="PZN40" s="344"/>
      <c r="PZO40" s="344"/>
      <c r="PZP40" s="344"/>
      <c r="PZQ40" s="344"/>
      <c r="PZR40" s="344"/>
      <c r="PZS40" s="344"/>
      <c r="PZT40" s="344"/>
      <c r="PZU40" s="344"/>
      <c r="PZV40" s="344"/>
      <c r="PZW40" s="344"/>
      <c r="PZX40" s="344"/>
      <c r="PZY40" s="344"/>
      <c r="PZZ40" s="344"/>
      <c r="QAA40" s="344"/>
      <c r="QAB40" s="344"/>
      <c r="QAC40" s="344"/>
      <c r="QAD40" s="344"/>
      <c r="QAE40" s="344"/>
      <c r="QAF40" s="344"/>
      <c r="QAG40" s="344"/>
      <c r="QAH40" s="344"/>
      <c r="QAI40" s="344"/>
      <c r="QAJ40" s="344"/>
      <c r="QAK40" s="344"/>
      <c r="QAL40" s="344"/>
      <c r="QAM40" s="344"/>
      <c r="QAN40" s="344"/>
      <c r="QAO40" s="344"/>
      <c r="QAP40" s="344"/>
      <c r="QAQ40" s="344"/>
      <c r="QAR40" s="344"/>
      <c r="QAS40" s="344"/>
      <c r="QAT40" s="344"/>
      <c r="QAU40" s="344"/>
      <c r="QAV40" s="344"/>
      <c r="QAW40" s="344"/>
      <c r="QAX40" s="344"/>
      <c r="QAY40" s="344"/>
      <c r="QAZ40" s="344"/>
      <c r="QBA40" s="344"/>
      <c r="QBB40" s="344"/>
      <c r="QBC40" s="344"/>
      <c r="QBD40" s="344"/>
      <c r="QBE40" s="344"/>
      <c r="QBF40" s="344"/>
      <c r="QBG40" s="344"/>
      <c r="QBH40" s="344"/>
      <c r="QBI40" s="344"/>
      <c r="QBJ40" s="344"/>
      <c r="QBK40" s="344"/>
      <c r="QBL40" s="344"/>
      <c r="QBM40" s="344"/>
      <c r="QBN40" s="344"/>
      <c r="QBO40" s="344"/>
      <c r="QBP40" s="344"/>
      <c r="QBQ40" s="344"/>
      <c r="QBR40" s="344"/>
      <c r="QBS40" s="344"/>
      <c r="QBT40" s="344"/>
      <c r="QBU40" s="344"/>
      <c r="QBV40" s="344"/>
      <c r="QBW40" s="344"/>
      <c r="QBX40" s="344"/>
      <c r="QBY40" s="344"/>
      <c r="QBZ40" s="344"/>
      <c r="QCA40" s="344"/>
      <c r="QCB40" s="344"/>
      <c r="QCC40" s="344"/>
      <c r="QCD40" s="344"/>
      <c r="QCE40" s="344"/>
      <c r="QCF40" s="344"/>
      <c r="QCG40" s="344"/>
      <c r="QCH40" s="344"/>
      <c r="QCI40" s="344"/>
      <c r="QCJ40" s="344"/>
      <c r="QCK40" s="344"/>
      <c r="QCL40" s="344"/>
      <c r="QCM40" s="344"/>
      <c r="QCN40" s="344"/>
      <c r="QCO40" s="344"/>
      <c r="QCP40" s="344"/>
      <c r="QCQ40" s="344"/>
      <c r="QCR40" s="344"/>
      <c r="QCS40" s="344"/>
      <c r="QCT40" s="344"/>
      <c r="QCU40" s="344"/>
      <c r="QCV40" s="344"/>
      <c r="QCW40" s="344"/>
      <c r="QCX40" s="344"/>
      <c r="QCY40" s="344"/>
      <c r="QCZ40" s="344"/>
      <c r="QDA40" s="344"/>
      <c r="QDB40" s="344"/>
      <c r="QDC40" s="344"/>
      <c r="QDD40" s="344"/>
      <c r="QDE40" s="344"/>
      <c r="QDF40" s="344"/>
      <c r="QDG40" s="344"/>
      <c r="QDH40" s="344"/>
      <c r="QDI40" s="344"/>
      <c r="QDJ40" s="344"/>
      <c r="QDK40" s="344"/>
      <c r="QDL40" s="344"/>
      <c r="QDM40" s="344"/>
      <c r="QDN40" s="344"/>
      <c r="QDO40" s="344"/>
      <c r="QDP40" s="344"/>
      <c r="QDQ40" s="344"/>
      <c r="QDR40" s="344"/>
      <c r="QDS40" s="344"/>
      <c r="QDT40" s="344"/>
      <c r="QDU40" s="344"/>
      <c r="QDV40" s="344"/>
      <c r="QDW40" s="344"/>
      <c r="QDX40" s="344"/>
      <c r="QDY40" s="344"/>
      <c r="QDZ40" s="344"/>
      <c r="QEA40" s="344"/>
      <c r="QEB40" s="344"/>
      <c r="QEC40" s="344"/>
      <c r="QED40" s="344"/>
      <c r="QEE40" s="344"/>
      <c r="QEF40" s="344"/>
      <c r="QEG40" s="344"/>
      <c r="QEH40" s="344"/>
      <c r="QEI40" s="344"/>
      <c r="QEJ40" s="344"/>
      <c r="QEK40" s="344"/>
      <c r="QEL40" s="344"/>
      <c r="QEM40" s="344"/>
      <c r="QEN40" s="344"/>
      <c r="QEO40" s="344"/>
      <c r="QEP40" s="344"/>
      <c r="QEQ40" s="344"/>
      <c r="QER40" s="344"/>
      <c r="QES40" s="344"/>
      <c r="QET40" s="344"/>
      <c r="QEU40" s="344"/>
      <c r="QEV40" s="344"/>
      <c r="QEW40" s="344"/>
      <c r="QEX40" s="344"/>
      <c r="QEY40" s="344"/>
      <c r="QEZ40" s="344"/>
      <c r="QFA40" s="344"/>
      <c r="QFB40" s="344"/>
      <c r="QFC40" s="344"/>
      <c r="QFD40" s="344"/>
      <c r="QFE40" s="344"/>
      <c r="QFF40" s="344"/>
      <c r="QFG40" s="344"/>
      <c r="QFH40" s="344"/>
      <c r="QFI40" s="344"/>
      <c r="QFJ40" s="344"/>
      <c r="QFK40" s="344"/>
      <c r="QFL40" s="344"/>
      <c r="QFM40" s="344"/>
      <c r="QFN40" s="344"/>
      <c r="QFO40" s="344"/>
      <c r="QFP40" s="344"/>
      <c r="QFQ40" s="344"/>
      <c r="QFR40" s="344"/>
      <c r="QFS40" s="344"/>
      <c r="QFT40" s="344"/>
      <c r="QFU40" s="344"/>
      <c r="QFV40" s="344"/>
      <c r="QFW40" s="344"/>
      <c r="QFX40" s="344"/>
      <c r="QFY40" s="344"/>
      <c r="QFZ40" s="344"/>
      <c r="QGA40" s="344"/>
      <c r="QGB40" s="344"/>
      <c r="QGC40" s="344"/>
      <c r="QGD40" s="344"/>
      <c r="QGE40" s="344"/>
      <c r="QGF40" s="344"/>
      <c r="QGG40" s="344"/>
      <c r="QGH40" s="344"/>
      <c r="QGI40" s="344"/>
      <c r="QGJ40" s="344"/>
      <c r="QGK40" s="344"/>
      <c r="QGL40" s="344"/>
      <c r="QGM40" s="344"/>
      <c r="QGN40" s="344"/>
      <c r="QGO40" s="344"/>
      <c r="QGP40" s="344"/>
      <c r="QGQ40" s="344"/>
      <c r="QGR40" s="344"/>
      <c r="QGS40" s="344"/>
      <c r="QGT40" s="344"/>
      <c r="QGU40" s="344"/>
      <c r="QGV40" s="344"/>
      <c r="QGW40" s="344"/>
      <c r="QGX40" s="344"/>
      <c r="QGY40" s="344"/>
      <c r="QGZ40" s="344"/>
      <c r="QHA40" s="344"/>
      <c r="QHB40" s="344"/>
      <c r="QHC40" s="344"/>
      <c r="QHD40" s="344"/>
      <c r="QHE40" s="344"/>
      <c r="QHF40" s="344"/>
      <c r="QHG40" s="344"/>
      <c r="QHH40" s="344"/>
      <c r="QHI40" s="344"/>
      <c r="QHJ40" s="344"/>
      <c r="QHK40" s="344"/>
      <c r="QHL40" s="344"/>
      <c r="QHM40" s="344"/>
      <c r="QHN40" s="344"/>
      <c r="QHO40" s="344"/>
      <c r="QHP40" s="344"/>
      <c r="QHQ40" s="344"/>
      <c r="QHR40" s="344"/>
      <c r="QHS40" s="344"/>
      <c r="QHT40" s="344"/>
      <c r="QHU40" s="344"/>
      <c r="QHV40" s="344"/>
      <c r="QHW40" s="344"/>
      <c r="QHX40" s="344"/>
      <c r="QHY40" s="344"/>
      <c r="QHZ40" s="344"/>
      <c r="QIA40" s="344"/>
      <c r="QIB40" s="344"/>
      <c r="QIC40" s="344"/>
      <c r="QID40" s="344"/>
      <c r="QIE40" s="344"/>
      <c r="QIF40" s="344"/>
      <c r="QIG40" s="344"/>
      <c r="QIH40" s="344"/>
      <c r="QII40" s="344"/>
      <c r="QIJ40" s="344"/>
      <c r="QIK40" s="344"/>
      <c r="QIL40" s="344"/>
      <c r="QIM40" s="344"/>
      <c r="QIN40" s="344"/>
      <c r="QIO40" s="344"/>
      <c r="QIP40" s="344"/>
      <c r="QIQ40" s="344"/>
      <c r="QIR40" s="344"/>
      <c r="QIS40" s="344"/>
      <c r="QIT40" s="344"/>
      <c r="QIU40" s="344"/>
      <c r="QIV40" s="344"/>
      <c r="QIW40" s="344"/>
      <c r="QIX40" s="344"/>
      <c r="QIY40" s="344"/>
      <c r="QIZ40" s="344"/>
      <c r="QJA40" s="344"/>
      <c r="QJB40" s="344"/>
      <c r="QJC40" s="344"/>
      <c r="QJD40" s="344"/>
      <c r="QJE40" s="344"/>
      <c r="QJF40" s="344"/>
      <c r="QJG40" s="344"/>
      <c r="QJH40" s="344"/>
      <c r="QJI40" s="344"/>
      <c r="QJJ40" s="344"/>
      <c r="QJK40" s="344"/>
      <c r="QJL40" s="344"/>
      <c r="QJM40" s="344"/>
      <c r="QJN40" s="344"/>
      <c r="QJO40" s="344"/>
      <c r="QJP40" s="344"/>
      <c r="QJQ40" s="344"/>
      <c r="QJR40" s="344"/>
      <c r="QJS40" s="344"/>
      <c r="QJT40" s="344"/>
      <c r="QJU40" s="344"/>
      <c r="QJV40" s="344"/>
      <c r="QJW40" s="344"/>
      <c r="QJX40" s="344"/>
      <c r="QJY40" s="344"/>
      <c r="QJZ40" s="344"/>
      <c r="QKA40" s="344"/>
      <c r="QKB40" s="344"/>
      <c r="QKC40" s="344"/>
      <c r="QKD40" s="344"/>
      <c r="QKE40" s="344"/>
      <c r="QKF40" s="344"/>
      <c r="QKG40" s="344"/>
      <c r="QKH40" s="344"/>
      <c r="QKI40" s="344"/>
      <c r="QKJ40" s="344"/>
      <c r="QKK40" s="344"/>
      <c r="QKL40" s="344"/>
      <c r="QKM40" s="344"/>
      <c r="QKN40" s="344"/>
      <c r="QKO40" s="344"/>
      <c r="QKP40" s="344"/>
      <c r="QKQ40" s="344"/>
      <c r="QKR40" s="344"/>
      <c r="QKS40" s="344"/>
      <c r="QKT40" s="344"/>
      <c r="QKU40" s="344"/>
      <c r="QKV40" s="344"/>
      <c r="QKW40" s="344"/>
      <c r="QKX40" s="344"/>
      <c r="QKY40" s="344"/>
      <c r="QKZ40" s="344"/>
      <c r="QLA40" s="344"/>
      <c r="QLB40" s="344"/>
      <c r="QLC40" s="344"/>
      <c r="QLD40" s="344"/>
      <c r="QLE40" s="344"/>
      <c r="QLF40" s="344"/>
      <c r="QLG40" s="344"/>
      <c r="QLH40" s="344"/>
      <c r="QLI40" s="344"/>
      <c r="QLJ40" s="344"/>
      <c r="QLK40" s="344"/>
      <c r="QLL40" s="344"/>
      <c r="QLM40" s="344"/>
      <c r="QLN40" s="344"/>
      <c r="QLO40" s="344"/>
      <c r="QLP40" s="344"/>
      <c r="QLQ40" s="344"/>
      <c r="QLR40" s="344"/>
      <c r="QLS40" s="344"/>
      <c r="QLT40" s="344"/>
      <c r="QLU40" s="344"/>
      <c r="QLV40" s="344"/>
      <c r="QLW40" s="344"/>
      <c r="QLX40" s="344"/>
      <c r="QLY40" s="344"/>
      <c r="QLZ40" s="344"/>
      <c r="QMA40" s="344"/>
      <c r="QMB40" s="344"/>
      <c r="QMC40" s="344"/>
      <c r="QMD40" s="344"/>
      <c r="QME40" s="344"/>
      <c r="QMF40" s="344"/>
      <c r="QMG40" s="344"/>
      <c r="QMH40" s="344"/>
      <c r="QMI40" s="344"/>
      <c r="QMJ40" s="344"/>
      <c r="QMK40" s="344"/>
      <c r="QML40" s="344"/>
      <c r="QMM40" s="344"/>
      <c r="QMN40" s="344"/>
      <c r="QMO40" s="344"/>
      <c r="QMP40" s="344"/>
      <c r="QMQ40" s="344"/>
      <c r="QMR40" s="344"/>
      <c r="QMS40" s="344"/>
      <c r="QMT40" s="344"/>
      <c r="QMU40" s="344"/>
      <c r="QMV40" s="344"/>
      <c r="QMW40" s="344"/>
      <c r="QMX40" s="344"/>
      <c r="QMY40" s="344"/>
      <c r="QMZ40" s="344"/>
      <c r="QNA40" s="344"/>
      <c r="QNB40" s="344"/>
      <c r="QNC40" s="344"/>
      <c r="QND40" s="344"/>
      <c r="QNE40" s="344"/>
      <c r="QNF40" s="344"/>
      <c r="QNG40" s="344"/>
      <c r="QNH40" s="344"/>
      <c r="QNI40" s="344"/>
      <c r="QNJ40" s="344"/>
      <c r="QNK40" s="344"/>
      <c r="QNL40" s="344"/>
      <c r="QNM40" s="344"/>
      <c r="QNN40" s="344"/>
      <c r="QNO40" s="344"/>
      <c r="QNP40" s="344"/>
      <c r="QNQ40" s="344"/>
      <c r="QNR40" s="344"/>
      <c r="QNS40" s="344"/>
      <c r="QNT40" s="344"/>
      <c r="QNU40" s="344"/>
      <c r="QNV40" s="344"/>
      <c r="QNW40" s="344"/>
      <c r="QNX40" s="344"/>
      <c r="QNY40" s="344"/>
      <c r="QNZ40" s="344"/>
      <c r="QOA40" s="344"/>
      <c r="QOB40" s="344"/>
      <c r="QOC40" s="344"/>
      <c r="QOD40" s="344"/>
      <c r="QOE40" s="344"/>
      <c r="QOF40" s="344"/>
      <c r="QOG40" s="344"/>
      <c r="QOH40" s="344"/>
      <c r="QOI40" s="344"/>
      <c r="QOJ40" s="344"/>
      <c r="QOK40" s="344"/>
      <c r="QOL40" s="344"/>
      <c r="QOM40" s="344"/>
      <c r="QON40" s="344"/>
      <c r="QOO40" s="344"/>
      <c r="QOP40" s="344"/>
      <c r="QOQ40" s="344"/>
      <c r="QOR40" s="344"/>
      <c r="QOS40" s="344"/>
      <c r="QOT40" s="344"/>
      <c r="QOU40" s="344"/>
      <c r="QOV40" s="344"/>
      <c r="QOW40" s="344"/>
      <c r="QOX40" s="344"/>
      <c r="QOY40" s="344"/>
      <c r="QOZ40" s="344"/>
      <c r="QPA40" s="344"/>
      <c r="QPB40" s="344"/>
      <c r="QPC40" s="344"/>
      <c r="QPD40" s="344"/>
      <c r="QPE40" s="344"/>
      <c r="QPF40" s="344"/>
      <c r="QPG40" s="344"/>
      <c r="QPH40" s="344"/>
      <c r="QPI40" s="344"/>
      <c r="QPJ40" s="344"/>
      <c r="QPK40" s="344"/>
      <c r="QPL40" s="344"/>
      <c r="QPM40" s="344"/>
      <c r="QPN40" s="344"/>
      <c r="QPO40" s="344"/>
      <c r="QPP40" s="344"/>
      <c r="QPQ40" s="344"/>
      <c r="QPR40" s="344"/>
      <c r="QPS40" s="344"/>
      <c r="QPT40" s="344"/>
      <c r="QPU40" s="344"/>
      <c r="QPV40" s="344"/>
      <c r="QPW40" s="344"/>
      <c r="QPX40" s="344"/>
      <c r="QPY40" s="344"/>
      <c r="QPZ40" s="344"/>
      <c r="QQA40" s="344"/>
      <c r="QQB40" s="344"/>
      <c r="QQC40" s="344"/>
      <c r="QQD40" s="344"/>
      <c r="QQE40" s="344"/>
      <c r="QQF40" s="344"/>
      <c r="QQG40" s="344"/>
      <c r="QQH40" s="344"/>
      <c r="QQI40" s="344"/>
      <c r="QQJ40" s="344"/>
      <c r="QQK40" s="344"/>
      <c r="QQL40" s="344"/>
      <c r="QQM40" s="344"/>
      <c r="QQN40" s="344"/>
      <c r="QQO40" s="344"/>
      <c r="QQP40" s="344"/>
      <c r="QQQ40" s="344"/>
      <c r="QQR40" s="344"/>
      <c r="QQS40" s="344"/>
      <c r="QQT40" s="344"/>
      <c r="QQU40" s="344"/>
      <c r="QQV40" s="344"/>
      <c r="QQW40" s="344"/>
      <c r="QQX40" s="344"/>
      <c r="QQY40" s="344"/>
      <c r="QQZ40" s="344"/>
      <c r="QRA40" s="344"/>
      <c r="QRB40" s="344"/>
      <c r="QRC40" s="344"/>
      <c r="QRD40" s="344"/>
      <c r="QRE40" s="344"/>
      <c r="QRF40" s="344"/>
      <c r="QRG40" s="344"/>
      <c r="QRH40" s="344"/>
      <c r="QRI40" s="344"/>
      <c r="QRJ40" s="344"/>
      <c r="QRK40" s="344"/>
      <c r="QRL40" s="344"/>
      <c r="QRM40" s="344"/>
      <c r="QRN40" s="344"/>
      <c r="QRO40" s="344"/>
      <c r="QRP40" s="344"/>
      <c r="QRQ40" s="344"/>
      <c r="QRR40" s="344"/>
      <c r="QRS40" s="344"/>
      <c r="QRT40" s="344"/>
      <c r="QRU40" s="344"/>
      <c r="QRV40" s="344"/>
      <c r="QRW40" s="344"/>
      <c r="QRX40" s="344"/>
      <c r="QRY40" s="344"/>
      <c r="QRZ40" s="344"/>
      <c r="QSA40" s="344"/>
      <c r="QSB40" s="344"/>
      <c r="QSC40" s="344"/>
      <c r="QSD40" s="344"/>
      <c r="QSE40" s="344"/>
      <c r="QSF40" s="344"/>
      <c r="QSG40" s="344"/>
      <c r="QSH40" s="344"/>
      <c r="QSI40" s="344"/>
      <c r="QSJ40" s="344"/>
      <c r="QSK40" s="344"/>
      <c r="QSL40" s="344"/>
      <c r="QSM40" s="344"/>
      <c r="QSN40" s="344"/>
      <c r="QSO40" s="344"/>
      <c r="QSP40" s="344"/>
      <c r="QSQ40" s="344"/>
      <c r="QSR40" s="344"/>
      <c r="QSS40" s="344"/>
      <c r="QST40" s="344"/>
      <c r="QSU40" s="344"/>
      <c r="QSV40" s="344"/>
      <c r="QSW40" s="344"/>
      <c r="QSX40" s="344"/>
      <c r="QSY40" s="344"/>
      <c r="QSZ40" s="344"/>
      <c r="QTA40" s="344"/>
      <c r="QTB40" s="344"/>
      <c r="QTC40" s="344"/>
      <c r="QTD40" s="344"/>
      <c r="QTE40" s="344"/>
      <c r="QTF40" s="344"/>
      <c r="QTG40" s="344"/>
      <c r="QTH40" s="344"/>
      <c r="QTI40" s="344"/>
      <c r="QTJ40" s="344"/>
      <c r="QTK40" s="344"/>
      <c r="QTL40" s="344"/>
      <c r="QTM40" s="344"/>
      <c r="QTN40" s="344"/>
      <c r="QTO40" s="344"/>
      <c r="QTP40" s="344"/>
      <c r="QTQ40" s="344"/>
      <c r="QTR40" s="344"/>
      <c r="QTS40" s="344"/>
      <c r="QTT40" s="344"/>
      <c r="QTU40" s="344"/>
      <c r="QTV40" s="344"/>
      <c r="QTW40" s="344"/>
      <c r="QTX40" s="344"/>
      <c r="QTY40" s="344"/>
      <c r="QTZ40" s="344"/>
      <c r="QUA40" s="344"/>
      <c r="QUB40" s="344"/>
      <c r="QUC40" s="344"/>
      <c r="QUD40" s="344"/>
      <c r="QUE40" s="344"/>
      <c r="QUF40" s="344"/>
      <c r="QUG40" s="344"/>
      <c r="QUH40" s="344"/>
      <c r="QUI40" s="344"/>
      <c r="QUJ40" s="344"/>
      <c r="QUK40" s="344"/>
      <c r="QUL40" s="344"/>
      <c r="QUM40" s="344"/>
      <c r="QUN40" s="344"/>
      <c r="QUO40" s="344"/>
      <c r="QUP40" s="344"/>
      <c r="QUQ40" s="344"/>
      <c r="QUR40" s="344"/>
      <c r="QUS40" s="344"/>
      <c r="QUT40" s="344"/>
      <c r="QUU40" s="344"/>
      <c r="QUV40" s="344"/>
      <c r="QUW40" s="344"/>
      <c r="QUX40" s="344"/>
      <c r="QUY40" s="344"/>
      <c r="QUZ40" s="344"/>
      <c r="QVA40" s="344"/>
      <c r="QVB40" s="344"/>
      <c r="QVC40" s="344"/>
      <c r="QVD40" s="344"/>
      <c r="QVE40" s="344"/>
      <c r="QVF40" s="344"/>
      <c r="QVG40" s="344"/>
      <c r="QVH40" s="344"/>
      <c r="QVI40" s="344"/>
      <c r="QVJ40" s="344"/>
      <c r="QVK40" s="344"/>
      <c r="QVL40" s="344"/>
      <c r="QVM40" s="344"/>
      <c r="QVN40" s="344"/>
      <c r="QVO40" s="344"/>
      <c r="QVP40" s="344"/>
      <c r="QVQ40" s="344"/>
      <c r="QVR40" s="344"/>
      <c r="QVS40" s="344"/>
      <c r="QVT40" s="344"/>
      <c r="QVU40" s="344"/>
      <c r="QVV40" s="344"/>
      <c r="QVW40" s="344"/>
      <c r="QVX40" s="344"/>
      <c r="QVY40" s="344"/>
      <c r="QVZ40" s="344"/>
      <c r="QWA40" s="344"/>
      <c r="QWB40" s="344"/>
      <c r="QWC40" s="344"/>
      <c r="QWD40" s="344"/>
      <c r="QWE40" s="344"/>
      <c r="QWF40" s="344"/>
      <c r="QWG40" s="344"/>
      <c r="QWH40" s="344"/>
      <c r="QWI40" s="344"/>
      <c r="QWJ40" s="344"/>
      <c r="QWK40" s="344"/>
      <c r="QWL40" s="344"/>
      <c r="QWM40" s="344"/>
      <c r="QWN40" s="344"/>
      <c r="QWO40" s="344"/>
      <c r="QWP40" s="344"/>
      <c r="QWQ40" s="344"/>
      <c r="QWR40" s="344"/>
      <c r="QWS40" s="344"/>
      <c r="QWT40" s="344"/>
      <c r="QWU40" s="344"/>
      <c r="QWV40" s="344"/>
      <c r="QWW40" s="344"/>
      <c r="QWX40" s="344"/>
      <c r="QWY40" s="344"/>
      <c r="QWZ40" s="344"/>
      <c r="QXA40" s="344"/>
      <c r="QXB40" s="344"/>
      <c r="QXC40" s="344"/>
      <c r="QXD40" s="344"/>
      <c r="QXE40" s="344"/>
      <c r="QXF40" s="344"/>
      <c r="QXG40" s="344"/>
      <c r="QXH40" s="344"/>
      <c r="QXI40" s="344"/>
      <c r="QXJ40" s="344"/>
      <c r="QXK40" s="344"/>
      <c r="QXL40" s="344"/>
      <c r="QXM40" s="344"/>
      <c r="QXN40" s="344"/>
      <c r="QXO40" s="344"/>
      <c r="QXP40" s="344"/>
      <c r="QXQ40" s="344"/>
      <c r="QXR40" s="344"/>
      <c r="QXS40" s="344"/>
      <c r="QXT40" s="344"/>
      <c r="QXU40" s="344"/>
      <c r="QXV40" s="344"/>
      <c r="QXW40" s="344"/>
      <c r="QXX40" s="344"/>
      <c r="QXY40" s="344"/>
      <c r="QXZ40" s="344"/>
      <c r="QYA40" s="344"/>
      <c r="QYB40" s="344"/>
      <c r="QYC40" s="344"/>
      <c r="QYD40" s="344"/>
      <c r="QYE40" s="344"/>
      <c r="QYF40" s="344"/>
      <c r="QYG40" s="344"/>
      <c r="QYH40" s="344"/>
      <c r="QYI40" s="344"/>
      <c r="QYJ40" s="344"/>
      <c r="QYK40" s="344"/>
      <c r="QYL40" s="344"/>
      <c r="QYM40" s="344"/>
      <c r="QYN40" s="344"/>
      <c r="QYO40" s="344"/>
      <c r="QYP40" s="344"/>
      <c r="QYQ40" s="344"/>
      <c r="QYR40" s="344"/>
      <c r="QYS40" s="344"/>
      <c r="QYT40" s="344"/>
      <c r="QYU40" s="344"/>
      <c r="QYV40" s="344"/>
      <c r="QYW40" s="344"/>
      <c r="QYX40" s="344"/>
      <c r="QYY40" s="344"/>
      <c r="QYZ40" s="344"/>
      <c r="QZA40" s="344"/>
      <c r="QZB40" s="344"/>
      <c r="QZC40" s="344"/>
      <c r="QZD40" s="344"/>
      <c r="QZE40" s="344"/>
      <c r="QZF40" s="344"/>
      <c r="QZG40" s="344"/>
      <c r="QZH40" s="344"/>
      <c r="QZI40" s="344"/>
      <c r="QZJ40" s="344"/>
      <c r="QZK40" s="344"/>
      <c r="QZL40" s="344"/>
      <c r="QZM40" s="344"/>
      <c r="QZN40" s="344"/>
      <c r="QZO40" s="344"/>
      <c r="QZP40" s="344"/>
      <c r="QZQ40" s="344"/>
      <c r="QZR40" s="344"/>
      <c r="QZS40" s="344"/>
      <c r="QZT40" s="344"/>
      <c r="QZU40" s="344"/>
      <c r="QZV40" s="344"/>
      <c r="QZW40" s="344"/>
      <c r="QZX40" s="344"/>
      <c r="QZY40" s="344"/>
      <c r="QZZ40" s="344"/>
      <c r="RAA40" s="344"/>
      <c r="RAB40" s="344"/>
      <c r="RAC40" s="344"/>
      <c r="RAD40" s="344"/>
      <c r="RAE40" s="344"/>
      <c r="RAF40" s="344"/>
      <c r="RAG40" s="344"/>
      <c r="RAH40" s="344"/>
      <c r="RAI40" s="344"/>
      <c r="RAJ40" s="344"/>
      <c r="RAK40" s="344"/>
      <c r="RAL40" s="344"/>
      <c r="RAM40" s="344"/>
      <c r="RAN40" s="344"/>
      <c r="RAO40" s="344"/>
      <c r="RAP40" s="344"/>
      <c r="RAQ40" s="344"/>
      <c r="RAR40" s="344"/>
      <c r="RAS40" s="344"/>
      <c r="RAT40" s="344"/>
      <c r="RAU40" s="344"/>
      <c r="RAV40" s="344"/>
      <c r="RAW40" s="344"/>
      <c r="RAX40" s="344"/>
      <c r="RAY40" s="344"/>
      <c r="RAZ40" s="344"/>
      <c r="RBA40" s="344"/>
      <c r="RBB40" s="344"/>
      <c r="RBC40" s="344"/>
      <c r="RBD40" s="344"/>
      <c r="RBE40" s="344"/>
      <c r="RBF40" s="344"/>
      <c r="RBG40" s="344"/>
      <c r="RBH40" s="344"/>
      <c r="RBI40" s="344"/>
      <c r="RBJ40" s="344"/>
      <c r="RBK40" s="344"/>
      <c r="RBL40" s="344"/>
      <c r="RBM40" s="344"/>
      <c r="RBN40" s="344"/>
      <c r="RBO40" s="344"/>
      <c r="RBP40" s="344"/>
      <c r="RBQ40" s="344"/>
      <c r="RBR40" s="344"/>
      <c r="RBS40" s="344"/>
      <c r="RBT40" s="344"/>
      <c r="RBU40" s="344"/>
      <c r="RBV40" s="344"/>
      <c r="RBW40" s="344"/>
      <c r="RBX40" s="344"/>
      <c r="RBY40" s="344"/>
      <c r="RBZ40" s="344"/>
      <c r="RCA40" s="344"/>
      <c r="RCB40" s="344"/>
      <c r="RCC40" s="344"/>
      <c r="RCD40" s="344"/>
      <c r="RCE40" s="344"/>
      <c r="RCF40" s="344"/>
      <c r="RCG40" s="344"/>
      <c r="RCH40" s="344"/>
      <c r="RCI40" s="344"/>
      <c r="RCJ40" s="344"/>
      <c r="RCK40" s="344"/>
      <c r="RCL40" s="344"/>
      <c r="RCM40" s="344"/>
      <c r="RCN40" s="344"/>
      <c r="RCO40" s="344"/>
      <c r="RCP40" s="344"/>
      <c r="RCQ40" s="344"/>
      <c r="RCR40" s="344"/>
      <c r="RCS40" s="344"/>
      <c r="RCT40" s="344"/>
      <c r="RCU40" s="344"/>
      <c r="RCV40" s="344"/>
      <c r="RCW40" s="344"/>
      <c r="RCX40" s="344"/>
      <c r="RCY40" s="344"/>
      <c r="RCZ40" s="344"/>
      <c r="RDA40" s="344"/>
      <c r="RDB40" s="344"/>
      <c r="RDC40" s="344"/>
      <c r="RDD40" s="344"/>
      <c r="RDE40" s="344"/>
      <c r="RDF40" s="344"/>
      <c r="RDG40" s="344"/>
      <c r="RDH40" s="344"/>
      <c r="RDI40" s="344"/>
      <c r="RDJ40" s="344"/>
      <c r="RDK40" s="344"/>
      <c r="RDL40" s="344"/>
      <c r="RDM40" s="344"/>
      <c r="RDN40" s="344"/>
      <c r="RDO40" s="344"/>
      <c r="RDP40" s="344"/>
      <c r="RDQ40" s="344"/>
      <c r="RDR40" s="344"/>
      <c r="RDS40" s="344"/>
      <c r="RDT40" s="344"/>
      <c r="RDU40" s="344"/>
      <c r="RDV40" s="344"/>
      <c r="RDW40" s="344"/>
      <c r="RDX40" s="344"/>
      <c r="RDY40" s="344"/>
      <c r="RDZ40" s="344"/>
      <c r="REA40" s="344"/>
      <c r="REB40" s="344"/>
      <c r="REC40" s="344"/>
      <c r="RED40" s="344"/>
      <c r="REE40" s="344"/>
      <c r="REF40" s="344"/>
      <c r="REG40" s="344"/>
      <c r="REH40" s="344"/>
      <c r="REI40" s="344"/>
      <c r="REJ40" s="344"/>
      <c r="REK40" s="344"/>
      <c r="REL40" s="344"/>
      <c r="REM40" s="344"/>
      <c r="REN40" s="344"/>
      <c r="REO40" s="344"/>
      <c r="REP40" s="344"/>
      <c r="REQ40" s="344"/>
      <c r="RER40" s="344"/>
      <c r="RES40" s="344"/>
      <c r="RET40" s="344"/>
      <c r="REU40" s="344"/>
      <c r="REV40" s="344"/>
      <c r="REW40" s="344"/>
      <c r="REX40" s="344"/>
      <c r="REY40" s="344"/>
      <c r="REZ40" s="344"/>
      <c r="RFA40" s="344"/>
      <c r="RFB40" s="344"/>
      <c r="RFC40" s="344"/>
      <c r="RFD40" s="344"/>
      <c r="RFE40" s="344"/>
      <c r="RFF40" s="344"/>
      <c r="RFG40" s="344"/>
      <c r="RFH40" s="344"/>
      <c r="RFI40" s="344"/>
      <c r="RFJ40" s="344"/>
      <c r="RFK40" s="344"/>
      <c r="RFL40" s="344"/>
      <c r="RFM40" s="344"/>
      <c r="RFN40" s="344"/>
      <c r="RFO40" s="344"/>
      <c r="RFP40" s="344"/>
      <c r="RFQ40" s="344"/>
      <c r="RFR40" s="344"/>
      <c r="RFS40" s="344"/>
      <c r="RFT40" s="344"/>
      <c r="RFU40" s="344"/>
      <c r="RFV40" s="344"/>
      <c r="RFW40" s="344"/>
      <c r="RFX40" s="344"/>
      <c r="RFY40" s="344"/>
      <c r="RFZ40" s="344"/>
      <c r="RGA40" s="344"/>
      <c r="RGB40" s="344"/>
      <c r="RGC40" s="344"/>
      <c r="RGD40" s="344"/>
      <c r="RGE40" s="344"/>
      <c r="RGF40" s="344"/>
      <c r="RGG40" s="344"/>
      <c r="RGH40" s="344"/>
      <c r="RGI40" s="344"/>
      <c r="RGJ40" s="344"/>
      <c r="RGK40" s="344"/>
      <c r="RGL40" s="344"/>
      <c r="RGM40" s="344"/>
      <c r="RGN40" s="344"/>
      <c r="RGO40" s="344"/>
      <c r="RGP40" s="344"/>
      <c r="RGQ40" s="344"/>
      <c r="RGR40" s="344"/>
      <c r="RGS40" s="344"/>
      <c r="RGT40" s="344"/>
      <c r="RGU40" s="344"/>
      <c r="RGV40" s="344"/>
      <c r="RGW40" s="344"/>
      <c r="RGX40" s="344"/>
      <c r="RGY40" s="344"/>
      <c r="RGZ40" s="344"/>
      <c r="RHA40" s="344"/>
      <c r="RHB40" s="344"/>
      <c r="RHC40" s="344"/>
      <c r="RHD40" s="344"/>
      <c r="RHE40" s="344"/>
      <c r="RHF40" s="344"/>
      <c r="RHG40" s="344"/>
      <c r="RHH40" s="344"/>
      <c r="RHI40" s="344"/>
      <c r="RHJ40" s="344"/>
      <c r="RHK40" s="344"/>
      <c r="RHL40" s="344"/>
      <c r="RHM40" s="344"/>
      <c r="RHN40" s="344"/>
      <c r="RHO40" s="344"/>
      <c r="RHP40" s="344"/>
      <c r="RHQ40" s="344"/>
      <c r="RHR40" s="344"/>
      <c r="RHS40" s="344"/>
      <c r="RHT40" s="344"/>
      <c r="RHU40" s="344"/>
      <c r="RHV40" s="344"/>
      <c r="RHW40" s="344"/>
      <c r="RHX40" s="344"/>
      <c r="RHY40" s="344"/>
      <c r="RHZ40" s="344"/>
      <c r="RIA40" s="344"/>
      <c r="RIB40" s="344"/>
      <c r="RIC40" s="344"/>
      <c r="RID40" s="344"/>
      <c r="RIE40" s="344"/>
      <c r="RIF40" s="344"/>
      <c r="RIG40" s="344"/>
      <c r="RIH40" s="344"/>
      <c r="RII40" s="344"/>
      <c r="RIJ40" s="344"/>
      <c r="RIK40" s="344"/>
      <c r="RIL40" s="344"/>
      <c r="RIM40" s="344"/>
      <c r="RIN40" s="344"/>
      <c r="RIO40" s="344"/>
      <c r="RIP40" s="344"/>
      <c r="RIQ40" s="344"/>
      <c r="RIR40" s="344"/>
      <c r="RIS40" s="344"/>
      <c r="RIT40" s="344"/>
      <c r="RIU40" s="344"/>
      <c r="RIV40" s="344"/>
      <c r="RIW40" s="344"/>
      <c r="RIX40" s="344"/>
      <c r="RIY40" s="344"/>
      <c r="RIZ40" s="344"/>
      <c r="RJA40" s="344"/>
      <c r="RJB40" s="344"/>
      <c r="RJC40" s="344"/>
      <c r="RJD40" s="344"/>
      <c r="RJE40" s="344"/>
      <c r="RJF40" s="344"/>
      <c r="RJG40" s="344"/>
      <c r="RJH40" s="344"/>
      <c r="RJI40" s="344"/>
      <c r="RJJ40" s="344"/>
      <c r="RJK40" s="344"/>
      <c r="RJL40" s="344"/>
      <c r="RJM40" s="344"/>
      <c r="RJN40" s="344"/>
      <c r="RJO40" s="344"/>
      <c r="RJP40" s="344"/>
      <c r="RJQ40" s="344"/>
      <c r="RJR40" s="344"/>
      <c r="RJS40" s="344"/>
      <c r="RJT40" s="344"/>
      <c r="RJU40" s="344"/>
      <c r="RJV40" s="344"/>
      <c r="RJW40" s="344"/>
      <c r="RJX40" s="344"/>
      <c r="RJY40" s="344"/>
      <c r="RJZ40" s="344"/>
      <c r="RKA40" s="344"/>
      <c r="RKB40" s="344"/>
      <c r="RKC40" s="344"/>
      <c r="RKD40" s="344"/>
      <c r="RKE40" s="344"/>
      <c r="RKF40" s="344"/>
      <c r="RKG40" s="344"/>
      <c r="RKH40" s="344"/>
      <c r="RKI40" s="344"/>
      <c r="RKJ40" s="344"/>
      <c r="RKK40" s="344"/>
      <c r="RKL40" s="344"/>
      <c r="RKM40" s="344"/>
      <c r="RKN40" s="344"/>
      <c r="RKO40" s="344"/>
      <c r="RKP40" s="344"/>
      <c r="RKQ40" s="344"/>
      <c r="RKR40" s="344"/>
      <c r="RKS40" s="344"/>
      <c r="RKT40" s="344"/>
      <c r="RKU40" s="344"/>
      <c r="RKV40" s="344"/>
      <c r="RKW40" s="344"/>
      <c r="RKX40" s="344"/>
      <c r="RKY40" s="344"/>
      <c r="RKZ40" s="344"/>
      <c r="RLA40" s="344"/>
      <c r="RLB40" s="344"/>
      <c r="RLC40" s="344"/>
      <c r="RLD40" s="344"/>
      <c r="RLE40" s="344"/>
      <c r="RLF40" s="344"/>
      <c r="RLG40" s="344"/>
      <c r="RLH40" s="344"/>
      <c r="RLI40" s="344"/>
      <c r="RLJ40" s="344"/>
      <c r="RLK40" s="344"/>
      <c r="RLL40" s="344"/>
      <c r="RLM40" s="344"/>
      <c r="RLN40" s="344"/>
      <c r="RLO40" s="344"/>
      <c r="RLP40" s="344"/>
      <c r="RLQ40" s="344"/>
      <c r="RLR40" s="344"/>
      <c r="RLS40" s="344"/>
      <c r="RLT40" s="344"/>
      <c r="RLU40" s="344"/>
      <c r="RLV40" s="344"/>
      <c r="RLW40" s="344"/>
      <c r="RLX40" s="344"/>
      <c r="RLY40" s="344"/>
      <c r="RLZ40" s="344"/>
      <c r="RMA40" s="344"/>
      <c r="RMB40" s="344"/>
      <c r="RMC40" s="344"/>
      <c r="RMD40" s="344"/>
      <c r="RME40" s="344"/>
      <c r="RMF40" s="344"/>
      <c r="RMG40" s="344"/>
      <c r="RMH40" s="344"/>
      <c r="RMI40" s="344"/>
      <c r="RMJ40" s="344"/>
      <c r="RMK40" s="344"/>
      <c r="RML40" s="344"/>
      <c r="RMM40" s="344"/>
      <c r="RMN40" s="344"/>
      <c r="RMO40" s="344"/>
      <c r="RMP40" s="344"/>
      <c r="RMQ40" s="344"/>
      <c r="RMR40" s="344"/>
      <c r="RMS40" s="344"/>
      <c r="RMT40" s="344"/>
      <c r="RMU40" s="344"/>
      <c r="RMV40" s="344"/>
      <c r="RMW40" s="344"/>
      <c r="RMX40" s="344"/>
      <c r="RMY40" s="344"/>
      <c r="RMZ40" s="344"/>
      <c r="RNA40" s="344"/>
      <c r="RNB40" s="344"/>
      <c r="RNC40" s="344"/>
      <c r="RND40" s="344"/>
      <c r="RNE40" s="344"/>
      <c r="RNF40" s="344"/>
      <c r="RNG40" s="344"/>
      <c r="RNH40" s="344"/>
      <c r="RNI40" s="344"/>
      <c r="RNJ40" s="344"/>
      <c r="RNK40" s="344"/>
      <c r="RNL40" s="344"/>
      <c r="RNM40" s="344"/>
      <c r="RNN40" s="344"/>
      <c r="RNO40" s="344"/>
      <c r="RNP40" s="344"/>
      <c r="RNQ40" s="344"/>
      <c r="RNR40" s="344"/>
      <c r="RNS40" s="344"/>
      <c r="RNT40" s="344"/>
      <c r="RNU40" s="344"/>
      <c r="RNV40" s="344"/>
      <c r="RNW40" s="344"/>
      <c r="RNX40" s="344"/>
      <c r="RNY40" s="344"/>
      <c r="RNZ40" s="344"/>
      <c r="ROA40" s="344"/>
      <c r="ROB40" s="344"/>
      <c r="ROC40" s="344"/>
      <c r="ROD40" s="344"/>
      <c r="ROE40" s="344"/>
      <c r="ROF40" s="344"/>
      <c r="ROG40" s="344"/>
      <c r="ROH40" s="344"/>
      <c r="ROI40" s="344"/>
      <c r="ROJ40" s="344"/>
      <c r="ROK40" s="344"/>
      <c r="ROL40" s="344"/>
      <c r="ROM40" s="344"/>
      <c r="RON40" s="344"/>
      <c r="ROO40" s="344"/>
      <c r="ROP40" s="344"/>
      <c r="ROQ40" s="344"/>
      <c r="ROR40" s="344"/>
      <c r="ROS40" s="344"/>
      <c r="ROT40" s="344"/>
      <c r="ROU40" s="344"/>
      <c r="ROV40" s="344"/>
      <c r="ROW40" s="344"/>
      <c r="ROX40" s="344"/>
      <c r="ROY40" s="344"/>
      <c r="ROZ40" s="344"/>
      <c r="RPA40" s="344"/>
      <c r="RPB40" s="344"/>
      <c r="RPC40" s="344"/>
      <c r="RPD40" s="344"/>
      <c r="RPE40" s="344"/>
      <c r="RPF40" s="344"/>
      <c r="RPG40" s="344"/>
      <c r="RPH40" s="344"/>
      <c r="RPI40" s="344"/>
      <c r="RPJ40" s="344"/>
      <c r="RPK40" s="344"/>
      <c r="RPL40" s="344"/>
      <c r="RPM40" s="344"/>
      <c r="RPN40" s="344"/>
      <c r="RPO40" s="344"/>
      <c r="RPP40" s="344"/>
      <c r="RPQ40" s="344"/>
      <c r="RPR40" s="344"/>
      <c r="RPS40" s="344"/>
      <c r="RPT40" s="344"/>
      <c r="RPU40" s="344"/>
      <c r="RPV40" s="344"/>
      <c r="RPW40" s="344"/>
      <c r="RPX40" s="344"/>
      <c r="RPY40" s="344"/>
      <c r="RPZ40" s="344"/>
      <c r="RQA40" s="344"/>
      <c r="RQB40" s="344"/>
      <c r="RQC40" s="344"/>
      <c r="RQD40" s="344"/>
      <c r="RQE40" s="344"/>
      <c r="RQF40" s="344"/>
      <c r="RQG40" s="344"/>
      <c r="RQH40" s="344"/>
      <c r="RQI40" s="344"/>
      <c r="RQJ40" s="344"/>
      <c r="RQK40" s="344"/>
      <c r="RQL40" s="344"/>
      <c r="RQM40" s="344"/>
      <c r="RQN40" s="344"/>
      <c r="RQO40" s="344"/>
      <c r="RQP40" s="344"/>
      <c r="RQQ40" s="344"/>
      <c r="RQR40" s="344"/>
      <c r="RQS40" s="344"/>
      <c r="RQT40" s="344"/>
      <c r="RQU40" s="344"/>
      <c r="RQV40" s="344"/>
      <c r="RQW40" s="344"/>
      <c r="RQX40" s="344"/>
      <c r="RQY40" s="344"/>
      <c r="RQZ40" s="344"/>
      <c r="RRA40" s="344"/>
      <c r="RRB40" s="344"/>
      <c r="RRC40" s="344"/>
      <c r="RRD40" s="344"/>
      <c r="RRE40" s="344"/>
      <c r="RRF40" s="344"/>
      <c r="RRG40" s="344"/>
      <c r="RRH40" s="344"/>
      <c r="RRI40" s="344"/>
      <c r="RRJ40" s="344"/>
      <c r="RRK40" s="344"/>
      <c r="RRL40" s="344"/>
      <c r="RRM40" s="344"/>
      <c r="RRN40" s="344"/>
      <c r="RRO40" s="344"/>
      <c r="RRP40" s="344"/>
      <c r="RRQ40" s="344"/>
      <c r="RRR40" s="344"/>
      <c r="RRS40" s="344"/>
      <c r="RRT40" s="344"/>
      <c r="RRU40" s="344"/>
      <c r="RRV40" s="344"/>
      <c r="RRW40" s="344"/>
      <c r="RRX40" s="344"/>
      <c r="RRY40" s="344"/>
      <c r="RRZ40" s="344"/>
      <c r="RSA40" s="344"/>
      <c r="RSB40" s="344"/>
      <c r="RSC40" s="344"/>
      <c r="RSD40" s="344"/>
      <c r="RSE40" s="344"/>
      <c r="RSF40" s="344"/>
      <c r="RSG40" s="344"/>
      <c r="RSH40" s="344"/>
      <c r="RSI40" s="344"/>
      <c r="RSJ40" s="344"/>
      <c r="RSK40" s="344"/>
      <c r="RSL40" s="344"/>
      <c r="RSM40" s="344"/>
      <c r="RSN40" s="344"/>
      <c r="RSO40" s="344"/>
      <c r="RSP40" s="344"/>
      <c r="RSQ40" s="344"/>
      <c r="RSR40" s="344"/>
      <c r="RSS40" s="344"/>
      <c r="RST40" s="344"/>
      <c r="RSU40" s="344"/>
      <c r="RSV40" s="344"/>
      <c r="RSW40" s="344"/>
      <c r="RSX40" s="344"/>
      <c r="RSY40" s="344"/>
      <c r="RSZ40" s="344"/>
      <c r="RTA40" s="344"/>
      <c r="RTB40" s="344"/>
      <c r="RTC40" s="344"/>
      <c r="RTD40" s="344"/>
      <c r="RTE40" s="344"/>
      <c r="RTF40" s="344"/>
      <c r="RTG40" s="344"/>
      <c r="RTH40" s="344"/>
      <c r="RTI40" s="344"/>
      <c r="RTJ40" s="344"/>
      <c r="RTK40" s="344"/>
      <c r="RTL40" s="344"/>
      <c r="RTM40" s="344"/>
      <c r="RTN40" s="344"/>
      <c r="RTO40" s="344"/>
      <c r="RTP40" s="344"/>
      <c r="RTQ40" s="344"/>
      <c r="RTR40" s="344"/>
      <c r="RTS40" s="344"/>
      <c r="RTT40" s="344"/>
      <c r="RTU40" s="344"/>
      <c r="RTV40" s="344"/>
      <c r="RTW40" s="344"/>
      <c r="RTX40" s="344"/>
      <c r="RTY40" s="344"/>
      <c r="RTZ40" s="344"/>
      <c r="RUA40" s="344"/>
      <c r="RUB40" s="344"/>
      <c r="RUC40" s="344"/>
      <c r="RUD40" s="344"/>
      <c r="RUE40" s="344"/>
      <c r="RUF40" s="344"/>
      <c r="RUG40" s="344"/>
      <c r="RUH40" s="344"/>
      <c r="RUI40" s="344"/>
      <c r="RUJ40" s="344"/>
      <c r="RUK40" s="344"/>
      <c r="RUL40" s="344"/>
      <c r="RUM40" s="344"/>
      <c r="RUN40" s="344"/>
      <c r="RUO40" s="344"/>
      <c r="RUP40" s="344"/>
      <c r="RUQ40" s="344"/>
      <c r="RUR40" s="344"/>
      <c r="RUS40" s="344"/>
      <c r="RUT40" s="344"/>
      <c r="RUU40" s="344"/>
      <c r="RUV40" s="344"/>
      <c r="RUW40" s="344"/>
      <c r="RUX40" s="344"/>
      <c r="RUY40" s="344"/>
      <c r="RUZ40" s="344"/>
      <c r="RVA40" s="344"/>
      <c r="RVB40" s="344"/>
      <c r="RVC40" s="344"/>
      <c r="RVD40" s="344"/>
      <c r="RVE40" s="344"/>
      <c r="RVF40" s="344"/>
      <c r="RVG40" s="344"/>
      <c r="RVH40" s="344"/>
      <c r="RVI40" s="344"/>
      <c r="RVJ40" s="344"/>
      <c r="RVK40" s="344"/>
      <c r="RVL40" s="344"/>
      <c r="RVM40" s="344"/>
      <c r="RVN40" s="344"/>
      <c r="RVO40" s="344"/>
      <c r="RVP40" s="344"/>
      <c r="RVQ40" s="344"/>
      <c r="RVR40" s="344"/>
      <c r="RVS40" s="344"/>
      <c r="RVT40" s="344"/>
      <c r="RVU40" s="344"/>
      <c r="RVV40" s="344"/>
      <c r="RVW40" s="344"/>
      <c r="RVX40" s="344"/>
      <c r="RVY40" s="344"/>
      <c r="RVZ40" s="344"/>
      <c r="RWA40" s="344"/>
      <c r="RWB40" s="344"/>
      <c r="RWC40" s="344"/>
      <c r="RWD40" s="344"/>
      <c r="RWE40" s="344"/>
      <c r="RWF40" s="344"/>
      <c r="RWG40" s="344"/>
      <c r="RWH40" s="344"/>
      <c r="RWI40" s="344"/>
      <c r="RWJ40" s="344"/>
      <c r="RWK40" s="344"/>
      <c r="RWL40" s="344"/>
      <c r="RWM40" s="344"/>
      <c r="RWN40" s="344"/>
      <c r="RWO40" s="344"/>
      <c r="RWP40" s="344"/>
      <c r="RWQ40" s="344"/>
      <c r="RWR40" s="344"/>
      <c r="RWS40" s="344"/>
      <c r="RWT40" s="344"/>
      <c r="RWU40" s="344"/>
      <c r="RWV40" s="344"/>
      <c r="RWW40" s="344"/>
      <c r="RWX40" s="344"/>
      <c r="RWY40" s="344"/>
      <c r="RWZ40" s="344"/>
      <c r="RXA40" s="344"/>
      <c r="RXB40" s="344"/>
      <c r="RXC40" s="344"/>
      <c r="RXD40" s="344"/>
      <c r="RXE40" s="344"/>
      <c r="RXF40" s="344"/>
      <c r="RXG40" s="344"/>
      <c r="RXH40" s="344"/>
      <c r="RXI40" s="344"/>
      <c r="RXJ40" s="344"/>
      <c r="RXK40" s="344"/>
      <c r="RXL40" s="344"/>
      <c r="RXM40" s="344"/>
      <c r="RXN40" s="344"/>
      <c r="RXO40" s="344"/>
      <c r="RXP40" s="344"/>
      <c r="RXQ40" s="344"/>
      <c r="RXR40" s="344"/>
      <c r="RXS40" s="344"/>
      <c r="RXT40" s="344"/>
      <c r="RXU40" s="344"/>
      <c r="RXV40" s="344"/>
      <c r="RXW40" s="344"/>
      <c r="RXX40" s="344"/>
      <c r="RXY40" s="344"/>
      <c r="RXZ40" s="344"/>
      <c r="RYA40" s="344"/>
      <c r="RYB40" s="344"/>
      <c r="RYC40" s="344"/>
      <c r="RYD40" s="344"/>
      <c r="RYE40" s="344"/>
      <c r="RYF40" s="344"/>
      <c r="RYG40" s="344"/>
      <c r="RYH40" s="344"/>
      <c r="RYI40" s="344"/>
      <c r="RYJ40" s="344"/>
      <c r="RYK40" s="344"/>
      <c r="RYL40" s="344"/>
      <c r="RYM40" s="344"/>
      <c r="RYN40" s="344"/>
      <c r="RYO40" s="344"/>
      <c r="RYP40" s="344"/>
      <c r="RYQ40" s="344"/>
      <c r="RYR40" s="344"/>
      <c r="RYS40" s="344"/>
      <c r="RYT40" s="344"/>
      <c r="RYU40" s="344"/>
      <c r="RYV40" s="344"/>
      <c r="RYW40" s="344"/>
      <c r="RYX40" s="344"/>
      <c r="RYY40" s="344"/>
      <c r="RYZ40" s="344"/>
      <c r="RZA40" s="344"/>
      <c r="RZB40" s="344"/>
      <c r="RZC40" s="344"/>
      <c r="RZD40" s="344"/>
      <c r="RZE40" s="344"/>
      <c r="RZF40" s="344"/>
      <c r="RZG40" s="344"/>
      <c r="RZH40" s="344"/>
      <c r="RZI40" s="344"/>
      <c r="RZJ40" s="344"/>
      <c r="RZK40" s="344"/>
      <c r="RZL40" s="344"/>
      <c r="RZM40" s="344"/>
      <c r="RZN40" s="344"/>
      <c r="RZO40" s="344"/>
      <c r="RZP40" s="344"/>
      <c r="RZQ40" s="344"/>
      <c r="RZR40" s="344"/>
      <c r="RZS40" s="344"/>
      <c r="RZT40" s="344"/>
      <c r="RZU40" s="344"/>
      <c r="RZV40" s="344"/>
      <c r="RZW40" s="344"/>
      <c r="RZX40" s="344"/>
      <c r="RZY40" s="344"/>
      <c r="RZZ40" s="344"/>
      <c r="SAA40" s="344"/>
      <c r="SAB40" s="344"/>
      <c r="SAC40" s="344"/>
      <c r="SAD40" s="344"/>
      <c r="SAE40" s="344"/>
      <c r="SAF40" s="344"/>
      <c r="SAG40" s="344"/>
      <c r="SAH40" s="344"/>
      <c r="SAI40" s="344"/>
      <c r="SAJ40" s="344"/>
      <c r="SAK40" s="344"/>
      <c r="SAL40" s="344"/>
      <c r="SAM40" s="344"/>
      <c r="SAN40" s="344"/>
      <c r="SAO40" s="344"/>
      <c r="SAP40" s="344"/>
      <c r="SAQ40" s="344"/>
      <c r="SAR40" s="344"/>
      <c r="SAS40" s="344"/>
      <c r="SAT40" s="344"/>
      <c r="SAU40" s="344"/>
      <c r="SAV40" s="344"/>
      <c r="SAW40" s="344"/>
      <c r="SAX40" s="344"/>
      <c r="SAY40" s="344"/>
      <c r="SAZ40" s="344"/>
      <c r="SBA40" s="344"/>
      <c r="SBB40" s="344"/>
      <c r="SBC40" s="344"/>
      <c r="SBD40" s="344"/>
      <c r="SBE40" s="344"/>
      <c r="SBF40" s="344"/>
      <c r="SBG40" s="344"/>
      <c r="SBH40" s="344"/>
      <c r="SBI40" s="344"/>
      <c r="SBJ40" s="344"/>
      <c r="SBK40" s="344"/>
      <c r="SBL40" s="344"/>
      <c r="SBM40" s="344"/>
      <c r="SBN40" s="344"/>
      <c r="SBO40" s="344"/>
      <c r="SBP40" s="344"/>
      <c r="SBQ40" s="344"/>
      <c r="SBR40" s="344"/>
      <c r="SBS40" s="344"/>
      <c r="SBT40" s="344"/>
      <c r="SBU40" s="344"/>
      <c r="SBV40" s="344"/>
      <c r="SBW40" s="344"/>
      <c r="SBX40" s="344"/>
      <c r="SBY40" s="344"/>
      <c r="SBZ40" s="344"/>
      <c r="SCA40" s="344"/>
      <c r="SCB40" s="344"/>
      <c r="SCC40" s="344"/>
      <c r="SCD40" s="344"/>
      <c r="SCE40" s="344"/>
      <c r="SCF40" s="344"/>
      <c r="SCG40" s="344"/>
      <c r="SCH40" s="344"/>
      <c r="SCI40" s="344"/>
      <c r="SCJ40" s="344"/>
      <c r="SCK40" s="344"/>
      <c r="SCL40" s="344"/>
      <c r="SCM40" s="344"/>
      <c r="SCN40" s="344"/>
      <c r="SCO40" s="344"/>
      <c r="SCP40" s="344"/>
      <c r="SCQ40" s="344"/>
      <c r="SCR40" s="344"/>
      <c r="SCS40" s="344"/>
      <c r="SCT40" s="344"/>
      <c r="SCU40" s="344"/>
      <c r="SCV40" s="344"/>
      <c r="SCW40" s="344"/>
      <c r="SCX40" s="344"/>
      <c r="SCY40" s="344"/>
      <c r="SCZ40" s="344"/>
      <c r="SDA40" s="344"/>
      <c r="SDB40" s="344"/>
      <c r="SDC40" s="344"/>
      <c r="SDD40" s="344"/>
      <c r="SDE40" s="344"/>
      <c r="SDF40" s="344"/>
      <c r="SDG40" s="344"/>
      <c r="SDH40" s="344"/>
      <c r="SDI40" s="344"/>
      <c r="SDJ40" s="344"/>
      <c r="SDK40" s="344"/>
      <c r="SDL40" s="344"/>
      <c r="SDM40" s="344"/>
      <c r="SDN40" s="344"/>
      <c r="SDO40" s="344"/>
      <c r="SDP40" s="344"/>
      <c r="SDQ40" s="344"/>
      <c r="SDR40" s="344"/>
      <c r="SDS40" s="344"/>
      <c r="SDT40" s="344"/>
      <c r="SDU40" s="344"/>
      <c r="SDV40" s="344"/>
      <c r="SDW40" s="344"/>
      <c r="SDX40" s="344"/>
      <c r="SDY40" s="344"/>
      <c r="SDZ40" s="344"/>
      <c r="SEA40" s="344"/>
      <c r="SEB40" s="344"/>
      <c r="SEC40" s="344"/>
      <c r="SED40" s="344"/>
      <c r="SEE40" s="344"/>
      <c r="SEF40" s="344"/>
      <c r="SEG40" s="344"/>
      <c r="SEH40" s="344"/>
      <c r="SEI40" s="344"/>
      <c r="SEJ40" s="344"/>
      <c r="SEK40" s="344"/>
      <c r="SEL40" s="344"/>
      <c r="SEM40" s="344"/>
      <c r="SEN40" s="344"/>
      <c r="SEO40" s="344"/>
      <c r="SEP40" s="344"/>
      <c r="SEQ40" s="344"/>
      <c r="SER40" s="344"/>
      <c r="SES40" s="344"/>
      <c r="SET40" s="344"/>
      <c r="SEU40" s="344"/>
      <c r="SEV40" s="344"/>
      <c r="SEW40" s="344"/>
      <c r="SEX40" s="344"/>
      <c r="SEY40" s="344"/>
      <c r="SEZ40" s="344"/>
      <c r="SFA40" s="344"/>
      <c r="SFB40" s="344"/>
      <c r="SFC40" s="344"/>
      <c r="SFD40" s="344"/>
      <c r="SFE40" s="344"/>
      <c r="SFF40" s="344"/>
      <c r="SFG40" s="344"/>
      <c r="SFH40" s="344"/>
      <c r="SFI40" s="344"/>
      <c r="SFJ40" s="344"/>
      <c r="SFK40" s="344"/>
      <c r="SFL40" s="344"/>
      <c r="SFM40" s="344"/>
      <c r="SFN40" s="344"/>
      <c r="SFO40" s="344"/>
      <c r="SFP40" s="344"/>
      <c r="SFQ40" s="344"/>
      <c r="SFR40" s="344"/>
      <c r="SFS40" s="344"/>
      <c r="SFT40" s="344"/>
      <c r="SFU40" s="344"/>
      <c r="SFV40" s="344"/>
      <c r="SFW40" s="344"/>
      <c r="SFX40" s="344"/>
      <c r="SFY40" s="344"/>
      <c r="SFZ40" s="344"/>
      <c r="SGA40" s="344"/>
      <c r="SGB40" s="344"/>
      <c r="SGC40" s="344"/>
      <c r="SGD40" s="344"/>
      <c r="SGE40" s="344"/>
      <c r="SGF40" s="344"/>
      <c r="SGG40" s="344"/>
      <c r="SGH40" s="344"/>
      <c r="SGI40" s="344"/>
      <c r="SGJ40" s="344"/>
      <c r="SGK40" s="344"/>
      <c r="SGL40" s="344"/>
      <c r="SGM40" s="344"/>
      <c r="SGN40" s="344"/>
      <c r="SGO40" s="344"/>
      <c r="SGP40" s="344"/>
      <c r="SGQ40" s="344"/>
      <c r="SGR40" s="344"/>
      <c r="SGS40" s="344"/>
      <c r="SGT40" s="344"/>
      <c r="SGU40" s="344"/>
      <c r="SGV40" s="344"/>
      <c r="SGW40" s="344"/>
      <c r="SGX40" s="344"/>
      <c r="SGY40" s="344"/>
      <c r="SGZ40" s="344"/>
      <c r="SHA40" s="344"/>
      <c r="SHB40" s="344"/>
      <c r="SHC40" s="344"/>
      <c r="SHD40" s="344"/>
      <c r="SHE40" s="344"/>
      <c r="SHF40" s="344"/>
      <c r="SHG40" s="344"/>
      <c r="SHH40" s="344"/>
      <c r="SHI40" s="344"/>
      <c r="SHJ40" s="344"/>
      <c r="SHK40" s="344"/>
      <c r="SHL40" s="344"/>
      <c r="SHM40" s="344"/>
      <c r="SHN40" s="344"/>
      <c r="SHO40" s="344"/>
      <c r="SHP40" s="344"/>
      <c r="SHQ40" s="344"/>
      <c r="SHR40" s="344"/>
      <c r="SHS40" s="344"/>
      <c r="SHT40" s="344"/>
      <c r="SHU40" s="344"/>
      <c r="SHV40" s="344"/>
      <c r="SHW40" s="344"/>
      <c r="SHX40" s="344"/>
      <c r="SHY40" s="344"/>
      <c r="SHZ40" s="344"/>
      <c r="SIA40" s="344"/>
      <c r="SIB40" s="344"/>
      <c r="SIC40" s="344"/>
      <c r="SID40" s="344"/>
      <c r="SIE40" s="344"/>
      <c r="SIF40" s="344"/>
      <c r="SIG40" s="344"/>
      <c r="SIH40" s="344"/>
      <c r="SII40" s="344"/>
      <c r="SIJ40" s="344"/>
      <c r="SIK40" s="344"/>
      <c r="SIL40" s="344"/>
      <c r="SIM40" s="344"/>
      <c r="SIN40" s="344"/>
      <c r="SIO40" s="344"/>
      <c r="SIP40" s="344"/>
      <c r="SIQ40" s="344"/>
      <c r="SIR40" s="344"/>
      <c r="SIS40" s="344"/>
      <c r="SIT40" s="344"/>
      <c r="SIU40" s="344"/>
      <c r="SIV40" s="344"/>
      <c r="SIW40" s="344"/>
      <c r="SIX40" s="344"/>
      <c r="SIY40" s="344"/>
      <c r="SIZ40" s="344"/>
      <c r="SJA40" s="344"/>
      <c r="SJB40" s="344"/>
      <c r="SJC40" s="344"/>
      <c r="SJD40" s="344"/>
      <c r="SJE40" s="344"/>
      <c r="SJF40" s="344"/>
      <c r="SJG40" s="344"/>
      <c r="SJH40" s="344"/>
      <c r="SJI40" s="344"/>
      <c r="SJJ40" s="344"/>
      <c r="SJK40" s="344"/>
      <c r="SJL40" s="344"/>
      <c r="SJM40" s="344"/>
      <c r="SJN40" s="344"/>
      <c r="SJO40" s="344"/>
      <c r="SJP40" s="344"/>
      <c r="SJQ40" s="344"/>
      <c r="SJR40" s="344"/>
      <c r="SJS40" s="344"/>
      <c r="SJT40" s="344"/>
      <c r="SJU40" s="344"/>
      <c r="SJV40" s="344"/>
      <c r="SJW40" s="344"/>
      <c r="SJX40" s="344"/>
      <c r="SJY40" s="344"/>
      <c r="SJZ40" s="344"/>
      <c r="SKA40" s="344"/>
      <c r="SKB40" s="344"/>
      <c r="SKC40" s="344"/>
      <c r="SKD40" s="344"/>
      <c r="SKE40" s="344"/>
      <c r="SKF40" s="344"/>
      <c r="SKG40" s="344"/>
      <c r="SKH40" s="344"/>
      <c r="SKI40" s="344"/>
      <c r="SKJ40" s="344"/>
      <c r="SKK40" s="344"/>
      <c r="SKL40" s="344"/>
      <c r="SKM40" s="344"/>
      <c r="SKN40" s="344"/>
      <c r="SKO40" s="344"/>
      <c r="SKP40" s="344"/>
      <c r="SKQ40" s="344"/>
      <c r="SKR40" s="344"/>
      <c r="SKS40" s="344"/>
      <c r="SKT40" s="344"/>
      <c r="SKU40" s="344"/>
      <c r="SKV40" s="344"/>
      <c r="SKW40" s="344"/>
      <c r="SKX40" s="344"/>
      <c r="SKY40" s="344"/>
      <c r="SKZ40" s="344"/>
      <c r="SLA40" s="344"/>
      <c r="SLB40" s="344"/>
      <c r="SLC40" s="344"/>
      <c r="SLD40" s="344"/>
      <c r="SLE40" s="344"/>
      <c r="SLF40" s="344"/>
      <c r="SLG40" s="344"/>
      <c r="SLH40" s="344"/>
      <c r="SLI40" s="344"/>
      <c r="SLJ40" s="344"/>
      <c r="SLK40" s="344"/>
      <c r="SLL40" s="344"/>
      <c r="SLM40" s="344"/>
      <c r="SLN40" s="344"/>
      <c r="SLO40" s="344"/>
      <c r="SLP40" s="344"/>
      <c r="SLQ40" s="344"/>
      <c r="SLR40" s="344"/>
      <c r="SLS40" s="344"/>
      <c r="SLT40" s="344"/>
      <c r="SLU40" s="344"/>
      <c r="SLV40" s="344"/>
      <c r="SLW40" s="344"/>
      <c r="SLX40" s="344"/>
      <c r="SLY40" s="344"/>
      <c r="SLZ40" s="344"/>
      <c r="SMA40" s="344"/>
      <c r="SMB40" s="344"/>
      <c r="SMC40" s="344"/>
      <c r="SMD40" s="344"/>
      <c r="SME40" s="344"/>
      <c r="SMF40" s="344"/>
      <c r="SMG40" s="344"/>
      <c r="SMH40" s="344"/>
      <c r="SMI40" s="344"/>
      <c r="SMJ40" s="344"/>
      <c r="SMK40" s="344"/>
      <c r="SML40" s="344"/>
      <c r="SMM40" s="344"/>
      <c r="SMN40" s="344"/>
      <c r="SMO40" s="344"/>
      <c r="SMP40" s="344"/>
      <c r="SMQ40" s="344"/>
      <c r="SMR40" s="344"/>
      <c r="SMS40" s="344"/>
      <c r="SMT40" s="344"/>
      <c r="SMU40" s="344"/>
      <c r="SMV40" s="344"/>
      <c r="SMW40" s="344"/>
      <c r="SMX40" s="344"/>
      <c r="SMY40" s="344"/>
      <c r="SMZ40" s="344"/>
      <c r="SNA40" s="344"/>
      <c r="SNB40" s="344"/>
      <c r="SNC40" s="344"/>
      <c r="SND40" s="344"/>
      <c r="SNE40" s="344"/>
      <c r="SNF40" s="344"/>
      <c r="SNG40" s="344"/>
      <c r="SNH40" s="344"/>
      <c r="SNI40" s="344"/>
      <c r="SNJ40" s="344"/>
      <c r="SNK40" s="344"/>
      <c r="SNL40" s="344"/>
      <c r="SNM40" s="344"/>
      <c r="SNN40" s="344"/>
      <c r="SNO40" s="344"/>
      <c r="SNP40" s="344"/>
      <c r="SNQ40" s="344"/>
      <c r="SNR40" s="344"/>
      <c r="SNS40" s="344"/>
      <c r="SNT40" s="344"/>
      <c r="SNU40" s="344"/>
      <c r="SNV40" s="344"/>
      <c r="SNW40" s="344"/>
      <c r="SNX40" s="344"/>
      <c r="SNY40" s="344"/>
      <c r="SNZ40" s="344"/>
      <c r="SOA40" s="344"/>
      <c r="SOB40" s="344"/>
      <c r="SOC40" s="344"/>
      <c r="SOD40" s="344"/>
      <c r="SOE40" s="344"/>
      <c r="SOF40" s="344"/>
      <c r="SOG40" s="344"/>
      <c r="SOH40" s="344"/>
      <c r="SOI40" s="344"/>
      <c r="SOJ40" s="344"/>
      <c r="SOK40" s="344"/>
      <c r="SOL40" s="344"/>
      <c r="SOM40" s="344"/>
      <c r="SON40" s="344"/>
      <c r="SOO40" s="344"/>
      <c r="SOP40" s="344"/>
      <c r="SOQ40" s="344"/>
      <c r="SOR40" s="344"/>
      <c r="SOS40" s="344"/>
      <c r="SOT40" s="344"/>
      <c r="SOU40" s="344"/>
      <c r="SOV40" s="344"/>
      <c r="SOW40" s="344"/>
      <c r="SOX40" s="344"/>
      <c r="SOY40" s="344"/>
      <c r="SOZ40" s="344"/>
      <c r="SPA40" s="344"/>
      <c r="SPB40" s="344"/>
      <c r="SPC40" s="344"/>
      <c r="SPD40" s="344"/>
      <c r="SPE40" s="344"/>
      <c r="SPF40" s="344"/>
      <c r="SPG40" s="344"/>
      <c r="SPH40" s="344"/>
      <c r="SPI40" s="344"/>
      <c r="SPJ40" s="344"/>
      <c r="SPK40" s="344"/>
      <c r="SPL40" s="344"/>
      <c r="SPM40" s="344"/>
      <c r="SPN40" s="344"/>
      <c r="SPO40" s="344"/>
      <c r="SPP40" s="344"/>
      <c r="SPQ40" s="344"/>
      <c r="SPR40" s="344"/>
      <c r="SPS40" s="344"/>
      <c r="SPT40" s="344"/>
      <c r="SPU40" s="344"/>
      <c r="SPV40" s="344"/>
      <c r="SPW40" s="344"/>
      <c r="SPX40" s="344"/>
      <c r="SPY40" s="344"/>
      <c r="SPZ40" s="344"/>
      <c r="SQA40" s="344"/>
      <c r="SQB40" s="344"/>
      <c r="SQC40" s="344"/>
      <c r="SQD40" s="344"/>
      <c r="SQE40" s="344"/>
      <c r="SQF40" s="344"/>
      <c r="SQG40" s="344"/>
      <c r="SQH40" s="344"/>
      <c r="SQI40" s="344"/>
      <c r="SQJ40" s="344"/>
      <c r="SQK40" s="344"/>
      <c r="SQL40" s="344"/>
      <c r="SQM40" s="344"/>
      <c r="SQN40" s="344"/>
      <c r="SQO40" s="344"/>
      <c r="SQP40" s="344"/>
      <c r="SQQ40" s="344"/>
      <c r="SQR40" s="344"/>
      <c r="SQS40" s="344"/>
      <c r="SQT40" s="344"/>
      <c r="SQU40" s="344"/>
      <c r="SQV40" s="344"/>
      <c r="SQW40" s="344"/>
      <c r="SQX40" s="344"/>
      <c r="SQY40" s="344"/>
      <c r="SQZ40" s="344"/>
      <c r="SRA40" s="344"/>
      <c r="SRB40" s="344"/>
      <c r="SRC40" s="344"/>
      <c r="SRD40" s="344"/>
      <c r="SRE40" s="344"/>
      <c r="SRF40" s="344"/>
      <c r="SRG40" s="344"/>
      <c r="SRH40" s="344"/>
      <c r="SRI40" s="344"/>
      <c r="SRJ40" s="344"/>
      <c r="SRK40" s="344"/>
      <c r="SRL40" s="344"/>
      <c r="SRM40" s="344"/>
      <c r="SRN40" s="344"/>
      <c r="SRO40" s="344"/>
      <c r="SRP40" s="344"/>
      <c r="SRQ40" s="344"/>
      <c r="SRR40" s="344"/>
      <c r="SRS40" s="344"/>
      <c r="SRT40" s="344"/>
      <c r="SRU40" s="344"/>
      <c r="SRV40" s="344"/>
      <c r="SRW40" s="344"/>
      <c r="SRX40" s="344"/>
      <c r="SRY40" s="344"/>
      <c r="SRZ40" s="344"/>
      <c r="SSA40" s="344"/>
      <c r="SSB40" s="344"/>
      <c r="SSC40" s="344"/>
      <c r="SSD40" s="344"/>
      <c r="SSE40" s="344"/>
      <c r="SSF40" s="344"/>
      <c r="SSG40" s="344"/>
      <c r="SSH40" s="344"/>
      <c r="SSI40" s="344"/>
      <c r="SSJ40" s="344"/>
      <c r="SSK40" s="344"/>
      <c r="SSL40" s="344"/>
      <c r="SSM40" s="344"/>
      <c r="SSN40" s="344"/>
      <c r="SSO40" s="344"/>
      <c r="SSP40" s="344"/>
      <c r="SSQ40" s="344"/>
      <c r="SSR40" s="344"/>
      <c r="SSS40" s="344"/>
      <c r="SST40" s="344"/>
      <c r="SSU40" s="344"/>
      <c r="SSV40" s="344"/>
      <c r="SSW40" s="344"/>
      <c r="SSX40" s="344"/>
      <c r="SSY40" s="344"/>
      <c r="SSZ40" s="344"/>
      <c r="STA40" s="344"/>
      <c r="STB40" s="344"/>
      <c r="STC40" s="344"/>
      <c r="STD40" s="344"/>
      <c r="STE40" s="344"/>
      <c r="STF40" s="344"/>
      <c r="STG40" s="344"/>
      <c r="STH40" s="344"/>
      <c r="STI40" s="344"/>
      <c r="STJ40" s="344"/>
      <c r="STK40" s="344"/>
      <c r="STL40" s="344"/>
      <c r="STM40" s="344"/>
      <c r="STN40" s="344"/>
      <c r="STO40" s="344"/>
      <c r="STP40" s="344"/>
      <c r="STQ40" s="344"/>
      <c r="STR40" s="344"/>
      <c r="STS40" s="344"/>
      <c r="STT40" s="344"/>
      <c r="STU40" s="344"/>
      <c r="STV40" s="344"/>
      <c r="STW40" s="344"/>
      <c r="STX40" s="344"/>
      <c r="STY40" s="344"/>
      <c r="STZ40" s="344"/>
      <c r="SUA40" s="344"/>
      <c r="SUB40" s="344"/>
      <c r="SUC40" s="344"/>
      <c r="SUD40" s="344"/>
      <c r="SUE40" s="344"/>
      <c r="SUF40" s="344"/>
      <c r="SUG40" s="344"/>
      <c r="SUH40" s="344"/>
      <c r="SUI40" s="344"/>
      <c r="SUJ40" s="344"/>
      <c r="SUK40" s="344"/>
      <c r="SUL40" s="344"/>
      <c r="SUM40" s="344"/>
      <c r="SUN40" s="344"/>
      <c r="SUO40" s="344"/>
      <c r="SUP40" s="344"/>
      <c r="SUQ40" s="344"/>
      <c r="SUR40" s="344"/>
      <c r="SUS40" s="344"/>
      <c r="SUT40" s="344"/>
      <c r="SUU40" s="344"/>
      <c r="SUV40" s="344"/>
      <c r="SUW40" s="344"/>
      <c r="SUX40" s="344"/>
      <c r="SUY40" s="344"/>
      <c r="SUZ40" s="344"/>
      <c r="SVA40" s="344"/>
      <c r="SVB40" s="344"/>
      <c r="SVC40" s="344"/>
      <c r="SVD40" s="344"/>
      <c r="SVE40" s="344"/>
      <c r="SVF40" s="344"/>
      <c r="SVG40" s="344"/>
      <c r="SVH40" s="344"/>
      <c r="SVI40" s="344"/>
      <c r="SVJ40" s="344"/>
      <c r="SVK40" s="344"/>
      <c r="SVL40" s="344"/>
      <c r="SVM40" s="344"/>
      <c r="SVN40" s="344"/>
      <c r="SVO40" s="344"/>
      <c r="SVP40" s="344"/>
      <c r="SVQ40" s="344"/>
      <c r="SVR40" s="344"/>
      <c r="SVS40" s="344"/>
      <c r="SVT40" s="344"/>
      <c r="SVU40" s="344"/>
      <c r="SVV40" s="344"/>
      <c r="SVW40" s="344"/>
      <c r="SVX40" s="344"/>
      <c r="SVY40" s="344"/>
      <c r="SVZ40" s="344"/>
      <c r="SWA40" s="344"/>
      <c r="SWB40" s="344"/>
      <c r="SWC40" s="344"/>
      <c r="SWD40" s="344"/>
      <c r="SWE40" s="344"/>
      <c r="SWF40" s="344"/>
      <c r="SWG40" s="344"/>
      <c r="SWH40" s="344"/>
      <c r="SWI40" s="344"/>
      <c r="SWJ40" s="344"/>
      <c r="SWK40" s="344"/>
      <c r="SWL40" s="344"/>
      <c r="SWM40" s="344"/>
      <c r="SWN40" s="344"/>
      <c r="SWO40" s="344"/>
      <c r="SWP40" s="344"/>
      <c r="SWQ40" s="344"/>
      <c r="SWR40" s="344"/>
      <c r="SWS40" s="344"/>
      <c r="SWT40" s="344"/>
      <c r="SWU40" s="344"/>
      <c r="SWV40" s="344"/>
      <c r="SWW40" s="344"/>
      <c r="SWX40" s="344"/>
      <c r="SWY40" s="344"/>
      <c r="SWZ40" s="344"/>
      <c r="SXA40" s="344"/>
      <c r="SXB40" s="344"/>
      <c r="SXC40" s="344"/>
      <c r="SXD40" s="344"/>
      <c r="SXE40" s="344"/>
      <c r="SXF40" s="344"/>
      <c r="SXG40" s="344"/>
      <c r="SXH40" s="344"/>
      <c r="SXI40" s="344"/>
      <c r="SXJ40" s="344"/>
      <c r="SXK40" s="344"/>
      <c r="SXL40" s="344"/>
      <c r="SXM40" s="344"/>
      <c r="SXN40" s="344"/>
      <c r="SXO40" s="344"/>
      <c r="SXP40" s="344"/>
      <c r="SXQ40" s="344"/>
      <c r="SXR40" s="344"/>
      <c r="SXS40" s="344"/>
      <c r="SXT40" s="344"/>
      <c r="SXU40" s="344"/>
      <c r="SXV40" s="344"/>
      <c r="SXW40" s="344"/>
      <c r="SXX40" s="344"/>
      <c r="SXY40" s="344"/>
      <c r="SXZ40" s="344"/>
      <c r="SYA40" s="344"/>
      <c r="SYB40" s="344"/>
      <c r="SYC40" s="344"/>
      <c r="SYD40" s="344"/>
      <c r="SYE40" s="344"/>
      <c r="SYF40" s="344"/>
      <c r="SYG40" s="344"/>
      <c r="SYH40" s="344"/>
      <c r="SYI40" s="344"/>
      <c r="SYJ40" s="344"/>
      <c r="SYK40" s="344"/>
      <c r="SYL40" s="344"/>
      <c r="SYM40" s="344"/>
      <c r="SYN40" s="344"/>
      <c r="SYO40" s="344"/>
      <c r="SYP40" s="344"/>
      <c r="SYQ40" s="344"/>
      <c r="SYR40" s="344"/>
      <c r="SYS40" s="344"/>
      <c r="SYT40" s="344"/>
      <c r="SYU40" s="344"/>
      <c r="SYV40" s="344"/>
      <c r="SYW40" s="344"/>
      <c r="SYX40" s="344"/>
      <c r="SYY40" s="344"/>
      <c r="SYZ40" s="344"/>
      <c r="SZA40" s="344"/>
      <c r="SZB40" s="344"/>
      <c r="SZC40" s="344"/>
      <c r="SZD40" s="344"/>
      <c r="SZE40" s="344"/>
      <c r="SZF40" s="344"/>
      <c r="SZG40" s="344"/>
      <c r="SZH40" s="344"/>
      <c r="SZI40" s="344"/>
      <c r="SZJ40" s="344"/>
      <c r="SZK40" s="344"/>
      <c r="SZL40" s="344"/>
      <c r="SZM40" s="344"/>
      <c r="SZN40" s="344"/>
      <c r="SZO40" s="344"/>
      <c r="SZP40" s="344"/>
      <c r="SZQ40" s="344"/>
      <c r="SZR40" s="344"/>
      <c r="SZS40" s="344"/>
      <c r="SZT40" s="344"/>
      <c r="SZU40" s="344"/>
      <c r="SZV40" s="344"/>
      <c r="SZW40" s="344"/>
      <c r="SZX40" s="344"/>
      <c r="SZY40" s="344"/>
      <c r="SZZ40" s="344"/>
      <c r="TAA40" s="344"/>
      <c r="TAB40" s="344"/>
      <c r="TAC40" s="344"/>
      <c r="TAD40" s="344"/>
      <c r="TAE40" s="344"/>
      <c r="TAF40" s="344"/>
      <c r="TAG40" s="344"/>
      <c r="TAH40" s="344"/>
      <c r="TAI40" s="344"/>
      <c r="TAJ40" s="344"/>
      <c r="TAK40" s="344"/>
      <c r="TAL40" s="344"/>
      <c r="TAM40" s="344"/>
      <c r="TAN40" s="344"/>
      <c r="TAO40" s="344"/>
      <c r="TAP40" s="344"/>
      <c r="TAQ40" s="344"/>
      <c r="TAR40" s="344"/>
      <c r="TAS40" s="344"/>
      <c r="TAT40" s="344"/>
      <c r="TAU40" s="344"/>
      <c r="TAV40" s="344"/>
      <c r="TAW40" s="344"/>
      <c r="TAX40" s="344"/>
      <c r="TAY40" s="344"/>
      <c r="TAZ40" s="344"/>
      <c r="TBA40" s="344"/>
      <c r="TBB40" s="344"/>
      <c r="TBC40" s="344"/>
      <c r="TBD40" s="344"/>
      <c r="TBE40" s="344"/>
      <c r="TBF40" s="344"/>
      <c r="TBG40" s="344"/>
      <c r="TBH40" s="344"/>
      <c r="TBI40" s="344"/>
      <c r="TBJ40" s="344"/>
      <c r="TBK40" s="344"/>
      <c r="TBL40" s="344"/>
      <c r="TBM40" s="344"/>
      <c r="TBN40" s="344"/>
      <c r="TBO40" s="344"/>
      <c r="TBP40" s="344"/>
      <c r="TBQ40" s="344"/>
      <c r="TBR40" s="344"/>
      <c r="TBS40" s="344"/>
      <c r="TBT40" s="344"/>
      <c r="TBU40" s="344"/>
      <c r="TBV40" s="344"/>
      <c r="TBW40" s="344"/>
      <c r="TBX40" s="344"/>
      <c r="TBY40" s="344"/>
      <c r="TBZ40" s="344"/>
      <c r="TCA40" s="344"/>
      <c r="TCB40" s="344"/>
      <c r="TCC40" s="344"/>
      <c r="TCD40" s="344"/>
      <c r="TCE40" s="344"/>
      <c r="TCF40" s="344"/>
      <c r="TCG40" s="344"/>
      <c r="TCH40" s="344"/>
      <c r="TCI40" s="344"/>
      <c r="TCJ40" s="344"/>
      <c r="TCK40" s="344"/>
      <c r="TCL40" s="344"/>
      <c r="TCM40" s="344"/>
      <c r="TCN40" s="344"/>
      <c r="TCO40" s="344"/>
      <c r="TCP40" s="344"/>
      <c r="TCQ40" s="344"/>
      <c r="TCR40" s="344"/>
      <c r="TCS40" s="344"/>
      <c r="TCT40" s="344"/>
      <c r="TCU40" s="344"/>
      <c r="TCV40" s="344"/>
      <c r="TCW40" s="344"/>
      <c r="TCX40" s="344"/>
      <c r="TCY40" s="344"/>
      <c r="TCZ40" s="344"/>
      <c r="TDA40" s="344"/>
      <c r="TDB40" s="344"/>
      <c r="TDC40" s="344"/>
      <c r="TDD40" s="344"/>
      <c r="TDE40" s="344"/>
      <c r="TDF40" s="344"/>
      <c r="TDG40" s="344"/>
      <c r="TDH40" s="344"/>
      <c r="TDI40" s="344"/>
      <c r="TDJ40" s="344"/>
      <c r="TDK40" s="344"/>
      <c r="TDL40" s="344"/>
      <c r="TDM40" s="344"/>
      <c r="TDN40" s="344"/>
      <c r="TDO40" s="344"/>
      <c r="TDP40" s="344"/>
      <c r="TDQ40" s="344"/>
      <c r="TDR40" s="344"/>
      <c r="TDS40" s="344"/>
      <c r="TDT40" s="344"/>
      <c r="TDU40" s="344"/>
      <c r="TDV40" s="344"/>
      <c r="TDW40" s="344"/>
      <c r="TDX40" s="344"/>
      <c r="TDY40" s="344"/>
      <c r="TDZ40" s="344"/>
      <c r="TEA40" s="344"/>
      <c r="TEB40" s="344"/>
      <c r="TEC40" s="344"/>
      <c r="TED40" s="344"/>
      <c r="TEE40" s="344"/>
      <c r="TEF40" s="344"/>
      <c r="TEG40" s="344"/>
      <c r="TEH40" s="344"/>
      <c r="TEI40" s="344"/>
      <c r="TEJ40" s="344"/>
      <c r="TEK40" s="344"/>
      <c r="TEL40" s="344"/>
      <c r="TEM40" s="344"/>
      <c r="TEN40" s="344"/>
      <c r="TEO40" s="344"/>
      <c r="TEP40" s="344"/>
      <c r="TEQ40" s="344"/>
      <c r="TER40" s="344"/>
      <c r="TES40" s="344"/>
      <c r="TET40" s="344"/>
      <c r="TEU40" s="344"/>
      <c r="TEV40" s="344"/>
      <c r="TEW40" s="344"/>
      <c r="TEX40" s="344"/>
      <c r="TEY40" s="344"/>
      <c r="TEZ40" s="344"/>
      <c r="TFA40" s="344"/>
      <c r="TFB40" s="344"/>
      <c r="TFC40" s="344"/>
      <c r="TFD40" s="344"/>
      <c r="TFE40" s="344"/>
      <c r="TFF40" s="344"/>
      <c r="TFG40" s="344"/>
      <c r="TFH40" s="344"/>
      <c r="TFI40" s="344"/>
      <c r="TFJ40" s="344"/>
      <c r="TFK40" s="344"/>
      <c r="TFL40" s="344"/>
      <c r="TFM40" s="344"/>
      <c r="TFN40" s="344"/>
      <c r="TFO40" s="344"/>
      <c r="TFP40" s="344"/>
      <c r="TFQ40" s="344"/>
      <c r="TFR40" s="344"/>
      <c r="TFS40" s="344"/>
      <c r="TFT40" s="344"/>
      <c r="TFU40" s="344"/>
      <c r="TFV40" s="344"/>
      <c r="TFW40" s="344"/>
      <c r="TFX40" s="344"/>
      <c r="TFY40" s="344"/>
      <c r="TFZ40" s="344"/>
      <c r="TGA40" s="344"/>
      <c r="TGB40" s="344"/>
      <c r="TGC40" s="344"/>
      <c r="TGD40" s="344"/>
      <c r="TGE40" s="344"/>
      <c r="TGF40" s="344"/>
      <c r="TGG40" s="344"/>
      <c r="TGH40" s="344"/>
      <c r="TGI40" s="344"/>
      <c r="TGJ40" s="344"/>
      <c r="TGK40" s="344"/>
      <c r="TGL40" s="344"/>
      <c r="TGM40" s="344"/>
      <c r="TGN40" s="344"/>
      <c r="TGO40" s="344"/>
      <c r="TGP40" s="344"/>
      <c r="TGQ40" s="344"/>
      <c r="TGR40" s="344"/>
      <c r="TGS40" s="344"/>
      <c r="TGT40" s="344"/>
      <c r="TGU40" s="344"/>
      <c r="TGV40" s="344"/>
      <c r="TGW40" s="344"/>
      <c r="TGX40" s="344"/>
      <c r="TGY40" s="344"/>
      <c r="TGZ40" s="344"/>
      <c r="THA40" s="344"/>
      <c r="THB40" s="344"/>
      <c r="THC40" s="344"/>
      <c r="THD40" s="344"/>
      <c r="THE40" s="344"/>
      <c r="THF40" s="344"/>
      <c r="THG40" s="344"/>
      <c r="THH40" s="344"/>
      <c r="THI40" s="344"/>
      <c r="THJ40" s="344"/>
      <c r="THK40" s="344"/>
      <c r="THL40" s="344"/>
      <c r="THM40" s="344"/>
      <c r="THN40" s="344"/>
      <c r="THO40" s="344"/>
      <c r="THP40" s="344"/>
      <c r="THQ40" s="344"/>
      <c r="THR40" s="344"/>
      <c r="THS40" s="344"/>
      <c r="THT40" s="344"/>
      <c r="THU40" s="344"/>
      <c r="THV40" s="344"/>
      <c r="THW40" s="344"/>
      <c r="THX40" s="344"/>
      <c r="THY40" s="344"/>
      <c r="THZ40" s="344"/>
      <c r="TIA40" s="344"/>
      <c r="TIB40" s="344"/>
      <c r="TIC40" s="344"/>
      <c r="TID40" s="344"/>
      <c r="TIE40" s="344"/>
      <c r="TIF40" s="344"/>
      <c r="TIG40" s="344"/>
      <c r="TIH40" s="344"/>
      <c r="TII40" s="344"/>
      <c r="TIJ40" s="344"/>
      <c r="TIK40" s="344"/>
      <c r="TIL40" s="344"/>
      <c r="TIM40" s="344"/>
      <c r="TIN40" s="344"/>
      <c r="TIO40" s="344"/>
      <c r="TIP40" s="344"/>
      <c r="TIQ40" s="344"/>
      <c r="TIR40" s="344"/>
      <c r="TIS40" s="344"/>
      <c r="TIT40" s="344"/>
      <c r="TIU40" s="344"/>
      <c r="TIV40" s="344"/>
      <c r="TIW40" s="344"/>
      <c r="TIX40" s="344"/>
      <c r="TIY40" s="344"/>
      <c r="TIZ40" s="344"/>
      <c r="TJA40" s="344"/>
      <c r="TJB40" s="344"/>
      <c r="TJC40" s="344"/>
      <c r="TJD40" s="344"/>
      <c r="TJE40" s="344"/>
      <c r="TJF40" s="344"/>
      <c r="TJG40" s="344"/>
      <c r="TJH40" s="344"/>
      <c r="TJI40" s="344"/>
      <c r="TJJ40" s="344"/>
      <c r="TJK40" s="344"/>
      <c r="TJL40" s="344"/>
      <c r="TJM40" s="344"/>
      <c r="TJN40" s="344"/>
      <c r="TJO40" s="344"/>
      <c r="TJP40" s="344"/>
      <c r="TJQ40" s="344"/>
      <c r="TJR40" s="344"/>
      <c r="TJS40" s="344"/>
      <c r="TJT40" s="344"/>
      <c r="TJU40" s="344"/>
      <c r="TJV40" s="344"/>
      <c r="TJW40" s="344"/>
      <c r="TJX40" s="344"/>
      <c r="TJY40" s="344"/>
      <c r="TJZ40" s="344"/>
      <c r="TKA40" s="344"/>
      <c r="TKB40" s="344"/>
      <c r="TKC40" s="344"/>
      <c r="TKD40" s="344"/>
      <c r="TKE40" s="344"/>
      <c r="TKF40" s="344"/>
      <c r="TKG40" s="344"/>
      <c r="TKH40" s="344"/>
      <c r="TKI40" s="344"/>
      <c r="TKJ40" s="344"/>
      <c r="TKK40" s="344"/>
      <c r="TKL40" s="344"/>
      <c r="TKM40" s="344"/>
      <c r="TKN40" s="344"/>
      <c r="TKO40" s="344"/>
      <c r="TKP40" s="344"/>
      <c r="TKQ40" s="344"/>
      <c r="TKR40" s="344"/>
      <c r="TKS40" s="344"/>
      <c r="TKT40" s="344"/>
      <c r="TKU40" s="344"/>
      <c r="TKV40" s="344"/>
      <c r="TKW40" s="344"/>
      <c r="TKX40" s="344"/>
      <c r="TKY40" s="344"/>
      <c r="TKZ40" s="344"/>
      <c r="TLA40" s="344"/>
      <c r="TLB40" s="344"/>
      <c r="TLC40" s="344"/>
      <c r="TLD40" s="344"/>
      <c r="TLE40" s="344"/>
      <c r="TLF40" s="344"/>
      <c r="TLG40" s="344"/>
      <c r="TLH40" s="344"/>
      <c r="TLI40" s="344"/>
      <c r="TLJ40" s="344"/>
      <c r="TLK40" s="344"/>
      <c r="TLL40" s="344"/>
      <c r="TLM40" s="344"/>
      <c r="TLN40" s="344"/>
      <c r="TLO40" s="344"/>
      <c r="TLP40" s="344"/>
      <c r="TLQ40" s="344"/>
      <c r="TLR40" s="344"/>
      <c r="TLS40" s="344"/>
      <c r="TLT40" s="344"/>
      <c r="TLU40" s="344"/>
      <c r="TLV40" s="344"/>
      <c r="TLW40" s="344"/>
      <c r="TLX40" s="344"/>
      <c r="TLY40" s="344"/>
      <c r="TLZ40" s="344"/>
      <c r="TMA40" s="344"/>
      <c r="TMB40" s="344"/>
      <c r="TMC40" s="344"/>
      <c r="TMD40" s="344"/>
      <c r="TME40" s="344"/>
      <c r="TMF40" s="344"/>
      <c r="TMG40" s="344"/>
      <c r="TMH40" s="344"/>
      <c r="TMI40" s="344"/>
      <c r="TMJ40" s="344"/>
      <c r="TMK40" s="344"/>
      <c r="TML40" s="344"/>
      <c r="TMM40" s="344"/>
      <c r="TMN40" s="344"/>
      <c r="TMO40" s="344"/>
      <c r="TMP40" s="344"/>
      <c r="TMQ40" s="344"/>
      <c r="TMR40" s="344"/>
      <c r="TMS40" s="344"/>
      <c r="TMT40" s="344"/>
      <c r="TMU40" s="344"/>
      <c r="TMV40" s="344"/>
      <c r="TMW40" s="344"/>
      <c r="TMX40" s="344"/>
      <c r="TMY40" s="344"/>
      <c r="TMZ40" s="344"/>
      <c r="TNA40" s="344"/>
      <c r="TNB40" s="344"/>
      <c r="TNC40" s="344"/>
      <c r="TND40" s="344"/>
      <c r="TNE40" s="344"/>
      <c r="TNF40" s="344"/>
      <c r="TNG40" s="344"/>
      <c r="TNH40" s="344"/>
      <c r="TNI40" s="344"/>
      <c r="TNJ40" s="344"/>
      <c r="TNK40" s="344"/>
      <c r="TNL40" s="344"/>
      <c r="TNM40" s="344"/>
      <c r="TNN40" s="344"/>
      <c r="TNO40" s="344"/>
      <c r="TNP40" s="344"/>
      <c r="TNQ40" s="344"/>
      <c r="TNR40" s="344"/>
      <c r="TNS40" s="344"/>
      <c r="TNT40" s="344"/>
      <c r="TNU40" s="344"/>
      <c r="TNV40" s="344"/>
      <c r="TNW40" s="344"/>
      <c r="TNX40" s="344"/>
      <c r="TNY40" s="344"/>
      <c r="TNZ40" s="344"/>
      <c r="TOA40" s="344"/>
      <c r="TOB40" s="344"/>
      <c r="TOC40" s="344"/>
      <c r="TOD40" s="344"/>
      <c r="TOE40" s="344"/>
      <c r="TOF40" s="344"/>
      <c r="TOG40" s="344"/>
      <c r="TOH40" s="344"/>
      <c r="TOI40" s="344"/>
      <c r="TOJ40" s="344"/>
      <c r="TOK40" s="344"/>
      <c r="TOL40" s="344"/>
      <c r="TOM40" s="344"/>
      <c r="TON40" s="344"/>
      <c r="TOO40" s="344"/>
      <c r="TOP40" s="344"/>
      <c r="TOQ40" s="344"/>
      <c r="TOR40" s="344"/>
      <c r="TOS40" s="344"/>
      <c r="TOT40" s="344"/>
      <c r="TOU40" s="344"/>
      <c r="TOV40" s="344"/>
      <c r="TOW40" s="344"/>
      <c r="TOX40" s="344"/>
      <c r="TOY40" s="344"/>
      <c r="TOZ40" s="344"/>
      <c r="TPA40" s="344"/>
      <c r="TPB40" s="344"/>
      <c r="TPC40" s="344"/>
      <c r="TPD40" s="344"/>
      <c r="TPE40" s="344"/>
      <c r="TPF40" s="344"/>
      <c r="TPG40" s="344"/>
      <c r="TPH40" s="344"/>
      <c r="TPI40" s="344"/>
      <c r="TPJ40" s="344"/>
      <c r="TPK40" s="344"/>
      <c r="TPL40" s="344"/>
      <c r="TPM40" s="344"/>
      <c r="TPN40" s="344"/>
      <c r="TPO40" s="344"/>
      <c r="TPP40" s="344"/>
      <c r="TPQ40" s="344"/>
      <c r="TPR40" s="344"/>
      <c r="TPS40" s="344"/>
      <c r="TPT40" s="344"/>
      <c r="TPU40" s="344"/>
      <c r="TPV40" s="344"/>
      <c r="TPW40" s="344"/>
      <c r="TPX40" s="344"/>
      <c r="TPY40" s="344"/>
      <c r="TPZ40" s="344"/>
      <c r="TQA40" s="344"/>
      <c r="TQB40" s="344"/>
      <c r="TQC40" s="344"/>
      <c r="TQD40" s="344"/>
      <c r="TQE40" s="344"/>
      <c r="TQF40" s="344"/>
      <c r="TQG40" s="344"/>
      <c r="TQH40" s="344"/>
      <c r="TQI40" s="344"/>
      <c r="TQJ40" s="344"/>
      <c r="TQK40" s="344"/>
      <c r="TQL40" s="344"/>
      <c r="TQM40" s="344"/>
      <c r="TQN40" s="344"/>
      <c r="TQO40" s="344"/>
      <c r="TQP40" s="344"/>
      <c r="TQQ40" s="344"/>
      <c r="TQR40" s="344"/>
      <c r="TQS40" s="344"/>
      <c r="TQT40" s="344"/>
      <c r="TQU40" s="344"/>
      <c r="TQV40" s="344"/>
      <c r="TQW40" s="344"/>
      <c r="TQX40" s="344"/>
      <c r="TQY40" s="344"/>
      <c r="TQZ40" s="344"/>
      <c r="TRA40" s="344"/>
      <c r="TRB40" s="344"/>
      <c r="TRC40" s="344"/>
      <c r="TRD40" s="344"/>
      <c r="TRE40" s="344"/>
      <c r="TRF40" s="344"/>
      <c r="TRG40" s="344"/>
      <c r="TRH40" s="344"/>
      <c r="TRI40" s="344"/>
      <c r="TRJ40" s="344"/>
      <c r="TRK40" s="344"/>
      <c r="TRL40" s="344"/>
      <c r="TRM40" s="344"/>
      <c r="TRN40" s="344"/>
      <c r="TRO40" s="344"/>
      <c r="TRP40" s="344"/>
      <c r="TRQ40" s="344"/>
      <c r="TRR40" s="344"/>
      <c r="TRS40" s="344"/>
      <c r="TRT40" s="344"/>
      <c r="TRU40" s="344"/>
      <c r="TRV40" s="344"/>
      <c r="TRW40" s="344"/>
      <c r="TRX40" s="344"/>
      <c r="TRY40" s="344"/>
      <c r="TRZ40" s="344"/>
      <c r="TSA40" s="344"/>
      <c r="TSB40" s="344"/>
      <c r="TSC40" s="344"/>
      <c r="TSD40" s="344"/>
      <c r="TSE40" s="344"/>
      <c r="TSF40" s="344"/>
      <c r="TSG40" s="344"/>
      <c r="TSH40" s="344"/>
      <c r="TSI40" s="344"/>
      <c r="TSJ40" s="344"/>
      <c r="TSK40" s="344"/>
      <c r="TSL40" s="344"/>
      <c r="TSM40" s="344"/>
      <c r="TSN40" s="344"/>
      <c r="TSO40" s="344"/>
      <c r="TSP40" s="344"/>
      <c r="TSQ40" s="344"/>
      <c r="TSR40" s="344"/>
      <c r="TSS40" s="344"/>
      <c r="TST40" s="344"/>
      <c r="TSU40" s="344"/>
      <c r="TSV40" s="344"/>
      <c r="TSW40" s="344"/>
      <c r="TSX40" s="344"/>
      <c r="TSY40" s="344"/>
      <c r="TSZ40" s="344"/>
      <c r="TTA40" s="344"/>
      <c r="TTB40" s="344"/>
      <c r="TTC40" s="344"/>
      <c r="TTD40" s="344"/>
      <c r="TTE40" s="344"/>
      <c r="TTF40" s="344"/>
      <c r="TTG40" s="344"/>
      <c r="TTH40" s="344"/>
      <c r="TTI40" s="344"/>
      <c r="TTJ40" s="344"/>
      <c r="TTK40" s="344"/>
      <c r="TTL40" s="344"/>
      <c r="TTM40" s="344"/>
      <c r="TTN40" s="344"/>
      <c r="TTO40" s="344"/>
      <c r="TTP40" s="344"/>
      <c r="TTQ40" s="344"/>
      <c r="TTR40" s="344"/>
      <c r="TTS40" s="344"/>
      <c r="TTT40" s="344"/>
      <c r="TTU40" s="344"/>
      <c r="TTV40" s="344"/>
      <c r="TTW40" s="344"/>
      <c r="TTX40" s="344"/>
      <c r="TTY40" s="344"/>
      <c r="TTZ40" s="344"/>
      <c r="TUA40" s="344"/>
      <c r="TUB40" s="344"/>
      <c r="TUC40" s="344"/>
      <c r="TUD40" s="344"/>
      <c r="TUE40" s="344"/>
      <c r="TUF40" s="344"/>
      <c r="TUG40" s="344"/>
      <c r="TUH40" s="344"/>
      <c r="TUI40" s="344"/>
      <c r="TUJ40" s="344"/>
      <c r="TUK40" s="344"/>
      <c r="TUL40" s="344"/>
      <c r="TUM40" s="344"/>
      <c r="TUN40" s="344"/>
      <c r="TUO40" s="344"/>
      <c r="TUP40" s="344"/>
      <c r="TUQ40" s="344"/>
      <c r="TUR40" s="344"/>
      <c r="TUS40" s="344"/>
      <c r="TUT40" s="344"/>
      <c r="TUU40" s="344"/>
      <c r="TUV40" s="344"/>
      <c r="TUW40" s="344"/>
      <c r="TUX40" s="344"/>
      <c r="TUY40" s="344"/>
      <c r="TUZ40" s="344"/>
      <c r="TVA40" s="344"/>
      <c r="TVB40" s="344"/>
      <c r="TVC40" s="344"/>
      <c r="TVD40" s="344"/>
      <c r="TVE40" s="344"/>
      <c r="TVF40" s="344"/>
      <c r="TVG40" s="344"/>
      <c r="TVH40" s="344"/>
      <c r="TVI40" s="344"/>
      <c r="TVJ40" s="344"/>
      <c r="TVK40" s="344"/>
      <c r="TVL40" s="344"/>
      <c r="TVM40" s="344"/>
      <c r="TVN40" s="344"/>
      <c r="TVO40" s="344"/>
      <c r="TVP40" s="344"/>
      <c r="TVQ40" s="344"/>
      <c r="TVR40" s="344"/>
      <c r="TVS40" s="344"/>
      <c r="TVT40" s="344"/>
      <c r="TVU40" s="344"/>
      <c r="TVV40" s="344"/>
      <c r="TVW40" s="344"/>
      <c r="TVX40" s="344"/>
      <c r="TVY40" s="344"/>
      <c r="TVZ40" s="344"/>
      <c r="TWA40" s="344"/>
      <c r="TWB40" s="344"/>
      <c r="TWC40" s="344"/>
      <c r="TWD40" s="344"/>
      <c r="TWE40" s="344"/>
      <c r="TWF40" s="344"/>
      <c r="TWG40" s="344"/>
      <c r="TWH40" s="344"/>
      <c r="TWI40" s="344"/>
      <c r="TWJ40" s="344"/>
      <c r="TWK40" s="344"/>
      <c r="TWL40" s="344"/>
      <c r="TWM40" s="344"/>
      <c r="TWN40" s="344"/>
      <c r="TWO40" s="344"/>
      <c r="TWP40" s="344"/>
      <c r="TWQ40" s="344"/>
      <c r="TWR40" s="344"/>
      <c r="TWS40" s="344"/>
      <c r="TWT40" s="344"/>
      <c r="TWU40" s="344"/>
      <c r="TWV40" s="344"/>
      <c r="TWW40" s="344"/>
      <c r="TWX40" s="344"/>
      <c r="TWY40" s="344"/>
      <c r="TWZ40" s="344"/>
      <c r="TXA40" s="344"/>
      <c r="TXB40" s="344"/>
      <c r="TXC40" s="344"/>
      <c r="TXD40" s="344"/>
      <c r="TXE40" s="344"/>
      <c r="TXF40" s="344"/>
      <c r="TXG40" s="344"/>
      <c r="TXH40" s="344"/>
      <c r="TXI40" s="344"/>
      <c r="TXJ40" s="344"/>
      <c r="TXK40" s="344"/>
      <c r="TXL40" s="344"/>
      <c r="TXM40" s="344"/>
      <c r="TXN40" s="344"/>
      <c r="TXO40" s="344"/>
      <c r="TXP40" s="344"/>
      <c r="TXQ40" s="344"/>
      <c r="TXR40" s="344"/>
      <c r="TXS40" s="344"/>
      <c r="TXT40" s="344"/>
      <c r="TXU40" s="344"/>
      <c r="TXV40" s="344"/>
      <c r="TXW40" s="344"/>
      <c r="TXX40" s="344"/>
      <c r="TXY40" s="344"/>
      <c r="TXZ40" s="344"/>
      <c r="TYA40" s="344"/>
      <c r="TYB40" s="344"/>
      <c r="TYC40" s="344"/>
      <c r="TYD40" s="344"/>
      <c r="TYE40" s="344"/>
      <c r="TYF40" s="344"/>
      <c r="TYG40" s="344"/>
      <c r="TYH40" s="344"/>
      <c r="TYI40" s="344"/>
      <c r="TYJ40" s="344"/>
      <c r="TYK40" s="344"/>
      <c r="TYL40" s="344"/>
      <c r="TYM40" s="344"/>
      <c r="TYN40" s="344"/>
      <c r="TYO40" s="344"/>
      <c r="TYP40" s="344"/>
      <c r="TYQ40" s="344"/>
      <c r="TYR40" s="344"/>
      <c r="TYS40" s="344"/>
      <c r="TYT40" s="344"/>
      <c r="TYU40" s="344"/>
      <c r="TYV40" s="344"/>
      <c r="TYW40" s="344"/>
      <c r="TYX40" s="344"/>
      <c r="TYY40" s="344"/>
      <c r="TYZ40" s="344"/>
      <c r="TZA40" s="344"/>
      <c r="TZB40" s="344"/>
      <c r="TZC40" s="344"/>
      <c r="TZD40" s="344"/>
      <c r="TZE40" s="344"/>
      <c r="TZF40" s="344"/>
      <c r="TZG40" s="344"/>
      <c r="TZH40" s="344"/>
      <c r="TZI40" s="344"/>
      <c r="TZJ40" s="344"/>
      <c r="TZK40" s="344"/>
      <c r="TZL40" s="344"/>
      <c r="TZM40" s="344"/>
      <c r="TZN40" s="344"/>
      <c r="TZO40" s="344"/>
      <c r="TZP40" s="344"/>
      <c r="TZQ40" s="344"/>
      <c r="TZR40" s="344"/>
      <c r="TZS40" s="344"/>
      <c r="TZT40" s="344"/>
      <c r="TZU40" s="344"/>
      <c r="TZV40" s="344"/>
      <c r="TZW40" s="344"/>
      <c r="TZX40" s="344"/>
      <c r="TZY40" s="344"/>
      <c r="TZZ40" s="344"/>
      <c r="UAA40" s="344"/>
      <c r="UAB40" s="344"/>
      <c r="UAC40" s="344"/>
      <c r="UAD40" s="344"/>
      <c r="UAE40" s="344"/>
      <c r="UAF40" s="344"/>
      <c r="UAG40" s="344"/>
      <c r="UAH40" s="344"/>
      <c r="UAI40" s="344"/>
      <c r="UAJ40" s="344"/>
      <c r="UAK40" s="344"/>
      <c r="UAL40" s="344"/>
      <c r="UAM40" s="344"/>
      <c r="UAN40" s="344"/>
      <c r="UAO40" s="344"/>
      <c r="UAP40" s="344"/>
      <c r="UAQ40" s="344"/>
      <c r="UAR40" s="344"/>
      <c r="UAS40" s="344"/>
      <c r="UAT40" s="344"/>
      <c r="UAU40" s="344"/>
      <c r="UAV40" s="344"/>
      <c r="UAW40" s="344"/>
      <c r="UAX40" s="344"/>
      <c r="UAY40" s="344"/>
      <c r="UAZ40" s="344"/>
      <c r="UBA40" s="344"/>
      <c r="UBB40" s="344"/>
      <c r="UBC40" s="344"/>
      <c r="UBD40" s="344"/>
      <c r="UBE40" s="344"/>
      <c r="UBF40" s="344"/>
      <c r="UBG40" s="344"/>
      <c r="UBH40" s="344"/>
      <c r="UBI40" s="344"/>
      <c r="UBJ40" s="344"/>
      <c r="UBK40" s="344"/>
      <c r="UBL40" s="344"/>
      <c r="UBM40" s="344"/>
      <c r="UBN40" s="344"/>
      <c r="UBO40" s="344"/>
      <c r="UBP40" s="344"/>
      <c r="UBQ40" s="344"/>
      <c r="UBR40" s="344"/>
      <c r="UBS40" s="344"/>
      <c r="UBT40" s="344"/>
      <c r="UBU40" s="344"/>
      <c r="UBV40" s="344"/>
      <c r="UBW40" s="344"/>
      <c r="UBX40" s="344"/>
      <c r="UBY40" s="344"/>
      <c r="UBZ40" s="344"/>
      <c r="UCA40" s="344"/>
      <c r="UCB40" s="344"/>
      <c r="UCC40" s="344"/>
      <c r="UCD40" s="344"/>
      <c r="UCE40" s="344"/>
      <c r="UCF40" s="344"/>
      <c r="UCG40" s="344"/>
      <c r="UCH40" s="344"/>
      <c r="UCI40" s="344"/>
      <c r="UCJ40" s="344"/>
      <c r="UCK40" s="344"/>
      <c r="UCL40" s="344"/>
      <c r="UCM40" s="344"/>
      <c r="UCN40" s="344"/>
      <c r="UCO40" s="344"/>
      <c r="UCP40" s="344"/>
      <c r="UCQ40" s="344"/>
      <c r="UCR40" s="344"/>
      <c r="UCS40" s="344"/>
      <c r="UCT40" s="344"/>
      <c r="UCU40" s="344"/>
      <c r="UCV40" s="344"/>
      <c r="UCW40" s="344"/>
      <c r="UCX40" s="344"/>
      <c r="UCY40" s="344"/>
      <c r="UCZ40" s="344"/>
      <c r="UDA40" s="344"/>
      <c r="UDB40" s="344"/>
      <c r="UDC40" s="344"/>
      <c r="UDD40" s="344"/>
      <c r="UDE40" s="344"/>
      <c r="UDF40" s="344"/>
      <c r="UDG40" s="344"/>
      <c r="UDH40" s="344"/>
      <c r="UDI40" s="344"/>
      <c r="UDJ40" s="344"/>
      <c r="UDK40" s="344"/>
      <c r="UDL40" s="344"/>
      <c r="UDM40" s="344"/>
      <c r="UDN40" s="344"/>
      <c r="UDO40" s="344"/>
      <c r="UDP40" s="344"/>
      <c r="UDQ40" s="344"/>
      <c r="UDR40" s="344"/>
      <c r="UDS40" s="344"/>
      <c r="UDT40" s="344"/>
      <c r="UDU40" s="344"/>
      <c r="UDV40" s="344"/>
      <c r="UDW40" s="344"/>
      <c r="UDX40" s="344"/>
      <c r="UDY40" s="344"/>
      <c r="UDZ40" s="344"/>
      <c r="UEA40" s="344"/>
      <c r="UEB40" s="344"/>
      <c r="UEC40" s="344"/>
      <c r="UED40" s="344"/>
      <c r="UEE40" s="344"/>
      <c r="UEF40" s="344"/>
      <c r="UEG40" s="344"/>
      <c r="UEH40" s="344"/>
      <c r="UEI40" s="344"/>
      <c r="UEJ40" s="344"/>
      <c r="UEK40" s="344"/>
      <c r="UEL40" s="344"/>
      <c r="UEM40" s="344"/>
      <c r="UEN40" s="344"/>
      <c r="UEO40" s="344"/>
      <c r="UEP40" s="344"/>
      <c r="UEQ40" s="344"/>
      <c r="UER40" s="344"/>
      <c r="UES40" s="344"/>
      <c r="UET40" s="344"/>
      <c r="UEU40" s="344"/>
      <c r="UEV40" s="344"/>
      <c r="UEW40" s="344"/>
      <c r="UEX40" s="344"/>
      <c r="UEY40" s="344"/>
      <c r="UEZ40" s="344"/>
      <c r="UFA40" s="344"/>
      <c r="UFB40" s="344"/>
      <c r="UFC40" s="344"/>
      <c r="UFD40" s="344"/>
      <c r="UFE40" s="344"/>
      <c r="UFF40" s="344"/>
      <c r="UFG40" s="344"/>
      <c r="UFH40" s="344"/>
      <c r="UFI40" s="344"/>
      <c r="UFJ40" s="344"/>
      <c r="UFK40" s="344"/>
      <c r="UFL40" s="344"/>
      <c r="UFM40" s="344"/>
      <c r="UFN40" s="344"/>
      <c r="UFO40" s="344"/>
      <c r="UFP40" s="344"/>
      <c r="UFQ40" s="344"/>
      <c r="UFR40" s="344"/>
      <c r="UFS40" s="344"/>
      <c r="UFT40" s="344"/>
      <c r="UFU40" s="344"/>
      <c r="UFV40" s="344"/>
      <c r="UFW40" s="344"/>
      <c r="UFX40" s="344"/>
      <c r="UFY40" s="344"/>
      <c r="UFZ40" s="344"/>
      <c r="UGA40" s="344"/>
      <c r="UGB40" s="344"/>
      <c r="UGC40" s="344"/>
      <c r="UGD40" s="344"/>
      <c r="UGE40" s="344"/>
      <c r="UGF40" s="344"/>
      <c r="UGG40" s="344"/>
      <c r="UGH40" s="344"/>
      <c r="UGI40" s="344"/>
      <c r="UGJ40" s="344"/>
      <c r="UGK40" s="344"/>
      <c r="UGL40" s="344"/>
      <c r="UGM40" s="344"/>
      <c r="UGN40" s="344"/>
      <c r="UGO40" s="344"/>
      <c r="UGP40" s="344"/>
      <c r="UGQ40" s="344"/>
      <c r="UGR40" s="344"/>
      <c r="UGS40" s="344"/>
      <c r="UGT40" s="344"/>
      <c r="UGU40" s="344"/>
      <c r="UGV40" s="344"/>
      <c r="UGW40" s="344"/>
      <c r="UGX40" s="344"/>
      <c r="UGY40" s="344"/>
      <c r="UGZ40" s="344"/>
      <c r="UHA40" s="344"/>
      <c r="UHB40" s="344"/>
      <c r="UHC40" s="344"/>
      <c r="UHD40" s="344"/>
      <c r="UHE40" s="344"/>
      <c r="UHF40" s="344"/>
      <c r="UHG40" s="344"/>
      <c r="UHH40" s="344"/>
      <c r="UHI40" s="344"/>
      <c r="UHJ40" s="344"/>
      <c r="UHK40" s="344"/>
      <c r="UHL40" s="344"/>
      <c r="UHM40" s="344"/>
      <c r="UHN40" s="344"/>
      <c r="UHO40" s="344"/>
      <c r="UHP40" s="344"/>
      <c r="UHQ40" s="344"/>
      <c r="UHR40" s="344"/>
      <c r="UHS40" s="344"/>
      <c r="UHT40" s="344"/>
      <c r="UHU40" s="344"/>
      <c r="UHV40" s="344"/>
      <c r="UHW40" s="344"/>
      <c r="UHX40" s="344"/>
      <c r="UHY40" s="344"/>
      <c r="UHZ40" s="344"/>
      <c r="UIA40" s="344"/>
      <c r="UIB40" s="344"/>
      <c r="UIC40" s="344"/>
      <c r="UID40" s="344"/>
      <c r="UIE40" s="344"/>
      <c r="UIF40" s="344"/>
      <c r="UIG40" s="344"/>
      <c r="UIH40" s="344"/>
      <c r="UII40" s="344"/>
      <c r="UIJ40" s="344"/>
      <c r="UIK40" s="344"/>
      <c r="UIL40" s="344"/>
      <c r="UIM40" s="344"/>
      <c r="UIN40" s="344"/>
      <c r="UIO40" s="344"/>
      <c r="UIP40" s="344"/>
      <c r="UIQ40" s="344"/>
      <c r="UIR40" s="344"/>
      <c r="UIS40" s="344"/>
      <c r="UIT40" s="344"/>
      <c r="UIU40" s="344"/>
      <c r="UIV40" s="344"/>
      <c r="UIW40" s="344"/>
      <c r="UIX40" s="344"/>
      <c r="UIY40" s="344"/>
      <c r="UIZ40" s="344"/>
      <c r="UJA40" s="344"/>
      <c r="UJB40" s="344"/>
      <c r="UJC40" s="344"/>
      <c r="UJD40" s="344"/>
      <c r="UJE40" s="344"/>
      <c r="UJF40" s="344"/>
      <c r="UJG40" s="344"/>
      <c r="UJH40" s="344"/>
      <c r="UJI40" s="344"/>
      <c r="UJJ40" s="344"/>
      <c r="UJK40" s="344"/>
      <c r="UJL40" s="344"/>
      <c r="UJM40" s="344"/>
      <c r="UJN40" s="344"/>
      <c r="UJO40" s="344"/>
      <c r="UJP40" s="344"/>
      <c r="UJQ40" s="344"/>
      <c r="UJR40" s="344"/>
      <c r="UJS40" s="344"/>
      <c r="UJT40" s="344"/>
      <c r="UJU40" s="344"/>
      <c r="UJV40" s="344"/>
      <c r="UJW40" s="344"/>
      <c r="UJX40" s="344"/>
      <c r="UJY40" s="344"/>
      <c r="UJZ40" s="344"/>
      <c r="UKA40" s="344"/>
      <c r="UKB40" s="344"/>
      <c r="UKC40" s="344"/>
      <c r="UKD40" s="344"/>
      <c r="UKE40" s="344"/>
      <c r="UKF40" s="344"/>
      <c r="UKG40" s="344"/>
      <c r="UKH40" s="344"/>
      <c r="UKI40" s="344"/>
      <c r="UKJ40" s="344"/>
      <c r="UKK40" s="344"/>
      <c r="UKL40" s="344"/>
      <c r="UKM40" s="344"/>
      <c r="UKN40" s="344"/>
      <c r="UKO40" s="344"/>
      <c r="UKP40" s="344"/>
      <c r="UKQ40" s="344"/>
      <c r="UKR40" s="344"/>
      <c r="UKS40" s="344"/>
      <c r="UKT40" s="344"/>
      <c r="UKU40" s="344"/>
      <c r="UKV40" s="344"/>
      <c r="UKW40" s="344"/>
      <c r="UKX40" s="344"/>
      <c r="UKY40" s="344"/>
      <c r="UKZ40" s="344"/>
      <c r="ULA40" s="344"/>
      <c r="ULB40" s="344"/>
      <c r="ULC40" s="344"/>
      <c r="ULD40" s="344"/>
      <c r="ULE40" s="344"/>
      <c r="ULF40" s="344"/>
      <c r="ULG40" s="344"/>
      <c r="ULH40" s="344"/>
      <c r="ULI40" s="344"/>
      <c r="ULJ40" s="344"/>
      <c r="ULK40" s="344"/>
      <c r="ULL40" s="344"/>
      <c r="ULM40" s="344"/>
      <c r="ULN40" s="344"/>
      <c r="ULO40" s="344"/>
      <c r="ULP40" s="344"/>
      <c r="ULQ40" s="344"/>
      <c r="ULR40" s="344"/>
      <c r="ULS40" s="344"/>
      <c r="ULT40" s="344"/>
      <c r="ULU40" s="344"/>
      <c r="ULV40" s="344"/>
      <c r="ULW40" s="344"/>
      <c r="ULX40" s="344"/>
      <c r="ULY40" s="344"/>
      <c r="ULZ40" s="344"/>
      <c r="UMA40" s="344"/>
      <c r="UMB40" s="344"/>
      <c r="UMC40" s="344"/>
      <c r="UMD40" s="344"/>
      <c r="UME40" s="344"/>
      <c r="UMF40" s="344"/>
      <c r="UMG40" s="344"/>
      <c r="UMH40" s="344"/>
      <c r="UMI40" s="344"/>
      <c r="UMJ40" s="344"/>
      <c r="UMK40" s="344"/>
      <c r="UML40" s="344"/>
      <c r="UMM40" s="344"/>
      <c r="UMN40" s="344"/>
      <c r="UMO40" s="344"/>
      <c r="UMP40" s="344"/>
      <c r="UMQ40" s="344"/>
      <c r="UMR40" s="344"/>
      <c r="UMS40" s="344"/>
      <c r="UMT40" s="344"/>
      <c r="UMU40" s="344"/>
      <c r="UMV40" s="344"/>
      <c r="UMW40" s="344"/>
      <c r="UMX40" s="344"/>
      <c r="UMY40" s="344"/>
      <c r="UMZ40" s="344"/>
      <c r="UNA40" s="344"/>
      <c r="UNB40" s="344"/>
      <c r="UNC40" s="344"/>
      <c r="UND40" s="344"/>
      <c r="UNE40" s="344"/>
      <c r="UNF40" s="344"/>
      <c r="UNG40" s="344"/>
      <c r="UNH40" s="344"/>
      <c r="UNI40" s="344"/>
      <c r="UNJ40" s="344"/>
      <c r="UNK40" s="344"/>
      <c r="UNL40" s="344"/>
      <c r="UNM40" s="344"/>
      <c r="UNN40" s="344"/>
      <c r="UNO40" s="344"/>
      <c r="UNP40" s="344"/>
      <c r="UNQ40" s="344"/>
      <c r="UNR40" s="344"/>
      <c r="UNS40" s="344"/>
      <c r="UNT40" s="344"/>
      <c r="UNU40" s="344"/>
      <c r="UNV40" s="344"/>
      <c r="UNW40" s="344"/>
      <c r="UNX40" s="344"/>
      <c r="UNY40" s="344"/>
      <c r="UNZ40" s="344"/>
      <c r="UOA40" s="344"/>
      <c r="UOB40" s="344"/>
      <c r="UOC40" s="344"/>
      <c r="UOD40" s="344"/>
      <c r="UOE40" s="344"/>
      <c r="UOF40" s="344"/>
      <c r="UOG40" s="344"/>
      <c r="UOH40" s="344"/>
      <c r="UOI40" s="344"/>
      <c r="UOJ40" s="344"/>
      <c r="UOK40" s="344"/>
      <c r="UOL40" s="344"/>
      <c r="UOM40" s="344"/>
      <c r="UON40" s="344"/>
      <c r="UOO40" s="344"/>
      <c r="UOP40" s="344"/>
      <c r="UOQ40" s="344"/>
      <c r="UOR40" s="344"/>
      <c r="UOS40" s="344"/>
      <c r="UOT40" s="344"/>
      <c r="UOU40" s="344"/>
      <c r="UOV40" s="344"/>
      <c r="UOW40" s="344"/>
      <c r="UOX40" s="344"/>
      <c r="UOY40" s="344"/>
      <c r="UOZ40" s="344"/>
      <c r="UPA40" s="344"/>
      <c r="UPB40" s="344"/>
      <c r="UPC40" s="344"/>
      <c r="UPD40" s="344"/>
      <c r="UPE40" s="344"/>
      <c r="UPF40" s="344"/>
      <c r="UPG40" s="344"/>
      <c r="UPH40" s="344"/>
      <c r="UPI40" s="344"/>
      <c r="UPJ40" s="344"/>
      <c r="UPK40" s="344"/>
      <c r="UPL40" s="344"/>
      <c r="UPM40" s="344"/>
      <c r="UPN40" s="344"/>
      <c r="UPO40" s="344"/>
      <c r="UPP40" s="344"/>
      <c r="UPQ40" s="344"/>
      <c r="UPR40" s="344"/>
      <c r="UPS40" s="344"/>
      <c r="UPT40" s="344"/>
      <c r="UPU40" s="344"/>
      <c r="UPV40" s="344"/>
      <c r="UPW40" s="344"/>
      <c r="UPX40" s="344"/>
      <c r="UPY40" s="344"/>
      <c r="UPZ40" s="344"/>
      <c r="UQA40" s="344"/>
      <c r="UQB40" s="344"/>
      <c r="UQC40" s="344"/>
      <c r="UQD40" s="344"/>
      <c r="UQE40" s="344"/>
      <c r="UQF40" s="344"/>
      <c r="UQG40" s="344"/>
      <c r="UQH40" s="344"/>
      <c r="UQI40" s="344"/>
      <c r="UQJ40" s="344"/>
      <c r="UQK40" s="344"/>
      <c r="UQL40" s="344"/>
      <c r="UQM40" s="344"/>
      <c r="UQN40" s="344"/>
      <c r="UQO40" s="344"/>
      <c r="UQP40" s="344"/>
      <c r="UQQ40" s="344"/>
      <c r="UQR40" s="344"/>
      <c r="UQS40" s="344"/>
      <c r="UQT40" s="344"/>
      <c r="UQU40" s="344"/>
      <c r="UQV40" s="344"/>
      <c r="UQW40" s="344"/>
      <c r="UQX40" s="344"/>
      <c r="UQY40" s="344"/>
      <c r="UQZ40" s="344"/>
      <c r="URA40" s="344"/>
      <c r="URB40" s="344"/>
      <c r="URC40" s="344"/>
      <c r="URD40" s="344"/>
      <c r="URE40" s="344"/>
      <c r="URF40" s="344"/>
      <c r="URG40" s="344"/>
      <c r="URH40" s="344"/>
      <c r="URI40" s="344"/>
      <c r="URJ40" s="344"/>
      <c r="URK40" s="344"/>
      <c r="URL40" s="344"/>
      <c r="URM40" s="344"/>
      <c r="URN40" s="344"/>
      <c r="URO40" s="344"/>
      <c r="URP40" s="344"/>
      <c r="URQ40" s="344"/>
      <c r="URR40" s="344"/>
      <c r="URS40" s="344"/>
      <c r="URT40" s="344"/>
      <c r="URU40" s="344"/>
      <c r="URV40" s="344"/>
      <c r="URW40" s="344"/>
      <c r="URX40" s="344"/>
      <c r="URY40" s="344"/>
      <c r="URZ40" s="344"/>
      <c r="USA40" s="344"/>
      <c r="USB40" s="344"/>
      <c r="USC40" s="344"/>
      <c r="USD40" s="344"/>
      <c r="USE40" s="344"/>
      <c r="USF40" s="344"/>
      <c r="USG40" s="344"/>
      <c r="USH40" s="344"/>
      <c r="USI40" s="344"/>
      <c r="USJ40" s="344"/>
      <c r="USK40" s="344"/>
      <c r="USL40" s="344"/>
      <c r="USM40" s="344"/>
      <c r="USN40" s="344"/>
      <c r="USO40" s="344"/>
      <c r="USP40" s="344"/>
      <c r="USQ40" s="344"/>
      <c r="USR40" s="344"/>
      <c r="USS40" s="344"/>
      <c r="UST40" s="344"/>
      <c r="USU40" s="344"/>
      <c r="USV40" s="344"/>
      <c r="USW40" s="344"/>
      <c r="USX40" s="344"/>
      <c r="USY40" s="344"/>
      <c r="USZ40" s="344"/>
      <c r="UTA40" s="344"/>
      <c r="UTB40" s="344"/>
      <c r="UTC40" s="344"/>
      <c r="UTD40" s="344"/>
      <c r="UTE40" s="344"/>
      <c r="UTF40" s="344"/>
      <c r="UTG40" s="344"/>
      <c r="UTH40" s="344"/>
      <c r="UTI40" s="344"/>
      <c r="UTJ40" s="344"/>
      <c r="UTK40" s="344"/>
      <c r="UTL40" s="344"/>
      <c r="UTM40" s="344"/>
      <c r="UTN40" s="344"/>
      <c r="UTO40" s="344"/>
      <c r="UTP40" s="344"/>
      <c r="UTQ40" s="344"/>
      <c r="UTR40" s="344"/>
      <c r="UTS40" s="344"/>
      <c r="UTT40" s="344"/>
      <c r="UTU40" s="344"/>
      <c r="UTV40" s="344"/>
      <c r="UTW40" s="344"/>
      <c r="UTX40" s="344"/>
      <c r="UTY40" s="344"/>
      <c r="UTZ40" s="344"/>
      <c r="UUA40" s="344"/>
      <c r="UUB40" s="344"/>
      <c r="UUC40" s="344"/>
      <c r="UUD40" s="344"/>
      <c r="UUE40" s="344"/>
      <c r="UUF40" s="344"/>
      <c r="UUG40" s="344"/>
      <c r="UUH40" s="344"/>
      <c r="UUI40" s="344"/>
      <c r="UUJ40" s="344"/>
      <c r="UUK40" s="344"/>
      <c r="UUL40" s="344"/>
      <c r="UUM40" s="344"/>
      <c r="UUN40" s="344"/>
      <c r="UUO40" s="344"/>
      <c r="UUP40" s="344"/>
      <c r="UUQ40" s="344"/>
      <c r="UUR40" s="344"/>
      <c r="UUS40" s="344"/>
      <c r="UUT40" s="344"/>
      <c r="UUU40" s="344"/>
      <c r="UUV40" s="344"/>
      <c r="UUW40" s="344"/>
      <c r="UUX40" s="344"/>
      <c r="UUY40" s="344"/>
      <c r="UUZ40" s="344"/>
      <c r="UVA40" s="344"/>
      <c r="UVB40" s="344"/>
      <c r="UVC40" s="344"/>
      <c r="UVD40" s="344"/>
      <c r="UVE40" s="344"/>
      <c r="UVF40" s="344"/>
      <c r="UVG40" s="344"/>
      <c r="UVH40" s="344"/>
      <c r="UVI40" s="344"/>
      <c r="UVJ40" s="344"/>
      <c r="UVK40" s="344"/>
      <c r="UVL40" s="344"/>
      <c r="UVM40" s="344"/>
      <c r="UVN40" s="344"/>
      <c r="UVO40" s="344"/>
      <c r="UVP40" s="344"/>
      <c r="UVQ40" s="344"/>
      <c r="UVR40" s="344"/>
      <c r="UVS40" s="344"/>
      <c r="UVT40" s="344"/>
      <c r="UVU40" s="344"/>
      <c r="UVV40" s="344"/>
      <c r="UVW40" s="344"/>
      <c r="UVX40" s="344"/>
      <c r="UVY40" s="344"/>
      <c r="UVZ40" s="344"/>
      <c r="UWA40" s="344"/>
      <c r="UWB40" s="344"/>
      <c r="UWC40" s="344"/>
      <c r="UWD40" s="344"/>
      <c r="UWE40" s="344"/>
      <c r="UWF40" s="344"/>
      <c r="UWG40" s="344"/>
      <c r="UWH40" s="344"/>
      <c r="UWI40" s="344"/>
      <c r="UWJ40" s="344"/>
      <c r="UWK40" s="344"/>
      <c r="UWL40" s="344"/>
      <c r="UWM40" s="344"/>
      <c r="UWN40" s="344"/>
      <c r="UWO40" s="344"/>
      <c r="UWP40" s="344"/>
      <c r="UWQ40" s="344"/>
      <c r="UWR40" s="344"/>
      <c r="UWS40" s="344"/>
      <c r="UWT40" s="344"/>
      <c r="UWU40" s="344"/>
      <c r="UWV40" s="344"/>
      <c r="UWW40" s="344"/>
      <c r="UWX40" s="344"/>
      <c r="UWY40" s="344"/>
      <c r="UWZ40" s="344"/>
      <c r="UXA40" s="344"/>
      <c r="UXB40" s="344"/>
      <c r="UXC40" s="344"/>
      <c r="UXD40" s="344"/>
      <c r="UXE40" s="344"/>
      <c r="UXF40" s="344"/>
      <c r="UXG40" s="344"/>
      <c r="UXH40" s="344"/>
      <c r="UXI40" s="344"/>
      <c r="UXJ40" s="344"/>
      <c r="UXK40" s="344"/>
      <c r="UXL40" s="344"/>
      <c r="UXM40" s="344"/>
      <c r="UXN40" s="344"/>
      <c r="UXO40" s="344"/>
      <c r="UXP40" s="344"/>
      <c r="UXQ40" s="344"/>
      <c r="UXR40" s="344"/>
      <c r="UXS40" s="344"/>
      <c r="UXT40" s="344"/>
      <c r="UXU40" s="344"/>
      <c r="UXV40" s="344"/>
      <c r="UXW40" s="344"/>
      <c r="UXX40" s="344"/>
      <c r="UXY40" s="344"/>
      <c r="UXZ40" s="344"/>
      <c r="UYA40" s="344"/>
      <c r="UYB40" s="344"/>
      <c r="UYC40" s="344"/>
      <c r="UYD40" s="344"/>
      <c r="UYE40" s="344"/>
      <c r="UYF40" s="344"/>
      <c r="UYG40" s="344"/>
      <c r="UYH40" s="344"/>
      <c r="UYI40" s="344"/>
      <c r="UYJ40" s="344"/>
      <c r="UYK40" s="344"/>
      <c r="UYL40" s="344"/>
      <c r="UYM40" s="344"/>
      <c r="UYN40" s="344"/>
      <c r="UYO40" s="344"/>
      <c r="UYP40" s="344"/>
      <c r="UYQ40" s="344"/>
      <c r="UYR40" s="344"/>
      <c r="UYS40" s="344"/>
      <c r="UYT40" s="344"/>
      <c r="UYU40" s="344"/>
      <c r="UYV40" s="344"/>
      <c r="UYW40" s="344"/>
      <c r="UYX40" s="344"/>
      <c r="UYY40" s="344"/>
      <c r="UYZ40" s="344"/>
      <c r="UZA40" s="344"/>
      <c r="UZB40" s="344"/>
      <c r="UZC40" s="344"/>
      <c r="UZD40" s="344"/>
      <c r="UZE40" s="344"/>
      <c r="UZF40" s="344"/>
      <c r="UZG40" s="344"/>
      <c r="UZH40" s="344"/>
      <c r="UZI40" s="344"/>
      <c r="UZJ40" s="344"/>
      <c r="UZK40" s="344"/>
      <c r="UZL40" s="344"/>
      <c r="UZM40" s="344"/>
      <c r="UZN40" s="344"/>
      <c r="UZO40" s="344"/>
      <c r="UZP40" s="344"/>
      <c r="UZQ40" s="344"/>
      <c r="UZR40" s="344"/>
      <c r="UZS40" s="344"/>
      <c r="UZT40" s="344"/>
      <c r="UZU40" s="344"/>
      <c r="UZV40" s="344"/>
      <c r="UZW40" s="344"/>
      <c r="UZX40" s="344"/>
      <c r="UZY40" s="344"/>
      <c r="UZZ40" s="344"/>
      <c r="VAA40" s="344"/>
      <c r="VAB40" s="344"/>
      <c r="VAC40" s="344"/>
      <c r="VAD40" s="344"/>
      <c r="VAE40" s="344"/>
      <c r="VAF40" s="344"/>
      <c r="VAG40" s="344"/>
      <c r="VAH40" s="344"/>
      <c r="VAI40" s="344"/>
      <c r="VAJ40" s="344"/>
      <c r="VAK40" s="344"/>
      <c r="VAL40" s="344"/>
      <c r="VAM40" s="344"/>
      <c r="VAN40" s="344"/>
      <c r="VAO40" s="344"/>
      <c r="VAP40" s="344"/>
      <c r="VAQ40" s="344"/>
      <c r="VAR40" s="344"/>
      <c r="VAS40" s="344"/>
      <c r="VAT40" s="344"/>
      <c r="VAU40" s="344"/>
      <c r="VAV40" s="344"/>
      <c r="VAW40" s="344"/>
      <c r="VAX40" s="344"/>
      <c r="VAY40" s="344"/>
      <c r="VAZ40" s="344"/>
      <c r="VBA40" s="344"/>
      <c r="VBB40" s="344"/>
      <c r="VBC40" s="344"/>
      <c r="VBD40" s="344"/>
      <c r="VBE40" s="344"/>
      <c r="VBF40" s="344"/>
      <c r="VBG40" s="344"/>
      <c r="VBH40" s="344"/>
      <c r="VBI40" s="344"/>
      <c r="VBJ40" s="344"/>
      <c r="VBK40" s="344"/>
      <c r="VBL40" s="344"/>
      <c r="VBM40" s="344"/>
      <c r="VBN40" s="344"/>
      <c r="VBO40" s="344"/>
      <c r="VBP40" s="344"/>
      <c r="VBQ40" s="344"/>
      <c r="VBR40" s="344"/>
      <c r="VBS40" s="344"/>
      <c r="VBT40" s="344"/>
      <c r="VBU40" s="344"/>
      <c r="VBV40" s="344"/>
      <c r="VBW40" s="344"/>
      <c r="VBX40" s="344"/>
      <c r="VBY40" s="344"/>
      <c r="VBZ40" s="344"/>
      <c r="VCA40" s="344"/>
      <c r="VCB40" s="344"/>
      <c r="VCC40" s="344"/>
      <c r="VCD40" s="344"/>
      <c r="VCE40" s="344"/>
      <c r="VCF40" s="344"/>
      <c r="VCG40" s="344"/>
      <c r="VCH40" s="344"/>
      <c r="VCI40" s="344"/>
      <c r="VCJ40" s="344"/>
      <c r="VCK40" s="344"/>
      <c r="VCL40" s="344"/>
      <c r="VCM40" s="344"/>
      <c r="VCN40" s="344"/>
      <c r="VCO40" s="344"/>
      <c r="VCP40" s="344"/>
      <c r="VCQ40" s="344"/>
      <c r="VCR40" s="344"/>
      <c r="VCS40" s="344"/>
      <c r="VCT40" s="344"/>
      <c r="VCU40" s="344"/>
      <c r="VCV40" s="344"/>
      <c r="VCW40" s="344"/>
      <c r="VCX40" s="344"/>
      <c r="VCY40" s="344"/>
      <c r="VCZ40" s="344"/>
      <c r="VDA40" s="344"/>
      <c r="VDB40" s="344"/>
      <c r="VDC40" s="344"/>
      <c r="VDD40" s="344"/>
      <c r="VDE40" s="344"/>
      <c r="VDF40" s="344"/>
      <c r="VDG40" s="344"/>
      <c r="VDH40" s="344"/>
      <c r="VDI40" s="344"/>
      <c r="VDJ40" s="344"/>
      <c r="VDK40" s="344"/>
      <c r="VDL40" s="344"/>
      <c r="VDM40" s="344"/>
      <c r="VDN40" s="344"/>
      <c r="VDO40" s="344"/>
      <c r="VDP40" s="344"/>
      <c r="VDQ40" s="344"/>
      <c r="VDR40" s="344"/>
      <c r="VDS40" s="344"/>
      <c r="VDT40" s="344"/>
      <c r="VDU40" s="344"/>
      <c r="VDV40" s="344"/>
      <c r="VDW40" s="344"/>
      <c r="VDX40" s="344"/>
      <c r="VDY40" s="344"/>
      <c r="VDZ40" s="344"/>
      <c r="VEA40" s="344"/>
      <c r="VEB40" s="344"/>
      <c r="VEC40" s="344"/>
      <c r="VED40" s="344"/>
      <c r="VEE40" s="344"/>
      <c r="VEF40" s="344"/>
      <c r="VEG40" s="344"/>
      <c r="VEH40" s="344"/>
      <c r="VEI40" s="344"/>
      <c r="VEJ40" s="344"/>
      <c r="VEK40" s="344"/>
      <c r="VEL40" s="344"/>
      <c r="VEM40" s="344"/>
      <c r="VEN40" s="344"/>
      <c r="VEO40" s="344"/>
      <c r="VEP40" s="344"/>
      <c r="VEQ40" s="344"/>
      <c r="VER40" s="344"/>
      <c r="VES40" s="344"/>
      <c r="VET40" s="344"/>
      <c r="VEU40" s="344"/>
      <c r="VEV40" s="344"/>
      <c r="VEW40" s="344"/>
      <c r="VEX40" s="344"/>
      <c r="VEY40" s="344"/>
      <c r="VEZ40" s="344"/>
      <c r="VFA40" s="344"/>
      <c r="VFB40" s="344"/>
      <c r="VFC40" s="344"/>
      <c r="VFD40" s="344"/>
      <c r="VFE40" s="344"/>
      <c r="VFF40" s="344"/>
      <c r="VFG40" s="344"/>
      <c r="VFH40" s="344"/>
      <c r="VFI40" s="344"/>
      <c r="VFJ40" s="344"/>
      <c r="VFK40" s="344"/>
      <c r="VFL40" s="344"/>
      <c r="VFM40" s="344"/>
      <c r="VFN40" s="344"/>
      <c r="VFO40" s="344"/>
      <c r="VFP40" s="344"/>
      <c r="VFQ40" s="344"/>
      <c r="VFR40" s="344"/>
      <c r="VFS40" s="344"/>
      <c r="VFT40" s="344"/>
      <c r="VFU40" s="344"/>
      <c r="VFV40" s="344"/>
      <c r="VFW40" s="344"/>
      <c r="VFX40" s="344"/>
      <c r="VFY40" s="344"/>
      <c r="VFZ40" s="344"/>
      <c r="VGA40" s="344"/>
      <c r="VGB40" s="344"/>
      <c r="VGC40" s="344"/>
      <c r="VGD40" s="344"/>
      <c r="VGE40" s="344"/>
      <c r="VGF40" s="344"/>
      <c r="VGG40" s="344"/>
      <c r="VGH40" s="344"/>
      <c r="VGI40" s="344"/>
      <c r="VGJ40" s="344"/>
      <c r="VGK40" s="344"/>
      <c r="VGL40" s="344"/>
      <c r="VGM40" s="344"/>
      <c r="VGN40" s="344"/>
      <c r="VGO40" s="344"/>
      <c r="VGP40" s="344"/>
      <c r="VGQ40" s="344"/>
      <c r="VGR40" s="344"/>
      <c r="VGS40" s="344"/>
      <c r="VGT40" s="344"/>
      <c r="VGU40" s="344"/>
      <c r="VGV40" s="344"/>
      <c r="VGW40" s="344"/>
      <c r="VGX40" s="344"/>
      <c r="VGY40" s="344"/>
      <c r="VGZ40" s="344"/>
      <c r="VHA40" s="344"/>
      <c r="VHB40" s="344"/>
      <c r="VHC40" s="344"/>
      <c r="VHD40" s="344"/>
      <c r="VHE40" s="344"/>
      <c r="VHF40" s="344"/>
      <c r="VHG40" s="344"/>
      <c r="VHH40" s="344"/>
      <c r="VHI40" s="344"/>
      <c r="VHJ40" s="344"/>
      <c r="VHK40" s="344"/>
      <c r="VHL40" s="344"/>
      <c r="VHM40" s="344"/>
      <c r="VHN40" s="344"/>
      <c r="VHO40" s="344"/>
      <c r="VHP40" s="344"/>
      <c r="VHQ40" s="344"/>
      <c r="VHR40" s="344"/>
      <c r="VHS40" s="344"/>
      <c r="VHT40" s="344"/>
      <c r="VHU40" s="344"/>
      <c r="VHV40" s="344"/>
      <c r="VHW40" s="344"/>
      <c r="VHX40" s="344"/>
      <c r="VHY40" s="344"/>
      <c r="VHZ40" s="344"/>
      <c r="VIA40" s="344"/>
      <c r="VIB40" s="344"/>
      <c r="VIC40" s="344"/>
      <c r="VID40" s="344"/>
      <c r="VIE40" s="344"/>
      <c r="VIF40" s="344"/>
      <c r="VIG40" s="344"/>
      <c r="VIH40" s="344"/>
      <c r="VII40" s="344"/>
      <c r="VIJ40" s="344"/>
      <c r="VIK40" s="344"/>
      <c r="VIL40" s="344"/>
      <c r="VIM40" s="344"/>
      <c r="VIN40" s="344"/>
      <c r="VIO40" s="344"/>
      <c r="VIP40" s="344"/>
      <c r="VIQ40" s="344"/>
      <c r="VIR40" s="344"/>
      <c r="VIS40" s="344"/>
      <c r="VIT40" s="344"/>
      <c r="VIU40" s="344"/>
      <c r="VIV40" s="344"/>
      <c r="VIW40" s="344"/>
      <c r="VIX40" s="344"/>
      <c r="VIY40" s="344"/>
      <c r="VIZ40" s="344"/>
      <c r="VJA40" s="344"/>
      <c r="VJB40" s="344"/>
      <c r="VJC40" s="344"/>
      <c r="VJD40" s="344"/>
      <c r="VJE40" s="344"/>
      <c r="VJF40" s="344"/>
      <c r="VJG40" s="344"/>
      <c r="VJH40" s="344"/>
      <c r="VJI40" s="344"/>
      <c r="VJJ40" s="344"/>
      <c r="VJK40" s="344"/>
      <c r="VJL40" s="344"/>
      <c r="VJM40" s="344"/>
      <c r="VJN40" s="344"/>
      <c r="VJO40" s="344"/>
      <c r="VJP40" s="344"/>
      <c r="VJQ40" s="344"/>
      <c r="VJR40" s="344"/>
      <c r="VJS40" s="344"/>
      <c r="VJT40" s="344"/>
      <c r="VJU40" s="344"/>
      <c r="VJV40" s="344"/>
      <c r="VJW40" s="344"/>
      <c r="VJX40" s="344"/>
      <c r="VJY40" s="344"/>
      <c r="VJZ40" s="344"/>
      <c r="VKA40" s="344"/>
      <c r="VKB40" s="344"/>
      <c r="VKC40" s="344"/>
      <c r="VKD40" s="344"/>
      <c r="VKE40" s="344"/>
      <c r="VKF40" s="344"/>
      <c r="VKG40" s="344"/>
      <c r="VKH40" s="344"/>
      <c r="VKI40" s="344"/>
      <c r="VKJ40" s="344"/>
      <c r="VKK40" s="344"/>
      <c r="VKL40" s="344"/>
      <c r="VKM40" s="344"/>
      <c r="VKN40" s="344"/>
      <c r="VKO40" s="344"/>
      <c r="VKP40" s="344"/>
      <c r="VKQ40" s="344"/>
      <c r="VKR40" s="344"/>
      <c r="VKS40" s="344"/>
      <c r="VKT40" s="344"/>
      <c r="VKU40" s="344"/>
      <c r="VKV40" s="344"/>
      <c r="VKW40" s="344"/>
      <c r="VKX40" s="344"/>
      <c r="VKY40" s="344"/>
      <c r="VKZ40" s="344"/>
      <c r="VLA40" s="344"/>
      <c r="VLB40" s="344"/>
      <c r="VLC40" s="344"/>
      <c r="VLD40" s="344"/>
      <c r="VLE40" s="344"/>
      <c r="VLF40" s="344"/>
      <c r="VLG40" s="344"/>
      <c r="VLH40" s="344"/>
      <c r="VLI40" s="344"/>
      <c r="VLJ40" s="344"/>
      <c r="VLK40" s="344"/>
      <c r="VLL40" s="344"/>
      <c r="VLM40" s="344"/>
      <c r="VLN40" s="344"/>
      <c r="VLO40" s="344"/>
      <c r="VLP40" s="344"/>
      <c r="VLQ40" s="344"/>
      <c r="VLR40" s="344"/>
      <c r="VLS40" s="344"/>
      <c r="VLT40" s="344"/>
      <c r="VLU40" s="344"/>
      <c r="VLV40" s="344"/>
      <c r="VLW40" s="344"/>
      <c r="VLX40" s="344"/>
      <c r="VLY40" s="344"/>
      <c r="VLZ40" s="344"/>
      <c r="VMA40" s="344"/>
      <c r="VMB40" s="344"/>
      <c r="VMC40" s="344"/>
      <c r="VMD40" s="344"/>
      <c r="VME40" s="344"/>
      <c r="VMF40" s="344"/>
      <c r="VMG40" s="344"/>
      <c r="VMH40" s="344"/>
      <c r="VMI40" s="344"/>
      <c r="VMJ40" s="344"/>
      <c r="VMK40" s="344"/>
      <c r="VML40" s="344"/>
      <c r="VMM40" s="344"/>
      <c r="VMN40" s="344"/>
      <c r="VMO40" s="344"/>
      <c r="VMP40" s="344"/>
      <c r="VMQ40" s="344"/>
      <c r="VMR40" s="344"/>
      <c r="VMS40" s="344"/>
      <c r="VMT40" s="344"/>
      <c r="VMU40" s="344"/>
      <c r="VMV40" s="344"/>
      <c r="VMW40" s="344"/>
      <c r="VMX40" s="344"/>
      <c r="VMY40" s="344"/>
      <c r="VMZ40" s="344"/>
      <c r="VNA40" s="344"/>
      <c r="VNB40" s="344"/>
      <c r="VNC40" s="344"/>
      <c r="VND40" s="344"/>
      <c r="VNE40" s="344"/>
      <c r="VNF40" s="344"/>
      <c r="VNG40" s="344"/>
      <c r="VNH40" s="344"/>
      <c r="VNI40" s="344"/>
      <c r="VNJ40" s="344"/>
      <c r="VNK40" s="344"/>
      <c r="VNL40" s="344"/>
      <c r="VNM40" s="344"/>
      <c r="VNN40" s="344"/>
      <c r="VNO40" s="344"/>
      <c r="VNP40" s="344"/>
      <c r="VNQ40" s="344"/>
      <c r="VNR40" s="344"/>
      <c r="VNS40" s="344"/>
      <c r="VNT40" s="344"/>
      <c r="VNU40" s="344"/>
      <c r="VNV40" s="344"/>
      <c r="VNW40" s="344"/>
      <c r="VNX40" s="344"/>
      <c r="VNY40" s="344"/>
      <c r="VNZ40" s="344"/>
      <c r="VOA40" s="344"/>
      <c r="VOB40" s="344"/>
      <c r="VOC40" s="344"/>
      <c r="VOD40" s="344"/>
      <c r="VOE40" s="344"/>
      <c r="VOF40" s="344"/>
      <c r="VOG40" s="344"/>
      <c r="VOH40" s="344"/>
      <c r="VOI40" s="344"/>
      <c r="VOJ40" s="344"/>
      <c r="VOK40" s="344"/>
      <c r="VOL40" s="344"/>
      <c r="VOM40" s="344"/>
      <c r="VON40" s="344"/>
      <c r="VOO40" s="344"/>
      <c r="VOP40" s="344"/>
      <c r="VOQ40" s="344"/>
      <c r="VOR40" s="344"/>
      <c r="VOS40" s="344"/>
      <c r="VOT40" s="344"/>
      <c r="VOU40" s="344"/>
      <c r="VOV40" s="344"/>
      <c r="VOW40" s="344"/>
      <c r="VOX40" s="344"/>
      <c r="VOY40" s="344"/>
      <c r="VOZ40" s="344"/>
      <c r="VPA40" s="344"/>
      <c r="VPB40" s="344"/>
      <c r="VPC40" s="344"/>
      <c r="VPD40" s="344"/>
      <c r="VPE40" s="344"/>
      <c r="VPF40" s="344"/>
      <c r="VPG40" s="344"/>
      <c r="VPH40" s="344"/>
      <c r="VPI40" s="344"/>
      <c r="VPJ40" s="344"/>
      <c r="VPK40" s="344"/>
      <c r="VPL40" s="344"/>
      <c r="VPM40" s="344"/>
      <c r="VPN40" s="344"/>
      <c r="VPO40" s="344"/>
      <c r="VPP40" s="344"/>
      <c r="VPQ40" s="344"/>
      <c r="VPR40" s="344"/>
      <c r="VPS40" s="344"/>
      <c r="VPT40" s="344"/>
      <c r="VPU40" s="344"/>
      <c r="VPV40" s="344"/>
      <c r="VPW40" s="344"/>
      <c r="VPX40" s="344"/>
      <c r="VPY40" s="344"/>
      <c r="VPZ40" s="344"/>
      <c r="VQA40" s="344"/>
      <c r="VQB40" s="344"/>
      <c r="VQC40" s="344"/>
      <c r="VQD40" s="344"/>
      <c r="VQE40" s="344"/>
      <c r="VQF40" s="344"/>
      <c r="VQG40" s="344"/>
      <c r="VQH40" s="344"/>
      <c r="VQI40" s="344"/>
      <c r="VQJ40" s="344"/>
      <c r="VQK40" s="344"/>
      <c r="VQL40" s="344"/>
      <c r="VQM40" s="344"/>
      <c r="VQN40" s="344"/>
      <c r="VQO40" s="344"/>
      <c r="VQP40" s="344"/>
      <c r="VQQ40" s="344"/>
      <c r="VQR40" s="344"/>
      <c r="VQS40" s="344"/>
      <c r="VQT40" s="344"/>
      <c r="VQU40" s="344"/>
      <c r="VQV40" s="344"/>
      <c r="VQW40" s="344"/>
      <c r="VQX40" s="344"/>
      <c r="VQY40" s="344"/>
      <c r="VQZ40" s="344"/>
      <c r="VRA40" s="344"/>
      <c r="VRB40" s="344"/>
      <c r="VRC40" s="344"/>
      <c r="VRD40" s="344"/>
      <c r="VRE40" s="344"/>
      <c r="VRF40" s="344"/>
      <c r="VRG40" s="344"/>
      <c r="VRH40" s="344"/>
      <c r="VRI40" s="344"/>
      <c r="VRJ40" s="344"/>
      <c r="VRK40" s="344"/>
      <c r="VRL40" s="344"/>
      <c r="VRM40" s="344"/>
      <c r="VRN40" s="344"/>
      <c r="VRO40" s="344"/>
      <c r="VRP40" s="344"/>
      <c r="VRQ40" s="344"/>
      <c r="VRR40" s="344"/>
      <c r="VRS40" s="344"/>
      <c r="VRT40" s="344"/>
      <c r="VRU40" s="344"/>
      <c r="VRV40" s="344"/>
      <c r="VRW40" s="344"/>
      <c r="VRX40" s="344"/>
      <c r="VRY40" s="344"/>
      <c r="VRZ40" s="344"/>
      <c r="VSA40" s="344"/>
      <c r="VSB40" s="344"/>
      <c r="VSC40" s="344"/>
      <c r="VSD40" s="344"/>
      <c r="VSE40" s="344"/>
      <c r="VSF40" s="344"/>
      <c r="VSG40" s="344"/>
      <c r="VSH40" s="344"/>
      <c r="VSI40" s="344"/>
      <c r="VSJ40" s="344"/>
      <c r="VSK40" s="344"/>
      <c r="VSL40" s="344"/>
      <c r="VSM40" s="344"/>
      <c r="VSN40" s="344"/>
      <c r="VSO40" s="344"/>
      <c r="VSP40" s="344"/>
      <c r="VSQ40" s="344"/>
      <c r="VSR40" s="344"/>
      <c r="VSS40" s="344"/>
      <c r="VST40" s="344"/>
      <c r="VSU40" s="344"/>
      <c r="VSV40" s="344"/>
      <c r="VSW40" s="344"/>
      <c r="VSX40" s="344"/>
      <c r="VSY40" s="344"/>
      <c r="VSZ40" s="344"/>
      <c r="VTA40" s="344"/>
      <c r="VTB40" s="344"/>
      <c r="VTC40" s="344"/>
      <c r="VTD40" s="344"/>
      <c r="VTE40" s="344"/>
      <c r="VTF40" s="344"/>
      <c r="VTG40" s="344"/>
      <c r="VTH40" s="344"/>
      <c r="VTI40" s="344"/>
      <c r="VTJ40" s="344"/>
      <c r="VTK40" s="344"/>
      <c r="VTL40" s="344"/>
      <c r="VTM40" s="344"/>
      <c r="VTN40" s="344"/>
      <c r="VTO40" s="344"/>
      <c r="VTP40" s="344"/>
      <c r="VTQ40" s="344"/>
      <c r="VTR40" s="344"/>
      <c r="VTS40" s="344"/>
      <c r="VTT40" s="344"/>
      <c r="VTU40" s="344"/>
      <c r="VTV40" s="344"/>
      <c r="VTW40" s="344"/>
      <c r="VTX40" s="344"/>
      <c r="VTY40" s="344"/>
      <c r="VTZ40" s="344"/>
      <c r="VUA40" s="344"/>
      <c r="VUB40" s="344"/>
      <c r="VUC40" s="344"/>
      <c r="VUD40" s="344"/>
      <c r="VUE40" s="344"/>
      <c r="VUF40" s="344"/>
      <c r="VUG40" s="344"/>
      <c r="VUH40" s="344"/>
      <c r="VUI40" s="344"/>
      <c r="VUJ40" s="344"/>
      <c r="VUK40" s="344"/>
      <c r="VUL40" s="344"/>
      <c r="VUM40" s="344"/>
      <c r="VUN40" s="344"/>
      <c r="VUO40" s="344"/>
      <c r="VUP40" s="344"/>
      <c r="VUQ40" s="344"/>
      <c r="VUR40" s="344"/>
      <c r="VUS40" s="344"/>
      <c r="VUT40" s="344"/>
      <c r="VUU40" s="344"/>
      <c r="VUV40" s="344"/>
      <c r="VUW40" s="344"/>
      <c r="VUX40" s="344"/>
      <c r="VUY40" s="344"/>
      <c r="VUZ40" s="344"/>
      <c r="VVA40" s="344"/>
      <c r="VVB40" s="344"/>
      <c r="VVC40" s="344"/>
      <c r="VVD40" s="344"/>
      <c r="VVE40" s="344"/>
      <c r="VVF40" s="344"/>
      <c r="VVG40" s="344"/>
      <c r="VVH40" s="344"/>
      <c r="VVI40" s="344"/>
      <c r="VVJ40" s="344"/>
      <c r="VVK40" s="344"/>
      <c r="VVL40" s="344"/>
      <c r="VVM40" s="344"/>
      <c r="VVN40" s="344"/>
      <c r="VVO40" s="344"/>
      <c r="VVP40" s="344"/>
      <c r="VVQ40" s="344"/>
      <c r="VVR40" s="344"/>
      <c r="VVS40" s="344"/>
      <c r="VVT40" s="344"/>
      <c r="VVU40" s="344"/>
      <c r="VVV40" s="344"/>
      <c r="VVW40" s="344"/>
      <c r="VVX40" s="344"/>
      <c r="VVY40" s="344"/>
      <c r="VVZ40" s="344"/>
      <c r="VWA40" s="344"/>
      <c r="VWB40" s="344"/>
      <c r="VWC40" s="344"/>
      <c r="VWD40" s="344"/>
      <c r="VWE40" s="344"/>
      <c r="VWF40" s="344"/>
      <c r="VWG40" s="344"/>
      <c r="VWH40" s="344"/>
      <c r="VWI40" s="344"/>
      <c r="VWJ40" s="344"/>
      <c r="VWK40" s="344"/>
      <c r="VWL40" s="344"/>
      <c r="VWM40" s="344"/>
      <c r="VWN40" s="344"/>
      <c r="VWO40" s="344"/>
      <c r="VWP40" s="344"/>
      <c r="VWQ40" s="344"/>
      <c r="VWR40" s="344"/>
      <c r="VWS40" s="344"/>
      <c r="VWT40" s="344"/>
      <c r="VWU40" s="344"/>
      <c r="VWV40" s="344"/>
      <c r="VWW40" s="344"/>
      <c r="VWX40" s="344"/>
      <c r="VWY40" s="344"/>
      <c r="VWZ40" s="344"/>
      <c r="VXA40" s="344"/>
      <c r="VXB40" s="344"/>
      <c r="VXC40" s="344"/>
      <c r="VXD40" s="344"/>
      <c r="VXE40" s="344"/>
      <c r="VXF40" s="344"/>
      <c r="VXG40" s="344"/>
      <c r="VXH40" s="344"/>
      <c r="VXI40" s="344"/>
      <c r="VXJ40" s="344"/>
      <c r="VXK40" s="344"/>
      <c r="VXL40" s="344"/>
      <c r="VXM40" s="344"/>
      <c r="VXN40" s="344"/>
      <c r="VXO40" s="344"/>
      <c r="VXP40" s="344"/>
      <c r="VXQ40" s="344"/>
      <c r="VXR40" s="344"/>
      <c r="VXS40" s="344"/>
      <c r="VXT40" s="344"/>
      <c r="VXU40" s="344"/>
      <c r="VXV40" s="344"/>
      <c r="VXW40" s="344"/>
      <c r="VXX40" s="344"/>
      <c r="VXY40" s="344"/>
      <c r="VXZ40" s="344"/>
      <c r="VYA40" s="344"/>
      <c r="VYB40" s="344"/>
      <c r="VYC40" s="344"/>
      <c r="VYD40" s="344"/>
      <c r="VYE40" s="344"/>
      <c r="VYF40" s="344"/>
      <c r="VYG40" s="344"/>
      <c r="VYH40" s="344"/>
      <c r="VYI40" s="344"/>
      <c r="VYJ40" s="344"/>
      <c r="VYK40" s="344"/>
      <c r="VYL40" s="344"/>
      <c r="VYM40" s="344"/>
      <c r="VYN40" s="344"/>
      <c r="VYO40" s="344"/>
      <c r="VYP40" s="344"/>
      <c r="VYQ40" s="344"/>
      <c r="VYR40" s="344"/>
      <c r="VYS40" s="344"/>
      <c r="VYT40" s="344"/>
      <c r="VYU40" s="344"/>
      <c r="VYV40" s="344"/>
      <c r="VYW40" s="344"/>
      <c r="VYX40" s="344"/>
      <c r="VYY40" s="344"/>
      <c r="VYZ40" s="344"/>
      <c r="VZA40" s="344"/>
      <c r="VZB40" s="344"/>
      <c r="VZC40" s="344"/>
      <c r="VZD40" s="344"/>
      <c r="VZE40" s="344"/>
      <c r="VZF40" s="344"/>
      <c r="VZG40" s="344"/>
      <c r="VZH40" s="344"/>
      <c r="VZI40" s="344"/>
      <c r="VZJ40" s="344"/>
      <c r="VZK40" s="344"/>
      <c r="VZL40" s="344"/>
      <c r="VZM40" s="344"/>
      <c r="VZN40" s="344"/>
      <c r="VZO40" s="344"/>
      <c r="VZP40" s="344"/>
      <c r="VZQ40" s="344"/>
      <c r="VZR40" s="344"/>
      <c r="VZS40" s="344"/>
      <c r="VZT40" s="344"/>
      <c r="VZU40" s="344"/>
      <c r="VZV40" s="344"/>
      <c r="VZW40" s="344"/>
      <c r="VZX40" s="344"/>
      <c r="VZY40" s="344"/>
      <c r="VZZ40" s="344"/>
      <c r="WAA40" s="344"/>
      <c r="WAB40" s="344"/>
      <c r="WAC40" s="344"/>
      <c r="WAD40" s="344"/>
      <c r="WAE40" s="344"/>
      <c r="WAF40" s="344"/>
      <c r="WAG40" s="344"/>
      <c r="WAH40" s="344"/>
      <c r="WAI40" s="344"/>
      <c r="WAJ40" s="344"/>
      <c r="WAK40" s="344"/>
      <c r="WAL40" s="344"/>
      <c r="WAM40" s="344"/>
      <c r="WAN40" s="344"/>
      <c r="WAO40" s="344"/>
      <c r="WAP40" s="344"/>
      <c r="WAQ40" s="344"/>
      <c r="WAR40" s="344"/>
      <c r="WAS40" s="344"/>
      <c r="WAT40" s="344"/>
      <c r="WAU40" s="344"/>
      <c r="WAV40" s="344"/>
      <c r="WAW40" s="344"/>
      <c r="WAX40" s="344"/>
      <c r="WAY40" s="344"/>
      <c r="WAZ40" s="344"/>
      <c r="WBA40" s="344"/>
      <c r="WBB40" s="344"/>
      <c r="WBC40" s="344"/>
      <c r="WBD40" s="344"/>
      <c r="WBE40" s="344"/>
      <c r="WBF40" s="344"/>
      <c r="WBG40" s="344"/>
      <c r="WBH40" s="344"/>
      <c r="WBI40" s="344"/>
      <c r="WBJ40" s="344"/>
      <c r="WBK40" s="344"/>
      <c r="WBL40" s="344"/>
      <c r="WBM40" s="344"/>
      <c r="WBN40" s="344"/>
      <c r="WBO40" s="344"/>
      <c r="WBP40" s="344"/>
      <c r="WBQ40" s="344"/>
      <c r="WBR40" s="344"/>
      <c r="WBS40" s="344"/>
      <c r="WBT40" s="344"/>
      <c r="WBU40" s="344"/>
      <c r="WBV40" s="344"/>
      <c r="WBW40" s="344"/>
      <c r="WBX40" s="344"/>
      <c r="WBY40" s="344"/>
      <c r="WBZ40" s="344"/>
      <c r="WCA40" s="344"/>
      <c r="WCB40" s="344"/>
      <c r="WCC40" s="344"/>
      <c r="WCD40" s="344"/>
      <c r="WCE40" s="344"/>
      <c r="WCF40" s="344"/>
      <c r="WCG40" s="344"/>
      <c r="WCH40" s="344"/>
      <c r="WCI40" s="344"/>
      <c r="WCJ40" s="344"/>
      <c r="WCK40" s="344"/>
      <c r="WCL40" s="344"/>
      <c r="WCM40" s="344"/>
      <c r="WCN40" s="344"/>
      <c r="WCO40" s="344"/>
      <c r="WCP40" s="344"/>
      <c r="WCQ40" s="344"/>
      <c r="WCR40" s="344"/>
      <c r="WCS40" s="344"/>
      <c r="WCT40" s="344"/>
      <c r="WCU40" s="344"/>
      <c r="WCV40" s="344"/>
      <c r="WCW40" s="344"/>
      <c r="WCX40" s="344"/>
      <c r="WCY40" s="344"/>
      <c r="WCZ40" s="344"/>
      <c r="WDA40" s="344"/>
      <c r="WDB40" s="344"/>
      <c r="WDC40" s="344"/>
      <c r="WDD40" s="344"/>
      <c r="WDE40" s="344"/>
      <c r="WDF40" s="344"/>
      <c r="WDG40" s="344"/>
      <c r="WDH40" s="344"/>
      <c r="WDI40" s="344"/>
      <c r="WDJ40" s="344"/>
      <c r="WDK40" s="344"/>
      <c r="WDL40" s="344"/>
      <c r="WDM40" s="344"/>
      <c r="WDN40" s="344"/>
      <c r="WDO40" s="344"/>
      <c r="WDP40" s="344"/>
      <c r="WDQ40" s="344"/>
      <c r="WDR40" s="344"/>
      <c r="WDS40" s="344"/>
      <c r="WDT40" s="344"/>
      <c r="WDU40" s="344"/>
      <c r="WDV40" s="344"/>
      <c r="WDW40" s="344"/>
      <c r="WDX40" s="344"/>
      <c r="WDY40" s="344"/>
      <c r="WDZ40" s="344"/>
      <c r="WEA40" s="344"/>
      <c r="WEB40" s="344"/>
      <c r="WEC40" s="344"/>
      <c r="WED40" s="344"/>
      <c r="WEE40" s="344"/>
      <c r="WEF40" s="344"/>
      <c r="WEG40" s="344"/>
      <c r="WEH40" s="344"/>
      <c r="WEI40" s="344"/>
      <c r="WEJ40" s="344"/>
      <c r="WEK40" s="344"/>
      <c r="WEL40" s="344"/>
      <c r="WEM40" s="344"/>
      <c r="WEN40" s="344"/>
      <c r="WEO40" s="344"/>
      <c r="WEP40" s="344"/>
      <c r="WEQ40" s="344"/>
      <c r="WER40" s="344"/>
      <c r="WES40" s="344"/>
      <c r="WET40" s="344"/>
      <c r="WEU40" s="344"/>
      <c r="WEV40" s="344"/>
      <c r="WEW40" s="344"/>
      <c r="WEX40" s="344"/>
      <c r="WEY40" s="344"/>
      <c r="WEZ40" s="344"/>
      <c r="WFA40" s="344"/>
      <c r="WFB40" s="344"/>
      <c r="WFC40" s="344"/>
      <c r="WFD40" s="344"/>
      <c r="WFE40" s="344"/>
      <c r="WFF40" s="344"/>
      <c r="WFG40" s="344"/>
      <c r="WFH40" s="344"/>
      <c r="WFI40" s="344"/>
      <c r="WFJ40" s="344"/>
      <c r="WFK40" s="344"/>
      <c r="WFL40" s="344"/>
      <c r="WFM40" s="344"/>
      <c r="WFN40" s="344"/>
      <c r="WFO40" s="344"/>
      <c r="WFP40" s="344"/>
      <c r="WFQ40" s="344"/>
      <c r="WFR40" s="344"/>
      <c r="WFS40" s="344"/>
      <c r="WFT40" s="344"/>
      <c r="WFU40" s="344"/>
      <c r="WFV40" s="344"/>
      <c r="WFW40" s="344"/>
      <c r="WFX40" s="344"/>
      <c r="WFY40" s="344"/>
      <c r="WFZ40" s="344"/>
      <c r="WGA40" s="344"/>
      <c r="WGB40" s="344"/>
      <c r="WGC40" s="344"/>
      <c r="WGD40" s="344"/>
      <c r="WGE40" s="344"/>
      <c r="WGF40" s="344"/>
      <c r="WGG40" s="344"/>
      <c r="WGH40" s="344"/>
      <c r="WGI40" s="344"/>
      <c r="WGJ40" s="344"/>
      <c r="WGK40" s="344"/>
      <c r="WGL40" s="344"/>
      <c r="WGM40" s="344"/>
      <c r="WGN40" s="344"/>
      <c r="WGO40" s="344"/>
      <c r="WGP40" s="344"/>
      <c r="WGQ40" s="344"/>
      <c r="WGR40" s="344"/>
      <c r="WGS40" s="344"/>
      <c r="WGT40" s="344"/>
      <c r="WGU40" s="344"/>
      <c r="WGV40" s="344"/>
      <c r="WGW40" s="344"/>
      <c r="WGX40" s="344"/>
      <c r="WGY40" s="344"/>
      <c r="WGZ40" s="344"/>
      <c r="WHA40" s="344"/>
      <c r="WHB40" s="344"/>
      <c r="WHC40" s="344"/>
      <c r="WHD40" s="344"/>
      <c r="WHE40" s="344"/>
      <c r="WHF40" s="344"/>
      <c r="WHG40" s="344"/>
      <c r="WHH40" s="344"/>
      <c r="WHI40" s="344"/>
      <c r="WHJ40" s="344"/>
      <c r="WHK40" s="344"/>
      <c r="WHL40" s="344"/>
      <c r="WHM40" s="344"/>
      <c r="WHN40" s="344"/>
      <c r="WHO40" s="344"/>
      <c r="WHP40" s="344"/>
      <c r="WHQ40" s="344"/>
      <c r="WHR40" s="344"/>
      <c r="WHS40" s="344"/>
      <c r="WHT40" s="344"/>
      <c r="WHU40" s="344"/>
      <c r="WHV40" s="344"/>
      <c r="WHW40" s="344"/>
      <c r="WHX40" s="344"/>
      <c r="WHY40" s="344"/>
      <c r="WHZ40" s="344"/>
      <c r="WIA40" s="344"/>
      <c r="WIB40" s="344"/>
      <c r="WIC40" s="344"/>
      <c r="WID40" s="344"/>
      <c r="WIE40" s="344"/>
      <c r="WIF40" s="344"/>
      <c r="WIG40" s="344"/>
      <c r="WIH40" s="344"/>
      <c r="WII40" s="344"/>
      <c r="WIJ40" s="344"/>
      <c r="WIK40" s="344"/>
      <c r="WIL40" s="344"/>
      <c r="WIM40" s="344"/>
      <c r="WIN40" s="344"/>
      <c r="WIO40" s="344"/>
      <c r="WIP40" s="344"/>
      <c r="WIQ40" s="344"/>
      <c r="WIR40" s="344"/>
      <c r="WIS40" s="344"/>
      <c r="WIT40" s="344"/>
      <c r="WIU40" s="344"/>
      <c r="WIV40" s="344"/>
      <c r="WIW40" s="344"/>
      <c r="WIX40" s="344"/>
      <c r="WIY40" s="344"/>
      <c r="WIZ40" s="344"/>
      <c r="WJA40" s="344"/>
      <c r="WJB40" s="344"/>
      <c r="WJC40" s="344"/>
      <c r="WJD40" s="344"/>
      <c r="WJE40" s="344"/>
      <c r="WJF40" s="344"/>
      <c r="WJG40" s="344"/>
      <c r="WJH40" s="344"/>
      <c r="WJI40" s="344"/>
      <c r="WJJ40" s="344"/>
      <c r="WJK40" s="344"/>
      <c r="WJL40" s="344"/>
      <c r="WJM40" s="344"/>
      <c r="WJN40" s="344"/>
      <c r="WJO40" s="344"/>
      <c r="WJP40" s="344"/>
      <c r="WJQ40" s="344"/>
      <c r="WJR40" s="344"/>
      <c r="WJS40" s="344"/>
      <c r="WJT40" s="344"/>
      <c r="WJU40" s="344"/>
      <c r="WJV40" s="344"/>
      <c r="WJW40" s="344"/>
      <c r="WJX40" s="344"/>
      <c r="WJY40" s="344"/>
      <c r="WJZ40" s="344"/>
      <c r="WKA40" s="344"/>
      <c r="WKB40" s="344"/>
      <c r="WKC40" s="344"/>
      <c r="WKD40" s="344"/>
      <c r="WKE40" s="344"/>
      <c r="WKF40" s="344"/>
      <c r="WKG40" s="344"/>
      <c r="WKH40" s="344"/>
      <c r="WKI40" s="344"/>
      <c r="WKJ40" s="344"/>
      <c r="WKK40" s="344"/>
      <c r="WKL40" s="344"/>
      <c r="WKM40" s="344"/>
      <c r="WKN40" s="344"/>
      <c r="WKO40" s="344"/>
      <c r="WKP40" s="344"/>
      <c r="WKQ40" s="344"/>
      <c r="WKR40" s="344"/>
      <c r="WKS40" s="344"/>
      <c r="WKT40" s="344"/>
      <c r="WKU40" s="344"/>
      <c r="WKV40" s="344"/>
      <c r="WKW40" s="344"/>
      <c r="WKX40" s="344"/>
      <c r="WKY40" s="344"/>
      <c r="WKZ40" s="344"/>
      <c r="WLA40" s="344"/>
      <c r="WLB40" s="344"/>
      <c r="WLC40" s="344"/>
      <c r="WLD40" s="344"/>
      <c r="WLE40" s="344"/>
      <c r="WLF40" s="344"/>
      <c r="WLG40" s="344"/>
      <c r="WLH40" s="344"/>
      <c r="WLI40" s="344"/>
      <c r="WLJ40" s="344"/>
      <c r="WLK40" s="344"/>
      <c r="WLL40" s="344"/>
      <c r="WLM40" s="344"/>
      <c r="WLN40" s="344"/>
      <c r="WLO40" s="344"/>
      <c r="WLP40" s="344"/>
      <c r="WLQ40" s="344"/>
      <c r="WLR40" s="344"/>
      <c r="WLS40" s="344"/>
      <c r="WLT40" s="344"/>
      <c r="WLU40" s="344"/>
      <c r="WLV40" s="344"/>
      <c r="WLW40" s="344"/>
      <c r="WLX40" s="344"/>
      <c r="WLY40" s="344"/>
      <c r="WLZ40" s="344"/>
      <c r="WMA40" s="344"/>
      <c r="WMB40" s="344"/>
      <c r="WMC40" s="344"/>
      <c r="WMD40" s="344"/>
      <c r="WME40" s="344"/>
      <c r="WMF40" s="344"/>
      <c r="WMG40" s="344"/>
      <c r="WMH40" s="344"/>
      <c r="WMI40" s="344"/>
      <c r="WMJ40" s="344"/>
      <c r="WMK40" s="344"/>
      <c r="WML40" s="344"/>
      <c r="WMM40" s="344"/>
      <c r="WMN40" s="344"/>
      <c r="WMO40" s="344"/>
      <c r="WMP40" s="344"/>
      <c r="WMQ40" s="344"/>
      <c r="WMR40" s="344"/>
      <c r="WMS40" s="344"/>
      <c r="WMT40" s="344"/>
      <c r="WMU40" s="344"/>
      <c r="WMV40" s="344"/>
      <c r="WMW40" s="344"/>
      <c r="WMX40" s="344"/>
      <c r="WMY40" s="344"/>
      <c r="WMZ40" s="344"/>
      <c r="WNA40" s="344"/>
      <c r="WNB40" s="344"/>
      <c r="WNC40" s="344"/>
      <c r="WND40" s="344"/>
      <c r="WNE40" s="344"/>
      <c r="WNF40" s="344"/>
      <c r="WNG40" s="344"/>
      <c r="WNH40" s="344"/>
      <c r="WNI40" s="344"/>
      <c r="WNJ40" s="344"/>
      <c r="WNK40" s="344"/>
      <c r="WNL40" s="344"/>
      <c r="WNM40" s="344"/>
      <c r="WNN40" s="344"/>
      <c r="WNO40" s="344"/>
      <c r="WNP40" s="344"/>
      <c r="WNQ40" s="344"/>
      <c r="WNR40" s="344"/>
      <c r="WNS40" s="344"/>
      <c r="WNT40" s="344"/>
      <c r="WNU40" s="344"/>
      <c r="WNV40" s="344"/>
      <c r="WNW40" s="344"/>
      <c r="WNX40" s="344"/>
      <c r="WNY40" s="344"/>
      <c r="WNZ40" s="344"/>
      <c r="WOA40" s="344"/>
      <c r="WOB40" s="344"/>
      <c r="WOC40" s="344"/>
      <c r="WOD40" s="344"/>
      <c r="WOE40" s="344"/>
      <c r="WOF40" s="344"/>
      <c r="WOG40" s="344"/>
      <c r="WOH40" s="344"/>
      <c r="WOI40" s="344"/>
      <c r="WOJ40" s="344"/>
      <c r="WOK40" s="344"/>
      <c r="WOL40" s="344"/>
      <c r="WOM40" s="344"/>
      <c r="WON40" s="344"/>
      <c r="WOO40" s="344"/>
      <c r="WOP40" s="344"/>
      <c r="WOQ40" s="344"/>
      <c r="WOR40" s="344"/>
      <c r="WOS40" s="344"/>
      <c r="WOT40" s="344"/>
      <c r="WOU40" s="344"/>
      <c r="WOV40" s="344"/>
      <c r="WOW40" s="344"/>
      <c r="WOX40" s="344"/>
      <c r="WOY40" s="344"/>
      <c r="WOZ40" s="344"/>
      <c r="WPA40" s="344"/>
      <c r="WPB40" s="344"/>
      <c r="WPC40" s="344"/>
      <c r="WPD40" s="344"/>
      <c r="WPE40" s="344"/>
      <c r="WPF40" s="344"/>
      <c r="WPG40" s="344"/>
      <c r="WPH40" s="344"/>
      <c r="WPI40" s="344"/>
      <c r="WPJ40" s="344"/>
      <c r="WPK40" s="344"/>
      <c r="WPL40" s="344"/>
      <c r="WPM40" s="344"/>
      <c r="WPN40" s="344"/>
      <c r="WPO40" s="344"/>
      <c r="WPP40" s="344"/>
      <c r="WPQ40" s="344"/>
      <c r="WPR40" s="344"/>
      <c r="WPS40" s="344"/>
      <c r="WPT40" s="344"/>
      <c r="WPU40" s="344"/>
      <c r="WPV40" s="344"/>
      <c r="WPW40" s="344"/>
      <c r="WPX40" s="344"/>
      <c r="WPY40" s="344"/>
      <c r="WPZ40" s="344"/>
      <c r="WQA40" s="344"/>
      <c r="WQB40" s="344"/>
      <c r="WQC40" s="344"/>
      <c r="WQD40" s="344"/>
      <c r="WQE40" s="344"/>
      <c r="WQF40" s="344"/>
      <c r="WQG40" s="344"/>
      <c r="WQH40" s="344"/>
      <c r="WQI40" s="344"/>
      <c r="WQJ40" s="344"/>
      <c r="WQK40" s="344"/>
      <c r="WQL40" s="344"/>
      <c r="WQM40" s="344"/>
      <c r="WQN40" s="344"/>
      <c r="WQO40" s="344"/>
      <c r="WQP40" s="344"/>
      <c r="WQQ40" s="344"/>
      <c r="WQR40" s="344"/>
      <c r="WQS40" s="344"/>
      <c r="WQT40" s="344"/>
      <c r="WQU40" s="344"/>
      <c r="WQV40" s="344"/>
      <c r="WQW40" s="344"/>
      <c r="WQX40" s="344"/>
      <c r="WQY40" s="344"/>
      <c r="WQZ40" s="344"/>
      <c r="WRA40" s="344"/>
      <c r="WRB40" s="344"/>
      <c r="WRC40" s="344"/>
      <c r="WRD40" s="344"/>
      <c r="WRE40" s="344"/>
      <c r="WRF40" s="344"/>
      <c r="WRG40" s="344"/>
      <c r="WRH40" s="344"/>
      <c r="WRI40" s="344"/>
      <c r="WRJ40" s="344"/>
      <c r="WRK40" s="344"/>
      <c r="WRL40" s="344"/>
      <c r="WRM40" s="344"/>
      <c r="WRN40" s="344"/>
      <c r="WRO40" s="344"/>
      <c r="WRP40" s="344"/>
      <c r="WRQ40" s="344"/>
      <c r="WRR40" s="344"/>
      <c r="WRS40" s="344"/>
      <c r="WRT40" s="344"/>
      <c r="WRU40" s="344"/>
      <c r="WRV40" s="344"/>
      <c r="WRW40" s="344"/>
      <c r="WRX40" s="344"/>
      <c r="WRY40" s="344"/>
      <c r="WRZ40" s="344"/>
      <c r="WSA40" s="344"/>
      <c r="WSB40" s="344"/>
      <c r="WSC40" s="344"/>
      <c r="WSD40" s="344"/>
      <c r="WSE40" s="344"/>
      <c r="WSF40" s="344"/>
      <c r="WSG40" s="344"/>
      <c r="WSH40" s="344"/>
      <c r="WSI40" s="344"/>
      <c r="WSJ40" s="344"/>
      <c r="WSK40" s="344"/>
      <c r="WSL40" s="344"/>
      <c r="WSM40" s="344"/>
      <c r="WSN40" s="344"/>
      <c r="WSO40" s="344"/>
      <c r="WSP40" s="344"/>
      <c r="WSQ40" s="344"/>
      <c r="WSR40" s="344"/>
      <c r="WSS40" s="344"/>
      <c r="WST40" s="344"/>
      <c r="WSU40" s="344"/>
      <c r="WSV40" s="344"/>
      <c r="WSW40" s="344"/>
      <c r="WSX40" s="344"/>
      <c r="WSY40" s="344"/>
      <c r="WSZ40" s="344"/>
      <c r="WTA40" s="344"/>
      <c r="WTB40" s="344"/>
      <c r="WTC40" s="344"/>
      <c r="WTD40" s="344"/>
      <c r="WTE40" s="344"/>
      <c r="WTF40" s="344"/>
      <c r="WTG40" s="344"/>
      <c r="WTH40" s="344"/>
      <c r="WTI40" s="344"/>
      <c r="WTJ40" s="344"/>
      <c r="WTK40" s="344"/>
      <c r="WTL40" s="344"/>
      <c r="WTM40" s="344"/>
      <c r="WTN40" s="344"/>
      <c r="WTO40" s="344"/>
      <c r="WTP40" s="344"/>
      <c r="WTQ40" s="344"/>
      <c r="WTR40" s="344"/>
      <c r="WTS40" s="344"/>
      <c r="WTT40" s="344"/>
      <c r="WTU40" s="344"/>
      <c r="WTV40" s="344"/>
      <c r="WTW40" s="344"/>
      <c r="WTX40" s="344"/>
      <c r="WTY40" s="344"/>
      <c r="WTZ40" s="344"/>
      <c r="WUA40" s="344"/>
      <c r="WUB40" s="344"/>
      <c r="WUC40" s="344"/>
      <c r="WUD40" s="344"/>
      <c r="WUE40" s="344"/>
      <c r="WUF40" s="344"/>
      <c r="WUG40" s="344"/>
      <c r="WUH40" s="344"/>
      <c r="WUI40" s="344"/>
      <c r="WUJ40" s="344"/>
      <c r="WUK40" s="344"/>
      <c r="WUL40" s="344"/>
      <c r="WUM40" s="344"/>
      <c r="WUN40" s="344"/>
      <c r="WUO40" s="344"/>
      <c r="WUP40" s="344"/>
      <c r="WUQ40" s="344"/>
      <c r="WUR40" s="344"/>
      <c r="WUS40" s="344"/>
      <c r="WUT40" s="344"/>
      <c r="WUU40" s="344"/>
      <c r="WUV40" s="344"/>
      <c r="WUW40" s="344"/>
      <c r="WUX40" s="344"/>
      <c r="WUY40" s="344"/>
      <c r="WUZ40" s="344"/>
      <c r="WVA40" s="344"/>
      <c r="WVB40" s="344"/>
      <c r="WVC40" s="344"/>
      <c r="WVD40" s="344"/>
      <c r="WVE40" s="344"/>
      <c r="WVF40" s="344"/>
      <c r="WVG40" s="344"/>
      <c r="WVH40" s="344"/>
      <c r="WVI40" s="344"/>
      <c r="WVJ40" s="344"/>
      <c r="WVK40" s="344"/>
      <c r="WVL40" s="344"/>
      <c r="WVM40" s="344"/>
      <c r="WVN40" s="344"/>
      <c r="WVO40" s="344"/>
      <c r="WVP40" s="344"/>
      <c r="WVQ40" s="344"/>
      <c r="WVR40" s="344"/>
      <c r="WVS40" s="344"/>
      <c r="WVT40" s="344"/>
      <c r="WVU40" s="344"/>
      <c r="WVV40" s="344"/>
      <c r="WVW40" s="344"/>
      <c r="WVX40" s="344"/>
      <c r="WVY40" s="344"/>
      <c r="WVZ40" s="344"/>
      <c r="WWA40" s="344"/>
      <c r="WWB40" s="344"/>
      <c r="WWC40" s="344"/>
      <c r="WWD40" s="344"/>
      <c r="WWE40" s="344"/>
      <c r="WWF40" s="344"/>
      <c r="WWG40" s="344"/>
      <c r="WWH40" s="344"/>
      <c r="WWI40" s="344"/>
      <c r="WWJ40" s="344"/>
      <c r="WWK40" s="344"/>
      <c r="WWL40" s="344"/>
      <c r="WWM40" s="344"/>
      <c r="WWN40" s="344"/>
      <c r="WWO40" s="344"/>
      <c r="WWP40" s="344"/>
      <c r="WWQ40" s="344"/>
      <c r="WWR40" s="344"/>
      <c r="WWS40" s="344"/>
      <c r="WWT40" s="344"/>
      <c r="WWU40" s="344"/>
      <c r="WWV40" s="344"/>
      <c r="WWW40" s="344"/>
      <c r="WWX40" s="344"/>
      <c r="WWY40" s="344"/>
      <c r="WWZ40" s="344"/>
      <c r="WXA40" s="344"/>
      <c r="WXB40" s="344"/>
      <c r="WXC40" s="344"/>
      <c r="WXD40" s="344"/>
      <c r="WXE40" s="344"/>
      <c r="WXF40" s="344"/>
      <c r="WXG40" s="344"/>
      <c r="WXH40" s="344"/>
      <c r="WXI40" s="344"/>
      <c r="WXJ40" s="344"/>
      <c r="WXK40" s="344"/>
      <c r="WXL40" s="344"/>
      <c r="WXM40" s="344"/>
      <c r="WXN40" s="344"/>
      <c r="WXO40" s="344"/>
      <c r="WXP40" s="344"/>
      <c r="WXQ40" s="344"/>
      <c r="WXR40" s="344"/>
      <c r="WXS40" s="344"/>
      <c r="WXT40" s="344"/>
      <c r="WXU40" s="344"/>
      <c r="WXV40" s="344"/>
      <c r="WXW40" s="344"/>
      <c r="WXX40" s="344"/>
      <c r="WXY40" s="344"/>
      <c r="WXZ40" s="344"/>
      <c r="WYA40" s="344"/>
      <c r="WYB40" s="344"/>
      <c r="WYC40" s="344"/>
      <c r="WYD40" s="344"/>
      <c r="WYE40" s="344"/>
      <c r="WYF40" s="344"/>
      <c r="WYG40" s="344"/>
      <c r="WYH40" s="344"/>
      <c r="WYI40" s="344"/>
      <c r="WYJ40" s="344"/>
      <c r="WYK40" s="344"/>
      <c r="WYL40" s="344"/>
      <c r="WYM40" s="344"/>
      <c r="WYN40" s="344"/>
      <c r="WYO40" s="344"/>
      <c r="WYP40" s="344"/>
      <c r="WYQ40" s="344"/>
      <c r="WYR40" s="344"/>
      <c r="WYS40" s="344"/>
      <c r="WYT40" s="344"/>
      <c r="WYU40" s="344"/>
      <c r="WYV40" s="344"/>
      <c r="WYW40" s="344"/>
      <c r="WYX40" s="344"/>
      <c r="WYY40" s="344"/>
      <c r="WYZ40" s="344"/>
      <c r="WZA40" s="344"/>
      <c r="WZB40" s="344"/>
      <c r="WZC40" s="344"/>
      <c r="WZD40" s="344"/>
      <c r="WZE40" s="344"/>
      <c r="WZF40" s="344"/>
      <c r="WZG40" s="344"/>
      <c r="WZH40" s="344"/>
      <c r="WZI40" s="344"/>
      <c r="WZJ40" s="344"/>
      <c r="WZK40" s="344"/>
      <c r="WZL40" s="344"/>
      <c r="WZM40" s="344"/>
      <c r="WZN40" s="344"/>
      <c r="WZO40" s="344"/>
      <c r="WZP40" s="344"/>
      <c r="WZQ40" s="344"/>
      <c r="WZR40" s="344"/>
      <c r="WZS40" s="344"/>
      <c r="WZT40" s="344"/>
      <c r="WZU40" s="344"/>
      <c r="WZV40" s="344"/>
      <c r="WZW40" s="344"/>
      <c r="WZX40" s="344"/>
      <c r="WZY40" s="344"/>
      <c r="WZZ40" s="344"/>
      <c r="XAA40" s="344"/>
      <c r="XAB40" s="344"/>
      <c r="XAC40" s="344"/>
      <c r="XAD40" s="344"/>
      <c r="XAE40" s="344"/>
      <c r="XAF40" s="344"/>
      <c r="XAG40" s="344"/>
      <c r="XAH40" s="344"/>
      <c r="XAI40" s="344"/>
      <c r="XAJ40" s="344"/>
      <c r="XAK40" s="344"/>
      <c r="XAL40" s="344"/>
      <c r="XAM40" s="344"/>
      <c r="XAN40" s="344"/>
      <c r="XAO40" s="344"/>
      <c r="XAP40" s="344"/>
      <c r="XAQ40" s="344"/>
      <c r="XAR40" s="344"/>
      <c r="XAS40" s="344"/>
      <c r="XAT40" s="344"/>
      <c r="XAU40" s="344"/>
      <c r="XAV40" s="344"/>
      <c r="XAW40" s="344"/>
      <c r="XAX40" s="344"/>
      <c r="XAY40" s="344"/>
      <c r="XAZ40" s="344"/>
      <c r="XBA40" s="344"/>
      <c r="XBB40" s="344"/>
      <c r="XBC40" s="344"/>
      <c r="XBD40" s="344"/>
      <c r="XBE40" s="344"/>
      <c r="XBF40" s="344"/>
      <c r="XBG40" s="344"/>
      <c r="XBH40" s="344"/>
      <c r="XBI40" s="344"/>
      <c r="XBJ40" s="344"/>
      <c r="XBK40" s="344"/>
      <c r="XBL40" s="344"/>
      <c r="XBM40" s="344"/>
      <c r="XBN40" s="344"/>
      <c r="XBO40" s="344"/>
      <c r="XBP40" s="344"/>
      <c r="XBQ40" s="344"/>
      <c r="XBR40" s="344"/>
      <c r="XBS40" s="344"/>
      <c r="XBT40" s="344"/>
      <c r="XBU40" s="344"/>
      <c r="XBV40" s="344"/>
      <c r="XBW40" s="344"/>
      <c r="XBX40" s="344"/>
      <c r="XBY40" s="344"/>
      <c r="XBZ40" s="344"/>
      <c r="XCA40" s="344"/>
      <c r="XCB40" s="344"/>
      <c r="XCC40" s="344"/>
      <c r="XCD40" s="344"/>
      <c r="XCE40" s="344"/>
      <c r="XCF40" s="344"/>
      <c r="XCG40" s="344"/>
      <c r="XCH40" s="344"/>
      <c r="XCI40" s="344"/>
      <c r="XCJ40" s="344"/>
      <c r="XCK40" s="344"/>
      <c r="XCL40" s="344"/>
      <c r="XCM40" s="344"/>
      <c r="XCN40" s="344"/>
      <c r="XCO40" s="344"/>
      <c r="XCP40" s="344"/>
      <c r="XCQ40" s="344"/>
      <c r="XCR40" s="344"/>
      <c r="XCS40" s="344"/>
      <c r="XCT40" s="344"/>
      <c r="XCU40" s="344"/>
      <c r="XCV40" s="344"/>
      <c r="XCW40" s="344"/>
      <c r="XCX40" s="344"/>
      <c r="XCY40" s="344"/>
      <c r="XCZ40" s="344"/>
      <c r="XDA40" s="344"/>
      <c r="XDB40" s="344"/>
      <c r="XDC40" s="344"/>
      <c r="XDD40" s="344"/>
      <c r="XDE40" s="344"/>
      <c r="XDF40" s="344"/>
      <c r="XDG40" s="344"/>
      <c r="XDH40" s="344"/>
      <c r="XDI40" s="344"/>
      <c r="XDJ40" s="344"/>
      <c r="XDK40" s="344"/>
      <c r="XDL40" s="344"/>
      <c r="XDM40" s="344"/>
      <c r="XDN40" s="344"/>
      <c r="XDO40" s="344"/>
      <c r="XDP40" s="344"/>
      <c r="XDQ40" s="344"/>
      <c r="XDR40" s="344"/>
      <c r="XDS40" s="344"/>
      <c r="XDT40" s="344"/>
      <c r="XDU40" s="344"/>
      <c r="XDV40" s="344"/>
      <c r="XDW40" s="344"/>
      <c r="XDX40" s="344"/>
      <c r="XDY40" s="344"/>
      <c r="XDZ40" s="344"/>
      <c r="XEA40" s="344"/>
      <c r="XEB40" s="344"/>
      <c r="XEC40" s="344"/>
      <c r="XED40" s="344"/>
      <c r="XEE40" s="344"/>
      <c r="XEF40" s="344"/>
      <c r="XEG40" s="344"/>
      <c r="XEH40" s="344"/>
      <c r="XEI40" s="344"/>
      <c r="XEJ40" s="344"/>
      <c r="XEK40" s="344"/>
      <c r="XEL40" s="344"/>
      <c r="XEM40" s="344"/>
      <c r="XEN40" s="344"/>
      <c r="XEO40" s="344"/>
      <c r="XEP40" s="344"/>
      <c r="XEQ40" s="344"/>
      <c r="XER40" s="344"/>
      <c r="XES40" s="344"/>
      <c r="XET40" s="344"/>
      <c r="XEU40" s="344"/>
      <c r="XEV40" s="344"/>
      <c r="XEW40" s="344"/>
      <c r="XEX40" s="344"/>
      <c r="XEY40" s="344"/>
      <c r="XEZ40" s="344"/>
      <c r="XFA40" s="344"/>
    </row>
    <row r="41" s="338" customFormat="1" ht="29.25" customHeight="1" spans="1:1024 1025:16381">
      <c r="A41" s="344"/>
      <c r="B41" s="382">
        <v>31</v>
      </c>
      <c r="C41" s="380" t="e">
        <f>_xlfn.XLOOKUP(D41,商品汇总表!$B:$B,商品汇总表!$A:$A,"")</f>
        <v>#N/A</v>
      </c>
      <c r="D41" s="362" t="e" cm="1">
        <f t="array" ref="D41">LOOKUP(1,0/(('5.21出货明细'!AR:AR=$D$52)*('5.21出货明细'!A:A=B41)),'5.21出货明细'!E:E)</f>
        <v>#N/A</v>
      </c>
      <c r="E41" s="358" t="e">
        <f>_xlfn.XLOOKUP(D41,商品汇总表!$B:$B,商品汇总表!$D:$D,"")</f>
        <v>#N/A</v>
      </c>
      <c r="F41" s="363" t="e" cm="1">
        <f t="array" ref="F41">_xlfn.LET(_xlpm.数组,B41&amp;D41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1" s="373"/>
      <c r="H41" s="364"/>
      <c r="I41" s="365"/>
      <c r="J41" s="366"/>
      <c r="K41" s="367"/>
      <c r="L41" s="368"/>
      <c r="M41" s="369" t="s">
        <v>2953</v>
      </c>
      <c r="N41" s="370"/>
      <c r="O41" s="370"/>
      <c r="P41" s="383"/>
      <c r="Q41" s="372"/>
      <c r="R41" s="372"/>
      <c r="S41" s="372"/>
      <c r="T41" s="372"/>
      <c r="U41" s="344"/>
      <c r="V41" s="344"/>
      <c r="W41" s="344"/>
      <c r="X41" s="344"/>
      <c r="Y41" s="344"/>
      <c r="Z41" s="344"/>
      <c r="AA41" s="344"/>
      <c r="AB41" s="344"/>
      <c r="AC41" s="344"/>
      <c r="AD41" s="344"/>
      <c r="AE41" s="344"/>
      <c r="AF41" s="344"/>
      <c r="AG41" s="344"/>
      <c r="AH41" s="344"/>
      <c r="AI41" s="344"/>
      <c r="AJ41" s="344"/>
      <c r="AK41" s="344"/>
      <c r="AL41" s="344"/>
      <c r="AM41" s="344"/>
      <c r="AN41" s="344"/>
      <c r="AO41" s="344"/>
      <c r="AP41" s="344"/>
      <c r="AQ41" s="344"/>
      <c r="AR41" s="344"/>
      <c r="AS41" s="344"/>
      <c r="AT41" s="344"/>
      <c r="AU41" s="344"/>
      <c r="AV41" s="344"/>
      <c r="AW41" s="344"/>
      <c r="AX41" s="344"/>
      <c r="AY41" s="344"/>
      <c r="AZ41" s="344"/>
      <c r="BA41" s="344"/>
      <c r="BB41" s="344"/>
      <c r="BC41" s="344"/>
      <c r="BD41" s="344"/>
      <c r="BE41" s="344"/>
      <c r="BF41" s="344"/>
      <c r="BG41" s="344"/>
      <c r="BH41" s="344"/>
      <c r="BI41" s="344"/>
      <c r="BJ41" s="344"/>
      <c r="BK41" s="344"/>
      <c r="BL41" s="344"/>
      <c r="BM41" s="344"/>
      <c r="BN41" s="344"/>
      <c r="BO41" s="344"/>
      <c r="BP41" s="344"/>
      <c r="BQ41" s="344"/>
      <c r="BR41" s="344"/>
      <c r="BS41" s="344"/>
      <c r="BT41" s="344"/>
      <c r="BU41" s="344"/>
      <c r="BV41" s="344"/>
      <c r="BW41" s="344"/>
      <c r="BX41" s="344"/>
      <c r="BY41" s="344"/>
      <c r="BZ41" s="344"/>
      <c r="CA41" s="344"/>
      <c r="CB41" s="344"/>
      <c r="CC41" s="344"/>
      <c r="CD41" s="344"/>
      <c r="CE41" s="344"/>
      <c r="CF41" s="344"/>
      <c r="CG41" s="344"/>
      <c r="CH41" s="344"/>
      <c r="CI41" s="344"/>
      <c r="CJ41" s="344"/>
      <c r="CK41" s="344"/>
      <c r="CL41" s="344"/>
      <c r="CM41" s="344"/>
      <c r="CN41" s="344"/>
      <c r="CO41" s="344"/>
      <c r="CP41" s="344"/>
      <c r="CQ41" s="344"/>
      <c r="CR41" s="344"/>
      <c r="CS41" s="344"/>
      <c r="CT41" s="344"/>
      <c r="CU41" s="344"/>
      <c r="CV41" s="344"/>
      <c r="CW41" s="344"/>
      <c r="CX41" s="344"/>
      <c r="CY41" s="344"/>
      <c r="CZ41" s="344"/>
      <c r="DA41" s="344"/>
      <c r="DB41" s="344"/>
      <c r="DC41" s="344"/>
      <c r="DD41" s="344"/>
      <c r="DE41" s="344"/>
      <c r="DF41" s="344"/>
      <c r="DG41" s="344"/>
      <c r="DH41" s="344"/>
      <c r="DI41" s="344"/>
      <c r="DJ41" s="344"/>
      <c r="DK41" s="344"/>
      <c r="DL41" s="344"/>
      <c r="DM41" s="344"/>
      <c r="DN41" s="344"/>
      <c r="DO41" s="344"/>
      <c r="DP41" s="344"/>
      <c r="DQ41" s="344"/>
      <c r="DR41" s="344"/>
      <c r="DS41" s="344"/>
      <c r="DT41" s="344"/>
      <c r="DU41" s="344"/>
      <c r="DV41" s="344"/>
      <c r="DW41" s="344"/>
      <c r="DX41" s="344"/>
      <c r="DY41" s="344"/>
      <c r="DZ41" s="344"/>
      <c r="EA41" s="344"/>
      <c r="EB41" s="344"/>
      <c r="EC41" s="344"/>
      <c r="ED41" s="344"/>
      <c r="EE41" s="344"/>
      <c r="EF41" s="344"/>
      <c r="EG41" s="344"/>
      <c r="EH41" s="344"/>
      <c r="EI41" s="344"/>
      <c r="EJ41" s="344"/>
      <c r="EK41" s="344"/>
      <c r="EL41" s="344"/>
      <c r="EM41" s="344"/>
      <c r="EN41" s="344"/>
      <c r="EO41" s="344"/>
      <c r="EP41" s="344"/>
      <c r="EQ41" s="344"/>
      <c r="ER41" s="344"/>
      <c r="ES41" s="344"/>
      <c r="ET41" s="344"/>
      <c r="EU41" s="344"/>
      <c r="EV41" s="344"/>
      <c r="EW41" s="344"/>
      <c r="EX41" s="344"/>
      <c r="EY41" s="344"/>
      <c r="EZ41" s="344"/>
      <c r="FA41" s="344"/>
      <c r="FB41" s="344"/>
      <c r="FC41" s="344"/>
      <c r="FD41" s="344"/>
      <c r="FE41" s="344"/>
      <c r="FF41" s="344"/>
      <c r="FG41" s="344"/>
      <c r="FH41" s="344"/>
      <c r="FI41" s="344"/>
      <c r="FJ41" s="344"/>
      <c r="FK41" s="344"/>
      <c r="FL41" s="344"/>
      <c r="FM41" s="344"/>
      <c r="FN41" s="344"/>
      <c r="FO41" s="344"/>
      <c r="FP41" s="344"/>
      <c r="FQ41" s="344"/>
      <c r="FR41" s="344"/>
      <c r="FS41" s="344"/>
      <c r="FT41" s="344"/>
      <c r="FU41" s="344"/>
      <c r="FV41" s="344"/>
      <c r="FW41" s="344"/>
      <c r="FX41" s="344"/>
      <c r="FY41" s="344"/>
      <c r="FZ41" s="344"/>
      <c r="GA41" s="344"/>
      <c r="GB41" s="344"/>
      <c r="GC41" s="344"/>
      <c r="GD41" s="344"/>
      <c r="GE41" s="344"/>
      <c r="GF41" s="344"/>
      <c r="GG41" s="344"/>
      <c r="GH41" s="344"/>
      <c r="GI41" s="344"/>
      <c r="GJ41" s="344"/>
      <c r="GK41" s="344"/>
      <c r="GL41" s="344"/>
      <c r="GM41" s="344"/>
      <c r="GN41" s="344"/>
      <c r="GO41" s="344"/>
      <c r="GP41" s="344"/>
      <c r="GQ41" s="344"/>
      <c r="GR41" s="344"/>
      <c r="GS41" s="344"/>
      <c r="GT41" s="344"/>
      <c r="GU41" s="344"/>
      <c r="GV41" s="344"/>
      <c r="GW41" s="344"/>
      <c r="GX41" s="344"/>
      <c r="GY41" s="344"/>
      <c r="GZ41" s="344"/>
      <c r="HA41" s="344"/>
      <c r="HB41" s="344"/>
      <c r="HC41" s="344"/>
      <c r="HD41" s="344"/>
      <c r="HE41" s="344"/>
      <c r="HF41" s="344"/>
      <c r="HG41" s="344"/>
      <c r="HH41" s="344"/>
      <c r="HI41" s="344"/>
      <c r="HJ41" s="344"/>
      <c r="HK41" s="344"/>
      <c r="HL41" s="344"/>
      <c r="HM41" s="344"/>
      <c r="HN41" s="344"/>
      <c r="HO41" s="344"/>
      <c r="HP41" s="344"/>
      <c r="HQ41" s="344"/>
      <c r="HR41" s="344"/>
      <c r="HS41" s="344"/>
      <c r="HT41" s="344"/>
      <c r="HU41" s="344"/>
      <c r="HV41" s="344"/>
      <c r="HW41" s="344"/>
      <c r="HX41" s="344"/>
      <c r="HY41" s="344"/>
      <c r="HZ41" s="344"/>
      <c r="IA41" s="344"/>
      <c r="IB41" s="344"/>
      <c r="IC41" s="344"/>
      <c r="ID41" s="344"/>
      <c r="IE41" s="344"/>
      <c r="IF41" s="344"/>
      <c r="IG41" s="344"/>
      <c r="IH41" s="344"/>
      <c r="II41" s="344"/>
      <c r="IJ41" s="344"/>
      <c r="IK41" s="344"/>
      <c r="IL41" s="344"/>
      <c r="IM41" s="344"/>
      <c r="IN41" s="344"/>
      <c r="IO41" s="344"/>
      <c r="IP41" s="344"/>
      <c r="IQ41" s="344"/>
      <c r="IR41" s="344"/>
      <c r="IS41" s="344"/>
      <c r="IT41" s="344"/>
      <c r="IU41" s="344"/>
      <c r="IV41" s="344"/>
      <c r="IW41" s="344"/>
      <c r="IX41" s="344"/>
      <c r="IY41" s="344"/>
      <c r="IZ41" s="344"/>
      <c r="JA41" s="344"/>
      <c r="JB41" s="344"/>
      <c r="JC41" s="344"/>
      <c r="JD41" s="344"/>
      <c r="JE41" s="344"/>
      <c r="JF41" s="344"/>
      <c r="JG41" s="344"/>
      <c r="JH41" s="344"/>
      <c r="JI41" s="344"/>
      <c r="JJ41" s="344"/>
      <c r="JK41" s="344"/>
      <c r="JL41" s="344"/>
      <c r="JM41" s="344"/>
      <c r="JN41" s="344"/>
      <c r="JO41" s="344"/>
      <c r="JP41" s="344"/>
      <c r="JQ41" s="344"/>
      <c r="JR41" s="344"/>
      <c r="JS41" s="344"/>
      <c r="JT41" s="344"/>
      <c r="JU41" s="344"/>
      <c r="JV41" s="344"/>
      <c r="JW41" s="344"/>
      <c r="JX41" s="344"/>
      <c r="JY41" s="344"/>
      <c r="JZ41" s="344"/>
      <c r="KA41" s="344"/>
      <c r="KB41" s="344"/>
      <c r="KC41" s="344"/>
      <c r="KD41" s="344"/>
      <c r="KE41" s="344"/>
      <c r="KF41" s="344"/>
      <c r="KG41" s="344"/>
      <c r="KH41" s="344"/>
      <c r="KI41" s="344"/>
      <c r="KJ41" s="344"/>
      <c r="KK41" s="344"/>
      <c r="KL41" s="344"/>
      <c r="KM41" s="344"/>
      <c r="KN41" s="344"/>
      <c r="KO41" s="344"/>
      <c r="KP41" s="344"/>
      <c r="KQ41" s="344"/>
      <c r="KR41" s="344"/>
      <c r="KS41" s="344"/>
      <c r="KT41" s="344"/>
      <c r="KU41" s="344"/>
      <c r="KV41" s="344"/>
      <c r="KW41" s="344"/>
      <c r="KX41" s="344"/>
      <c r="KY41" s="344"/>
      <c r="KZ41" s="344"/>
      <c r="LA41" s="344"/>
      <c r="LB41" s="344"/>
      <c r="LC41" s="344"/>
      <c r="LD41" s="344"/>
      <c r="LE41" s="344"/>
      <c r="LF41" s="344"/>
      <c r="LG41" s="344"/>
      <c r="LH41" s="344"/>
      <c r="LI41" s="344"/>
      <c r="LJ41" s="344"/>
      <c r="LK41" s="344"/>
      <c r="LL41" s="344"/>
      <c r="LM41" s="344"/>
      <c r="LN41" s="344"/>
      <c r="LO41" s="344"/>
      <c r="LP41" s="344"/>
      <c r="LQ41" s="344"/>
      <c r="LR41" s="344"/>
      <c r="LS41" s="344"/>
      <c r="LT41" s="344"/>
      <c r="LU41" s="344"/>
      <c r="LV41" s="344"/>
      <c r="LW41" s="344"/>
      <c r="LX41" s="344"/>
      <c r="LY41" s="344"/>
      <c r="LZ41" s="344"/>
      <c r="MA41" s="344"/>
      <c r="MB41" s="344"/>
      <c r="MC41" s="344"/>
      <c r="MD41" s="344"/>
      <c r="ME41" s="344"/>
      <c r="MF41" s="344"/>
      <c r="MG41" s="344"/>
      <c r="MH41" s="344"/>
      <c r="MI41" s="344"/>
      <c r="MJ41" s="344"/>
      <c r="MK41" s="344"/>
      <c r="ML41" s="344"/>
      <c r="MM41" s="344"/>
      <c r="MN41" s="344"/>
      <c r="MO41" s="344"/>
      <c r="MP41" s="344"/>
      <c r="MQ41" s="344"/>
      <c r="MR41" s="344"/>
      <c r="MS41" s="344"/>
      <c r="MT41" s="344"/>
      <c r="MU41" s="344"/>
      <c r="MV41" s="344"/>
      <c r="MW41" s="344"/>
      <c r="MX41" s="344"/>
      <c r="MY41" s="344"/>
      <c r="MZ41" s="344"/>
      <c r="NA41" s="344"/>
      <c r="NB41" s="344"/>
      <c r="NC41" s="344"/>
      <c r="ND41" s="344"/>
      <c r="NE41" s="344"/>
      <c r="NF41" s="344"/>
      <c r="NG41" s="344"/>
      <c r="NH41" s="344"/>
      <c r="NI41" s="344"/>
      <c r="NJ41" s="344"/>
      <c r="NK41" s="344"/>
      <c r="NL41" s="344"/>
      <c r="NM41" s="344"/>
      <c r="NN41" s="344"/>
      <c r="NO41" s="344"/>
      <c r="NP41" s="344"/>
      <c r="NQ41" s="344"/>
      <c r="NR41" s="344"/>
      <c r="NS41" s="344"/>
      <c r="NT41" s="344"/>
      <c r="NU41" s="344"/>
      <c r="NV41" s="344"/>
      <c r="NW41" s="344"/>
      <c r="NX41" s="344"/>
      <c r="NY41" s="344"/>
      <c r="NZ41" s="344"/>
      <c r="OA41" s="344"/>
      <c r="OB41" s="344"/>
      <c r="OC41" s="344"/>
      <c r="OD41" s="344"/>
      <c r="OE41" s="344"/>
      <c r="OF41" s="344"/>
      <c r="OG41" s="344"/>
      <c r="OH41" s="344"/>
      <c r="OI41" s="344"/>
      <c r="OJ41" s="344"/>
      <c r="OK41" s="344"/>
      <c r="OL41" s="344"/>
      <c r="OM41" s="344"/>
      <c r="ON41" s="344"/>
      <c r="OO41" s="344"/>
      <c r="OP41" s="344"/>
      <c r="OQ41" s="344"/>
      <c r="OR41" s="344"/>
      <c r="OS41" s="344"/>
      <c r="OT41" s="344"/>
      <c r="OU41" s="344"/>
      <c r="OV41" s="344"/>
      <c r="OW41" s="344"/>
      <c r="OX41" s="344"/>
      <c r="OY41" s="344"/>
      <c r="OZ41" s="344"/>
      <c r="PA41" s="344"/>
      <c r="PB41" s="344"/>
      <c r="PC41" s="344"/>
      <c r="PD41" s="344"/>
      <c r="PE41" s="344"/>
      <c r="PF41" s="344"/>
      <c r="PG41" s="344"/>
      <c r="PH41" s="344"/>
      <c r="PI41" s="344"/>
      <c r="PJ41" s="344"/>
      <c r="PK41" s="344"/>
      <c r="PL41" s="344"/>
      <c r="PM41" s="344"/>
      <c r="PN41" s="344"/>
      <c r="PO41" s="344"/>
      <c r="PP41" s="344"/>
      <c r="PQ41" s="344"/>
      <c r="PR41" s="344"/>
      <c r="PS41" s="344"/>
      <c r="PT41" s="344"/>
      <c r="PU41" s="344"/>
      <c r="PV41" s="344"/>
      <c r="PW41" s="344"/>
      <c r="PX41" s="344"/>
      <c r="PY41" s="344"/>
      <c r="PZ41" s="344"/>
      <c r="QA41" s="344"/>
      <c r="QB41" s="344"/>
      <c r="QC41" s="344"/>
      <c r="QD41" s="344"/>
      <c r="QE41" s="344"/>
      <c r="QF41" s="344"/>
      <c r="QG41" s="344"/>
      <c r="QH41" s="344"/>
      <c r="QI41" s="344"/>
      <c r="QJ41" s="344"/>
      <c r="QK41" s="344"/>
      <c r="QL41" s="344"/>
      <c r="QM41" s="344"/>
      <c r="QN41" s="344"/>
      <c r="QO41" s="344"/>
      <c r="QP41" s="344"/>
      <c r="QQ41" s="344"/>
      <c r="QR41" s="344"/>
      <c r="QS41" s="344"/>
      <c r="QT41" s="344"/>
      <c r="QU41" s="344"/>
      <c r="QV41" s="344"/>
      <c r="QW41" s="344"/>
      <c r="QX41" s="344"/>
      <c r="QY41" s="344"/>
      <c r="QZ41" s="344"/>
      <c r="RA41" s="344"/>
      <c r="RB41" s="344"/>
      <c r="RC41" s="344"/>
      <c r="RD41" s="344"/>
      <c r="RE41" s="344"/>
      <c r="RF41" s="344"/>
      <c r="RG41" s="344"/>
      <c r="RH41" s="344"/>
      <c r="RI41" s="344"/>
      <c r="RJ41" s="344"/>
      <c r="RK41" s="344"/>
      <c r="RL41" s="344"/>
      <c r="RM41" s="344"/>
      <c r="RN41" s="344"/>
      <c r="RO41" s="344"/>
      <c r="RP41" s="344"/>
      <c r="RQ41" s="344"/>
      <c r="RR41" s="344"/>
      <c r="RS41" s="344"/>
      <c r="RT41" s="344"/>
      <c r="RU41" s="344"/>
      <c r="RV41" s="344"/>
      <c r="RW41" s="344"/>
      <c r="RX41" s="344"/>
      <c r="RY41" s="344"/>
      <c r="RZ41" s="344"/>
      <c r="SA41" s="344"/>
      <c r="SB41" s="344"/>
      <c r="SC41" s="344"/>
      <c r="SD41" s="344"/>
      <c r="SE41" s="344"/>
      <c r="SF41" s="344"/>
      <c r="SG41" s="344"/>
      <c r="SH41" s="344"/>
      <c r="SI41" s="344"/>
      <c r="SJ41" s="344"/>
      <c r="SK41" s="344"/>
      <c r="SL41" s="344"/>
      <c r="SM41" s="344"/>
      <c r="SN41" s="344"/>
      <c r="SO41" s="344"/>
      <c r="SP41" s="344"/>
      <c r="SQ41" s="344"/>
      <c r="SR41" s="344"/>
      <c r="SS41" s="344"/>
      <c r="ST41" s="344"/>
      <c r="SU41" s="344"/>
      <c r="SV41" s="344"/>
      <c r="SW41" s="344"/>
      <c r="SX41" s="344"/>
      <c r="SY41" s="344"/>
      <c r="SZ41" s="344"/>
      <c r="TA41" s="344"/>
      <c r="TB41" s="344"/>
      <c r="TC41" s="344"/>
      <c r="TD41" s="344"/>
      <c r="TE41" s="344"/>
      <c r="TF41" s="344"/>
      <c r="TG41" s="344"/>
      <c r="TH41" s="344"/>
      <c r="TI41" s="344"/>
      <c r="TJ41" s="344"/>
      <c r="TK41" s="344"/>
      <c r="TL41" s="344"/>
      <c r="TM41" s="344"/>
      <c r="TN41" s="344"/>
      <c r="TO41" s="344"/>
      <c r="TP41" s="344"/>
      <c r="TQ41" s="344"/>
      <c r="TR41" s="344"/>
      <c r="TS41" s="344"/>
      <c r="TT41" s="344"/>
      <c r="TU41" s="344"/>
      <c r="TV41" s="344"/>
      <c r="TW41" s="344"/>
      <c r="TX41" s="344"/>
      <c r="TY41" s="344"/>
      <c r="TZ41" s="344"/>
      <c r="UA41" s="344"/>
      <c r="UB41" s="344"/>
      <c r="UC41" s="344"/>
      <c r="UD41" s="344"/>
      <c r="UE41" s="344"/>
      <c r="UF41" s="344"/>
      <c r="UG41" s="344"/>
      <c r="UH41" s="344"/>
      <c r="UI41" s="344"/>
      <c r="UJ41" s="344"/>
      <c r="UK41" s="344"/>
      <c r="UL41" s="344"/>
      <c r="UM41" s="344"/>
      <c r="UN41" s="344"/>
      <c r="UO41" s="344"/>
      <c r="UP41" s="344"/>
      <c r="UQ41" s="344"/>
      <c r="UR41" s="344"/>
      <c r="US41" s="344"/>
      <c r="UT41" s="344"/>
      <c r="UU41" s="344"/>
      <c r="UV41" s="344"/>
      <c r="UW41" s="344"/>
      <c r="UX41" s="344"/>
      <c r="UY41" s="344"/>
      <c r="UZ41" s="344"/>
      <c r="VA41" s="344"/>
      <c r="VB41" s="344"/>
      <c r="VC41" s="344"/>
      <c r="VD41" s="344"/>
      <c r="VE41" s="344"/>
      <c r="VF41" s="344"/>
      <c r="VG41" s="344"/>
      <c r="VH41" s="344"/>
      <c r="VI41" s="344"/>
      <c r="VJ41" s="344"/>
      <c r="VK41" s="344"/>
      <c r="VL41" s="344"/>
      <c r="VM41" s="344"/>
      <c r="VN41" s="344"/>
      <c r="VO41" s="344"/>
      <c r="VP41" s="344"/>
      <c r="VQ41" s="344"/>
      <c r="VR41" s="344"/>
      <c r="VS41" s="344"/>
      <c r="VT41" s="344"/>
      <c r="VU41" s="344"/>
      <c r="VV41" s="344"/>
      <c r="VW41" s="344"/>
      <c r="VX41" s="344"/>
      <c r="VY41" s="344"/>
      <c r="VZ41" s="344"/>
      <c r="WA41" s="344"/>
      <c r="WB41" s="344"/>
      <c r="WC41" s="344"/>
      <c r="WD41" s="344"/>
      <c r="WE41" s="344"/>
      <c r="WF41" s="344"/>
      <c r="WG41" s="344"/>
      <c r="WH41" s="344"/>
      <c r="WI41" s="344"/>
      <c r="WJ41" s="344"/>
      <c r="WK41" s="344"/>
      <c r="WL41" s="344"/>
      <c r="WM41" s="344"/>
      <c r="WN41" s="344"/>
      <c r="WO41" s="344"/>
      <c r="WP41" s="344"/>
      <c r="WQ41" s="344"/>
      <c r="WR41" s="344"/>
      <c r="WS41" s="344"/>
      <c r="WT41" s="344"/>
      <c r="WU41" s="344"/>
      <c r="WV41" s="344"/>
      <c r="WW41" s="344"/>
      <c r="WX41" s="344"/>
      <c r="WY41" s="344"/>
      <c r="WZ41" s="344"/>
      <c r="XA41" s="344"/>
      <c r="XB41" s="344"/>
      <c r="XC41" s="344"/>
      <c r="XD41" s="344"/>
      <c r="XE41" s="344"/>
      <c r="XF41" s="344"/>
      <c r="XG41" s="344"/>
      <c r="XH41" s="344"/>
      <c r="XI41" s="344"/>
      <c r="XJ41" s="344"/>
      <c r="XK41" s="344"/>
      <c r="XL41" s="344"/>
      <c r="XM41" s="344"/>
      <c r="XN41" s="344"/>
      <c r="XO41" s="344"/>
      <c r="XP41" s="344"/>
      <c r="XQ41" s="344"/>
      <c r="XR41" s="344"/>
      <c r="XS41" s="344"/>
      <c r="XT41" s="344"/>
      <c r="XU41" s="344"/>
      <c r="XV41" s="344"/>
      <c r="XW41" s="344"/>
      <c r="XX41" s="344"/>
      <c r="XY41" s="344"/>
      <c r="XZ41" s="344"/>
      <c r="YA41" s="344"/>
      <c r="YB41" s="344"/>
      <c r="YC41" s="344"/>
      <c r="YD41" s="344"/>
      <c r="YE41" s="344"/>
      <c r="YF41" s="344"/>
      <c r="YG41" s="344"/>
      <c r="YH41" s="344"/>
      <c r="YI41" s="344"/>
      <c r="YJ41" s="344"/>
      <c r="YK41" s="344"/>
      <c r="YL41" s="344"/>
      <c r="YM41" s="344"/>
      <c r="YN41" s="344"/>
      <c r="YO41" s="344"/>
      <c r="YP41" s="344"/>
      <c r="YQ41" s="344"/>
      <c r="YR41" s="344"/>
      <c r="YS41" s="344"/>
      <c r="YT41" s="344"/>
      <c r="YU41" s="344"/>
      <c r="YV41" s="344"/>
      <c r="YW41" s="344"/>
      <c r="YX41" s="344"/>
      <c r="YY41" s="344"/>
      <c r="YZ41" s="344"/>
      <c r="ZA41" s="344"/>
      <c r="ZB41" s="344"/>
      <c r="ZC41" s="344"/>
      <c r="ZD41" s="344"/>
      <c r="ZE41" s="344"/>
      <c r="ZF41" s="344"/>
      <c r="ZG41" s="344"/>
      <c r="ZH41" s="344"/>
      <c r="ZI41" s="344"/>
      <c r="ZJ41" s="344"/>
      <c r="ZK41" s="344"/>
      <c r="ZL41" s="344"/>
      <c r="ZM41" s="344"/>
      <c r="ZN41" s="344"/>
      <c r="ZO41" s="344"/>
      <c r="ZP41" s="344"/>
      <c r="ZQ41" s="344"/>
      <c r="ZR41" s="344"/>
      <c r="ZS41" s="344"/>
      <c r="ZT41" s="344"/>
      <c r="ZU41" s="344"/>
      <c r="ZV41" s="344"/>
      <c r="ZW41" s="344"/>
      <c r="ZX41" s="344"/>
      <c r="ZY41" s="344"/>
      <c r="ZZ41" s="344"/>
      <c r="AAA41" s="344"/>
      <c r="AAB41" s="344"/>
      <c r="AAC41" s="344"/>
      <c r="AAD41" s="344"/>
      <c r="AAE41" s="344"/>
      <c r="AAF41" s="344"/>
      <c r="AAG41" s="344"/>
      <c r="AAH41" s="344"/>
      <c r="AAI41" s="344"/>
      <c r="AAJ41" s="344"/>
      <c r="AAK41" s="344"/>
      <c r="AAL41" s="344"/>
      <c r="AAM41" s="344"/>
      <c r="AAN41" s="344"/>
      <c r="AAO41" s="344"/>
      <c r="AAP41" s="344"/>
      <c r="AAQ41" s="344"/>
      <c r="AAR41" s="344"/>
      <c r="AAS41" s="344"/>
      <c r="AAT41" s="344"/>
      <c r="AAU41" s="344"/>
      <c r="AAV41" s="344"/>
      <c r="AAW41" s="344"/>
      <c r="AAX41" s="344"/>
      <c r="AAY41" s="344"/>
      <c r="AAZ41" s="344"/>
      <c r="ABA41" s="344"/>
      <c r="ABB41" s="344"/>
      <c r="ABC41" s="344"/>
      <c r="ABD41" s="344"/>
      <c r="ABE41" s="344"/>
      <c r="ABF41" s="344"/>
      <c r="ABG41" s="344"/>
      <c r="ABH41" s="344"/>
      <c r="ABI41" s="344"/>
      <c r="ABJ41" s="344"/>
      <c r="ABK41" s="344"/>
      <c r="ABL41" s="344"/>
      <c r="ABM41" s="344"/>
      <c r="ABN41" s="344"/>
      <c r="ABO41" s="344"/>
      <c r="ABP41" s="344"/>
      <c r="ABQ41" s="344"/>
      <c r="ABR41" s="344"/>
      <c r="ABS41" s="344"/>
      <c r="ABT41" s="344"/>
      <c r="ABU41" s="344"/>
      <c r="ABV41" s="344"/>
      <c r="ABW41" s="344"/>
      <c r="ABX41" s="344"/>
      <c r="ABY41" s="344"/>
      <c r="ABZ41" s="344"/>
      <c r="ACA41" s="344"/>
      <c r="ACB41" s="344"/>
      <c r="ACC41" s="344"/>
      <c r="ACD41" s="344"/>
      <c r="ACE41" s="344"/>
      <c r="ACF41" s="344"/>
      <c r="ACG41" s="344"/>
      <c r="ACH41" s="344"/>
      <c r="ACI41" s="344"/>
      <c r="ACJ41" s="344"/>
      <c r="ACK41" s="344"/>
      <c r="ACL41" s="344"/>
      <c r="ACM41" s="344"/>
      <c r="ACN41" s="344"/>
      <c r="ACO41" s="344"/>
      <c r="ACP41" s="344"/>
      <c r="ACQ41" s="344"/>
      <c r="ACR41" s="344"/>
      <c r="ACS41" s="344"/>
      <c r="ACT41" s="344"/>
      <c r="ACU41" s="344"/>
      <c r="ACV41" s="344"/>
      <c r="ACW41" s="344"/>
      <c r="ACX41" s="344"/>
      <c r="ACY41" s="344"/>
      <c r="ACZ41" s="344"/>
      <c r="ADA41" s="344"/>
      <c r="ADB41" s="344"/>
      <c r="ADC41" s="344"/>
      <c r="ADD41" s="344"/>
      <c r="ADE41" s="344"/>
      <c r="ADF41" s="344"/>
      <c r="ADG41" s="344"/>
      <c r="ADH41" s="344"/>
      <c r="ADI41" s="344"/>
      <c r="ADJ41" s="344"/>
      <c r="ADK41" s="344"/>
      <c r="ADL41" s="344"/>
      <c r="ADM41" s="344"/>
      <c r="ADN41" s="344"/>
      <c r="ADO41" s="344"/>
      <c r="ADP41" s="344"/>
      <c r="ADQ41" s="344"/>
      <c r="ADR41" s="344"/>
      <c r="ADS41" s="344"/>
      <c r="ADT41" s="344"/>
      <c r="ADU41" s="344"/>
      <c r="ADV41" s="344"/>
      <c r="ADW41" s="344"/>
      <c r="ADX41" s="344"/>
      <c r="ADY41" s="344"/>
      <c r="ADZ41" s="344"/>
      <c r="AEA41" s="344"/>
      <c r="AEB41" s="344"/>
      <c r="AEC41" s="344"/>
      <c r="AED41" s="344"/>
      <c r="AEE41" s="344"/>
      <c r="AEF41" s="344"/>
      <c r="AEG41" s="344"/>
      <c r="AEH41" s="344"/>
      <c r="AEI41" s="344"/>
      <c r="AEJ41" s="344"/>
      <c r="AEK41" s="344"/>
      <c r="AEL41" s="344"/>
      <c r="AEM41" s="344"/>
      <c r="AEN41" s="344"/>
      <c r="AEO41" s="344"/>
      <c r="AEP41" s="344"/>
      <c r="AEQ41" s="344"/>
      <c r="AER41" s="344"/>
      <c r="AES41" s="344"/>
      <c r="AET41" s="344"/>
      <c r="AEU41" s="344"/>
      <c r="AEV41" s="344"/>
      <c r="AEW41" s="344"/>
      <c r="AEX41" s="344"/>
      <c r="AEY41" s="344"/>
      <c r="AEZ41" s="344"/>
      <c r="AFA41" s="344"/>
      <c r="AFB41" s="344"/>
      <c r="AFC41" s="344"/>
      <c r="AFD41" s="344"/>
      <c r="AFE41" s="344"/>
      <c r="AFF41" s="344"/>
      <c r="AFG41" s="344"/>
      <c r="AFH41" s="344"/>
      <c r="AFI41" s="344"/>
      <c r="AFJ41" s="344"/>
      <c r="AFK41" s="344"/>
      <c r="AFL41" s="344"/>
      <c r="AFM41" s="344"/>
      <c r="AFN41" s="344"/>
      <c r="AFO41" s="344"/>
      <c r="AFP41" s="344"/>
      <c r="AFQ41" s="344"/>
      <c r="AFR41" s="344"/>
      <c r="AFS41" s="344"/>
      <c r="AFT41" s="344"/>
      <c r="AFU41" s="344"/>
      <c r="AFV41" s="344"/>
      <c r="AFW41" s="344"/>
      <c r="AFX41" s="344"/>
      <c r="AFY41" s="344"/>
      <c r="AFZ41" s="344"/>
      <c r="AGA41" s="344"/>
      <c r="AGB41" s="344"/>
      <c r="AGC41" s="344"/>
      <c r="AGD41" s="344"/>
      <c r="AGE41" s="344"/>
      <c r="AGF41" s="344"/>
      <c r="AGG41" s="344"/>
      <c r="AGH41" s="344"/>
      <c r="AGI41" s="344"/>
      <c r="AGJ41" s="344"/>
      <c r="AGK41" s="344"/>
      <c r="AGL41" s="344"/>
      <c r="AGM41" s="344"/>
      <c r="AGN41" s="344"/>
      <c r="AGO41" s="344"/>
      <c r="AGP41" s="344"/>
      <c r="AGQ41" s="344"/>
      <c r="AGR41" s="344"/>
      <c r="AGS41" s="344"/>
      <c r="AGT41" s="344"/>
      <c r="AGU41" s="344"/>
      <c r="AGV41" s="344"/>
      <c r="AGW41" s="344"/>
      <c r="AGX41" s="344"/>
      <c r="AGY41" s="344"/>
      <c r="AGZ41" s="344"/>
      <c r="AHA41" s="344"/>
      <c r="AHB41" s="344"/>
      <c r="AHC41" s="344"/>
      <c r="AHD41" s="344"/>
      <c r="AHE41" s="344"/>
      <c r="AHF41" s="344"/>
      <c r="AHG41" s="344"/>
      <c r="AHH41" s="344"/>
      <c r="AHI41" s="344"/>
      <c r="AHJ41" s="344"/>
      <c r="AHK41" s="344"/>
      <c r="AHL41" s="344"/>
      <c r="AHM41" s="344"/>
      <c r="AHN41" s="344"/>
      <c r="AHO41" s="344"/>
      <c r="AHP41" s="344"/>
      <c r="AHQ41" s="344"/>
      <c r="AHR41" s="344"/>
      <c r="AHS41" s="344"/>
      <c r="AHT41" s="344"/>
      <c r="AHU41" s="344"/>
      <c r="AHV41" s="344"/>
      <c r="AHW41" s="344"/>
      <c r="AHX41" s="344"/>
      <c r="AHY41" s="344"/>
      <c r="AHZ41" s="344"/>
      <c r="AIA41" s="344"/>
      <c r="AIB41" s="344"/>
      <c r="AIC41" s="344"/>
      <c r="AID41" s="344"/>
      <c r="AIE41" s="344"/>
      <c r="AIF41" s="344"/>
      <c r="AIG41" s="344"/>
      <c r="AIH41" s="344"/>
      <c r="AII41" s="344"/>
      <c r="AIJ41" s="344"/>
      <c r="AIK41" s="344"/>
      <c r="AIL41" s="344"/>
      <c r="AIM41" s="344"/>
      <c r="AIN41" s="344"/>
      <c r="AIO41" s="344"/>
      <c r="AIP41" s="344"/>
      <c r="AIQ41" s="344"/>
      <c r="AIR41" s="344"/>
      <c r="AIS41" s="344"/>
      <c r="AIT41" s="344"/>
      <c r="AIU41" s="344"/>
      <c r="AIV41" s="344"/>
      <c r="AIW41" s="344"/>
      <c r="AIX41" s="344"/>
      <c r="AIY41" s="344"/>
      <c r="AIZ41" s="344"/>
      <c r="AJA41" s="344"/>
      <c r="AJB41" s="344"/>
      <c r="AJC41" s="344"/>
      <c r="AJD41" s="344"/>
      <c r="AJE41" s="344"/>
      <c r="AJF41" s="344"/>
      <c r="AJG41" s="344"/>
      <c r="AJH41" s="344"/>
      <c r="AJI41" s="344"/>
      <c r="AJJ41" s="344"/>
      <c r="AJK41" s="344"/>
      <c r="AJL41" s="344"/>
      <c r="AJM41" s="344"/>
      <c r="AJN41" s="344"/>
      <c r="AJO41" s="344"/>
      <c r="AJP41" s="344"/>
      <c r="AJQ41" s="344"/>
      <c r="AJR41" s="344"/>
      <c r="AJS41" s="344"/>
      <c r="AJT41" s="344"/>
      <c r="AJU41" s="344"/>
      <c r="AJV41" s="344"/>
      <c r="AJW41" s="344"/>
      <c r="AJX41" s="344"/>
      <c r="AJY41" s="344"/>
      <c r="AJZ41" s="344"/>
      <c r="AKA41" s="344"/>
      <c r="AKB41" s="344"/>
      <c r="AKC41" s="344"/>
      <c r="AKD41" s="344"/>
      <c r="AKE41" s="344"/>
      <c r="AKF41" s="344"/>
      <c r="AKG41" s="344"/>
      <c r="AKH41" s="344"/>
      <c r="AKI41" s="344"/>
      <c r="AKJ41" s="344"/>
      <c r="AKK41" s="344"/>
      <c r="AKL41" s="344"/>
      <c r="AKM41" s="344"/>
      <c r="AKN41" s="344"/>
      <c r="AKO41" s="344"/>
      <c r="AKP41" s="344"/>
      <c r="AKQ41" s="344"/>
      <c r="AKR41" s="344"/>
      <c r="AKS41" s="344"/>
      <c r="AKT41" s="344"/>
      <c r="AKU41" s="344"/>
      <c r="AKV41" s="344"/>
      <c r="AKW41" s="344"/>
      <c r="AKX41" s="344"/>
      <c r="AKY41" s="344"/>
      <c r="AKZ41" s="344"/>
      <c r="ALA41" s="344"/>
      <c r="ALB41" s="344"/>
      <c r="ALC41" s="344"/>
      <c r="ALD41" s="344"/>
      <c r="ALE41" s="344"/>
      <c r="ALF41" s="344"/>
      <c r="ALG41" s="344"/>
      <c r="ALH41" s="344"/>
      <c r="ALI41" s="344"/>
      <c r="ALJ41" s="344"/>
      <c r="ALK41" s="344"/>
      <c r="ALL41" s="344"/>
      <c r="ALM41" s="344"/>
      <c r="ALN41" s="344"/>
      <c r="ALO41" s="344"/>
      <c r="ALP41" s="344"/>
      <c r="ALQ41" s="344"/>
      <c r="ALR41" s="344"/>
      <c r="ALS41" s="344"/>
      <c r="ALT41" s="344"/>
      <c r="ALU41" s="344"/>
      <c r="ALV41" s="344"/>
      <c r="ALW41" s="344"/>
      <c r="ALX41" s="344"/>
      <c r="ALY41" s="344"/>
      <c r="ALZ41" s="344"/>
      <c r="AMA41" s="344"/>
      <c r="AMB41" s="344"/>
      <c r="AMC41" s="344"/>
      <c r="AMD41" s="344"/>
      <c r="AME41" s="344"/>
      <c r="AMF41" s="344"/>
      <c r="AMG41" s="344"/>
      <c r="AMH41" s="344"/>
      <c r="AMI41" s="344"/>
      <c r="AMJ41" s="344"/>
      <c r="AMK41" s="344"/>
      <c r="AML41" s="344"/>
      <c r="AMM41" s="344"/>
      <c r="AMN41" s="344"/>
      <c r="AMO41" s="344"/>
      <c r="AMP41" s="344"/>
      <c r="AMQ41" s="344"/>
      <c r="AMR41" s="344"/>
      <c r="AMS41" s="344"/>
      <c r="AMT41" s="344"/>
      <c r="AMU41" s="344"/>
      <c r="AMV41" s="344"/>
      <c r="AMW41" s="344"/>
      <c r="AMX41" s="344"/>
      <c r="AMY41" s="344"/>
      <c r="AMZ41" s="344"/>
      <c r="ANA41" s="344"/>
      <c r="ANB41" s="344"/>
      <c r="ANC41" s="344"/>
      <c r="AND41" s="344"/>
      <c r="ANE41" s="344"/>
      <c r="ANF41" s="344"/>
      <c r="ANG41" s="344"/>
      <c r="ANH41" s="344"/>
      <c r="ANI41" s="344"/>
      <c r="ANJ41" s="344"/>
      <c r="ANK41" s="344"/>
      <c r="ANL41" s="344"/>
      <c r="ANM41" s="344"/>
      <c r="ANN41" s="344"/>
      <c r="ANO41" s="344"/>
      <c r="ANP41" s="344"/>
      <c r="ANQ41" s="344"/>
      <c r="ANR41" s="344"/>
      <c r="ANS41" s="344"/>
      <c r="ANT41" s="344"/>
      <c r="ANU41" s="344"/>
      <c r="ANV41" s="344"/>
      <c r="ANW41" s="344"/>
      <c r="ANX41" s="344"/>
      <c r="ANY41" s="344"/>
      <c r="ANZ41" s="344"/>
      <c r="AOA41" s="344"/>
      <c r="AOB41" s="344"/>
      <c r="AOC41" s="344"/>
      <c r="AOD41" s="344"/>
      <c r="AOE41" s="344"/>
      <c r="AOF41" s="344"/>
      <c r="AOG41" s="344"/>
      <c r="AOH41" s="344"/>
      <c r="AOI41" s="344"/>
      <c r="AOJ41" s="344"/>
      <c r="AOK41" s="344"/>
      <c r="AOL41" s="344"/>
      <c r="AOM41" s="344"/>
      <c r="AON41" s="344"/>
      <c r="AOO41" s="344"/>
      <c r="AOP41" s="344"/>
      <c r="AOQ41" s="344"/>
      <c r="AOR41" s="344"/>
      <c r="AOS41" s="344"/>
      <c r="AOT41" s="344"/>
      <c r="AOU41" s="344"/>
      <c r="AOV41" s="344"/>
      <c r="AOW41" s="344"/>
      <c r="AOX41" s="344"/>
      <c r="AOY41" s="344"/>
      <c r="AOZ41" s="344"/>
      <c r="APA41" s="344"/>
      <c r="APB41" s="344"/>
      <c r="APC41" s="344"/>
      <c r="APD41" s="344"/>
      <c r="APE41" s="344"/>
      <c r="APF41" s="344"/>
      <c r="APG41" s="344"/>
      <c r="APH41" s="344"/>
      <c r="API41" s="344"/>
      <c r="APJ41" s="344"/>
      <c r="APK41" s="344"/>
      <c r="APL41" s="344"/>
      <c r="APM41" s="344"/>
      <c r="APN41" s="344"/>
      <c r="APO41" s="344"/>
      <c r="APP41" s="344"/>
      <c r="APQ41" s="344"/>
      <c r="APR41" s="344"/>
      <c r="APS41" s="344"/>
      <c r="APT41" s="344"/>
      <c r="APU41" s="344"/>
      <c r="APV41" s="344"/>
      <c r="APW41" s="344"/>
      <c r="APX41" s="344"/>
      <c r="APY41" s="344"/>
      <c r="APZ41" s="344"/>
      <c r="AQA41" s="344"/>
      <c r="AQB41" s="344"/>
      <c r="AQC41" s="344"/>
      <c r="AQD41" s="344"/>
      <c r="AQE41" s="344"/>
      <c r="AQF41" s="344"/>
      <c r="AQG41" s="344"/>
      <c r="AQH41" s="344"/>
      <c r="AQI41" s="344"/>
      <c r="AQJ41" s="344"/>
      <c r="AQK41" s="344"/>
      <c r="AQL41" s="344"/>
      <c r="AQM41" s="344"/>
      <c r="AQN41" s="344"/>
      <c r="AQO41" s="344"/>
      <c r="AQP41" s="344"/>
      <c r="AQQ41" s="344"/>
      <c r="AQR41" s="344"/>
      <c r="AQS41" s="344"/>
      <c r="AQT41" s="344"/>
      <c r="AQU41" s="344"/>
      <c r="AQV41" s="344"/>
      <c r="AQW41" s="344"/>
      <c r="AQX41" s="344"/>
      <c r="AQY41" s="344"/>
      <c r="AQZ41" s="344"/>
      <c r="ARA41" s="344"/>
      <c r="ARB41" s="344"/>
      <c r="ARC41" s="344"/>
      <c r="ARD41" s="344"/>
      <c r="ARE41" s="344"/>
      <c r="ARF41" s="344"/>
      <c r="ARG41" s="344"/>
      <c r="ARH41" s="344"/>
      <c r="ARI41" s="344"/>
      <c r="ARJ41" s="344"/>
      <c r="ARK41" s="344"/>
      <c r="ARL41" s="344"/>
      <c r="ARM41" s="344"/>
      <c r="ARN41" s="344"/>
      <c r="ARO41" s="344"/>
      <c r="ARP41" s="344"/>
      <c r="ARQ41" s="344"/>
      <c r="ARR41" s="344"/>
      <c r="ARS41" s="344"/>
      <c r="ART41" s="344"/>
      <c r="ARU41" s="344"/>
      <c r="ARV41" s="344"/>
      <c r="ARW41" s="344"/>
      <c r="ARX41" s="344"/>
      <c r="ARY41" s="344"/>
      <c r="ARZ41" s="344"/>
      <c r="ASA41" s="344"/>
      <c r="ASB41" s="344"/>
      <c r="ASC41" s="344"/>
      <c r="ASD41" s="344"/>
      <c r="ASE41" s="344"/>
      <c r="ASF41" s="344"/>
      <c r="ASG41" s="344"/>
      <c r="ASH41" s="344"/>
      <c r="ASI41" s="344"/>
      <c r="ASJ41" s="344"/>
      <c r="ASK41" s="344"/>
      <c r="ASL41" s="344"/>
      <c r="ASM41" s="344"/>
      <c r="ASN41" s="344"/>
      <c r="ASO41" s="344"/>
      <c r="ASP41" s="344"/>
      <c r="ASQ41" s="344"/>
      <c r="ASR41" s="344"/>
      <c r="ASS41" s="344"/>
      <c r="AST41" s="344"/>
      <c r="ASU41" s="344"/>
      <c r="ASV41" s="344"/>
      <c r="ASW41" s="344"/>
      <c r="ASX41" s="344"/>
      <c r="ASY41" s="344"/>
      <c r="ASZ41" s="344"/>
      <c r="ATA41" s="344"/>
      <c r="ATB41" s="344"/>
      <c r="ATC41" s="344"/>
      <c r="ATD41" s="344"/>
      <c r="ATE41" s="344"/>
      <c r="ATF41" s="344"/>
      <c r="ATG41" s="344"/>
      <c r="ATH41" s="344"/>
      <c r="ATI41" s="344"/>
      <c r="ATJ41" s="344"/>
      <c r="ATK41" s="344"/>
      <c r="ATL41" s="344"/>
      <c r="ATM41" s="344"/>
      <c r="ATN41" s="344"/>
      <c r="ATO41" s="344"/>
      <c r="ATP41" s="344"/>
      <c r="ATQ41" s="344"/>
      <c r="ATR41" s="344"/>
      <c r="ATS41" s="344"/>
      <c r="ATT41" s="344"/>
      <c r="ATU41" s="344"/>
      <c r="ATV41" s="344"/>
      <c r="ATW41" s="344"/>
      <c r="ATX41" s="344"/>
      <c r="ATY41" s="344"/>
      <c r="ATZ41" s="344"/>
      <c r="AUA41" s="344"/>
      <c r="AUB41" s="344"/>
      <c r="AUC41" s="344"/>
      <c r="AUD41" s="344"/>
      <c r="AUE41" s="344"/>
      <c r="AUF41" s="344"/>
      <c r="AUG41" s="344"/>
      <c r="AUH41" s="344"/>
      <c r="AUI41" s="344"/>
      <c r="AUJ41" s="344"/>
      <c r="AUK41" s="344"/>
      <c r="AUL41" s="344"/>
      <c r="AUM41" s="344"/>
      <c r="AUN41" s="344"/>
      <c r="AUO41" s="344"/>
      <c r="AUP41" s="344"/>
      <c r="AUQ41" s="344"/>
      <c r="AUR41" s="344"/>
      <c r="AUS41" s="344"/>
      <c r="AUT41" s="344"/>
      <c r="AUU41" s="344"/>
      <c r="AUV41" s="344"/>
      <c r="AUW41" s="344"/>
      <c r="AUX41" s="344"/>
      <c r="AUY41" s="344"/>
      <c r="AUZ41" s="344"/>
      <c r="AVA41" s="344"/>
      <c r="AVB41" s="344"/>
      <c r="AVC41" s="344"/>
      <c r="AVD41" s="344"/>
      <c r="AVE41" s="344"/>
      <c r="AVF41" s="344"/>
      <c r="AVG41" s="344"/>
      <c r="AVH41" s="344"/>
      <c r="AVI41" s="344"/>
      <c r="AVJ41" s="344"/>
      <c r="AVK41" s="344"/>
      <c r="AVL41" s="344"/>
      <c r="AVM41" s="344"/>
      <c r="AVN41" s="344"/>
      <c r="AVO41" s="344"/>
      <c r="AVP41" s="344"/>
      <c r="AVQ41" s="344"/>
      <c r="AVR41" s="344"/>
      <c r="AVS41" s="344"/>
      <c r="AVT41" s="344"/>
      <c r="AVU41" s="344"/>
      <c r="AVV41" s="344"/>
      <c r="AVW41" s="344"/>
      <c r="AVX41" s="344"/>
      <c r="AVY41" s="344"/>
      <c r="AVZ41" s="344"/>
      <c r="AWA41" s="344"/>
      <c r="AWB41" s="344"/>
      <c r="AWC41" s="344"/>
      <c r="AWD41" s="344"/>
      <c r="AWE41" s="344"/>
      <c r="AWF41" s="344"/>
      <c r="AWG41" s="344"/>
      <c r="AWH41" s="344"/>
      <c r="AWI41" s="344"/>
      <c r="AWJ41" s="344"/>
      <c r="AWK41" s="344"/>
      <c r="AWL41" s="344"/>
      <c r="AWM41" s="344"/>
      <c r="AWN41" s="344"/>
      <c r="AWO41" s="344"/>
      <c r="AWP41" s="344"/>
      <c r="AWQ41" s="344"/>
      <c r="AWR41" s="344"/>
      <c r="AWS41" s="344"/>
      <c r="AWT41" s="344"/>
      <c r="AWU41" s="344"/>
      <c r="AWV41" s="344"/>
      <c r="AWW41" s="344"/>
      <c r="AWX41" s="344"/>
      <c r="AWY41" s="344"/>
      <c r="AWZ41" s="344"/>
      <c r="AXA41" s="344"/>
      <c r="AXB41" s="344"/>
      <c r="AXC41" s="344"/>
      <c r="AXD41" s="344"/>
      <c r="AXE41" s="344"/>
      <c r="AXF41" s="344"/>
      <c r="AXG41" s="344"/>
      <c r="AXH41" s="344"/>
      <c r="AXI41" s="344"/>
      <c r="AXJ41" s="344"/>
      <c r="AXK41" s="344"/>
      <c r="AXL41" s="344"/>
      <c r="AXM41" s="344"/>
      <c r="AXN41" s="344"/>
      <c r="AXO41" s="344"/>
      <c r="AXP41" s="344"/>
      <c r="AXQ41" s="344"/>
      <c r="AXR41" s="344"/>
      <c r="AXS41" s="344"/>
      <c r="AXT41" s="344"/>
      <c r="AXU41" s="344"/>
      <c r="AXV41" s="344"/>
      <c r="AXW41" s="344"/>
      <c r="AXX41" s="344"/>
      <c r="AXY41" s="344"/>
      <c r="AXZ41" s="344"/>
      <c r="AYA41" s="344"/>
      <c r="AYB41" s="344"/>
      <c r="AYC41" s="344"/>
      <c r="AYD41" s="344"/>
      <c r="AYE41" s="344"/>
      <c r="AYF41" s="344"/>
      <c r="AYG41" s="344"/>
      <c r="AYH41" s="344"/>
      <c r="AYI41" s="344"/>
      <c r="AYJ41" s="344"/>
      <c r="AYK41" s="344"/>
      <c r="AYL41" s="344"/>
      <c r="AYM41" s="344"/>
      <c r="AYN41" s="344"/>
      <c r="AYO41" s="344"/>
      <c r="AYP41" s="344"/>
      <c r="AYQ41" s="344"/>
      <c r="AYR41" s="344"/>
      <c r="AYS41" s="344"/>
      <c r="AYT41" s="344"/>
      <c r="AYU41" s="344"/>
      <c r="AYV41" s="344"/>
      <c r="AYW41" s="344"/>
      <c r="AYX41" s="344"/>
      <c r="AYY41" s="344"/>
      <c r="AYZ41" s="344"/>
      <c r="AZA41" s="344"/>
      <c r="AZB41" s="344"/>
      <c r="AZC41" s="344"/>
      <c r="AZD41" s="344"/>
      <c r="AZE41" s="344"/>
      <c r="AZF41" s="344"/>
      <c r="AZG41" s="344"/>
      <c r="AZH41" s="344"/>
      <c r="AZI41" s="344"/>
      <c r="AZJ41" s="344"/>
      <c r="AZK41" s="344"/>
      <c r="AZL41" s="344"/>
      <c r="AZM41" s="344"/>
      <c r="AZN41" s="344"/>
      <c r="AZO41" s="344"/>
      <c r="AZP41" s="344"/>
      <c r="AZQ41" s="344"/>
      <c r="AZR41" s="344"/>
      <c r="AZS41" s="344"/>
      <c r="AZT41" s="344"/>
      <c r="AZU41" s="344"/>
      <c r="AZV41" s="344"/>
      <c r="AZW41" s="344"/>
      <c r="AZX41" s="344"/>
      <c r="AZY41" s="344"/>
      <c r="AZZ41" s="344"/>
      <c r="BAA41" s="344"/>
      <c r="BAB41" s="344"/>
      <c r="BAC41" s="344"/>
      <c r="BAD41" s="344"/>
      <c r="BAE41" s="344"/>
      <c r="BAF41" s="344"/>
      <c r="BAG41" s="344"/>
      <c r="BAH41" s="344"/>
      <c r="BAI41" s="344"/>
      <c r="BAJ41" s="344"/>
      <c r="BAK41" s="344"/>
      <c r="BAL41" s="344"/>
      <c r="BAM41" s="344"/>
      <c r="BAN41" s="344"/>
      <c r="BAO41" s="344"/>
      <c r="BAP41" s="344"/>
      <c r="BAQ41" s="344"/>
      <c r="BAR41" s="344"/>
      <c r="BAS41" s="344"/>
      <c r="BAT41" s="344"/>
      <c r="BAU41" s="344"/>
      <c r="BAV41" s="344"/>
      <c r="BAW41" s="344"/>
      <c r="BAX41" s="344"/>
      <c r="BAY41" s="344"/>
      <c r="BAZ41" s="344"/>
      <c r="BBA41" s="344"/>
      <c r="BBB41" s="344"/>
      <c r="BBC41" s="344"/>
      <c r="BBD41" s="344"/>
      <c r="BBE41" s="344"/>
      <c r="BBF41" s="344"/>
      <c r="BBG41" s="344"/>
      <c r="BBH41" s="344"/>
      <c r="BBI41" s="344"/>
      <c r="BBJ41" s="344"/>
      <c r="BBK41" s="344"/>
      <c r="BBL41" s="344"/>
      <c r="BBM41" s="344"/>
      <c r="BBN41" s="344"/>
      <c r="BBO41" s="344"/>
      <c r="BBP41" s="344"/>
      <c r="BBQ41" s="344"/>
      <c r="BBR41" s="344"/>
      <c r="BBS41" s="344"/>
      <c r="BBT41" s="344"/>
      <c r="BBU41" s="344"/>
      <c r="BBV41" s="344"/>
      <c r="BBW41" s="344"/>
      <c r="BBX41" s="344"/>
      <c r="BBY41" s="344"/>
      <c r="BBZ41" s="344"/>
      <c r="BCA41" s="344"/>
      <c r="BCB41" s="344"/>
      <c r="BCC41" s="344"/>
      <c r="BCD41" s="344"/>
      <c r="BCE41" s="344"/>
      <c r="BCF41" s="344"/>
      <c r="BCG41" s="344"/>
      <c r="BCH41" s="344"/>
      <c r="BCI41" s="344"/>
      <c r="BCJ41" s="344"/>
      <c r="BCK41" s="344"/>
      <c r="BCL41" s="344"/>
      <c r="BCM41" s="344"/>
      <c r="BCN41" s="344"/>
      <c r="BCO41" s="344"/>
      <c r="BCP41" s="344"/>
      <c r="BCQ41" s="344"/>
      <c r="BCR41" s="344"/>
      <c r="BCS41" s="344"/>
      <c r="BCT41" s="344"/>
      <c r="BCU41" s="344"/>
      <c r="BCV41" s="344"/>
      <c r="BCW41" s="344"/>
      <c r="BCX41" s="344"/>
      <c r="BCY41" s="344"/>
      <c r="BCZ41" s="344"/>
      <c r="BDA41" s="344"/>
      <c r="BDB41" s="344"/>
      <c r="BDC41" s="344"/>
      <c r="BDD41" s="344"/>
      <c r="BDE41" s="344"/>
      <c r="BDF41" s="344"/>
      <c r="BDG41" s="344"/>
      <c r="BDH41" s="344"/>
      <c r="BDI41" s="344"/>
      <c r="BDJ41" s="344"/>
      <c r="BDK41" s="344"/>
      <c r="BDL41" s="344"/>
      <c r="BDM41" s="344"/>
      <c r="BDN41" s="344"/>
      <c r="BDO41" s="344"/>
      <c r="BDP41" s="344"/>
      <c r="BDQ41" s="344"/>
      <c r="BDR41" s="344"/>
      <c r="BDS41" s="344"/>
      <c r="BDT41" s="344"/>
      <c r="BDU41" s="344"/>
      <c r="BDV41" s="344"/>
      <c r="BDW41" s="344"/>
      <c r="BDX41" s="344"/>
      <c r="BDY41" s="344"/>
      <c r="BDZ41" s="344"/>
      <c r="BEA41" s="344"/>
      <c r="BEB41" s="344"/>
      <c r="BEC41" s="344"/>
      <c r="BED41" s="344"/>
      <c r="BEE41" s="344"/>
      <c r="BEF41" s="344"/>
      <c r="BEG41" s="344"/>
      <c r="BEH41" s="344"/>
      <c r="BEI41" s="344"/>
      <c r="BEJ41" s="344"/>
      <c r="BEK41" s="344"/>
      <c r="BEL41" s="344"/>
      <c r="BEM41" s="344"/>
      <c r="BEN41" s="344"/>
      <c r="BEO41" s="344"/>
      <c r="BEP41" s="344"/>
      <c r="BEQ41" s="344"/>
      <c r="BER41" s="344"/>
      <c r="BES41" s="344"/>
      <c r="BET41" s="344"/>
      <c r="BEU41" s="344"/>
      <c r="BEV41" s="344"/>
      <c r="BEW41" s="344"/>
      <c r="BEX41" s="344"/>
      <c r="BEY41" s="344"/>
      <c r="BEZ41" s="344"/>
      <c r="BFA41" s="344"/>
      <c r="BFB41" s="344"/>
      <c r="BFC41" s="344"/>
      <c r="BFD41" s="344"/>
      <c r="BFE41" s="344"/>
      <c r="BFF41" s="344"/>
      <c r="BFG41" s="344"/>
      <c r="BFH41" s="344"/>
      <c r="BFI41" s="344"/>
      <c r="BFJ41" s="344"/>
      <c r="BFK41" s="344"/>
      <c r="BFL41" s="344"/>
      <c r="BFM41" s="344"/>
      <c r="BFN41" s="344"/>
      <c r="BFO41" s="344"/>
      <c r="BFP41" s="344"/>
      <c r="BFQ41" s="344"/>
      <c r="BFR41" s="344"/>
      <c r="BFS41" s="344"/>
      <c r="BFT41" s="344"/>
      <c r="BFU41" s="344"/>
      <c r="BFV41" s="344"/>
      <c r="BFW41" s="344"/>
      <c r="BFX41" s="344"/>
      <c r="BFY41" s="344"/>
      <c r="BFZ41" s="344"/>
      <c r="BGA41" s="344"/>
      <c r="BGB41" s="344"/>
      <c r="BGC41" s="344"/>
      <c r="BGD41" s="344"/>
      <c r="BGE41" s="344"/>
      <c r="BGF41" s="344"/>
      <c r="BGG41" s="344"/>
      <c r="BGH41" s="344"/>
      <c r="BGI41" s="344"/>
      <c r="BGJ41" s="344"/>
      <c r="BGK41" s="344"/>
      <c r="BGL41" s="344"/>
      <c r="BGM41" s="344"/>
      <c r="BGN41" s="344"/>
      <c r="BGO41" s="344"/>
      <c r="BGP41" s="344"/>
      <c r="BGQ41" s="344"/>
      <c r="BGR41" s="344"/>
      <c r="BGS41" s="344"/>
      <c r="BGT41" s="344"/>
      <c r="BGU41" s="344"/>
      <c r="BGV41" s="344"/>
      <c r="BGW41" s="344"/>
      <c r="BGX41" s="344"/>
      <c r="BGY41" s="344"/>
      <c r="BGZ41" s="344"/>
      <c r="BHA41" s="344"/>
      <c r="BHB41" s="344"/>
      <c r="BHC41" s="344"/>
      <c r="BHD41" s="344"/>
      <c r="BHE41" s="344"/>
      <c r="BHF41" s="344"/>
      <c r="BHG41" s="344"/>
      <c r="BHH41" s="344"/>
      <c r="BHI41" s="344"/>
      <c r="BHJ41" s="344"/>
      <c r="BHK41" s="344"/>
      <c r="BHL41" s="344"/>
      <c r="BHM41" s="344"/>
      <c r="BHN41" s="344"/>
      <c r="BHO41" s="344"/>
      <c r="BHP41" s="344"/>
      <c r="BHQ41" s="344"/>
      <c r="BHR41" s="344"/>
      <c r="BHS41" s="344"/>
      <c r="BHT41" s="344"/>
      <c r="BHU41" s="344"/>
      <c r="BHV41" s="344"/>
      <c r="BHW41" s="344"/>
      <c r="BHX41" s="344"/>
      <c r="BHY41" s="344"/>
      <c r="BHZ41" s="344"/>
      <c r="BIA41" s="344"/>
      <c r="BIB41" s="344"/>
      <c r="BIC41" s="344"/>
      <c r="BID41" s="344"/>
      <c r="BIE41" s="344"/>
      <c r="BIF41" s="344"/>
      <c r="BIG41" s="344"/>
      <c r="BIH41" s="344"/>
      <c r="BII41" s="344"/>
      <c r="BIJ41" s="344"/>
      <c r="BIK41" s="344"/>
      <c r="BIL41" s="344"/>
      <c r="BIM41" s="344"/>
      <c r="BIN41" s="344"/>
      <c r="BIO41" s="344"/>
      <c r="BIP41" s="344"/>
      <c r="BIQ41" s="344"/>
      <c r="BIR41" s="344"/>
      <c r="BIS41" s="344"/>
      <c r="BIT41" s="344"/>
      <c r="BIU41" s="344"/>
      <c r="BIV41" s="344"/>
      <c r="BIW41" s="344"/>
      <c r="BIX41" s="344"/>
      <c r="BIY41" s="344"/>
      <c r="BIZ41" s="344"/>
      <c r="BJA41" s="344"/>
      <c r="BJB41" s="344"/>
      <c r="BJC41" s="344"/>
      <c r="BJD41" s="344"/>
      <c r="BJE41" s="344"/>
      <c r="BJF41" s="344"/>
      <c r="BJG41" s="344"/>
      <c r="BJH41" s="344"/>
      <c r="BJI41" s="344"/>
      <c r="BJJ41" s="344"/>
      <c r="BJK41" s="344"/>
      <c r="BJL41" s="344"/>
      <c r="BJM41" s="344"/>
      <c r="BJN41" s="344"/>
      <c r="BJO41" s="344"/>
      <c r="BJP41" s="344"/>
      <c r="BJQ41" s="344"/>
      <c r="BJR41" s="344"/>
      <c r="BJS41" s="344"/>
      <c r="BJT41" s="344"/>
      <c r="BJU41" s="344"/>
      <c r="BJV41" s="344"/>
      <c r="BJW41" s="344"/>
      <c r="BJX41" s="344"/>
      <c r="BJY41" s="344"/>
      <c r="BJZ41" s="344"/>
      <c r="BKA41" s="344"/>
      <c r="BKB41" s="344"/>
      <c r="BKC41" s="344"/>
      <c r="BKD41" s="344"/>
      <c r="BKE41" s="344"/>
      <c r="BKF41" s="344"/>
      <c r="BKG41" s="344"/>
      <c r="BKH41" s="344"/>
      <c r="BKI41" s="344"/>
      <c r="BKJ41" s="344"/>
      <c r="BKK41" s="344"/>
      <c r="BKL41" s="344"/>
      <c r="BKM41" s="344"/>
      <c r="BKN41" s="344"/>
      <c r="BKO41" s="344"/>
      <c r="BKP41" s="344"/>
      <c r="BKQ41" s="344"/>
      <c r="BKR41" s="344"/>
      <c r="BKS41" s="344"/>
      <c r="BKT41" s="344"/>
      <c r="BKU41" s="344"/>
      <c r="BKV41" s="344"/>
      <c r="BKW41" s="344"/>
      <c r="BKX41" s="344"/>
      <c r="BKY41" s="344"/>
      <c r="BKZ41" s="344"/>
      <c r="BLA41" s="344"/>
      <c r="BLB41" s="344"/>
      <c r="BLC41" s="344"/>
      <c r="BLD41" s="344"/>
      <c r="BLE41" s="344"/>
      <c r="BLF41" s="344"/>
      <c r="BLG41" s="344"/>
      <c r="BLH41" s="344"/>
      <c r="BLI41" s="344"/>
      <c r="BLJ41" s="344"/>
      <c r="BLK41" s="344"/>
      <c r="BLL41" s="344"/>
      <c r="BLM41" s="344"/>
      <c r="BLN41" s="344"/>
      <c r="BLO41" s="344"/>
      <c r="BLP41" s="344"/>
      <c r="BLQ41" s="344"/>
      <c r="BLR41" s="344"/>
      <c r="BLS41" s="344"/>
      <c r="BLT41" s="344"/>
      <c r="BLU41" s="344"/>
      <c r="BLV41" s="344"/>
      <c r="BLW41" s="344"/>
      <c r="BLX41" s="344"/>
      <c r="BLY41" s="344"/>
      <c r="BLZ41" s="344"/>
      <c r="BMA41" s="344"/>
      <c r="BMB41" s="344"/>
      <c r="BMC41" s="344"/>
      <c r="BMD41" s="344"/>
      <c r="BME41" s="344"/>
      <c r="BMF41" s="344"/>
      <c r="BMG41" s="344"/>
      <c r="BMH41" s="344"/>
      <c r="BMI41" s="344"/>
      <c r="BMJ41" s="344"/>
      <c r="BMK41" s="344"/>
      <c r="BML41" s="344"/>
      <c r="BMM41" s="344"/>
      <c r="BMN41" s="344"/>
      <c r="BMO41" s="344"/>
      <c r="BMP41" s="344"/>
      <c r="BMQ41" s="344"/>
      <c r="BMR41" s="344"/>
      <c r="BMS41" s="344"/>
      <c r="BMT41" s="344"/>
      <c r="BMU41" s="344"/>
      <c r="BMV41" s="344"/>
      <c r="BMW41" s="344"/>
      <c r="BMX41" s="344"/>
      <c r="BMY41" s="344"/>
      <c r="BMZ41" s="344"/>
      <c r="BNA41" s="344"/>
      <c r="BNB41" s="344"/>
      <c r="BNC41" s="344"/>
      <c r="BND41" s="344"/>
      <c r="BNE41" s="344"/>
      <c r="BNF41" s="344"/>
      <c r="BNG41" s="344"/>
      <c r="BNH41" s="344"/>
      <c r="BNI41" s="344"/>
      <c r="BNJ41" s="344"/>
      <c r="BNK41" s="344"/>
      <c r="BNL41" s="344"/>
      <c r="BNM41" s="344"/>
      <c r="BNN41" s="344"/>
      <c r="BNO41" s="344"/>
      <c r="BNP41" s="344"/>
      <c r="BNQ41" s="344"/>
      <c r="BNR41" s="344"/>
      <c r="BNS41" s="344"/>
      <c r="BNT41" s="344"/>
      <c r="BNU41" s="344"/>
      <c r="BNV41" s="344"/>
      <c r="BNW41" s="344"/>
      <c r="BNX41" s="344"/>
      <c r="BNY41" s="344"/>
      <c r="BNZ41" s="344"/>
      <c r="BOA41" s="344"/>
      <c r="BOB41" s="344"/>
      <c r="BOC41" s="344"/>
      <c r="BOD41" s="344"/>
      <c r="BOE41" s="344"/>
      <c r="BOF41" s="344"/>
      <c r="BOG41" s="344"/>
      <c r="BOH41" s="344"/>
      <c r="BOI41" s="344"/>
      <c r="BOJ41" s="344"/>
      <c r="BOK41" s="344"/>
      <c r="BOL41" s="344"/>
      <c r="BOM41" s="344"/>
      <c r="BON41" s="344"/>
      <c r="BOO41" s="344"/>
      <c r="BOP41" s="344"/>
      <c r="BOQ41" s="344"/>
      <c r="BOR41" s="344"/>
      <c r="BOS41" s="344"/>
      <c r="BOT41" s="344"/>
      <c r="BOU41" s="344"/>
      <c r="BOV41" s="344"/>
      <c r="BOW41" s="344"/>
      <c r="BOX41" s="344"/>
      <c r="BOY41" s="344"/>
      <c r="BOZ41" s="344"/>
      <c r="BPA41" s="344"/>
      <c r="BPB41" s="344"/>
      <c r="BPC41" s="344"/>
      <c r="BPD41" s="344"/>
      <c r="BPE41" s="344"/>
      <c r="BPF41" s="344"/>
      <c r="BPG41" s="344"/>
      <c r="BPH41" s="344"/>
      <c r="BPI41" s="344"/>
      <c r="BPJ41" s="344"/>
      <c r="BPK41" s="344"/>
      <c r="BPL41" s="344"/>
      <c r="BPM41" s="344"/>
      <c r="BPN41" s="344"/>
      <c r="BPO41" s="344"/>
      <c r="BPP41" s="344"/>
      <c r="BPQ41" s="344"/>
      <c r="BPR41" s="344"/>
      <c r="BPS41" s="344"/>
      <c r="BPT41" s="344"/>
      <c r="BPU41" s="344"/>
      <c r="BPV41" s="344"/>
      <c r="BPW41" s="344"/>
      <c r="BPX41" s="344"/>
      <c r="BPY41" s="344"/>
      <c r="BPZ41" s="344"/>
      <c r="BQA41" s="344"/>
      <c r="BQB41" s="344"/>
      <c r="BQC41" s="344"/>
      <c r="BQD41" s="344"/>
      <c r="BQE41" s="344"/>
      <c r="BQF41" s="344"/>
      <c r="BQG41" s="344"/>
      <c r="BQH41" s="344"/>
      <c r="BQI41" s="344"/>
      <c r="BQJ41" s="344"/>
      <c r="BQK41" s="344"/>
      <c r="BQL41" s="344"/>
      <c r="BQM41" s="344"/>
      <c r="BQN41" s="344"/>
      <c r="BQO41" s="344"/>
      <c r="BQP41" s="344"/>
      <c r="BQQ41" s="344"/>
      <c r="BQR41" s="344"/>
      <c r="BQS41" s="344"/>
      <c r="BQT41" s="344"/>
      <c r="BQU41" s="344"/>
      <c r="BQV41" s="344"/>
      <c r="BQW41" s="344"/>
      <c r="BQX41" s="344"/>
      <c r="BQY41" s="344"/>
      <c r="BQZ41" s="344"/>
      <c r="BRA41" s="344"/>
      <c r="BRB41" s="344"/>
      <c r="BRC41" s="344"/>
      <c r="BRD41" s="344"/>
      <c r="BRE41" s="344"/>
      <c r="BRF41" s="344"/>
      <c r="BRG41" s="344"/>
      <c r="BRH41" s="344"/>
      <c r="BRI41" s="344"/>
      <c r="BRJ41" s="344"/>
      <c r="BRK41" s="344"/>
      <c r="BRL41" s="344"/>
      <c r="BRM41" s="344"/>
      <c r="BRN41" s="344"/>
      <c r="BRO41" s="344"/>
      <c r="BRP41" s="344"/>
      <c r="BRQ41" s="344"/>
      <c r="BRR41" s="344"/>
      <c r="BRS41" s="344"/>
      <c r="BRT41" s="344"/>
      <c r="BRU41" s="344"/>
      <c r="BRV41" s="344"/>
      <c r="BRW41" s="344"/>
      <c r="BRX41" s="344"/>
      <c r="BRY41" s="344"/>
      <c r="BRZ41" s="344"/>
      <c r="BSA41" s="344"/>
      <c r="BSB41" s="344"/>
      <c r="BSC41" s="344"/>
      <c r="BSD41" s="344"/>
      <c r="BSE41" s="344"/>
      <c r="BSF41" s="344"/>
      <c r="BSG41" s="344"/>
      <c r="BSH41" s="344"/>
      <c r="BSI41" s="344"/>
      <c r="BSJ41" s="344"/>
      <c r="BSK41" s="344"/>
      <c r="BSL41" s="344"/>
      <c r="BSM41" s="344"/>
      <c r="BSN41" s="344"/>
      <c r="BSO41" s="344"/>
      <c r="BSP41" s="344"/>
      <c r="BSQ41" s="344"/>
      <c r="BSR41" s="344"/>
      <c r="BSS41" s="344"/>
      <c r="BST41" s="344"/>
      <c r="BSU41" s="344"/>
      <c r="BSV41" s="344"/>
      <c r="BSW41" s="344"/>
      <c r="BSX41" s="344"/>
      <c r="BSY41" s="344"/>
      <c r="BSZ41" s="344"/>
      <c r="BTA41" s="344"/>
      <c r="BTB41" s="344"/>
      <c r="BTC41" s="344"/>
      <c r="BTD41" s="344"/>
      <c r="BTE41" s="344"/>
      <c r="BTF41" s="344"/>
      <c r="BTG41" s="344"/>
      <c r="BTH41" s="344"/>
      <c r="BTI41" s="344"/>
      <c r="BTJ41" s="344"/>
      <c r="BTK41" s="344"/>
      <c r="BTL41" s="344"/>
      <c r="BTM41" s="344"/>
      <c r="BTN41" s="344"/>
      <c r="BTO41" s="344"/>
      <c r="BTP41" s="344"/>
      <c r="BTQ41" s="344"/>
      <c r="BTR41" s="344"/>
      <c r="BTS41" s="344"/>
      <c r="BTT41" s="344"/>
      <c r="BTU41" s="344"/>
      <c r="BTV41" s="344"/>
      <c r="BTW41" s="344"/>
      <c r="BTX41" s="344"/>
      <c r="BTY41" s="344"/>
      <c r="BTZ41" s="344"/>
      <c r="BUA41" s="344"/>
      <c r="BUB41" s="344"/>
      <c r="BUC41" s="344"/>
      <c r="BUD41" s="344"/>
      <c r="BUE41" s="344"/>
      <c r="BUF41" s="344"/>
      <c r="BUG41" s="344"/>
      <c r="BUH41" s="344"/>
      <c r="BUI41" s="344"/>
      <c r="BUJ41" s="344"/>
      <c r="BUK41" s="344"/>
      <c r="BUL41" s="344"/>
      <c r="BUM41" s="344"/>
      <c r="BUN41" s="344"/>
      <c r="BUO41" s="344"/>
      <c r="BUP41" s="344"/>
      <c r="BUQ41" s="344"/>
      <c r="BUR41" s="344"/>
      <c r="BUS41" s="344"/>
      <c r="BUT41" s="344"/>
      <c r="BUU41" s="344"/>
      <c r="BUV41" s="344"/>
      <c r="BUW41" s="344"/>
      <c r="BUX41" s="344"/>
      <c r="BUY41" s="344"/>
      <c r="BUZ41" s="344"/>
      <c r="BVA41" s="344"/>
      <c r="BVB41" s="344"/>
      <c r="BVC41" s="344"/>
      <c r="BVD41" s="344"/>
      <c r="BVE41" s="344"/>
      <c r="BVF41" s="344"/>
      <c r="BVG41" s="344"/>
      <c r="BVH41" s="344"/>
      <c r="BVI41" s="344"/>
      <c r="BVJ41" s="344"/>
      <c r="BVK41" s="344"/>
      <c r="BVL41" s="344"/>
      <c r="BVM41" s="344"/>
      <c r="BVN41" s="344"/>
      <c r="BVO41" s="344"/>
      <c r="BVP41" s="344"/>
      <c r="BVQ41" s="344"/>
      <c r="BVR41" s="344"/>
      <c r="BVS41" s="344"/>
      <c r="BVT41" s="344"/>
      <c r="BVU41" s="344"/>
      <c r="BVV41" s="344"/>
      <c r="BVW41" s="344"/>
      <c r="BVX41" s="344"/>
      <c r="BVY41" s="344"/>
      <c r="BVZ41" s="344"/>
      <c r="BWA41" s="344"/>
      <c r="BWB41" s="344"/>
      <c r="BWC41" s="344"/>
      <c r="BWD41" s="344"/>
      <c r="BWE41" s="344"/>
      <c r="BWF41" s="344"/>
      <c r="BWG41" s="344"/>
      <c r="BWH41" s="344"/>
      <c r="BWI41" s="344"/>
      <c r="BWJ41" s="344"/>
      <c r="BWK41" s="344"/>
      <c r="BWL41" s="344"/>
      <c r="BWM41" s="344"/>
      <c r="BWN41" s="344"/>
      <c r="BWO41" s="344"/>
      <c r="BWP41" s="344"/>
      <c r="BWQ41" s="344"/>
      <c r="BWR41" s="344"/>
      <c r="BWS41" s="344"/>
      <c r="BWT41" s="344"/>
      <c r="BWU41" s="344"/>
      <c r="BWV41" s="344"/>
      <c r="BWW41" s="344"/>
      <c r="BWX41" s="344"/>
      <c r="BWY41" s="344"/>
      <c r="BWZ41" s="344"/>
      <c r="BXA41" s="344"/>
      <c r="BXB41" s="344"/>
      <c r="BXC41" s="344"/>
      <c r="BXD41" s="344"/>
      <c r="BXE41" s="344"/>
      <c r="BXF41" s="344"/>
      <c r="BXG41" s="344"/>
      <c r="BXH41" s="344"/>
      <c r="BXI41" s="344"/>
      <c r="BXJ41" s="344"/>
      <c r="BXK41" s="344"/>
      <c r="BXL41" s="344"/>
      <c r="BXM41" s="344"/>
      <c r="BXN41" s="344"/>
      <c r="BXO41" s="344"/>
      <c r="BXP41" s="344"/>
      <c r="BXQ41" s="344"/>
      <c r="BXR41" s="344"/>
      <c r="BXS41" s="344"/>
      <c r="BXT41" s="344"/>
      <c r="BXU41" s="344"/>
      <c r="BXV41" s="344"/>
      <c r="BXW41" s="344"/>
      <c r="BXX41" s="344"/>
      <c r="BXY41" s="344"/>
      <c r="BXZ41" s="344"/>
      <c r="BYA41" s="344"/>
      <c r="BYB41" s="344"/>
      <c r="BYC41" s="344"/>
      <c r="BYD41" s="344"/>
      <c r="BYE41" s="344"/>
      <c r="BYF41" s="344"/>
      <c r="BYG41" s="344"/>
      <c r="BYH41" s="344"/>
      <c r="BYI41" s="344"/>
      <c r="BYJ41" s="344"/>
      <c r="BYK41" s="344"/>
      <c r="BYL41" s="344"/>
      <c r="BYM41" s="344"/>
      <c r="BYN41" s="344"/>
      <c r="BYO41" s="344"/>
      <c r="BYP41" s="344"/>
      <c r="BYQ41" s="344"/>
      <c r="BYR41" s="344"/>
      <c r="BYS41" s="344"/>
      <c r="BYT41" s="344"/>
      <c r="BYU41" s="344"/>
      <c r="BYV41" s="344"/>
      <c r="BYW41" s="344"/>
      <c r="BYX41" s="344"/>
      <c r="BYY41" s="344"/>
      <c r="BYZ41" s="344"/>
      <c r="BZA41" s="344"/>
      <c r="BZB41" s="344"/>
      <c r="BZC41" s="344"/>
      <c r="BZD41" s="344"/>
      <c r="BZE41" s="344"/>
      <c r="BZF41" s="344"/>
      <c r="BZG41" s="344"/>
      <c r="BZH41" s="344"/>
      <c r="BZI41" s="344"/>
      <c r="BZJ41" s="344"/>
      <c r="BZK41" s="344"/>
      <c r="BZL41" s="344"/>
      <c r="BZM41" s="344"/>
      <c r="BZN41" s="344"/>
      <c r="BZO41" s="344"/>
      <c r="BZP41" s="344"/>
      <c r="BZQ41" s="344"/>
      <c r="BZR41" s="344"/>
      <c r="BZS41" s="344"/>
      <c r="BZT41" s="344"/>
      <c r="BZU41" s="344"/>
      <c r="BZV41" s="344"/>
      <c r="BZW41" s="344"/>
      <c r="BZX41" s="344"/>
      <c r="BZY41" s="344"/>
      <c r="BZZ41" s="344"/>
      <c r="CAA41" s="344"/>
      <c r="CAB41" s="344"/>
      <c r="CAC41" s="344"/>
      <c r="CAD41" s="344"/>
      <c r="CAE41" s="344"/>
      <c r="CAF41" s="344"/>
      <c r="CAG41" s="344"/>
      <c r="CAH41" s="344"/>
      <c r="CAI41" s="344"/>
      <c r="CAJ41" s="344"/>
      <c r="CAK41" s="344"/>
      <c r="CAL41" s="344"/>
      <c r="CAM41" s="344"/>
      <c r="CAN41" s="344"/>
      <c r="CAO41" s="344"/>
      <c r="CAP41" s="344"/>
      <c r="CAQ41" s="344"/>
      <c r="CAR41" s="344"/>
      <c r="CAS41" s="344"/>
      <c r="CAT41" s="344"/>
      <c r="CAU41" s="344"/>
      <c r="CAV41" s="344"/>
      <c r="CAW41" s="344"/>
      <c r="CAX41" s="344"/>
      <c r="CAY41" s="344"/>
      <c r="CAZ41" s="344"/>
      <c r="CBA41" s="344"/>
      <c r="CBB41" s="344"/>
      <c r="CBC41" s="344"/>
      <c r="CBD41" s="344"/>
      <c r="CBE41" s="344"/>
      <c r="CBF41" s="344"/>
      <c r="CBG41" s="344"/>
      <c r="CBH41" s="344"/>
      <c r="CBI41" s="344"/>
      <c r="CBJ41" s="344"/>
      <c r="CBK41" s="344"/>
      <c r="CBL41" s="344"/>
      <c r="CBM41" s="344"/>
      <c r="CBN41" s="344"/>
      <c r="CBO41" s="344"/>
      <c r="CBP41" s="344"/>
      <c r="CBQ41" s="344"/>
      <c r="CBR41" s="344"/>
      <c r="CBS41" s="344"/>
      <c r="CBT41" s="344"/>
      <c r="CBU41" s="344"/>
      <c r="CBV41" s="344"/>
      <c r="CBW41" s="344"/>
      <c r="CBX41" s="344"/>
      <c r="CBY41" s="344"/>
      <c r="CBZ41" s="344"/>
      <c r="CCA41" s="344"/>
      <c r="CCB41" s="344"/>
      <c r="CCC41" s="344"/>
      <c r="CCD41" s="344"/>
      <c r="CCE41" s="344"/>
      <c r="CCF41" s="344"/>
      <c r="CCG41" s="344"/>
      <c r="CCH41" s="344"/>
      <c r="CCI41" s="344"/>
      <c r="CCJ41" s="344"/>
      <c r="CCK41" s="344"/>
      <c r="CCL41" s="344"/>
      <c r="CCM41" s="344"/>
      <c r="CCN41" s="344"/>
      <c r="CCO41" s="344"/>
      <c r="CCP41" s="344"/>
      <c r="CCQ41" s="344"/>
      <c r="CCR41" s="344"/>
      <c r="CCS41" s="344"/>
      <c r="CCT41" s="344"/>
      <c r="CCU41" s="344"/>
      <c r="CCV41" s="344"/>
      <c r="CCW41" s="344"/>
      <c r="CCX41" s="344"/>
      <c r="CCY41" s="344"/>
      <c r="CCZ41" s="344"/>
      <c r="CDA41" s="344"/>
      <c r="CDB41" s="344"/>
      <c r="CDC41" s="344"/>
      <c r="CDD41" s="344"/>
      <c r="CDE41" s="344"/>
      <c r="CDF41" s="344"/>
      <c r="CDG41" s="344"/>
      <c r="CDH41" s="344"/>
      <c r="CDI41" s="344"/>
      <c r="CDJ41" s="344"/>
      <c r="CDK41" s="344"/>
      <c r="CDL41" s="344"/>
      <c r="CDM41" s="344"/>
      <c r="CDN41" s="344"/>
      <c r="CDO41" s="344"/>
      <c r="CDP41" s="344"/>
      <c r="CDQ41" s="344"/>
      <c r="CDR41" s="344"/>
      <c r="CDS41" s="344"/>
      <c r="CDT41" s="344"/>
      <c r="CDU41" s="344"/>
      <c r="CDV41" s="344"/>
      <c r="CDW41" s="344"/>
      <c r="CDX41" s="344"/>
      <c r="CDY41" s="344"/>
      <c r="CDZ41" s="344"/>
      <c r="CEA41" s="344"/>
      <c r="CEB41" s="344"/>
      <c r="CEC41" s="344"/>
      <c r="CED41" s="344"/>
      <c r="CEE41" s="344"/>
      <c r="CEF41" s="344"/>
      <c r="CEG41" s="344"/>
      <c r="CEH41" s="344"/>
      <c r="CEI41" s="344"/>
      <c r="CEJ41" s="344"/>
      <c r="CEK41" s="344"/>
      <c r="CEL41" s="344"/>
      <c r="CEM41" s="344"/>
      <c r="CEN41" s="344"/>
      <c r="CEO41" s="344"/>
      <c r="CEP41" s="344"/>
      <c r="CEQ41" s="344"/>
      <c r="CER41" s="344"/>
      <c r="CES41" s="344"/>
      <c r="CET41" s="344"/>
      <c r="CEU41" s="344"/>
      <c r="CEV41" s="344"/>
      <c r="CEW41" s="344"/>
      <c r="CEX41" s="344"/>
      <c r="CEY41" s="344"/>
      <c r="CEZ41" s="344"/>
      <c r="CFA41" s="344"/>
      <c r="CFB41" s="344"/>
      <c r="CFC41" s="344"/>
      <c r="CFD41" s="344"/>
      <c r="CFE41" s="344"/>
      <c r="CFF41" s="344"/>
      <c r="CFG41" s="344"/>
      <c r="CFH41" s="344"/>
      <c r="CFI41" s="344"/>
      <c r="CFJ41" s="344"/>
      <c r="CFK41" s="344"/>
      <c r="CFL41" s="344"/>
      <c r="CFM41" s="344"/>
      <c r="CFN41" s="344"/>
      <c r="CFO41" s="344"/>
      <c r="CFP41" s="344"/>
      <c r="CFQ41" s="344"/>
      <c r="CFR41" s="344"/>
      <c r="CFS41" s="344"/>
      <c r="CFT41" s="344"/>
      <c r="CFU41" s="344"/>
      <c r="CFV41" s="344"/>
      <c r="CFW41" s="344"/>
      <c r="CFX41" s="344"/>
      <c r="CFY41" s="344"/>
      <c r="CFZ41" s="344"/>
      <c r="CGA41" s="344"/>
      <c r="CGB41" s="344"/>
      <c r="CGC41" s="344"/>
      <c r="CGD41" s="344"/>
      <c r="CGE41" s="344"/>
      <c r="CGF41" s="344"/>
      <c r="CGG41" s="344"/>
      <c r="CGH41" s="344"/>
      <c r="CGI41" s="344"/>
      <c r="CGJ41" s="344"/>
      <c r="CGK41" s="344"/>
      <c r="CGL41" s="344"/>
      <c r="CGM41" s="344"/>
      <c r="CGN41" s="344"/>
      <c r="CGO41" s="344"/>
      <c r="CGP41" s="344"/>
      <c r="CGQ41" s="344"/>
      <c r="CGR41" s="344"/>
      <c r="CGS41" s="344"/>
      <c r="CGT41" s="344"/>
      <c r="CGU41" s="344"/>
      <c r="CGV41" s="344"/>
      <c r="CGW41" s="344"/>
      <c r="CGX41" s="344"/>
      <c r="CGY41" s="344"/>
      <c r="CGZ41" s="344"/>
      <c r="CHA41" s="344"/>
      <c r="CHB41" s="344"/>
      <c r="CHC41" s="344"/>
      <c r="CHD41" s="344"/>
      <c r="CHE41" s="344"/>
      <c r="CHF41" s="344"/>
      <c r="CHG41" s="344"/>
      <c r="CHH41" s="344"/>
      <c r="CHI41" s="344"/>
      <c r="CHJ41" s="344"/>
      <c r="CHK41" s="344"/>
      <c r="CHL41" s="344"/>
      <c r="CHM41" s="344"/>
      <c r="CHN41" s="344"/>
      <c r="CHO41" s="344"/>
      <c r="CHP41" s="344"/>
      <c r="CHQ41" s="344"/>
      <c r="CHR41" s="344"/>
      <c r="CHS41" s="344"/>
      <c r="CHT41" s="344"/>
      <c r="CHU41" s="344"/>
      <c r="CHV41" s="344"/>
      <c r="CHW41" s="344"/>
      <c r="CHX41" s="344"/>
      <c r="CHY41" s="344"/>
      <c r="CHZ41" s="344"/>
      <c r="CIA41" s="344"/>
      <c r="CIB41" s="344"/>
      <c r="CIC41" s="344"/>
      <c r="CID41" s="344"/>
      <c r="CIE41" s="344"/>
      <c r="CIF41" s="344"/>
      <c r="CIG41" s="344"/>
      <c r="CIH41" s="344"/>
      <c r="CII41" s="344"/>
      <c r="CIJ41" s="344"/>
      <c r="CIK41" s="344"/>
      <c r="CIL41" s="344"/>
      <c r="CIM41" s="344"/>
      <c r="CIN41" s="344"/>
      <c r="CIO41" s="344"/>
      <c r="CIP41" s="344"/>
      <c r="CIQ41" s="344"/>
      <c r="CIR41" s="344"/>
      <c r="CIS41" s="344"/>
      <c r="CIT41" s="344"/>
      <c r="CIU41" s="344"/>
      <c r="CIV41" s="344"/>
      <c r="CIW41" s="344"/>
      <c r="CIX41" s="344"/>
      <c r="CIY41" s="344"/>
      <c r="CIZ41" s="344"/>
      <c r="CJA41" s="344"/>
      <c r="CJB41" s="344"/>
      <c r="CJC41" s="344"/>
      <c r="CJD41" s="344"/>
      <c r="CJE41" s="344"/>
      <c r="CJF41" s="344"/>
      <c r="CJG41" s="344"/>
      <c r="CJH41" s="344"/>
      <c r="CJI41" s="344"/>
      <c r="CJJ41" s="344"/>
      <c r="CJK41" s="344"/>
      <c r="CJL41" s="344"/>
      <c r="CJM41" s="344"/>
      <c r="CJN41" s="344"/>
      <c r="CJO41" s="344"/>
      <c r="CJP41" s="344"/>
      <c r="CJQ41" s="344"/>
      <c r="CJR41" s="344"/>
      <c r="CJS41" s="344"/>
      <c r="CJT41" s="344"/>
      <c r="CJU41" s="344"/>
      <c r="CJV41" s="344"/>
      <c r="CJW41" s="344"/>
      <c r="CJX41" s="344"/>
      <c r="CJY41" s="344"/>
      <c r="CJZ41" s="344"/>
      <c r="CKA41" s="344"/>
      <c r="CKB41" s="344"/>
      <c r="CKC41" s="344"/>
      <c r="CKD41" s="344"/>
      <c r="CKE41" s="344"/>
      <c r="CKF41" s="344"/>
      <c r="CKG41" s="344"/>
      <c r="CKH41" s="344"/>
      <c r="CKI41" s="344"/>
      <c r="CKJ41" s="344"/>
      <c r="CKK41" s="344"/>
      <c r="CKL41" s="344"/>
      <c r="CKM41" s="344"/>
      <c r="CKN41" s="344"/>
      <c r="CKO41" s="344"/>
      <c r="CKP41" s="344"/>
      <c r="CKQ41" s="344"/>
      <c r="CKR41" s="344"/>
      <c r="CKS41" s="344"/>
      <c r="CKT41" s="344"/>
      <c r="CKU41" s="344"/>
      <c r="CKV41" s="344"/>
      <c r="CKW41" s="344"/>
      <c r="CKX41" s="344"/>
      <c r="CKY41" s="344"/>
      <c r="CKZ41" s="344"/>
      <c r="CLA41" s="344"/>
      <c r="CLB41" s="344"/>
      <c r="CLC41" s="344"/>
      <c r="CLD41" s="344"/>
      <c r="CLE41" s="344"/>
      <c r="CLF41" s="344"/>
      <c r="CLG41" s="344"/>
      <c r="CLH41" s="344"/>
      <c r="CLI41" s="344"/>
      <c r="CLJ41" s="344"/>
      <c r="CLK41" s="344"/>
      <c r="CLL41" s="344"/>
      <c r="CLM41" s="344"/>
      <c r="CLN41" s="344"/>
      <c r="CLO41" s="344"/>
      <c r="CLP41" s="344"/>
      <c r="CLQ41" s="344"/>
      <c r="CLR41" s="344"/>
      <c r="CLS41" s="344"/>
      <c r="CLT41" s="344"/>
      <c r="CLU41" s="344"/>
      <c r="CLV41" s="344"/>
      <c r="CLW41" s="344"/>
      <c r="CLX41" s="344"/>
      <c r="CLY41" s="344"/>
      <c r="CLZ41" s="344"/>
      <c r="CMA41" s="344"/>
      <c r="CMB41" s="344"/>
      <c r="CMC41" s="344"/>
      <c r="CMD41" s="344"/>
      <c r="CME41" s="344"/>
      <c r="CMF41" s="344"/>
      <c r="CMG41" s="344"/>
      <c r="CMH41" s="344"/>
      <c r="CMI41" s="344"/>
      <c r="CMJ41" s="344"/>
      <c r="CMK41" s="344"/>
      <c r="CML41" s="344"/>
      <c r="CMM41" s="344"/>
      <c r="CMN41" s="344"/>
      <c r="CMO41" s="344"/>
      <c r="CMP41" s="344"/>
      <c r="CMQ41" s="344"/>
      <c r="CMR41" s="344"/>
      <c r="CMS41" s="344"/>
      <c r="CMT41" s="344"/>
      <c r="CMU41" s="344"/>
      <c r="CMV41" s="344"/>
      <c r="CMW41" s="344"/>
      <c r="CMX41" s="344"/>
      <c r="CMY41" s="344"/>
      <c r="CMZ41" s="344"/>
      <c r="CNA41" s="344"/>
      <c r="CNB41" s="344"/>
      <c r="CNC41" s="344"/>
      <c r="CND41" s="344"/>
      <c r="CNE41" s="344"/>
      <c r="CNF41" s="344"/>
      <c r="CNG41" s="344"/>
      <c r="CNH41" s="344"/>
      <c r="CNI41" s="344"/>
      <c r="CNJ41" s="344"/>
      <c r="CNK41" s="344"/>
      <c r="CNL41" s="344"/>
      <c r="CNM41" s="344"/>
      <c r="CNN41" s="344"/>
      <c r="CNO41" s="344"/>
      <c r="CNP41" s="344"/>
      <c r="CNQ41" s="344"/>
      <c r="CNR41" s="344"/>
      <c r="CNS41" s="344"/>
      <c r="CNT41" s="344"/>
      <c r="CNU41" s="344"/>
      <c r="CNV41" s="344"/>
      <c r="CNW41" s="344"/>
      <c r="CNX41" s="344"/>
      <c r="CNY41" s="344"/>
      <c r="CNZ41" s="344"/>
      <c r="COA41" s="344"/>
      <c r="COB41" s="344"/>
      <c r="COC41" s="344"/>
      <c r="COD41" s="344"/>
      <c r="COE41" s="344"/>
      <c r="COF41" s="344"/>
      <c r="COG41" s="344"/>
      <c r="COH41" s="344"/>
      <c r="COI41" s="344"/>
      <c r="COJ41" s="344"/>
      <c r="COK41" s="344"/>
      <c r="COL41" s="344"/>
      <c r="COM41" s="344"/>
      <c r="CON41" s="344"/>
      <c r="COO41" s="344"/>
      <c r="COP41" s="344"/>
      <c r="COQ41" s="344"/>
      <c r="COR41" s="344"/>
      <c r="COS41" s="344"/>
      <c r="COT41" s="344"/>
      <c r="COU41" s="344"/>
      <c r="COV41" s="344"/>
      <c r="COW41" s="344"/>
      <c r="COX41" s="344"/>
      <c r="COY41" s="344"/>
      <c r="COZ41" s="344"/>
      <c r="CPA41" s="344"/>
      <c r="CPB41" s="344"/>
      <c r="CPC41" s="344"/>
      <c r="CPD41" s="344"/>
      <c r="CPE41" s="344"/>
      <c r="CPF41" s="344"/>
      <c r="CPG41" s="344"/>
      <c r="CPH41" s="344"/>
      <c r="CPI41" s="344"/>
      <c r="CPJ41" s="344"/>
      <c r="CPK41" s="344"/>
      <c r="CPL41" s="344"/>
      <c r="CPM41" s="344"/>
      <c r="CPN41" s="344"/>
      <c r="CPO41" s="344"/>
      <c r="CPP41" s="344"/>
      <c r="CPQ41" s="344"/>
      <c r="CPR41" s="344"/>
      <c r="CPS41" s="344"/>
      <c r="CPT41" s="344"/>
      <c r="CPU41" s="344"/>
      <c r="CPV41" s="344"/>
      <c r="CPW41" s="344"/>
      <c r="CPX41" s="344"/>
      <c r="CPY41" s="344"/>
      <c r="CPZ41" s="344"/>
      <c r="CQA41" s="344"/>
      <c r="CQB41" s="344"/>
      <c r="CQC41" s="344"/>
      <c r="CQD41" s="344"/>
      <c r="CQE41" s="344"/>
      <c r="CQF41" s="344"/>
      <c r="CQG41" s="344"/>
      <c r="CQH41" s="344"/>
      <c r="CQI41" s="344"/>
      <c r="CQJ41" s="344"/>
      <c r="CQK41" s="344"/>
      <c r="CQL41" s="344"/>
      <c r="CQM41" s="344"/>
      <c r="CQN41" s="344"/>
      <c r="CQO41" s="344"/>
      <c r="CQP41" s="344"/>
      <c r="CQQ41" s="344"/>
      <c r="CQR41" s="344"/>
      <c r="CQS41" s="344"/>
      <c r="CQT41" s="344"/>
      <c r="CQU41" s="344"/>
      <c r="CQV41" s="344"/>
      <c r="CQW41" s="344"/>
      <c r="CQX41" s="344"/>
      <c r="CQY41" s="344"/>
      <c r="CQZ41" s="344"/>
      <c r="CRA41" s="344"/>
      <c r="CRB41" s="344"/>
      <c r="CRC41" s="344"/>
      <c r="CRD41" s="344"/>
      <c r="CRE41" s="344"/>
      <c r="CRF41" s="344"/>
      <c r="CRG41" s="344"/>
      <c r="CRH41" s="344"/>
      <c r="CRI41" s="344"/>
      <c r="CRJ41" s="344"/>
      <c r="CRK41" s="344"/>
      <c r="CRL41" s="344"/>
      <c r="CRM41" s="344"/>
      <c r="CRN41" s="344"/>
      <c r="CRO41" s="344"/>
      <c r="CRP41" s="344"/>
      <c r="CRQ41" s="344"/>
      <c r="CRR41" s="344"/>
      <c r="CRS41" s="344"/>
      <c r="CRT41" s="344"/>
      <c r="CRU41" s="344"/>
      <c r="CRV41" s="344"/>
      <c r="CRW41" s="344"/>
      <c r="CRX41" s="344"/>
      <c r="CRY41" s="344"/>
      <c r="CRZ41" s="344"/>
      <c r="CSA41" s="344"/>
      <c r="CSB41" s="344"/>
      <c r="CSC41" s="344"/>
      <c r="CSD41" s="344"/>
      <c r="CSE41" s="344"/>
      <c r="CSF41" s="344"/>
      <c r="CSG41" s="344"/>
      <c r="CSH41" s="344"/>
      <c r="CSI41" s="344"/>
      <c r="CSJ41" s="344"/>
      <c r="CSK41" s="344"/>
      <c r="CSL41" s="344"/>
      <c r="CSM41" s="344"/>
      <c r="CSN41" s="344"/>
      <c r="CSO41" s="344"/>
      <c r="CSP41" s="344"/>
      <c r="CSQ41" s="344"/>
      <c r="CSR41" s="344"/>
      <c r="CSS41" s="344"/>
      <c r="CST41" s="344"/>
      <c r="CSU41" s="344"/>
      <c r="CSV41" s="344"/>
      <c r="CSW41" s="344"/>
      <c r="CSX41" s="344"/>
      <c r="CSY41" s="344"/>
      <c r="CSZ41" s="344"/>
      <c r="CTA41" s="344"/>
      <c r="CTB41" s="344"/>
      <c r="CTC41" s="344"/>
      <c r="CTD41" s="344"/>
      <c r="CTE41" s="344"/>
      <c r="CTF41" s="344"/>
      <c r="CTG41" s="344"/>
      <c r="CTH41" s="344"/>
      <c r="CTI41" s="344"/>
      <c r="CTJ41" s="344"/>
      <c r="CTK41" s="344"/>
      <c r="CTL41" s="344"/>
      <c r="CTM41" s="344"/>
      <c r="CTN41" s="344"/>
      <c r="CTO41" s="344"/>
      <c r="CTP41" s="344"/>
      <c r="CTQ41" s="344"/>
      <c r="CTR41" s="344"/>
      <c r="CTS41" s="344"/>
      <c r="CTT41" s="344"/>
      <c r="CTU41" s="344"/>
      <c r="CTV41" s="344"/>
      <c r="CTW41" s="344"/>
      <c r="CTX41" s="344"/>
      <c r="CTY41" s="344"/>
      <c r="CTZ41" s="344"/>
      <c r="CUA41" s="344"/>
      <c r="CUB41" s="344"/>
      <c r="CUC41" s="344"/>
      <c r="CUD41" s="344"/>
      <c r="CUE41" s="344"/>
      <c r="CUF41" s="344"/>
      <c r="CUG41" s="344"/>
      <c r="CUH41" s="344"/>
      <c r="CUI41" s="344"/>
      <c r="CUJ41" s="344"/>
      <c r="CUK41" s="344"/>
      <c r="CUL41" s="344"/>
      <c r="CUM41" s="344"/>
      <c r="CUN41" s="344"/>
      <c r="CUO41" s="344"/>
      <c r="CUP41" s="344"/>
      <c r="CUQ41" s="344"/>
      <c r="CUR41" s="344"/>
      <c r="CUS41" s="344"/>
      <c r="CUT41" s="344"/>
      <c r="CUU41" s="344"/>
      <c r="CUV41" s="344"/>
      <c r="CUW41" s="344"/>
      <c r="CUX41" s="344"/>
      <c r="CUY41" s="344"/>
      <c r="CUZ41" s="344"/>
      <c r="CVA41" s="344"/>
      <c r="CVB41" s="344"/>
      <c r="CVC41" s="344"/>
      <c r="CVD41" s="344"/>
      <c r="CVE41" s="344"/>
      <c r="CVF41" s="344"/>
      <c r="CVG41" s="344"/>
      <c r="CVH41" s="344"/>
      <c r="CVI41" s="344"/>
      <c r="CVJ41" s="344"/>
      <c r="CVK41" s="344"/>
      <c r="CVL41" s="344"/>
      <c r="CVM41" s="344"/>
      <c r="CVN41" s="344"/>
      <c r="CVO41" s="344"/>
      <c r="CVP41" s="344"/>
      <c r="CVQ41" s="344"/>
      <c r="CVR41" s="344"/>
      <c r="CVS41" s="344"/>
      <c r="CVT41" s="344"/>
      <c r="CVU41" s="344"/>
      <c r="CVV41" s="344"/>
      <c r="CVW41" s="344"/>
      <c r="CVX41" s="344"/>
      <c r="CVY41" s="344"/>
      <c r="CVZ41" s="344"/>
      <c r="CWA41" s="344"/>
      <c r="CWB41" s="344"/>
      <c r="CWC41" s="344"/>
      <c r="CWD41" s="344"/>
      <c r="CWE41" s="344"/>
      <c r="CWF41" s="344"/>
      <c r="CWG41" s="344"/>
      <c r="CWH41" s="344"/>
      <c r="CWI41" s="344"/>
      <c r="CWJ41" s="344"/>
      <c r="CWK41" s="344"/>
      <c r="CWL41" s="344"/>
      <c r="CWM41" s="344"/>
      <c r="CWN41" s="344"/>
      <c r="CWO41" s="344"/>
      <c r="CWP41" s="344"/>
      <c r="CWQ41" s="344"/>
      <c r="CWR41" s="344"/>
      <c r="CWS41" s="344"/>
      <c r="CWT41" s="344"/>
      <c r="CWU41" s="344"/>
      <c r="CWV41" s="344"/>
      <c r="CWW41" s="344"/>
      <c r="CWX41" s="344"/>
      <c r="CWY41" s="344"/>
      <c r="CWZ41" s="344"/>
      <c r="CXA41" s="344"/>
      <c r="CXB41" s="344"/>
      <c r="CXC41" s="344"/>
      <c r="CXD41" s="344"/>
      <c r="CXE41" s="344"/>
      <c r="CXF41" s="344"/>
      <c r="CXG41" s="344"/>
      <c r="CXH41" s="344"/>
      <c r="CXI41" s="344"/>
      <c r="CXJ41" s="344"/>
      <c r="CXK41" s="344"/>
      <c r="CXL41" s="344"/>
      <c r="CXM41" s="344"/>
      <c r="CXN41" s="344"/>
      <c r="CXO41" s="344"/>
      <c r="CXP41" s="344"/>
      <c r="CXQ41" s="344"/>
      <c r="CXR41" s="344"/>
      <c r="CXS41" s="344"/>
      <c r="CXT41" s="344"/>
      <c r="CXU41" s="344"/>
      <c r="CXV41" s="344"/>
      <c r="CXW41" s="344"/>
      <c r="CXX41" s="344"/>
      <c r="CXY41" s="344"/>
      <c r="CXZ41" s="344"/>
      <c r="CYA41" s="344"/>
      <c r="CYB41" s="344"/>
      <c r="CYC41" s="344"/>
      <c r="CYD41" s="344"/>
      <c r="CYE41" s="344"/>
      <c r="CYF41" s="344"/>
      <c r="CYG41" s="344"/>
      <c r="CYH41" s="344"/>
      <c r="CYI41" s="344"/>
      <c r="CYJ41" s="344"/>
      <c r="CYK41" s="344"/>
      <c r="CYL41" s="344"/>
      <c r="CYM41" s="344"/>
      <c r="CYN41" s="344"/>
      <c r="CYO41" s="344"/>
      <c r="CYP41" s="344"/>
      <c r="CYQ41" s="344"/>
      <c r="CYR41" s="344"/>
      <c r="CYS41" s="344"/>
      <c r="CYT41" s="344"/>
      <c r="CYU41" s="344"/>
      <c r="CYV41" s="344"/>
      <c r="CYW41" s="344"/>
      <c r="CYX41" s="344"/>
      <c r="CYY41" s="344"/>
      <c r="CYZ41" s="344"/>
      <c r="CZA41" s="344"/>
      <c r="CZB41" s="344"/>
      <c r="CZC41" s="344"/>
      <c r="CZD41" s="344"/>
      <c r="CZE41" s="344"/>
      <c r="CZF41" s="344"/>
      <c r="CZG41" s="344"/>
      <c r="CZH41" s="344"/>
      <c r="CZI41" s="344"/>
      <c r="CZJ41" s="344"/>
      <c r="CZK41" s="344"/>
      <c r="CZL41" s="344"/>
      <c r="CZM41" s="344"/>
      <c r="CZN41" s="344"/>
      <c r="CZO41" s="344"/>
      <c r="CZP41" s="344"/>
      <c r="CZQ41" s="344"/>
      <c r="CZR41" s="344"/>
      <c r="CZS41" s="344"/>
      <c r="CZT41" s="344"/>
      <c r="CZU41" s="344"/>
      <c r="CZV41" s="344"/>
      <c r="CZW41" s="344"/>
      <c r="CZX41" s="344"/>
      <c r="CZY41" s="344"/>
      <c r="CZZ41" s="344"/>
      <c r="DAA41" s="344"/>
      <c r="DAB41" s="344"/>
      <c r="DAC41" s="344"/>
      <c r="DAD41" s="344"/>
      <c r="DAE41" s="344"/>
      <c r="DAF41" s="344"/>
      <c r="DAG41" s="344"/>
      <c r="DAH41" s="344"/>
      <c r="DAI41" s="344"/>
      <c r="DAJ41" s="344"/>
      <c r="DAK41" s="344"/>
      <c r="DAL41" s="344"/>
      <c r="DAM41" s="344"/>
      <c r="DAN41" s="344"/>
      <c r="DAO41" s="344"/>
      <c r="DAP41" s="344"/>
      <c r="DAQ41" s="344"/>
      <c r="DAR41" s="344"/>
      <c r="DAS41" s="344"/>
      <c r="DAT41" s="344"/>
      <c r="DAU41" s="344"/>
      <c r="DAV41" s="344"/>
      <c r="DAW41" s="344"/>
      <c r="DAX41" s="344"/>
      <c r="DAY41" s="344"/>
      <c r="DAZ41" s="344"/>
      <c r="DBA41" s="344"/>
      <c r="DBB41" s="344"/>
      <c r="DBC41" s="344"/>
      <c r="DBD41" s="344"/>
      <c r="DBE41" s="344"/>
      <c r="DBF41" s="344"/>
      <c r="DBG41" s="344"/>
      <c r="DBH41" s="344"/>
      <c r="DBI41" s="344"/>
      <c r="DBJ41" s="344"/>
      <c r="DBK41" s="344"/>
      <c r="DBL41" s="344"/>
      <c r="DBM41" s="344"/>
      <c r="DBN41" s="344"/>
      <c r="DBO41" s="344"/>
      <c r="DBP41" s="344"/>
      <c r="DBQ41" s="344"/>
      <c r="DBR41" s="344"/>
      <c r="DBS41" s="344"/>
      <c r="DBT41" s="344"/>
      <c r="DBU41" s="344"/>
      <c r="DBV41" s="344"/>
      <c r="DBW41" s="344"/>
      <c r="DBX41" s="344"/>
      <c r="DBY41" s="344"/>
      <c r="DBZ41" s="344"/>
      <c r="DCA41" s="344"/>
      <c r="DCB41" s="344"/>
      <c r="DCC41" s="344"/>
      <c r="DCD41" s="344"/>
      <c r="DCE41" s="344"/>
      <c r="DCF41" s="344"/>
      <c r="DCG41" s="344"/>
      <c r="DCH41" s="344"/>
      <c r="DCI41" s="344"/>
      <c r="DCJ41" s="344"/>
      <c r="DCK41" s="344"/>
      <c r="DCL41" s="344"/>
      <c r="DCM41" s="344"/>
      <c r="DCN41" s="344"/>
      <c r="DCO41" s="344"/>
      <c r="DCP41" s="344"/>
      <c r="DCQ41" s="344"/>
      <c r="DCR41" s="344"/>
      <c r="DCS41" s="344"/>
      <c r="DCT41" s="344"/>
      <c r="DCU41" s="344"/>
      <c r="DCV41" s="344"/>
      <c r="DCW41" s="344"/>
      <c r="DCX41" s="344"/>
      <c r="DCY41" s="344"/>
      <c r="DCZ41" s="344"/>
      <c r="DDA41" s="344"/>
      <c r="DDB41" s="344"/>
      <c r="DDC41" s="344"/>
      <c r="DDD41" s="344"/>
      <c r="DDE41" s="344"/>
      <c r="DDF41" s="344"/>
      <c r="DDG41" s="344"/>
      <c r="DDH41" s="344"/>
      <c r="DDI41" s="344"/>
      <c r="DDJ41" s="344"/>
      <c r="DDK41" s="344"/>
      <c r="DDL41" s="344"/>
      <c r="DDM41" s="344"/>
      <c r="DDN41" s="344"/>
      <c r="DDO41" s="344"/>
      <c r="DDP41" s="344"/>
      <c r="DDQ41" s="344"/>
      <c r="DDR41" s="344"/>
      <c r="DDS41" s="344"/>
      <c r="DDT41" s="344"/>
      <c r="DDU41" s="344"/>
      <c r="DDV41" s="344"/>
      <c r="DDW41" s="344"/>
      <c r="DDX41" s="344"/>
      <c r="DDY41" s="344"/>
      <c r="DDZ41" s="344"/>
      <c r="DEA41" s="344"/>
      <c r="DEB41" s="344"/>
      <c r="DEC41" s="344"/>
      <c r="DED41" s="344"/>
      <c r="DEE41" s="344"/>
      <c r="DEF41" s="344"/>
      <c r="DEG41" s="344"/>
      <c r="DEH41" s="344"/>
      <c r="DEI41" s="344"/>
      <c r="DEJ41" s="344"/>
      <c r="DEK41" s="344"/>
      <c r="DEL41" s="344"/>
      <c r="DEM41" s="344"/>
      <c r="DEN41" s="344"/>
      <c r="DEO41" s="344"/>
      <c r="DEP41" s="344"/>
      <c r="DEQ41" s="344"/>
      <c r="DER41" s="344"/>
      <c r="DES41" s="344"/>
      <c r="DET41" s="344"/>
      <c r="DEU41" s="344"/>
      <c r="DEV41" s="344"/>
      <c r="DEW41" s="344"/>
      <c r="DEX41" s="344"/>
      <c r="DEY41" s="344"/>
      <c r="DEZ41" s="344"/>
      <c r="DFA41" s="344"/>
      <c r="DFB41" s="344"/>
      <c r="DFC41" s="344"/>
      <c r="DFD41" s="344"/>
      <c r="DFE41" s="344"/>
      <c r="DFF41" s="344"/>
      <c r="DFG41" s="344"/>
      <c r="DFH41" s="344"/>
      <c r="DFI41" s="344"/>
      <c r="DFJ41" s="344"/>
      <c r="DFK41" s="344"/>
      <c r="DFL41" s="344"/>
      <c r="DFM41" s="344"/>
      <c r="DFN41" s="344"/>
      <c r="DFO41" s="344"/>
      <c r="DFP41" s="344"/>
      <c r="DFQ41" s="344"/>
      <c r="DFR41" s="344"/>
      <c r="DFS41" s="344"/>
      <c r="DFT41" s="344"/>
      <c r="DFU41" s="344"/>
      <c r="DFV41" s="344"/>
      <c r="DFW41" s="344"/>
      <c r="DFX41" s="344"/>
      <c r="DFY41" s="344"/>
      <c r="DFZ41" s="344"/>
      <c r="DGA41" s="344"/>
      <c r="DGB41" s="344"/>
      <c r="DGC41" s="344"/>
      <c r="DGD41" s="344"/>
      <c r="DGE41" s="344"/>
      <c r="DGF41" s="344"/>
      <c r="DGG41" s="344"/>
      <c r="DGH41" s="344"/>
      <c r="DGI41" s="344"/>
      <c r="DGJ41" s="344"/>
      <c r="DGK41" s="344"/>
      <c r="DGL41" s="344"/>
      <c r="DGM41" s="344"/>
      <c r="DGN41" s="344"/>
      <c r="DGO41" s="344"/>
      <c r="DGP41" s="344"/>
      <c r="DGQ41" s="344"/>
      <c r="DGR41" s="344"/>
      <c r="DGS41" s="344"/>
      <c r="DGT41" s="344"/>
      <c r="DGU41" s="344"/>
      <c r="DGV41" s="344"/>
      <c r="DGW41" s="344"/>
      <c r="DGX41" s="344"/>
      <c r="DGY41" s="344"/>
      <c r="DGZ41" s="344"/>
      <c r="DHA41" s="344"/>
      <c r="DHB41" s="344"/>
      <c r="DHC41" s="344"/>
      <c r="DHD41" s="344"/>
      <c r="DHE41" s="344"/>
      <c r="DHF41" s="344"/>
      <c r="DHG41" s="344"/>
      <c r="DHH41" s="344"/>
      <c r="DHI41" s="344"/>
      <c r="DHJ41" s="344"/>
      <c r="DHK41" s="344"/>
      <c r="DHL41" s="344"/>
      <c r="DHM41" s="344"/>
      <c r="DHN41" s="344"/>
      <c r="DHO41" s="344"/>
      <c r="DHP41" s="344"/>
      <c r="DHQ41" s="344"/>
      <c r="DHR41" s="344"/>
      <c r="DHS41" s="344"/>
      <c r="DHT41" s="344"/>
      <c r="DHU41" s="344"/>
      <c r="DHV41" s="344"/>
      <c r="DHW41" s="344"/>
      <c r="DHX41" s="344"/>
      <c r="DHY41" s="344"/>
      <c r="DHZ41" s="344"/>
      <c r="DIA41" s="344"/>
      <c r="DIB41" s="344"/>
      <c r="DIC41" s="344"/>
      <c r="DID41" s="344"/>
      <c r="DIE41" s="344"/>
      <c r="DIF41" s="344"/>
      <c r="DIG41" s="344"/>
      <c r="DIH41" s="344"/>
      <c r="DII41" s="344"/>
      <c r="DIJ41" s="344"/>
      <c r="DIK41" s="344"/>
      <c r="DIL41" s="344"/>
      <c r="DIM41" s="344"/>
      <c r="DIN41" s="344"/>
      <c r="DIO41" s="344"/>
      <c r="DIP41" s="344"/>
      <c r="DIQ41" s="344"/>
      <c r="DIR41" s="344"/>
      <c r="DIS41" s="344"/>
      <c r="DIT41" s="344"/>
      <c r="DIU41" s="344"/>
      <c r="DIV41" s="344"/>
      <c r="DIW41" s="344"/>
      <c r="DIX41" s="344"/>
      <c r="DIY41" s="344"/>
      <c r="DIZ41" s="344"/>
      <c r="DJA41" s="344"/>
      <c r="DJB41" s="344"/>
      <c r="DJC41" s="344"/>
      <c r="DJD41" s="344"/>
      <c r="DJE41" s="344"/>
      <c r="DJF41" s="344"/>
      <c r="DJG41" s="344"/>
      <c r="DJH41" s="344"/>
      <c r="DJI41" s="344"/>
      <c r="DJJ41" s="344"/>
      <c r="DJK41" s="344"/>
      <c r="DJL41" s="344"/>
      <c r="DJM41" s="344"/>
      <c r="DJN41" s="344"/>
      <c r="DJO41" s="344"/>
      <c r="DJP41" s="344"/>
      <c r="DJQ41" s="344"/>
      <c r="DJR41" s="344"/>
      <c r="DJS41" s="344"/>
      <c r="DJT41" s="344"/>
      <c r="DJU41" s="344"/>
      <c r="DJV41" s="344"/>
      <c r="DJW41" s="344"/>
      <c r="DJX41" s="344"/>
      <c r="DJY41" s="344"/>
      <c r="DJZ41" s="344"/>
      <c r="DKA41" s="344"/>
      <c r="DKB41" s="344"/>
      <c r="DKC41" s="344"/>
      <c r="DKD41" s="344"/>
      <c r="DKE41" s="344"/>
      <c r="DKF41" s="344"/>
      <c r="DKG41" s="344"/>
      <c r="DKH41" s="344"/>
      <c r="DKI41" s="344"/>
      <c r="DKJ41" s="344"/>
      <c r="DKK41" s="344"/>
      <c r="DKL41" s="344"/>
      <c r="DKM41" s="344"/>
      <c r="DKN41" s="344"/>
      <c r="DKO41" s="344"/>
      <c r="DKP41" s="344"/>
      <c r="DKQ41" s="344"/>
      <c r="DKR41" s="344"/>
      <c r="DKS41" s="344"/>
      <c r="DKT41" s="344"/>
      <c r="DKU41" s="344"/>
      <c r="DKV41" s="344"/>
      <c r="DKW41" s="344"/>
      <c r="DKX41" s="344"/>
      <c r="DKY41" s="344"/>
      <c r="DKZ41" s="344"/>
      <c r="DLA41" s="344"/>
      <c r="DLB41" s="344"/>
      <c r="DLC41" s="344"/>
      <c r="DLD41" s="344"/>
      <c r="DLE41" s="344"/>
      <c r="DLF41" s="344"/>
      <c r="DLG41" s="344"/>
      <c r="DLH41" s="344"/>
      <c r="DLI41" s="344"/>
      <c r="DLJ41" s="344"/>
      <c r="DLK41" s="344"/>
      <c r="DLL41" s="344"/>
      <c r="DLM41" s="344"/>
      <c r="DLN41" s="344"/>
      <c r="DLO41" s="344"/>
      <c r="DLP41" s="344"/>
      <c r="DLQ41" s="344"/>
      <c r="DLR41" s="344"/>
      <c r="DLS41" s="344"/>
      <c r="DLT41" s="344"/>
      <c r="DLU41" s="344"/>
      <c r="DLV41" s="344"/>
      <c r="DLW41" s="344"/>
      <c r="DLX41" s="344"/>
      <c r="DLY41" s="344"/>
      <c r="DLZ41" s="344"/>
      <c r="DMA41" s="344"/>
      <c r="DMB41" s="344"/>
      <c r="DMC41" s="344"/>
      <c r="DMD41" s="344"/>
      <c r="DME41" s="344"/>
      <c r="DMF41" s="344"/>
      <c r="DMG41" s="344"/>
      <c r="DMH41" s="344"/>
      <c r="DMI41" s="344"/>
      <c r="DMJ41" s="344"/>
      <c r="DMK41" s="344"/>
      <c r="DML41" s="344"/>
      <c r="DMM41" s="344"/>
      <c r="DMN41" s="344"/>
      <c r="DMO41" s="344"/>
      <c r="DMP41" s="344"/>
      <c r="DMQ41" s="344"/>
      <c r="DMR41" s="344"/>
      <c r="DMS41" s="344"/>
      <c r="DMT41" s="344"/>
      <c r="DMU41" s="344"/>
      <c r="DMV41" s="344"/>
      <c r="DMW41" s="344"/>
      <c r="DMX41" s="344"/>
      <c r="DMY41" s="344"/>
      <c r="DMZ41" s="344"/>
      <c r="DNA41" s="344"/>
      <c r="DNB41" s="344"/>
      <c r="DNC41" s="344"/>
      <c r="DND41" s="344"/>
      <c r="DNE41" s="344"/>
      <c r="DNF41" s="344"/>
      <c r="DNG41" s="344"/>
      <c r="DNH41" s="344"/>
      <c r="DNI41" s="344"/>
      <c r="DNJ41" s="344"/>
      <c r="DNK41" s="344"/>
      <c r="DNL41" s="344"/>
      <c r="DNM41" s="344"/>
      <c r="DNN41" s="344"/>
      <c r="DNO41" s="344"/>
      <c r="DNP41" s="344"/>
      <c r="DNQ41" s="344"/>
      <c r="DNR41" s="344"/>
      <c r="DNS41" s="344"/>
      <c r="DNT41" s="344"/>
      <c r="DNU41" s="344"/>
      <c r="DNV41" s="344"/>
      <c r="DNW41" s="344"/>
      <c r="DNX41" s="344"/>
      <c r="DNY41" s="344"/>
      <c r="DNZ41" s="344"/>
      <c r="DOA41" s="344"/>
      <c r="DOB41" s="344"/>
      <c r="DOC41" s="344"/>
      <c r="DOD41" s="344"/>
      <c r="DOE41" s="344"/>
      <c r="DOF41" s="344"/>
      <c r="DOG41" s="344"/>
      <c r="DOH41" s="344"/>
      <c r="DOI41" s="344"/>
      <c r="DOJ41" s="344"/>
      <c r="DOK41" s="344"/>
      <c r="DOL41" s="344"/>
      <c r="DOM41" s="344"/>
      <c r="DON41" s="344"/>
      <c r="DOO41" s="344"/>
      <c r="DOP41" s="344"/>
      <c r="DOQ41" s="344"/>
      <c r="DOR41" s="344"/>
      <c r="DOS41" s="344"/>
      <c r="DOT41" s="344"/>
      <c r="DOU41" s="344"/>
      <c r="DOV41" s="344"/>
      <c r="DOW41" s="344"/>
      <c r="DOX41" s="344"/>
      <c r="DOY41" s="344"/>
      <c r="DOZ41" s="344"/>
      <c r="DPA41" s="344"/>
      <c r="DPB41" s="344"/>
      <c r="DPC41" s="344"/>
      <c r="DPD41" s="344"/>
      <c r="DPE41" s="344"/>
      <c r="DPF41" s="344"/>
      <c r="DPG41" s="344"/>
      <c r="DPH41" s="344"/>
      <c r="DPI41" s="344"/>
      <c r="DPJ41" s="344"/>
      <c r="DPK41" s="344"/>
      <c r="DPL41" s="344"/>
      <c r="DPM41" s="344"/>
      <c r="DPN41" s="344"/>
      <c r="DPO41" s="344"/>
      <c r="DPP41" s="344"/>
      <c r="DPQ41" s="344"/>
      <c r="DPR41" s="344"/>
      <c r="DPS41" s="344"/>
      <c r="DPT41" s="344"/>
      <c r="DPU41" s="344"/>
      <c r="DPV41" s="344"/>
      <c r="DPW41" s="344"/>
      <c r="DPX41" s="344"/>
      <c r="DPY41" s="344"/>
      <c r="DPZ41" s="344"/>
      <c r="DQA41" s="344"/>
      <c r="DQB41" s="344"/>
      <c r="DQC41" s="344"/>
      <c r="DQD41" s="344"/>
      <c r="DQE41" s="344"/>
      <c r="DQF41" s="344"/>
      <c r="DQG41" s="344"/>
      <c r="DQH41" s="344"/>
      <c r="DQI41" s="344"/>
      <c r="DQJ41" s="344"/>
      <c r="DQK41" s="344"/>
      <c r="DQL41" s="344"/>
      <c r="DQM41" s="344"/>
      <c r="DQN41" s="344"/>
      <c r="DQO41" s="344"/>
      <c r="DQP41" s="344"/>
      <c r="DQQ41" s="344"/>
      <c r="DQR41" s="344"/>
      <c r="DQS41" s="344"/>
      <c r="DQT41" s="344"/>
      <c r="DQU41" s="344"/>
      <c r="DQV41" s="344"/>
      <c r="DQW41" s="344"/>
      <c r="DQX41" s="344"/>
      <c r="DQY41" s="344"/>
      <c r="DQZ41" s="344"/>
      <c r="DRA41" s="344"/>
      <c r="DRB41" s="344"/>
      <c r="DRC41" s="344"/>
      <c r="DRD41" s="344"/>
      <c r="DRE41" s="344"/>
      <c r="DRF41" s="344"/>
      <c r="DRG41" s="344"/>
      <c r="DRH41" s="344"/>
      <c r="DRI41" s="344"/>
      <c r="DRJ41" s="344"/>
      <c r="DRK41" s="344"/>
      <c r="DRL41" s="344"/>
      <c r="DRM41" s="344"/>
      <c r="DRN41" s="344"/>
      <c r="DRO41" s="344"/>
      <c r="DRP41" s="344"/>
      <c r="DRQ41" s="344"/>
      <c r="DRR41" s="344"/>
      <c r="DRS41" s="344"/>
      <c r="DRT41" s="344"/>
      <c r="DRU41" s="344"/>
      <c r="DRV41" s="344"/>
      <c r="DRW41" s="344"/>
      <c r="DRX41" s="344"/>
      <c r="DRY41" s="344"/>
      <c r="DRZ41" s="344"/>
      <c r="DSA41" s="344"/>
      <c r="DSB41" s="344"/>
      <c r="DSC41" s="344"/>
      <c r="DSD41" s="344"/>
      <c r="DSE41" s="344"/>
      <c r="DSF41" s="344"/>
      <c r="DSG41" s="344"/>
      <c r="DSH41" s="344"/>
      <c r="DSI41" s="344"/>
      <c r="DSJ41" s="344"/>
      <c r="DSK41" s="344"/>
      <c r="DSL41" s="344"/>
      <c r="DSM41" s="344"/>
      <c r="DSN41" s="344"/>
      <c r="DSO41" s="344"/>
      <c r="DSP41" s="344"/>
      <c r="DSQ41" s="344"/>
      <c r="DSR41" s="344"/>
      <c r="DSS41" s="344"/>
      <c r="DST41" s="344"/>
      <c r="DSU41" s="344"/>
      <c r="DSV41" s="344"/>
      <c r="DSW41" s="344"/>
      <c r="DSX41" s="344"/>
      <c r="DSY41" s="344"/>
      <c r="DSZ41" s="344"/>
      <c r="DTA41" s="344"/>
      <c r="DTB41" s="344"/>
      <c r="DTC41" s="344"/>
      <c r="DTD41" s="344"/>
      <c r="DTE41" s="344"/>
      <c r="DTF41" s="344"/>
      <c r="DTG41" s="344"/>
      <c r="DTH41" s="344"/>
      <c r="DTI41" s="344"/>
      <c r="DTJ41" s="344"/>
      <c r="DTK41" s="344"/>
      <c r="DTL41" s="344"/>
      <c r="DTM41" s="344"/>
      <c r="DTN41" s="344"/>
      <c r="DTO41" s="344"/>
      <c r="DTP41" s="344"/>
      <c r="DTQ41" s="344"/>
      <c r="DTR41" s="344"/>
      <c r="DTS41" s="344"/>
      <c r="DTT41" s="344"/>
      <c r="DTU41" s="344"/>
      <c r="DTV41" s="344"/>
      <c r="DTW41" s="344"/>
      <c r="DTX41" s="344"/>
      <c r="DTY41" s="344"/>
      <c r="DTZ41" s="344"/>
      <c r="DUA41" s="344"/>
      <c r="DUB41" s="344"/>
      <c r="DUC41" s="344"/>
      <c r="DUD41" s="344"/>
      <c r="DUE41" s="344"/>
      <c r="DUF41" s="344"/>
      <c r="DUG41" s="344"/>
      <c r="DUH41" s="344"/>
      <c r="DUI41" s="344"/>
      <c r="DUJ41" s="344"/>
      <c r="DUK41" s="344"/>
      <c r="DUL41" s="344"/>
      <c r="DUM41" s="344"/>
      <c r="DUN41" s="344"/>
      <c r="DUO41" s="344"/>
      <c r="DUP41" s="344"/>
      <c r="DUQ41" s="344"/>
      <c r="DUR41" s="344"/>
      <c r="DUS41" s="344"/>
      <c r="DUT41" s="344"/>
      <c r="DUU41" s="344"/>
      <c r="DUV41" s="344"/>
      <c r="DUW41" s="344"/>
      <c r="DUX41" s="344"/>
      <c r="DUY41" s="344"/>
      <c r="DUZ41" s="344"/>
      <c r="DVA41" s="344"/>
      <c r="DVB41" s="344"/>
      <c r="DVC41" s="344"/>
      <c r="DVD41" s="344"/>
      <c r="DVE41" s="344"/>
      <c r="DVF41" s="344"/>
      <c r="DVG41" s="344"/>
      <c r="DVH41" s="344"/>
      <c r="DVI41" s="344"/>
      <c r="DVJ41" s="344"/>
      <c r="DVK41" s="344"/>
      <c r="DVL41" s="344"/>
      <c r="DVM41" s="344"/>
      <c r="DVN41" s="344"/>
      <c r="DVO41" s="344"/>
      <c r="DVP41" s="344"/>
      <c r="DVQ41" s="344"/>
      <c r="DVR41" s="344"/>
      <c r="DVS41" s="344"/>
      <c r="DVT41" s="344"/>
      <c r="DVU41" s="344"/>
      <c r="DVV41" s="344"/>
      <c r="DVW41" s="344"/>
      <c r="DVX41" s="344"/>
      <c r="DVY41" s="344"/>
      <c r="DVZ41" s="344"/>
      <c r="DWA41" s="344"/>
      <c r="DWB41" s="344"/>
      <c r="DWC41" s="344"/>
      <c r="DWD41" s="344"/>
      <c r="DWE41" s="344"/>
      <c r="DWF41" s="344"/>
      <c r="DWG41" s="344"/>
      <c r="DWH41" s="344"/>
      <c r="DWI41" s="344"/>
      <c r="DWJ41" s="344"/>
      <c r="DWK41" s="344"/>
      <c r="DWL41" s="344"/>
      <c r="DWM41" s="344"/>
      <c r="DWN41" s="344"/>
      <c r="DWO41" s="344"/>
      <c r="DWP41" s="344"/>
      <c r="DWQ41" s="344"/>
      <c r="DWR41" s="344"/>
      <c r="DWS41" s="344"/>
      <c r="DWT41" s="344"/>
      <c r="DWU41" s="344"/>
      <c r="DWV41" s="344"/>
      <c r="DWW41" s="344"/>
      <c r="DWX41" s="344"/>
      <c r="DWY41" s="344"/>
      <c r="DWZ41" s="344"/>
      <c r="DXA41" s="344"/>
      <c r="DXB41" s="344"/>
      <c r="DXC41" s="344"/>
      <c r="DXD41" s="344"/>
      <c r="DXE41" s="344"/>
      <c r="DXF41" s="344"/>
      <c r="DXG41" s="344"/>
      <c r="DXH41" s="344"/>
      <c r="DXI41" s="344"/>
      <c r="DXJ41" s="344"/>
      <c r="DXK41" s="344"/>
      <c r="DXL41" s="344"/>
      <c r="DXM41" s="344"/>
      <c r="DXN41" s="344"/>
      <c r="DXO41" s="344"/>
      <c r="DXP41" s="344"/>
      <c r="DXQ41" s="344"/>
      <c r="DXR41" s="344"/>
      <c r="DXS41" s="344"/>
      <c r="DXT41" s="344"/>
      <c r="DXU41" s="344"/>
      <c r="DXV41" s="344"/>
      <c r="DXW41" s="344"/>
      <c r="DXX41" s="344"/>
      <c r="DXY41" s="344"/>
      <c r="DXZ41" s="344"/>
      <c r="DYA41" s="344"/>
      <c r="DYB41" s="344"/>
      <c r="DYC41" s="344"/>
      <c r="DYD41" s="344"/>
      <c r="DYE41" s="344"/>
      <c r="DYF41" s="344"/>
      <c r="DYG41" s="344"/>
      <c r="DYH41" s="344"/>
      <c r="DYI41" s="344"/>
      <c r="DYJ41" s="344"/>
      <c r="DYK41" s="344"/>
      <c r="DYL41" s="344"/>
      <c r="DYM41" s="344"/>
      <c r="DYN41" s="344"/>
      <c r="DYO41" s="344"/>
      <c r="DYP41" s="344"/>
      <c r="DYQ41" s="344"/>
      <c r="DYR41" s="344"/>
      <c r="DYS41" s="344"/>
      <c r="DYT41" s="344"/>
      <c r="DYU41" s="344"/>
      <c r="DYV41" s="344"/>
      <c r="DYW41" s="344"/>
      <c r="DYX41" s="344"/>
      <c r="DYY41" s="344"/>
      <c r="DYZ41" s="344"/>
      <c r="DZA41" s="344"/>
      <c r="DZB41" s="344"/>
      <c r="DZC41" s="344"/>
      <c r="DZD41" s="344"/>
      <c r="DZE41" s="344"/>
      <c r="DZF41" s="344"/>
      <c r="DZG41" s="344"/>
      <c r="DZH41" s="344"/>
      <c r="DZI41" s="344"/>
      <c r="DZJ41" s="344"/>
      <c r="DZK41" s="344"/>
      <c r="DZL41" s="344"/>
      <c r="DZM41" s="344"/>
      <c r="DZN41" s="344"/>
      <c r="DZO41" s="344"/>
      <c r="DZP41" s="344"/>
      <c r="DZQ41" s="344"/>
      <c r="DZR41" s="344"/>
      <c r="DZS41" s="344"/>
      <c r="DZT41" s="344"/>
      <c r="DZU41" s="344"/>
      <c r="DZV41" s="344"/>
      <c r="DZW41" s="344"/>
      <c r="DZX41" s="344"/>
      <c r="DZY41" s="344"/>
      <c r="DZZ41" s="344"/>
      <c r="EAA41" s="344"/>
      <c r="EAB41" s="344"/>
      <c r="EAC41" s="344"/>
      <c r="EAD41" s="344"/>
      <c r="EAE41" s="344"/>
      <c r="EAF41" s="344"/>
      <c r="EAG41" s="344"/>
      <c r="EAH41" s="344"/>
      <c r="EAI41" s="344"/>
      <c r="EAJ41" s="344"/>
      <c r="EAK41" s="344"/>
      <c r="EAL41" s="344"/>
      <c r="EAM41" s="344"/>
      <c r="EAN41" s="344"/>
      <c r="EAO41" s="344"/>
      <c r="EAP41" s="344"/>
      <c r="EAQ41" s="344"/>
      <c r="EAR41" s="344"/>
      <c r="EAS41" s="344"/>
      <c r="EAT41" s="344"/>
      <c r="EAU41" s="344"/>
      <c r="EAV41" s="344"/>
      <c r="EAW41" s="344"/>
      <c r="EAX41" s="344"/>
      <c r="EAY41" s="344"/>
      <c r="EAZ41" s="344"/>
      <c r="EBA41" s="344"/>
      <c r="EBB41" s="344"/>
      <c r="EBC41" s="344"/>
      <c r="EBD41" s="344"/>
      <c r="EBE41" s="344"/>
      <c r="EBF41" s="344"/>
      <c r="EBG41" s="344"/>
      <c r="EBH41" s="344"/>
      <c r="EBI41" s="344"/>
      <c r="EBJ41" s="344"/>
      <c r="EBK41" s="344"/>
      <c r="EBL41" s="344"/>
      <c r="EBM41" s="344"/>
      <c r="EBN41" s="344"/>
      <c r="EBO41" s="344"/>
      <c r="EBP41" s="344"/>
      <c r="EBQ41" s="344"/>
      <c r="EBR41" s="344"/>
      <c r="EBS41" s="344"/>
      <c r="EBT41" s="344"/>
      <c r="EBU41" s="344"/>
      <c r="EBV41" s="344"/>
      <c r="EBW41" s="344"/>
      <c r="EBX41" s="344"/>
      <c r="EBY41" s="344"/>
      <c r="EBZ41" s="344"/>
      <c r="ECA41" s="344"/>
      <c r="ECB41" s="344"/>
      <c r="ECC41" s="344"/>
      <c r="ECD41" s="344"/>
      <c r="ECE41" s="344"/>
      <c r="ECF41" s="344"/>
      <c r="ECG41" s="344"/>
      <c r="ECH41" s="344"/>
      <c r="ECI41" s="344"/>
      <c r="ECJ41" s="344"/>
      <c r="ECK41" s="344"/>
      <c r="ECL41" s="344"/>
      <c r="ECM41" s="344"/>
      <c r="ECN41" s="344"/>
      <c r="ECO41" s="344"/>
      <c r="ECP41" s="344"/>
      <c r="ECQ41" s="344"/>
      <c r="ECR41" s="344"/>
      <c r="ECS41" s="344"/>
      <c r="ECT41" s="344"/>
      <c r="ECU41" s="344"/>
      <c r="ECV41" s="344"/>
      <c r="ECW41" s="344"/>
      <c r="ECX41" s="344"/>
      <c r="ECY41" s="344"/>
      <c r="ECZ41" s="344"/>
      <c r="EDA41" s="344"/>
      <c r="EDB41" s="344"/>
      <c r="EDC41" s="344"/>
      <c r="EDD41" s="344"/>
      <c r="EDE41" s="344"/>
      <c r="EDF41" s="344"/>
      <c r="EDG41" s="344"/>
      <c r="EDH41" s="344"/>
      <c r="EDI41" s="344"/>
      <c r="EDJ41" s="344"/>
      <c r="EDK41" s="344"/>
      <c r="EDL41" s="344"/>
      <c r="EDM41" s="344"/>
      <c r="EDN41" s="344"/>
      <c r="EDO41" s="344"/>
      <c r="EDP41" s="344"/>
      <c r="EDQ41" s="344"/>
      <c r="EDR41" s="344"/>
      <c r="EDS41" s="344"/>
      <c r="EDT41" s="344"/>
      <c r="EDU41" s="344"/>
      <c r="EDV41" s="344"/>
      <c r="EDW41" s="344"/>
      <c r="EDX41" s="344"/>
      <c r="EDY41" s="344"/>
      <c r="EDZ41" s="344"/>
      <c r="EEA41" s="344"/>
      <c r="EEB41" s="344"/>
      <c r="EEC41" s="344"/>
      <c r="EED41" s="344"/>
      <c r="EEE41" s="344"/>
      <c r="EEF41" s="344"/>
      <c r="EEG41" s="344"/>
      <c r="EEH41" s="344"/>
      <c r="EEI41" s="344"/>
      <c r="EEJ41" s="344"/>
      <c r="EEK41" s="344"/>
      <c r="EEL41" s="344"/>
      <c r="EEM41" s="344"/>
      <c r="EEN41" s="344"/>
      <c r="EEO41" s="344"/>
      <c r="EEP41" s="344"/>
      <c r="EEQ41" s="344"/>
      <c r="EER41" s="344"/>
      <c r="EES41" s="344"/>
      <c r="EET41" s="344"/>
      <c r="EEU41" s="344"/>
      <c r="EEV41" s="344"/>
      <c r="EEW41" s="344"/>
      <c r="EEX41" s="344"/>
      <c r="EEY41" s="344"/>
      <c r="EEZ41" s="344"/>
      <c r="EFA41" s="344"/>
      <c r="EFB41" s="344"/>
      <c r="EFC41" s="344"/>
      <c r="EFD41" s="344"/>
      <c r="EFE41" s="344"/>
      <c r="EFF41" s="344"/>
      <c r="EFG41" s="344"/>
      <c r="EFH41" s="344"/>
      <c r="EFI41" s="344"/>
      <c r="EFJ41" s="344"/>
      <c r="EFK41" s="344"/>
      <c r="EFL41" s="344"/>
      <c r="EFM41" s="344"/>
      <c r="EFN41" s="344"/>
      <c r="EFO41" s="344"/>
      <c r="EFP41" s="344"/>
      <c r="EFQ41" s="344"/>
      <c r="EFR41" s="344"/>
      <c r="EFS41" s="344"/>
      <c r="EFT41" s="344"/>
      <c r="EFU41" s="344"/>
      <c r="EFV41" s="344"/>
      <c r="EFW41" s="344"/>
      <c r="EFX41" s="344"/>
      <c r="EFY41" s="344"/>
      <c r="EFZ41" s="344"/>
      <c r="EGA41" s="344"/>
      <c r="EGB41" s="344"/>
      <c r="EGC41" s="344"/>
      <c r="EGD41" s="344"/>
      <c r="EGE41" s="344"/>
      <c r="EGF41" s="344"/>
      <c r="EGG41" s="344"/>
      <c r="EGH41" s="344"/>
      <c r="EGI41" s="344"/>
      <c r="EGJ41" s="344"/>
      <c r="EGK41" s="344"/>
      <c r="EGL41" s="344"/>
      <c r="EGM41" s="344"/>
      <c r="EGN41" s="344"/>
      <c r="EGO41" s="344"/>
      <c r="EGP41" s="344"/>
      <c r="EGQ41" s="344"/>
      <c r="EGR41" s="344"/>
      <c r="EGS41" s="344"/>
      <c r="EGT41" s="344"/>
      <c r="EGU41" s="344"/>
      <c r="EGV41" s="344"/>
      <c r="EGW41" s="344"/>
      <c r="EGX41" s="344"/>
      <c r="EGY41" s="344"/>
      <c r="EGZ41" s="344"/>
      <c r="EHA41" s="344"/>
      <c r="EHB41" s="344"/>
      <c r="EHC41" s="344"/>
      <c r="EHD41" s="344"/>
      <c r="EHE41" s="344"/>
      <c r="EHF41" s="344"/>
      <c r="EHG41" s="344"/>
      <c r="EHH41" s="344"/>
      <c r="EHI41" s="344"/>
      <c r="EHJ41" s="344"/>
      <c r="EHK41" s="344"/>
      <c r="EHL41" s="344"/>
      <c r="EHM41" s="344"/>
      <c r="EHN41" s="344"/>
      <c r="EHO41" s="344"/>
      <c r="EHP41" s="344"/>
      <c r="EHQ41" s="344"/>
      <c r="EHR41" s="344"/>
      <c r="EHS41" s="344"/>
      <c r="EHT41" s="344"/>
      <c r="EHU41" s="344"/>
      <c r="EHV41" s="344"/>
      <c r="EHW41" s="344"/>
      <c r="EHX41" s="344"/>
      <c r="EHY41" s="344"/>
      <c r="EHZ41" s="344"/>
      <c r="EIA41" s="344"/>
      <c r="EIB41" s="344"/>
      <c r="EIC41" s="344"/>
      <c r="EID41" s="344"/>
      <c r="EIE41" s="344"/>
      <c r="EIF41" s="344"/>
      <c r="EIG41" s="344"/>
      <c r="EIH41" s="344"/>
      <c r="EII41" s="344"/>
      <c r="EIJ41" s="344"/>
      <c r="EIK41" s="344"/>
      <c r="EIL41" s="344"/>
      <c r="EIM41" s="344"/>
      <c r="EIN41" s="344"/>
      <c r="EIO41" s="344"/>
      <c r="EIP41" s="344"/>
      <c r="EIQ41" s="344"/>
      <c r="EIR41" s="344"/>
      <c r="EIS41" s="344"/>
      <c r="EIT41" s="344"/>
      <c r="EIU41" s="344"/>
      <c r="EIV41" s="344"/>
      <c r="EIW41" s="344"/>
      <c r="EIX41" s="344"/>
      <c r="EIY41" s="344"/>
      <c r="EIZ41" s="344"/>
      <c r="EJA41" s="344"/>
      <c r="EJB41" s="344"/>
      <c r="EJC41" s="344"/>
      <c r="EJD41" s="344"/>
      <c r="EJE41" s="344"/>
      <c r="EJF41" s="344"/>
      <c r="EJG41" s="344"/>
      <c r="EJH41" s="344"/>
      <c r="EJI41" s="344"/>
      <c r="EJJ41" s="344"/>
      <c r="EJK41" s="344"/>
      <c r="EJL41" s="344"/>
      <c r="EJM41" s="344"/>
      <c r="EJN41" s="344"/>
      <c r="EJO41" s="344"/>
      <c r="EJP41" s="344"/>
      <c r="EJQ41" s="344"/>
      <c r="EJR41" s="344"/>
      <c r="EJS41" s="344"/>
      <c r="EJT41" s="344"/>
      <c r="EJU41" s="344"/>
      <c r="EJV41" s="344"/>
      <c r="EJW41" s="344"/>
      <c r="EJX41" s="344"/>
      <c r="EJY41" s="344"/>
      <c r="EJZ41" s="344"/>
      <c r="EKA41" s="344"/>
      <c r="EKB41" s="344"/>
      <c r="EKC41" s="344"/>
      <c r="EKD41" s="344"/>
      <c r="EKE41" s="344"/>
      <c r="EKF41" s="344"/>
      <c r="EKG41" s="344"/>
      <c r="EKH41" s="344"/>
      <c r="EKI41" s="344"/>
      <c r="EKJ41" s="344"/>
      <c r="EKK41" s="344"/>
      <c r="EKL41" s="344"/>
      <c r="EKM41" s="344"/>
      <c r="EKN41" s="344"/>
      <c r="EKO41" s="344"/>
      <c r="EKP41" s="344"/>
      <c r="EKQ41" s="344"/>
      <c r="EKR41" s="344"/>
      <c r="EKS41" s="344"/>
      <c r="EKT41" s="344"/>
      <c r="EKU41" s="344"/>
      <c r="EKV41" s="344"/>
      <c r="EKW41" s="344"/>
      <c r="EKX41" s="344"/>
      <c r="EKY41" s="344"/>
      <c r="EKZ41" s="344"/>
      <c r="ELA41" s="344"/>
      <c r="ELB41" s="344"/>
      <c r="ELC41" s="344"/>
      <c r="ELD41" s="344"/>
      <c r="ELE41" s="344"/>
      <c r="ELF41" s="344"/>
      <c r="ELG41" s="344"/>
      <c r="ELH41" s="344"/>
      <c r="ELI41" s="344"/>
      <c r="ELJ41" s="344"/>
      <c r="ELK41" s="344"/>
      <c r="ELL41" s="344"/>
      <c r="ELM41" s="344"/>
      <c r="ELN41" s="344"/>
      <c r="ELO41" s="344"/>
      <c r="ELP41" s="344"/>
      <c r="ELQ41" s="344"/>
      <c r="ELR41" s="344"/>
      <c r="ELS41" s="344"/>
      <c r="ELT41" s="344"/>
      <c r="ELU41" s="344"/>
      <c r="ELV41" s="344"/>
      <c r="ELW41" s="344"/>
      <c r="ELX41" s="344"/>
      <c r="ELY41" s="344"/>
      <c r="ELZ41" s="344"/>
      <c r="EMA41" s="344"/>
      <c r="EMB41" s="344"/>
      <c r="EMC41" s="344"/>
      <c r="EMD41" s="344"/>
      <c r="EME41" s="344"/>
      <c r="EMF41" s="344"/>
      <c r="EMG41" s="344"/>
      <c r="EMH41" s="344"/>
      <c r="EMI41" s="344"/>
      <c r="EMJ41" s="344"/>
      <c r="EMK41" s="344"/>
      <c r="EML41" s="344"/>
      <c r="EMM41" s="344"/>
      <c r="EMN41" s="344"/>
      <c r="EMO41" s="344"/>
      <c r="EMP41" s="344"/>
      <c r="EMQ41" s="344"/>
      <c r="EMR41" s="344"/>
      <c r="EMS41" s="344"/>
      <c r="EMT41" s="344"/>
      <c r="EMU41" s="344"/>
      <c r="EMV41" s="344"/>
      <c r="EMW41" s="344"/>
      <c r="EMX41" s="344"/>
      <c r="EMY41" s="344"/>
      <c r="EMZ41" s="344"/>
      <c r="ENA41" s="344"/>
      <c r="ENB41" s="344"/>
      <c r="ENC41" s="344"/>
      <c r="END41" s="344"/>
      <c r="ENE41" s="344"/>
      <c r="ENF41" s="344"/>
      <c r="ENG41" s="344"/>
      <c r="ENH41" s="344"/>
      <c r="ENI41" s="344"/>
      <c r="ENJ41" s="344"/>
      <c r="ENK41" s="344"/>
      <c r="ENL41" s="344"/>
      <c r="ENM41" s="344"/>
      <c r="ENN41" s="344"/>
      <c r="ENO41" s="344"/>
      <c r="ENP41" s="344"/>
      <c r="ENQ41" s="344"/>
      <c r="ENR41" s="344"/>
      <c r="ENS41" s="344"/>
      <c r="ENT41" s="344"/>
      <c r="ENU41" s="344"/>
      <c r="ENV41" s="344"/>
      <c r="ENW41" s="344"/>
      <c r="ENX41" s="344"/>
      <c r="ENY41" s="344"/>
      <c r="ENZ41" s="344"/>
      <c r="EOA41" s="344"/>
      <c r="EOB41" s="344"/>
      <c r="EOC41" s="344"/>
      <c r="EOD41" s="344"/>
      <c r="EOE41" s="344"/>
      <c r="EOF41" s="344"/>
      <c r="EOG41" s="344"/>
      <c r="EOH41" s="344"/>
      <c r="EOI41" s="344"/>
      <c r="EOJ41" s="344"/>
      <c r="EOK41" s="344"/>
      <c r="EOL41" s="344"/>
      <c r="EOM41" s="344"/>
      <c r="EON41" s="344"/>
      <c r="EOO41" s="344"/>
      <c r="EOP41" s="344"/>
      <c r="EOQ41" s="344"/>
      <c r="EOR41" s="344"/>
      <c r="EOS41" s="344"/>
      <c r="EOT41" s="344"/>
      <c r="EOU41" s="344"/>
      <c r="EOV41" s="344"/>
      <c r="EOW41" s="344"/>
      <c r="EOX41" s="344"/>
      <c r="EOY41" s="344"/>
      <c r="EOZ41" s="344"/>
      <c r="EPA41" s="344"/>
      <c r="EPB41" s="344"/>
      <c r="EPC41" s="344"/>
      <c r="EPD41" s="344"/>
      <c r="EPE41" s="344"/>
      <c r="EPF41" s="344"/>
      <c r="EPG41" s="344"/>
      <c r="EPH41" s="344"/>
      <c r="EPI41" s="344"/>
      <c r="EPJ41" s="344"/>
      <c r="EPK41" s="344"/>
      <c r="EPL41" s="344"/>
      <c r="EPM41" s="344"/>
      <c r="EPN41" s="344"/>
      <c r="EPO41" s="344"/>
      <c r="EPP41" s="344"/>
      <c r="EPQ41" s="344"/>
      <c r="EPR41" s="344"/>
      <c r="EPS41" s="344"/>
      <c r="EPT41" s="344"/>
      <c r="EPU41" s="344"/>
      <c r="EPV41" s="344"/>
      <c r="EPW41" s="344"/>
      <c r="EPX41" s="344"/>
      <c r="EPY41" s="344"/>
      <c r="EPZ41" s="344"/>
      <c r="EQA41" s="344"/>
      <c r="EQB41" s="344"/>
      <c r="EQC41" s="344"/>
      <c r="EQD41" s="344"/>
      <c r="EQE41" s="344"/>
      <c r="EQF41" s="344"/>
      <c r="EQG41" s="344"/>
      <c r="EQH41" s="344"/>
      <c r="EQI41" s="344"/>
      <c r="EQJ41" s="344"/>
      <c r="EQK41" s="344"/>
      <c r="EQL41" s="344"/>
      <c r="EQM41" s="344"/>
      <c r="EQN41" s="344"/>
      <c r="EQO41" s="344"/>
      <c r="EQP41" s="344"/>
      <c r="EQQ41" s="344"/>
      <c r="EQR41" s="344"/>
      <c r="EQS41" s="344"/>
      <c r="EQT41" s="344"/>
      <c r="EQU41" s="344"/>
      <c r="EQV41" s="344"/>
      <c r="EQW41" s="344"/>
      <c r="EQX41" s="344"/>
      <c r="EQY41" s="344"/>
      <c r="EQZ41" s="344"/>
      <c r="ERA41" s="344"/>
      <c r="ERB41" s="344"/>
      <c r="ERC41" s="344"/>
      <c r="ERD41" s="344"/>
      <c r="ERE41" s="344"/>
      <c r="ERF41" s="344"/>
      <c r="ERG41" s="344"/>
      <c r="ERH41" s="344"/>
      <c r="ERI41" s="344"/>
      <c r="ERJ41" s="344"/>
      <c r="ERK41" s="344"/>
      <c r="ERL41" s="344"/>
      <c r="ERM41" s="344"/>
      <c r="ERN41" s="344"/>
      <c r="ERO41" s="344"/>
      <c r="ERP41" s="344"/>
      <c r="ERQ41" s="344"/>
      <c r="ERR41" s="344"/>
      <c r="ERS41" s="344"/>
      <c r="ERT41" s="344"/>
      <c r="ERU41" s="344"/>
      <c r="ERV41" s="344"/>
      <c r="ERW41" s="344"/>
      <c r="ERX41" s="344"/>
      <c r="ERY41" s="344"/>
      <c r="ERZ41" s="344"/>
      <c r="ESA41" s="344"/>
      <c r="ESB41" s="344"/>
      <c r="ESC41" s="344"/>
      <c r="ESD41" s="344"/>
      <c r="ESE41" s="344"/>
      <c r="ESF41" s="344"/>
      <c r="ESG41" s="344"/>
      <c r="ESH41" s="344"/>
      <c r="ESI41" s="344"/>
      <c r="ESJ41" s="344"/>
      <c r="ESK41" s="344"/>
      <c r="ESL41" s="344"/>
      <c r="ESM41" s="344"/>
      <c r="ESN41" s="344"/>
      <c r="ESO41" s="344"/>
      <c r="ESP41" s="344"/>
      <c r="ESQ41" s="344"/>
      <c r="ESR41" s="344"/>
      <c r="ESS41" s="344"/>
      <c r="EST41" s="344"/>
      <c r="ESU41" s="344"/>
      <c r="ESV41" s="344"/>
      <c r="ESW41" s="344"/>
      <c r="ESX41" s="344"/>
      <c r="ESY41" s="344"/>
      <c r="ESZ41" s="344"/>
      <c r="ETA41" s="344"/>
      <c r="ETB41" s="344"/>
      <c r="ETC41" s="344"/>
      <c r="ETD41" s="344"/>
      <c r="ETE41" s="344"/>
      <c r="ETF41" s="344"/>
      <c r="ETG41" s="344"/>
      <c r="ETH41" s="344"/>
      <c r="ETI41" s="344"/>
      <c r="ETJ41" s="344"/>
      <c r="ETK41" s="344"/>
      <c r="ETL41" s="344"/>
      <c r="ETM41" s="344"/>
      <c r="ETN41" s="344"/>
      <c r="ETO41" s="344"/>
      <c r="ETP41" s="344"/>
      <c r="ETQ41" s="344"/>
      <c r="ETR41" s="344"/>
      <c r="ETS41" s="344"/>
      <c r="ETT41" s="344"/>
      <c r="ETU41" s="344"/>
      <c r="ETV41" s="344"/>
      <c r="ETW41" s="344"/>
      <c r="ETX41" s="344"/>
      <c r="ETY41" s="344"/>
      <c r="ETZ41" s="344"/>
      <c r="EUA41" s="344"/>
      <c r="EUB41" s="344"/>
      <c r="EUC41" s="344"/>
      <c r="EUD41" s="344"/>
      <c r="EUE41" s="344"/>
      <c r="EUF41" s="344"/>
      <c r="EUG41" s="344"/>
      <c r="EUH41" s="344"/>
      <c r="EUI41" s="344"/>
      <c r="EUJ41" s="344"/>
      <c r="EUK41" s="344"/>
      <c r="EUL41" s="344"/>
      <c r="EUM41" s="344"/>
      <c r="EUN41" s="344"/>
      <c r="EUO41" s="344"/>
      <c r="EUP41" s="344"/>
      <c r="EUQ41" s="344"/>
      <c r="EUR41" s="344"/>
      <c r="EUS41" s="344"/>
      <c r="EUT41" s="344"/>
      <c r="EUU41" s="344"/>
      <c r="EUV41" s="344"/>
      <c r="EUW41" s="344"/>
      <c r="EUX41" s="344"/>
      <c r="EUY41" s="344"/>
      <c r="EUZ41" s="344"/>
      <c r="EVA41" s="344"/>
      <c r="EVB41" s="344"/>
      <c r="EVC41" s="344"/>
      <c r="EVD41" s="344"/>
      <c r="EVE41" s="344"/>
      <c r="EVF41" s="344"/>
      <c r="EVG41" s="344"/>
      <c r="EVH41" s="344"/>
      <c r="EVI41" s="344"/>
      <c r="EVJ41" s="344"/>
      <c r="EVK41" s="344"/>
      <c r="EVL41" s="344"/>
      <c r="EVM41" s="344"/>
      <c r="EVN41" s="344"/>
      <c r="EVO41" s="344"/>
      <c r="EVP41" s="344"/>
      <c r="EVQ41" s="344"/>
      <c r="EVR41" s="344"/>
      <c r="EVS41" s="344"/>
      <c r="EVT41" s="344"/>
      <c r="EVU41" s="344"/>
      <c r="EVV41" s="344"/>
      <c r="EVW41" s="344"/>
      <c r="EVX41" s="344"/>
      <c r="EVY41" s="344"/>
      <c r="EVZ41" s="344"/>
      <c r="EWA41" s="344"/>
      <c r="EWB41" s="344"/>
      <c r="EWC41" s="344"/>
      <c r="EWD41" s="344"/>
      <c r="EWE41" s="344"/>
      <c r="EWF41" s="344"/>
      <c r="EWG41" s="344"/>
      <c r="EWH41" s="344"/>
      <c r="EWI41" s="344"/>
      <c r="EWJ41" s="344"/>
      <c r="EWK41" s="344"/>
      <c r="EWL41" s="344"/>
      <c r="EWM41" s="344"/>
      <c r="EWN41" s="344"/>
      <c r="EWO41" s="344"/>
      <c r="EWP41" s="344"/>
      <c r="EWQ41" s="344"/>
      <c r="EWR41" s="344"/>
      <c r="EWS41" s="344"/>
      <c r="EWT41" s="344"/>
      <c r="EWU41" s="344"/>
      <c r="EWV41" s="344"/>
      <c r="EWW41" s="344"/>
      <c r="EWX41" s="344"/>
      <c r="EWY41" s="344"/>
      <c r="EWZ41" s="344"/>
      <c r="EXA41" s="344"/>
      <c r="EXB41" s="344"/>
      <c r="EXC41" s="344"/>
      <c r="EXD41" s="344"/>
      <c r="EXE41" s="344"/>
      <c r="EXF41" s="344"/>
      <c r="EXG41" s="344"/>
      <c r="EXH41" s="344"/>
      <c r="EXI41" s="344"/>
      <c r="EXJ41" s="344"/>
      <c r="EXK41" s="344"/>
      <c r="EXL41" s="344"/>
      <c r="EXM41" s="344"/>
      <c r="EXN41" s="344"/>
      <c r="EXO41" s="344"/>
      <c r="EXP41" s="344"/>
      <c r="EXQ41" s="344"/>
      <c r="EXR41" s="344"/>
      <c r="EXS41" s="344"/>
      <c r="EXT41" s="344"/>
      <c r="EXU41" s="344"/>
      <c r="EXV41" s="344"/>
      <c r="EXW41" s="344"/>
      <c r="EXX41" s="344"/>
      <c r="EXY41" s="344"/>
      <c r="EXZ41" s="344"/>
      <c r="EYA41" s="344"/>
      <c r="EYB41" s="344"/>
      <c r="EYC41" s="344"/>
      <c r="EYD41" s="344"/>
      <c r="EYE41" s="344"/>
      <c r="EYF41" s="344"/>
      <c r="EYG41" s="344"/>
      <c r="EYH41" s="344"/>
      <c r="EYI41" s="344"/>
      <c r="EYJ41" s="344"/>
      <c r="EYK41" s="344"/>
      <c r="EYL41" s="344"/>
      <c r="EYM41" s="344"/>
      <c r="EYN41" s="344"/>
      <c r="EYO41" s="344"/>
      <c r="EYP41" s="344"/>
      <c r="EYQ41" s="344"/>
      <c r="EYR41" s="344"/>
      <c r="EYS41" s="344"/>
      <c r="EYT41" s="344"/>
      <c r="EYU41" s="344"/>
      <c r="EYV41" s="344"/>
      <c r="EYW41" s="344"/>
      <c r="EYX41" s="344"/>
      <c r="EYY41" s="344"/>
      <c r="EYZ41" s="344"/>
      <c r="EZA41" s="344"/>
      <c r="EZB41" s="344"/>
      <c r="EZC41" s="344"/>
      <c r="EZD41" s="344"/>
      <c r="EZE41" s="344"/>
      <c r="EZF41" s="344"/>
      <c r="EZG41" s="344"/>
      <c r="EZH41" s="344"/>
      <c r="EZI41" s="344"/>
      <c r="EZJ41" s="344"/>
      <c r="EZK41" s="344"/>
      <c r="EZL41" s="344"/>
      <c r="EZM41" s="344"/>
      <c r="EZN41" s="344"/>
      <c r="EZO41" s="344"/>
      <c r="EZP41" s="344"/>
      <c r="EZQ41" s="344"/>
      <c r="EZR41" s="344"/>
      <c r="EZS41" s="344"/>
      <c r="EZT41" s="344"/>
      <c r="EZU41" s="344"/>
      <c r="EZV41" s="344"/>
      <c r="EZW41" s="344"/>
      <c r="EZX41" s="344"/>
      <c r="EZY41" s="344"/>
      <c r="EZZ41" s="344"/>
      <c r="FAA41" s="344"/>
      <c r="FAB41" s="344"/>
      <c r="FAC41" s="344"/>
      <c r="FAD41" s="344"/>
      <c r="FAE41" s="344"/>
      <c r="FAF41" s="344"/>
      <c r="FAG41" s="344"/>
      <c r="FAH41" s="344"/>
      <c r="FAI41" s="344"/>
      <c r="FAJ41" s="344"/>
      <c r="FAK41" s="344"/>
      <c r="FAL41" s="344"/>
      <c r="FAM41" s="344"/>
      <c r="FAN41" s="344"/>
      <c r="FAO41" s="344"/>
      <c r="FAP41" s="344"/>
      <c r="FAQ41" s="344"/>
      <c r="FAR41" s="344"/>
      <c r="FAS41" s="344"/>
      <c r="FAT41" s="344"/>
      <c r="FAU41" s="344"/>
      <c r="FAV41" s="344"/>
      <c r="FAW41" s="344"/>
      <c r="FAX41" s="344"/>
      <c r="FAY41" s="344"/>
      <c r="FAZ41" s="344"/>
      <c r="FBA41" s="344"/>
      <c r="FBB41" s="344"/>
      <c r="FBC41" s="344"/>
      <c r="FBD41" s="344"/>
      <c r="FBE41" s="344"/>
      <c r="FBF41" s="344"/>
      <c r="FBG41" s="344"/>
      <c r="FBH41" s="344"/>
      <c r="FBI41" s="344"/>
      <c r="FBJ41" s="344"/>
      <c r="FBK41" s="344"/>
      <c r="FBL41" s="344"/>
      <c r="FBM41" s="344"/>
      <c r="FBN41" s="344"/>
      <c r="FBO41" s="344"/>
      <c r="FBP41" s="344"/>
      <c r="FBQ41" s="344"/>
      <c r="FBR41" s="344"/>
      <c r="FBS41" s="344"/>
      <c r="FBT41" s="344"/>
      <c r="FBU41" s="344"/>
      <c r="FBV41" s="344"/>
      <c r="FBW41" s="344"/>
      <c r="FBX41" s="344"/>
      <c r="FBY41" s="344"/>
      <c r="FBZ41" s="344"/>
      <c r="FCA41" s="344"/>
      <c r="FCB41" s="344"/>
      <c r="FCC41" s="344"/>
      <c r="FCD41" s="344"/>
      <c r="FCE41" s="344"/>
      <c r="FCF41" s="344"/>
      <c r="FCG41" s="344"/>
      <c r="FCH41" s="344"/>
      <c r="FCI41" s="344"/>
      <c r="FCJ41" s="344"/>
      <c r="FCK41" s="344"/>
      <c r="FCL41" s="344"/>
      <c r="FCM41" s="344"/>
      <c r="FCN41" s="344"/>
      <c r="FCO41" s="344"/>
      <c r="FCP41" s="344"/>
      <c r="FCQ41" s="344"/>
      <c r="FCR41" s="344"/>
      <c r="FCS41" s="344"/>
      <c r="FCT41" s="344"/>
      <c r="FCU41" s="344"/>
      <c r="FCV41" s="344"/>
      <c r="FCW41" s="344"/>
      <c r="FCX41" s="344"/>
      <c r="FCY41" s="344"/>
      <c r="FCZ41" s="344"/>
      <c r="FDA41" s="344"/>
      <c r="FDB41" s="344"/>
      <c r="FDC41" s="344"/>
      <c r="FDD41" s="344"/>
      <c r="FDE41" s="344"/>
      <c r="FDF41" s="344"/>
      <c r="FDG41" s="344"/>
      <c r="FDH41" s="344"/>
      <c r="FDI41" s="344"/>
      <c r="FDJ41" s="344"/>
      <c r="FDK41" s="344"/>
      <c r="FDL41" s="344"/>
      <c r="FDM41" s="344"/>
      <c r="FDN41" s="344"/>
      <c r="FDO41" s="344"/>
      <c r="FDP41" s="344"/>
      <c r="FDQ41" s="344"/>
      <c r="FDR41" s="344"/>
      <c r="FDS41" s="344"/>
      <c r="FDT41" s="344"/>
      <c r="FDU41" s="344"/>
      <c r="FDV41" s="344"/>
      <c r="FDW41" s="344"/>
      <c r="FDX41" s="344"/>
      <c r="FDY41" s="344"/>
      <c r="FDZ41" s="344"/>
      <c r="FEA41" s="344"/>
      <c r="FEB41" s="344"/>
      <c r="FEC41" s="344"/>
      <c r="FED41" s="344"/>
      <c r="FEE41" s="344"/>
      <c r="FEF41" s="344"/>
      <c r="FEG41" s="344"/>
      <c r="FEH41" s="344"/>
      <c r="FEI41" s="344"/>
      <c r="FEJ41" s="344"/>
      <c r="FEK41" s="344"/>
      <c r="FEL41" s="344"/>
      <c r="FEM41" s="344"/>
      <c r="FEN41" s="344"/>
      <c r="FEO41" s="344"/>
      <c r="FEP41" s="344"/>
      <c r="FEQ41" s="344"/>
      <c r="FER41" s="344"/>
      <c r="FES41" s="344"/>
      <c r="FET41" s="344"/>
      <c r="FEU41" s="344"/>
      <c r="FEV41" s="344"/>
      <c r="FEW41" s="344"/>
      <c r="FEX41" s="344"/>
      <c r="FEY41" s="344"/>
      <c r="FEZ41" s="344"/>
      <c r="FFA41" s="344"/>
      <c r="FFB41" s="344"/>
      <c r="FFC41" s="344"/>
      <c r="FFD41" s="344"/>
      <c r="FFE41" s="344"/>
      <c r="FFF41" s="344"/>
      <c r="FFG41" s="344"/>
      <c r="FFH41" s="344"/>
      <c r="FFI41" s="344"/>
      <c r="FFJ41" s="344"/>
      <c r="FFK41" s="344"/>
      <c r="FFL41" s="344"/>
      <c r="FFM41" s="344"/>
      <c r="FFN41" s="344"/>
      <c r="FFO41" s="344"/>
      <c r="FFP41" s="344"/>
      <c r="FFQ41" s="344"/>
      <c r="FFR41" s="344"/>
      <c r="FFS41" s="344"/>
      <c r="FFT41" s="344"/>
      <c r="FFU41" s="344"/>
      <c r="FFV41" s="344"/>
      <c r="FFW41" s="344"/>
      <c r="FFX41" s="344"/>
      <c r="FFY41" s="344"/>
      <c r="FFZ41" s="344"/>
      <c r="FGA41" s="344"/>
      <c r="FGB41" s="344"/>
      <c r="FGC41" s="344"/>
      <c r="FGD41" s="344"/>
      <c r="FGE41" s="344"/>
      <c r="FGF41" s="344"/>
      <c r="FGG41" s="344"/>
      <c r="FGH41" s="344"/>
      <c r="FGI41" s="344"/>
      <c r="FGJ41" s="344"/>
      <c r="FGK41" s="344"/>
      <c r="FGL41" s="344"/>
      <c r="FGM41" s="344"/>
      <c r="FGN41" s="344"/>
      <c r="FGO41" s="344"/>
      <c r="FGP41" s="344"/>
      <c r="FGQ41" s="344"/>
      <c r="FGR41" s="344"/>
      <c r="FGS41" s="344"/>
      <c r="FGT41" s="344"/>
      <c r="FGU41" s="344"/>
      <c r="FGV41" s="344"/>
      <c r="FGW41" s="344"/>
      <c r="FGX41" s="344"/>
      <c r="FGY41" s="344"/>
      <c r="FGZ41" s="344"/>
      <c r="FHA41" s="344"/>
      <c r="FHB41" s="344"/>
      <c r="FHC41" s="344"/>
      <c r="FHD41" s="344"/>
      <c r="FHE41" s="344"/>
      <c r="FHF41" s="344"/>
      <c r="FHG41" s="344"/>
      <c r="FHH41" s="344"/>
      <c r="FHI41" s="344"/>
      <c r="FHJ41" s="344"/>
      <c r="FHK41" s="344"/>
      <c r="FHL41" s="344"/>
      <c r="FHM41" s="344"/>
      <c r="FHN41" s="344"/>
      <c r="FHO41" s="344"/>
      <c r="FHP41" s="344"/>
      <c r="FHQ41" s="344"/>
      <c r="FHR41" s="344"/>
      <c r="FHS41" s="344"/>
      <c r="FHT41" s="344"/>
      <c r="FHU41" s="344"/>
      <c r="FHV41" s="344"/>
      <c r="FHW41" s="344"/>
      <c r="FHX41" s="344"/>
      <c r="FHY41" s="344"/>
      <c r="FHZ41" s="344"/>
      <c r="FIA41" s="344"/>
      <c r="FIB41" s="344"/>
      <c r="FIC41" s="344"/>
      <c r="FID41" s="344"/>
      <c r="FIE41" s="344"/>
      <c r="FIF41" s="344"/>
      <c r="FIG41" s="344"/>
      <c r="FIH41" s="344"/>
      <c r="FII41" s="344"/>
      <c r="FIJ41" s="344"/>
      <c r="FIK41" s="344"/>
      <c r="FIL41" s="344"/>
      <c r="FIM41" s="344"/>
      <c r="FIN41" s="344"/>
      <c r="FIO41" s="344"/>
      <c r="FIP41" s="344"/>
      <c r="FIQ41" s="344"/>
      <c r="FIR41" s="344"/>
      <c r="FIS41" s="344"/>
      <c r="FIT41" s="344"/>
      <c r="FIU41" s="344"/>
      <c r="FIV41" s="344"/>
      <c r="FIW41" s="344"/>
      <c r="FIX41" s="344"/>
      <c r="FIY41" s="344"/>
      <c r="FIZ41" s="344"/>
      <c r="FJA41" s="344"/>
      <c r="FJB41" s="344"/>
      <c r="FJC41" s="344"/>
      <c r="FJD41" s="344"/>
      <c r="FJE41" s="344"/>
      <c r="FJF41" s="344"/>
      <c r="FJG41" s="344"/>
      <c r="FJH41" s="344"/>
      <c r="FJI41" s="344"/>
      <c r="FJJ41" s="344"/>
      <c r="FJK41" s="344"/>
      <c r="FJL41" s="344"/>
      <c r="FJM41" s="344"/>
      <c r="FJN41" s="344"/>
      <c r="FJO41" s="344"/>
      <c r="FJP41" s="344"/>
      <c r="FJQ41" s="344"/>
      <c r="FJR41" s="344"/>
      <c r="FJS41" s="344"/>
      <c r="FJT41" s="344"/>
      <c r="FJU41" s="344"/>
      <c r="FJV41" s="344"/>
      <c r="FJW41" s="344"/>
      <c r="FJX41" s="344"/>
      <c r="FJY41" s="344"/>
      <c r="FJZ41" s="344"/>
      <c r="FKA41" s="344"/>
      <c r="FKB41" s="344"/>
      <c r="FKC41" s="344"/>
      <c r="FKD41" s="344"/>
      <c r="FKE41" s="344"/>
      <c r="FKF41" s="344"/>
      <c r="FKG41" s="344"/>
      <c r="FKH41" s="344"/>
      <c r="FKI41" s="344"/>
      <c r="FKJ41" s="344"/>
      <c r="FKK41" s="344"/>
      <c r="FKL41" s="344"/>
      <c r="FKM41" s="344"/>
      <c r="FKN41" s="344"/>
      <c r="FKO41" s="344"/>
      <c r="FKP41" s="344"/>
      <c r="FKQ41" s="344"/>
      <c r="FKR41" s="344"/>
      <c r="FKS41" s="344"/>
      <c r="FKT41" s="344"/>
      <c r="FKU41" s="344"/>
      <c r="FKV41" s="344"/>
      <c r="FKW41" s="344"/>
      <c r="FKX41" s="344"/>
      <c r="FKY41" s="344"/>
      <c r="FKZ41" s="344"/>
      <c r="FLA41" s="344"/>
      <c r="FLB41" s="344"/>
      <c r="FLC41" s="344"/>
      <c r="FLD41" s="344"/>
      <c r="FLE41" s="344"/>
      <c r="FLF41" s="344"/>
      <c r="FLG41" s="344"/>
      <c r="FLH41" s="344"/>
      <c r="FLI41" s="344"/>
      <c r="FLJ41" s="344"/>
      <c r="FLK41" s="344"/>
      <c r="FLL41" s="344"/>
      <c r="FLM41" s="344"/>
      <c r="FLN41" s="344"/>
      <c r="FLO41" s="344"/>
      <c r="FLP41" s="344"/>
      <c r="FLQ41" s="344"/>
      <c r="FLR41" s="344"/>
      <c r="FLS41" s="344"/>
      <c r="FLT41" s="344"/>
      <c r="FLU41" s="344"/>
      <c r="FLV41" s="344"/>
      <c r="FLW41" s="344"/>
      <c r="FLX41" s="344"/>
      <c r="FLY41" s="344"/>
      <c r="FLZ41" s="344"/>
      <c r="FMA41" s="344"/>
      <c r="FMB41" s="344"/>
      <c r="FMC41" s="344"/>
      <c r="FMD41" s="344"/>
      <c r="FME41" s="344"/>
      <c r="FMF41" s="344"/>
      <c r="FMG41" s="344"/>
      <c r="FMH41" s="344"/>
      <c r="FMI41" s="344"/>
      <c r="FMJ41" s="344"/>
      <c r="FMK41" s="344"/>
      <c r="FML41" s="344"/>
      <c r="FMM41" s="344"/>
      <c r="FMN41" s="344"/>
      <c r="FMO41" s="344"/>
      <c r="FMP41" s="344"/>
      <c r="FMQ41" s="344"/>
      <c r="FMR41" s="344"/>
      <c r="FMS41" s="344"/>
      <c r="FMT41" s="344"/>
      <c r="FMU41" s="344"/>
      <c r="FMV41" s="344"/>
      <c r="FMW41" s="344"/>
      <c r="FMX41" s="344"/>
      <c r="FMY41" s="344"/>
      <c r="FMZ41" s="344"/>
      <c r="FNA41" s="344"/>
      <c r="FNB41" s="344"/>
      <c r="FNC41" s="344"/>
      <c r="FND41" s="344"/>
      <c r="FNE41" s="344"/>
      <c r="FNF41" s="344"/>
      <c r="FNG41" s="344"/>
      <c r="FNH41" s="344"/>
      <c r="FNI41" s="344"/>
      <c r="FNJ41" s="344"/>
      <c r="FNK41" s="344"/>
      <c r="FNL41" s="344"/>
      <c r="FNM41" s="344"/>
      <c r="FNN41" s="344"/>
      <c r="FNO41" s="344"/>
      <c r="FNP41" s="344"/>
      <c r="FNQ41" s="344"/>
      <c r="FNR41" s="344"/>
      <c r="FNS41" s="344"/>
      <c r="FNT41" s="344"/>
      <c r="FNU41" s="344"/>
      <c r="FNV41" s="344"/>
      <c r="FNW41" s="344"/>
      <c r="FNX41" s="344"/>
      <c r="FNY41" s="344"/>
      <c r="FNZ41" s="344"/>
      <c r="FOA41" s="344"/>
      <c r="FOB41" s="344"/>
      <c r="FOC41" s="344"/>
      <c r="FOD41" s="344"/>
      <c r="FOE41" s="344"/>
      <c r="FOF41" s="344"/>
      <c r="FOG41" s="344"/>
      <c r="FOH41" s="344"/>
      <c r="FOI41" s="344"/>
      <c r="FOJ41" s="344"/>
      <c r="FOK41" s="344"/>
      <c r="FOL41" s="344"/>
      <c r="FOM41" s="344"/>
      <c r="FON41" s="344"/>
      <c r="FOO41" s="344"/>
      <c r="FOP41" s="344"/>
      <c r="FOQ41" s="344"/>
      <c r="FOR41" s="344"/>
      <c r="FOS41" s="344"/>
      <c r="FOT41" s="344"/>
      <c r="FOU41" s="344"/>
      <c r="FOV41" s="344"/>
      <c r="FOW41" s="344"/>
      <c r="FOX41" s="344"/>
      <c r="FOY41" s="344"/>
      <c r="FOZ41" s="344"/>
      <c r="FPA41" s="344"/>
      <c r="FPB41" s="344"/>
      <c r="FPC41" s="344"/>
      <c r="FPD41" s="344"/>
      <c r="FPE41" s="344"/>
      <c r="FPF41" s="344"/>
      <c r="FPG41" s="344"/>
      <c r="FPH41" s="344"/>
      <c r="FPI41" s="344"/>
      <c r="FPJ41" s="344"/>
      <c r="FPK41" s="344"/>
      <c r="FPL41" s="344"/>
      <c r="FPM41" s="344"/>
      <c r="FPN41" s="344"/>
      <c r="FPO41" s="344"/>
      <c r="FPP41" s="344"/>
      <c r="FPQ41" s="344"/>
      <c r="FPR41" s="344"/>
      <c r="FPS41" s="344"/>
      <c r="FPT41" s="344"/>
      <c r="FPU41" s="344"/>
      <c r="FPV41" s="344"/>
      <c r="FPW41" s="344"/>
      <c r="FPX41" s="344"/>
      <c r="FPY41" s="344"/>
      <c r="FPZ41" s="344"/>
      <c r="FQA41" s="344"/>
      <c r="FQB41" s="344"/>
      <c r="FQC41" s="344"/>
      <c r="FQD41" s="344"/>
      <c r="FQE41" s="344"/>
      <c r="FQF41" s="344"/>
      <c r="FQG41" s="344"/>
      <c r="FQH41" s="344"/>
      <c r="FQI41" s="344"/>
      <c r="FQJ41" s="344"/>
      <c r="FQK41" s="344"/>
      <c r="FQL41" s="344"/>
      <c r="FQM41" s="344"/>
      <c r="FQN41" s="344"/>
      <c r="FQO41" s="344"/>
      <c r="FQP41" s="344"/>
      <c r="FQQ41" s="344"/>
      <c r="FQR41" s="344"/>
      <c r="FQS41" s="344"/>
      <c r="FQT41" s="344"/>
      <c r="FQU41" s="344"/>
      <c r="FQV41" s="344"/>
      <c r="FQW41" s="344"/>
      <c r="FQX41" s="344"/>
      <c r="FQY41" s="344"/>
      <c r="FQZ41" s="344"/>
      <c r="FRA41" s="344"/>
      <c r="FRB41" s="344"/>
      <c r="FRC41" s="344"/>
      <c r="FRD41" s="344"/>
      <c r="FRE41" s="344"/>
      <c r="FRF41" s="344"/>
      <c r="FRG41" s="344"/>
      <c r="FRH41" s="344"/>
      <c r="FRI41" s="344"/>
      <c r="FRJ41" s="344"/>
      <c r="FRK41" s="344"/>
      <c r="FRL41" s="344"/>
      <c r="FRM41" s="344"/>
      <c r="FRN41" s="344"/>
      <c r="FRO41" s="344"/>
      <c r="FRP41" s="344"/>
      <c r="FRQ41" s="344"/>
      <c r="FRR41" s="344"/>
      <c r="FRS41" s="344"/>
      <c r="FRT41" s="344"/>
      <c r="FRU41" s="344"/>
      <c r="FRV41" s="344"/>
      <c r="FRW41" s="344"/>
      <c r="FRX41" s="344"/>
      <c r="FRY41" s="344"/>
      <c r="FRZ41" s="344"/>
      <c r="FSA41" s="344"/>
      <c r="FSB41" s="344"/>
      <c r="FSC41" s="344"/>
      <c r="FSD41" s="344"/>
      <c r="FSE41" s="344"/>
      <c r="FSF41" s="344"/>
      <c r="FSG41" s="344"/>
      <c r="FSH41" s="344"/>
      <c r="FSI41" s="344"/>
      <c r="FSJ41" s="344"/>
      <c r="FSK41" s="344"/>
      <c r="FSL41" s="344"/>
      <c r="FSM41" s="344"/>
      <c r="FSN41" s="344"/>
      <c r="FSO41" s="344"/>
      <c r="FSP41" s="344"/>
      <c r="FSQ41" s="344"/>
      <c r="FSR41" s="344"/>
      <c r="FSS41" s="344"/>
      <c r="FST41" s="344"/>
      <c r="FSU41" s="344"/>
      <c r="FSV41" s="344"/>
      <c r="FSW41" s="344"/>
      <c r="FSX41" s="344"/>
      <c r="FSY41" s="344"/>
      <c r="FSZ41" s="344"/>
      <c r="FTA41" s="344"/>
      <c r="FTB41" s="344"/>
      <c r="FTC41" s="344"/>
      <c r="FTD41" s="344"/>
      <c r="FTE41" s="344"/>
      <c r="FTF41" s="344"/>
      <c r="FTG41" s="344"/>
      <c r="FTH41" s="344"/>
      <c r="FTI41" s="344"/>
      <c r="FTJ41" s="344"/>
      <c r="FTK41" s="344"/>
      <c r="FTL41" s="344"/>
      <c r="FTM41" s="344"/>
      <c r="FTN41" s="344"/>
      <c r="FTO41" s="344"/>
      <c r="FTP41" s="344"/>
      <c r="FTQ41" s="344"/>
      <c r="FTR41" s="344"/>
      <c r="FTS41" s="344"/>
      <c r="FTT41" s="344"/>
      <c r="FTU41" s="344"/>
      <c r="FTV41" s="344"/>
      <c r="FTW41" s="344"/>
      <c r="FTX41" s="344"/>
      <c r="FTY41" s="344"/>
      <c r="FTZ41" s="344"/>
      <c r="FUA41" s="344"/>
      <c r="FUB41" s="344"/>
      <c r="FUC41" s="344"/>
      <c r="FUD41" s="344"/>
      <c r="FUE41" s="344"/>
      <c r="FUF41" s="344"/>
      <c r="FUG41" s="344"/>
      <c r="FUH41" s="344"/>
      <c r="FUI41" s="344"/>
      <c r="FUJ41" s="344"/>
      <c r="FUK41" s="344"/>
      <c r="FUL41" s="344"/>
      <c r="FUM41" s="344"/>
      <c r="FUN41" s="344"/>
      <c r="FUO41" s="344"/>
      <c r="FUP41" s="344"/>
      <c r="FUQ41" s="344"/>
      <c r="FUR41" s="344"/>
      <c r="FUS41" s="344"/>
      <c r="FUT41" s="344"/>
      <c r="FUU41" s="344"/>
      <c r="FUV41" s="344"/>
      <c r="FUW41" s="344"/>
      <c r="FUX41" s="344"/>
      <c r="FUY41" s="344"/>
      <c r="FUZ41" s="344"/>
      <c r="FVA41" s="344"/>
      <c r="FVB41" s="344"/>
      <c r="FVC41" s="344"/>
      <c r="FVD41" s="344"/>
      <c r="FVE41" s="344"/>
      <c r="FVF41" s="344"/>
      <c r="FVG41" s="344"/>
      <c r="FVH41" s="344"/>
      <c r="FVI41" s="344"/>
      <c r="FVJ41" s="344"/>
      <c r="FVK41" s="344"/>
      <c r="FVL41" s="344"/>
      <c r="FVM41" s="344"/>
      <c r="FVN41" s="344"/>
      <c r="FVO41" s="344"/>
      <c r="FVP41" s="344"/>
      <c r="FVQ41" s="344"/>
      <c r="FVR41" s="344"/>
      <c r="FVS41" s="344"/>
      <c r="FVT41" s="344"/>
      <c r="FVU41" s="344"/>
      <c r="FVV41" s="344"/>
      <c r="FVW41" s="344"/>
      <c r="FVX41" s="344"/>
      <c r="FVY41" s="344"/>
      <c r="FVZ41" s="344"/>
      <c r="FWA41" s="344"/>
      <c r="FWB41" s="344"/>
      <c r="FWC41" s="344"/>
      <c r="FWD41" s="344"/>
      <c r="FWE41" s="344"/>
      <c r="FWF41" s="344"/>
      <c r="FWG41" s="344"/>
      <c r="FWH41" s="344"/>
      <c r="FWI41" s="344"/>
      <c r="FWJ41" s="344"/>
      <c r="FWK41" s="344"/>
      <c r="FWL41" s="344"/>
      <c r="FWM41" s="344"/>
      <c r="FWN41" s="344"/>
      <c r="FWO41" s="344"/>
      <c r="FWP41" s="344"/>
      <c r="FWQ41" s="344"/>
      <c r="FWR41" s="344"/>
      <c r="FWS41" s="344"/>
      <c r="FWT41" s="344"/>
      <c r="FWU41" s="344"/>
      <c r="FWV41" s="344"/>
      <c r="FWW41" s="344"/>
      <c r="FWX41" s="344"/>
      <c r="FWY41" s="344"/>
      <c r="FWZ41" s="344"/>
      <c r="FXA41" s="344"/>
      <c r="FXB41" s="344"/>
      <c r="FXC41" s="344"/>
      <c r="FXD41" s="344"/>
      <c r="FXE41" s="344"/>
      <c r="FXF41" s="344"/>
      <c r="FXG41" s="344"/>
      <c r="FXH41" s="344"/>
      <c r="FXI41" s="344"/>
      <c r="FXJ41" s="344"/>
      <c r="FXK41" s="344"/>
      <c r="FXL41" s="344"/>
      <c r="FXM41" s="344"/>
      <c r="FXN41" s="344"/>
      <c r="FXO41" s="344"/>
      <c r="FXP41" s="344"/>
      <c r="FXQ41" s="344"/>
      <c r="FXR41" s="344"/>
      <c r="FXS41" s="344"/>
      <c r="FXT41" s="344"/>
      <c r="FXU41" s="344"/>
      <c r="FXV41" s="344"/>
      <c r="FXW41" s="344"/>
      <c r="FXX41" s="344"/>
      <c r="FXY41" s="344"/>
      <c r="FXZ41" s="344"/>
      <c r="FYA41" s="344"/>
      <c r="FYB41" s="344"/>
      <c r="FYC41" s="344"/>
      <c r="FYD41" s="344"/>
      <c r="FYE41" s="344"/>
      <c r="FYF41" s="344"/>
      <c r="FYG41" s="344"/>
      <c r="FYH41" s="344"/>
      <c r="FYI41" s="344"/>
      <c r="FYJ41" s="344"/>
      <c r="FYK41" s="344"/>
      <c r="FYL41" s="344"/>
      <c r="FYM41" s="344"/>
      <c r="FYN41" s="344"/>
      <c r="FYO41" s="344"/>
      <c r="FYP41" s="344"/>
      <c r="FYQ41" s="344"/>
      <c r="FYR41" s="344"/>
      <c r="FYS41" s="344"/>
      <c r="FYT41" s="344"/>
      <c r="FYU41" s="344"/>
      <c r="FYV41" s="344"/>
      <c r="FYW41" s="344"/>
      <c r="FYX41" s="344"/>
      <c r="FYY41" s="344"/>
      <c r="FYZ41" s="344"/>
      <c r="FZA41" s="344"/>
      <c r="FZB41" s="344"/>
      <c r="FZC41" s="344"/>
      <c r="FZD41" s="344"/>
      <c r="FZE41" s="344"/>
      <c r="FZF41" s="344"/>
      <c r="FZG41" s="344"/>
      <c r="FZH41" s="344"/>
      <c r="FZI41" s="344"/>
      <c r="FZJ41" s="344"/>
      <c r="FZK41" s="344"/>
      <c r="FZL41" s="344"/>
      <c r="FZM41" s="344"/>
      <c r="FZN41" s="344"/>
      <c r="FZO41" s="344"/>
      <c r="FZP41" s="344"/>
      <c r="FZQ41" s="344"/>
      <c r="FZR41" s="344"/>
      <c r="FZS41" s="344"/>
      <c r="FZT41" s="344"/>
      <c r="FZU41" s="344"/>
      <c r="FZV41" s="344"/>
      <c r="FZW41" s="344"/>
      <c r="FZX41" s="344"/>
      <c r="FZY41" s="344"/>
      <c r="FZZ41" s="344"/>
      <c r="GAA41" s="344"/>
      <c r="GAB41" s="344"/>
      <c r="GAC41" s="344"/>
      <c r="GAD41" s="344"/>
      <c r="GAE41" s="344"/>
      <c r="GAF41" s="344"/>
      <c r="GAG41" s="344"/>
      <c r="GAH41" s="344"/>
      <c r="GAI41" s="344"/>
      <c r="GAJ41" s="344"/>
      <c r="GAK41" s="344"/>
      <c r="GAL41" s="344"/>
      <c r="GAM41" s="344"/>
      <c r="GAN41" s="344"/>
      <c r="GAO41" s="344"/>
      <c r="GAP41" s="344"/>
      <c r="GAQ41" s="344"/>
      <c r="GAR41" s="344"/>
      <c r="GAS41" s="344"/>
      <c r="GAT41" s="344"/>
      <c r="GAU41" s="344"/>
      <c r="GAV41" s="344"/>
      <c r="GAW41" s="344"/>
      <c r="GAX41" s="344"/>
      <c r="GAY41" s="344"/>
      <c r="GAZ41" s="344"/>
      <c r="GBA41" s="344"/>
      <c r="GBB41" s="344"/>
      <c r="GBC41" s="344"/>
      <c r="GBD41" s="344"/>
      <c r="GBE41" s="344"/>
      <c r="GBF41" s="344"/>
      <c r="GBG41" s="344"/>
      <c r="GBH41" s="344"/>
      <c r="GBI41" s="344"/>
      <c r="GBJ41" s="344"/>
      <c r="GBK41" s="344"/>
      <c r="GBL41" s="344"/>
      <c r="GBM41" s="344"/>
      <c r="GBN41" s="344"/>
      <c r="GBO41" s="344"/>
      <c r="GBP41" s="344"/>
      <c r="GBQ41" s="344"/>
      <c r="GBR41" s="344"/>
      <c r="GBS41" s="344"/>
      <c r="GBT41" s="344"/>
      <c r="GBU41" s="344"/>
      <c r="GBV41" s="344"/>
      <c r="GBW41" s="344"/>
      <c r="GBX41" s="344"/>
      <c r="GBY41" s="344"/>
      <c r="GBZ41" s="344"/>
      <c r="GCA41" s="344"/>
      <c r="GCB41" s="344"/>
      <c r="GCC41" s="344"/>
      <c r="GCD41" s="344"/>
      <c r="GCE41" s="344"/>
      <c r="GCF41" s="344"/>
      <c r="GCG41" s="344"/>
      <c r="GCH41" s="344"/>
      <c r="GCI41" s="344"/>
      <c r="GCJ41" s="344"/>
      <c r="GCK41" s="344"/>
      <c r="GCL41" s="344"/>
      <c r="GCM41" s="344"/>
      <c r="GCN41" s="344"/>
      <c r="GCO41" s="344"/>
      <c r="GCP41" s="344"/>
      <c r="GCQ41" s="344"/>
      <c r="GCR41" s="344"/>
      <c r="GCS41" s="344"/>
      <c r="GCT41" s="344"/>
      <c r="GCU41" s="344"/>
      <c r="GCV41" s="344"/>
      <c r="GCW41" s="344"/>
      <c r="GCX41" s="344"/>
      <c r="GCY41" s="344"/>
      <c r="GCZ41" s="344"/>
      <c r="GDA41" s="344"/>
      <c r="GDB41" s="344"/>
      <c r="GDC41" s="344"/>
      <c r="GDD41" s="344"/>
      <c r="GDE41" s="344"/>
      <c r="GDF41" s="344"/>
      <c r="GDG41" s="344"/>
      <c r="GDH41" s="344"/>
      <c r="GDI41" s="344"/>
      <c r="GDJ41" s="344"/>
      <c r="GDK41" s="344"/>
      <c r="GDL41" s="344"/>
      <c r="GDM41" s="344"/>
      <c r="GDN41" s="344"/>
      <c r="GDO41" s="344"/>
      <c r="GDP41" s="344"/>
      <c r="GDQ41" s="344"/>
      <c r="GDR41" s="344"/>
      <c r="GDS41" s="344"/>
      <c r="GDT41" s="344"/>
      <c r="GDU41" s="344"/>
      <c r="GDV41" s="344"/>
      <c r="GDW41" s="344"/>
      <c r="GDX41" s="344"/>
      <c r="GDY41" s="344"/>
      <c r="GDZ41" s="344"/>
      <c r="GEA41" s="344"/>
      <c r="GEB41" s="344"/>
      <c r="GEC41" s="344"/>
      <c r="GED41" s="344"/>
      <c r="GEE41" s="344"/>
      <c r="GEF41" s="344"/>
      <c r="GEG41" s="344"/>
      <c r="GEH41" s="344"/>
      <c r="GEI41" s="344"/>
      <c r="GEJ41" s="344"/>
      <c r="GEK41" s="344"/>
      <c r="GEL41" s="344"/>
      <c r="GEM41" s="344"/>
      <c r="GEN41" s="344"/>
      <c r="GEO41" s="344"/>
      <c r="GEP41" s="344"/>
      <c r="GEQ41" s="344"/>
      <c r="GER41" s="344"/>
      <c r="GES41" s="344"/>
      <c r="GET41" s="344"/>
      <c r="GEU41" s="344"/>
      <c r="GEV41" s="344"/>
      <c r="GEW41" s="344"/>
      <c r="GEX41" s="344"/>
      <c r="GEY41" s="344"/>
      <c r="GEZ41" s="344"/>
      <c r="GFA41" s="344"/>
      <c r="GFB41" s="344"/>
      <c r="GFC41" s="344"/>
      <c r="GFD41" s="344"/>
      <c r="GFE41" s="344"/>
      <c r="GFF41" s="344"/>
      <c r="GFG41" s="344"/>
      <c r="GFH41" s="344"/>
      <c r="GFI41" s="344"/>
      <c r="GFJ41" s="344"/>
      <c r="GFK41" s="344"/>
      <c r="GFL41" s="344"/>
      <c r="GFM41" s="344"/>
      <c r="GFN41" s="344"/>
      <c r="GFO41" s="344"/>
      <c r="GFP41" s="344"/>
      <c r="GFQ41" s="344"/>
      <c r="GFR41" s="344"/>
      <c r="GFS41" s="344"/>
      <c r="GFT41" s="344"/>
      <c r="GFU41" s="344"/>
      <c r="GFV41" s="344"/>
      <c r="GFW41" s="344"/>
      <c r="GFX41" s="344"/>
      <c r="GFY41" s="344"/>
      <c r="GFZ41" s="344"/>
      <c r="GGA41" s="344"/>
      <c r="GGB41" s="344"/>
      <c r="GGC41" s="344"/>
      <c r="GGD41" s="344"/>
      <c r="GGE41" s="344"/>
      <c r="GGF41" s="344"/>
      <c r="GGG41" s="344"/>
      <c r="GGH41" s="344"/>
      <c r="GGI41" s="344"/>
      <c r="GGJ41" s="344"/>
      <c r="GGK41" s="344"/>
      <c r="GGL41" s="344"/>
      <c r="GGM41" s="344"/>
      <c r="GGN41" s="344"/>
      <c r="GGO41" s="344"/>
      <c r="GGP41" s="344"/>
      <c r="GGQ41" s="344"/>
      <c r="GGR41" s="344"/>
      <c r="GGS41" s="344"/>
      <c r="GGT41" s="344"/>
      <c r="GGU41" s="344"/>
      <c r="GGV41" s="344"/>
      <c r="GGW41" s="344"/>
      <c r="GGX41" s="344"/>
      <c r="GGY41" s="344"/>
      <c r="GGZ41" s="344"/>
      <c r="GHA41" s="344"/>
      <c r="GHB41" s="344"/>
      <c r="GHC41" s="344"/>
      <c r="GHD41" s="344"/>
      <c r="GHE41" s="344"/>
      <c r="GHF41" s="344"/>
      <c r="GHG41" s="344"/>
      <c r="GHH41" s="344"/>
      <c r="GHI41" s="344"/>
      <c r="GHJ41" s="344"/>
      <c r="GHK41" s="344"/>
      <c r="GHL41" s="344"/>
      <c r="GHM41" s="344"/>
      <c r="GHN41" s="344"/>
      <c r="GHO41" s="344"/>
      <c r="GHP41" s="344"/>
      <c r="GHQ41" s="344"/>
      <c r="GHR41" s="344"/>
      <c r="GHS41" s="344"/>
      <c r="GHT41" s="344"/>
      <c r="GHU41" s="344"/>
      <c r="GHV41" s="344"/>
      <c r="GHW41" s="344"/>
      <c r="GHX41" s="344"/>
      <c r="GHY41" s="344"/>
      <c r="GHZ41" s="344"/>
      <c r="GIA41" s="344"/>
      <c r="GIB41" s="344"/>
      <c r="GIC41" s="344"/>
      <c r="GID41" s="344"/>
      <c r="GIE41" s="344"/>
      <c r="GIF41" s="344"/>
      <c r="GIG41" s="344"/>
      <c r="GIH41" s="344"/>
      <c r="GII41" s="344"/>
      <c r="GIJ41" s="344"/>
      <c r="GIK41" s="344"/>
      <c r="GIL41" s="344"/>
      <c r="GIM41" s="344"/>
      <c r="GIN41" s="344"/>
      <c r="GIO41" s="344"/>
      <c r="GIP41" s="344"/>
      <c r="GIQ41" s="344"/>
      <c r="GIR41" s="344"/>
      <c r="GIS41" s="344"/>
      <c r="GIT41" s="344"/>
      <c r="GIU41" s="344"/>
      <c r="GIV41" s="344"/>
      <c r="GIW41" s="344"/>
      <c r="GIX41" s="344"/>
      <c r="GIY41" s="344"/>
      <c r="GIZ41" s="344"/>
      <c r="GJA41" s="344"/>
      <c r="GJB41" s="344"/>
      <c r="GJC41" s="344"/>
      <c r="GJD41" s="344"/>
      <c r="GJE41" s="344"/>
      <c r="GJF41" s="344"/>
      <c r="GJG41" s="344"/>
      <c r="GJH41" s="344"/>
      <c r="GJI41" s="344"/>
      <c r="GJJ41" s="344"/>
      <c r="GJK41" s="344"/>
      <c r="GJL41" s="344"/>
      <c r="GJM41" s="344"/>
      <c r="GJN41" s="344"/>
      <c r="GJO41" s="344"/>
      <c r="GJP41" s="344"/>
      <c r="GJQ41" s="344"/>
      <c r="GJR41" s="344"/>
      <c r="GJS41" s="344"/>
      <c r="GJT41" s="344"/>
      <c r="GJU41" s="344"/>
      <c r="GJV41" s="344"/>
      <c r="GJW41" s="344"/>
      <c r="GJX41" s="344"/>
      <c r="GJY41" s="344"/>
      <c r="GJZ41" s="344"/>
      <c r="GKA41" s="344"/>
      <c r="GKB41" s="344"/>
      <c r="GKC41" s="344"/>
      <c r="GKD41" s="344"/>
      <c r="GKE41" s="344"/>
      <c r="GKF41" s="344"/>
      <c r="GKG41" s="344"/>
      <c r="GKH41" s="344"/>
      <c r="GKI41" s="344"/>
      <c r="GKJ41" s="344"/>
      <c r="GKK41" s="344"/>
      <c r="GKL41" s="344"/>
      <c r="GKM41" s="344"/>
      <c r="GKN41" s="344"/>
      <c r="GKO41" s="344"/>
      <c r="GKP41" s="344"/>
      <c r="GKQ41" s="344"/>
      <c r="GKR41" s="344"/>
      <c r="GKS41" s="344"/>
      <c r="GKT41" s="344"/>
      <c r="GKU41" s="344"/>
      <c r="GKV41" s="344"/>
      <c r="GKW41" s="344"/>
      <c r="GKX41" s="344"/>
      <c r="GKY41" s="344"/>
      <c r="GKZ41" s="344"/>
      <c r="GLA41" s="344"/>
      <c r="GLB41" s="344"/>
      <c r="GLC41" s="344"/>
      <c r="GLD41" s="344"/>
      <c r="GLE41" s="344"/>
      <c r="GLF41" s="344"/>
      <c r="GLG41" s="344"/>
      <c r="GLH41" s="344"/>
      <c r="GLI41" s="344"/>
      <c r="GLJ41" s="344"/>
      <c r="GLK41" s="344"/>
      <c r="GLL41" s="344"/>
      <c r="GLM41" s="344"/>
      <c r="GLN41" s="344"/>
      <c r="GLO41" s="344"/>
      <c r="GLP41" s="344"/>
      <c r="GLQ41" s="344"/>
      <c r="GLR41" s="344"/>
      <c r="GLS41" s="344"/>
      <c r="GLT41" s="344"/>
      <c r="GLU41" s="344"/>
      <c r="GLV41" s="344"/>
      <c r="GLW41" s="344"/>
      <c r="GLX41" s="344"/>
      <c r="GLY41" s="344"/>
      <c r="GLZ41" s="344"/>
      <c r="GMA41" s="344"/>
      <c r="GMB41" s="344"/>
      <c r="GMC41" s="344"/>
      <c r="GMD41" s="344"/>
      <c r="GME41" s="344"/>
      <c r="GMF41" s="344"/>
      <c r="GMG41" s="344"/>
      <c r="GMH41" s="344"/>
      <c r="GMI41" s="344"/>
      <c r="GMJ41" s="344"/>
      <c r="GMK41" s="344"/>
      <c r="GML41" s="344"/>
      <c r="GMM41" s="344"/>
      <c r="GMN41" s="344"/>
      <c r="GMO41" s="344"/>
      <c r="GMP41" s="344"/>
      <c r="GMQ41" s="344"/>
      <c r="GMR41" s="344"/>
      <c r="GMS41" s="344"/>
      <c r="GMT41" s="344"/>
      <c r="GMU41" s="344"/>
      <c r="GMV41" s="344"/>
      <c r="GMW41" s="344"/>
      <c r="GMX41" s="344"/>
      <c r="GMY41" s="344"/>
      <c r="GMZ41" s="344"/>
      <c r="GNA41" s="344"/>
      <c r="GNB41" s="344"/>
      <c r="GNC41" s="344"/>
      <c r="GND41" s="344"/>
      <c r="GNE41" s="344"/>
      <c r="GNF41" s="344"/>
      <c r="GNG41" s="344"/>
      <c r="GNH41" s="344"/>
      <c r="GNI41" s="344"/>
      <c r="GNJ41" s="344"/>
      <c r="GNK41" s="344"/>
      <c r="GNL41" s="344"/>
      <c r="GNM41" s="344"/>
      <c r="GNN41" s="344"/>
      <c r="GNO41" s="344"/>
      <c r="GNP41" s="344"/>
      <c r="GNQ41" s="344"/>
      <c r="GNR41" s="344"/>
      <c r="GNS41" s="344"/>
      <c r="GNT41" s="344"/>
      <c r="GNU41" s="344"/>
      <c r="GNV41" s="344"/>
      <c r="GNW41" s="344"/>
      <c r="GNX41" s="344"/>
      <c r="GNY41" s="344"/>
      <c r="GNZ41" s="344"/>
      <c r="GOA41" s="344"/>
      <c r="GOB41" s="344"/>
      <c r="GOC41" s="344"/>
      <c r="GOD41" s="344"/>
      <c r="GOE41" s="344"/>
      <c r="GOF41" s="344"/>
      <c r="GOG41" s="344"/>
      <c r="GOH41" s="344"/>
      <c r="GOI41" s="344"/>
      <c r="GOJ41" s="344"/>
      <c r="GOK41" s="344"/>
      <c r="GOL41" s="344"/>
      <c r="GOM41" s="344"/>
      <c r="GON41" s="344"/>
      <c r="GOO41" s="344"/>
      <c r="GOP41" s="344"/>
      <c r="GOQ41" s="344"/>
      <c r="GOR41" s="344"/>
      <c r="GOS41" s="344"/>
      <c r="GOT41" s="344"/>
      <c r="GOU41" s="344"/>
      <c r="GOV41" s="344"/>
      <c r="GOW41" s="344"/>
      <c r="GOX41" s="344"/>
      <c r="GOY41" s="344"/>
      <c r="GOZ41" s="344"/>
      <c r="GPA41" s="344"/>
      <c r="GPB41" s="344"/>
      <c r="GPC41" s="344"/>
      <c r="GPD41" s="344"/>
      <c r="GPE41" s="344"/>
      <c r="GPF41" s="344"/>
      <c r="GPG41" s="344"/>
      <c r="GPH41" s="344"/>
      <c r="GPI41" s="344"/>
      <c r="GPJ41" s="344"/>
      <c r="GPK41" s="344"/>
      <c r="GPL41" s="344"/>
      <c r="GPM41" s="344"/>
      <c r="GPN41" s="344"/>
      <c r="GPO41" s="344"/>
      <c r="GPP41" s="344"/>
      <c r="GPQ41" s="344"/>
      <c r="GPR41" s="344"/>
      <c r="GPS41" s="344"/>
      <c r="GPT41" s="344"/>
      <c r="GPU41" s="344"/>
      <c r="GPV41" s="344"/>
      <c r="GPW41" s="344"/>
      <c r="GPX41" s="344"/>
      <c r="GPY41" s="344"/>
      <c r="GPZ41" s="344"/>
      <c r="GQA41" s="344"/>
      <c r="GQB41" s="344"/>
      <c r="GQC41" s="344"/>
      <c r="GQD41" s="344"/>
      <c r="GQE41" s="344"/>
      <c r="GQF41" s="344"/>
      <c r="GQG41" s="344"/>
      <c r="GQH41" s="344"/>
      <c r="GQI41" s="344"/>
      <c r="GQJ41" s="344"/>
      <c r="GQK41" s="344"/>
      <c r="GQL41" s="344"/>
      <c r="GQM41" s="344"/>
      <c r="GQN41" s="344"/>
      <c r="GQO41" s="344"/>
      <c r="GQP41" s="344"/>
      <c r="GQQ41" s="344"/>
      <c r="GQR41" s="344"/>
      <c r="GQS41" s="344"/>
      <c r="GQT41" s="344"/>
      <c r="GQU41" s="344"/>
      <c r="GQV41" s="344"/>
      <c r="GQW41" s="344"/>
      <c r="GQX41" s="344"/>
      <c r="GQY41" s="344"/>
      <c r="GQZ41" s="344"/>
      <c r="GRA41" s="344"/>
      <c r="GRB41" s="344"/>
      <c r="GRC41" s="344"/>
      <c r="GRD41" s="344"/>
      <c r="GRE41" s="344"/>
      <c r="GRF41" s="344"/>
      <c r="GRG41" s="344"/>
      <c r="GRH41" s="344"/>
      <c r="GRI41" s="344"/>
      <c r="GRJ41" s="344"/>
      <c r="GRK41" s="344"/>
      <c r="GRL41" s="344"/>
      <c r="GRM41" s="344"/>
      <c r="GRN41" s="344"/>
      <c r="GRO41" s="344"/>
      <c r="GRP41" s="344"/>
      <c r="GRQ41" s="344"/>
      <c r="GRR41" s="344"/>
      <c r="GRS41" s="344"/>
      <c r="GRT41" s="344"/>
      <c r="GRU41" s="344"/>
      <c r="GRV41" s="344"/>
      <c r="GRW41" s="344"/>
      <c r="GRX41" s="344"/>
      <c r="GRY41" s="344"/>
      <c r="GRZ41" s="344"/>
      <c r="GSA41" s="344"/>
      <c r="GSB41" s="344"/>
      <c r="GSC41" s="344"/>
      <c r="GSD41" s="344"/>
      <c r="GSE41" s="344"/>
      <c r="GSF41" s="344"/>
      <c r="GSG41" s="344"/>
      <c r="GSH41" s="344"/>
      <c r="GSI41" s="344"/>
      <c r="GSJ41" s="344"/>
      <c r="GSK41" s="344"/>
      <c r="GSL41" s="344"/>
      <c r="GSM41" s="344"/>
      <c r="GSN41" s="344"/>
      <c r="GSO41" s="344"/>
      <c r="GSP41" s="344"/>
      <c r="GSQ41" s="344"/>
      <c r="GSR41" s="344"/>
      <c r="GSS41" s="344"/>
      <c r="GST41" s="344"/>
      <c r="GSU41" s="344"/>
      <c r="GSV41" s="344"/>
      <c r="GSW41" s="344"/>
      <c r="GSX41" s="344"/>
      <c r="GSY41" s="344"/>
      <c r="GSZ41" s="344"/>
      <c r="GTA41" s="344"/>
      <c r="GTB41" s="344"/>
      <c r="GTC41" s="344"/>
      <c r="GTD41" s="344"/>
      <c r="GTE41" s="344"/>
      <c r="GTF41" s="344"/>
      <c r="GTG41" s="344"/>
      <c r="GTH41" s="344"/>
      <c r="GTI41" s="344"/>
      <c r="GTJ41" s="344"/>
      <c r="GTK41" s="344"/>
      <c r="GTL41" s="344"/>
      <c r="GTM41" s="344"/>
      <c r="GTN41" s="344"/>
      <c r="GTO41" s="344"/>
      <c r="GTP41" s="344"/>
      <c r="GTQ41" s="344"/>
      <c r="GTR41" s="344"/>
      <c r="GTS41" s="344"/>
      <c r="GTT41" s="344"/>
      <c r="GTU41" s="344"/>
      <c r="GTV41" s="344"/>
      <c r="GTW41" s="344"/>
      <c r="GTX41" s="344"/>
      <c r="GTY41" s="344"/>
      <c r="GTZ41" s="344"/>
      <c r="GUA41" s="344"/>
      <c r="GUB41" s="344"/>
      <c r="GUC41" s="344"/>
      <c r="GUD41" s="344"/>
      <c r="GUE41" s="344"/>
      <c r="GUF41" s="344"/>
      <c r="GUG41" s="344"/>
      <c r="GUH41" s="344"/>
      <c r="GUI41" s="344"/>
      <c r="GUJ41" s="344"/>
      <c r="GUK41" s="344"/>
      <c r="GUL41" s="344"/>
      <c r="GUM41" s="344"/>
      <c r="GUN41" s="344"/>
      <c r="GUO41" s="344"/>
      <c r="GUP41" s="344"/>
      <c r="GUQ41" s="344"/>
      <c r="GUR41" s="344"/>
      <c r="GUS41" s="344"/>
      <c r="GUT41" s="344"/>
      <c r="GUU41" s="344"/>
      <c r="GUV41" s="344"/>
      <c r="GUW41" s="344"/>
      <c r="GUX41" s="344"/>
      <c r="GUY41" s="344"/>
      <c r="GUZ41" s="344"/>
      <c r="GVA41" s="344"/>
      <c r="GVB41" s="344"/>
      <c r="GVC41" s="344"/>
      <c r="GVD41" s="344"/>
      <c r="GVE41" s="344"/>
      <c r="GVF41" s="344"/>
      <c r="GVG41" s="344"/>
      <c r="GVH41" s="344"/>
      <c r="GVI41" s="344"/>
      <c r="GVJ41" s="344"/>
      <c r="GVK41" s="344"/>
      <c r="GVL41" s="344"/>
      <c r="GVM41" s="344"/>
      <c r="GVN41" s="344"/>
      <c r="GVO41" s="344"/>
      <c r="GVP41" s="344"/>
      <c r="GVQ41" s="344"/>
      <c r="GVR41" s="344"/>
      <c r="GVS41" s="344"/>
      <c r="GVT41" s="344"/>
      <c r="GVU41" s="344"/>
      <c r="GVV41" s="344"/>
      <c r="GVW41" s="344"/>
      <c r="GVX41" s="344"/>
      <c r="GVY41" s="344"/>
      <c r="GVZ41" s="344"/>
      <c r="GWA41" s="344"/>
      <c r="GWB41" s="344"/>
      <c r="GWC41" s="344"/>
      <c r="GWD41" s="344"/>
      <c r="GWE41" s="344"/>
      <c r="GWF41" s="344"/>
      <c r="GWG41" s="344"/>
      <c r="GWH41" s="344"/>
      <c r="GWI41" s="344"/>
      <c r="GWJ41" s="344"/>
      <c r="GWK41" s="344"/>
      <c r="GWL41" s="344"/>
      <c r="GWM41" s="344"/>
      <c r="GWN41" s="344"/>
      <c r="GWO41" s="344"/>
      <c r="GWP41" s="344"/>
      <c r="GWQ41" s="344"/>
      <c r="GWR41" s="344"/>
      <c r="GWS41" s="344"/>
      <c r="GWT41" s="344"/>
      <c r="GWU41" s="344"/>
      <c r="GWV41" s="344"/>
      <c r="GWW41" s="344"/>
      <c r="GWX41" s="344"/>
      <c r="GWY41" s="344"/>
      <c r="GWZ41" s="344"/>
      <c r="GXA41" s="344"/>
      <c r="GXB41" s="344"/>
      <c r="GXC41" s="344"/>
      <c r="GXD41" s="344"/>
      <c r="GXE41" s="344"/>
      <c r="GXF41" s="344"/>
      <c r="GXG41" s="344"/>
      <c r="GXH41" s="344"/>
      <c r="GXI41" s="344"/>
      <c r="GXJ41" s="344"/>
      <c r="GXK41" s="344"/>
      <c r="GXL41" s="344"/>
      <c r="GXM41" s="344"/>
      <c r="GXN41" s="344"/>
      <c r="GXO41" s="344"/>
      <c r="GXP41" s="344"/>
      <c r="GXQ41" s="344"/>
      <c r="GXR41" s="344"/>
      <c r="GXS41" s="344"/>
      <c r="GXT41" s="344"/>
      <c r="GXU41" s="344"/>
      <c r="GXV41" s="344"/>
      <c r="GXW41" s="344"/>
      <c r="GXX41" s="344"/>
      <c r="GXY41" s="344"/>
      <c r="GXZ41" s="344"/>
      <c r="GYA41" s="344"/>
      <c r="GYB41" s="344"/>
      <c r="GYC41" s="344"/>
      <c r="GYD41" s="344"/>
      <c r="GYE41" s="344"/>
      <c r="GYF41" s="344"/>
      <c r="GYG41" s="344"/>
      <c r="GYH41" s="344"/>
      <c r="GYI41" s="344"/>
      <c r="GYJ41" s="344"/>
      <c r="GYK41" s="344"/>
      <c r="GYL41" s="344"/>
      <c r="GYM41" s="344"/>
      <c r="GYN41" s="344"/>
      <c r="GYO41" s="344"/>
      <c r="GYP41" s="344"/>
      <c r="GYQ41" s="344"/>
      <c r="GYR41" s="344"/>
      <c r="GYS41" s="344"/>
      <c r="GYT41" s="344"/>
      <c r="GYU41" s="344"/>
      <c r="GYV41" s="344"/>
      <c r="GYW41" s="344"/>
      <c r="GYX41" s="344"/>
      <c r="GYY41" s="344"/>
      <c r="GYZ41" s="344"/>
      <c r="GZA41" s="344"/>
      <c r="GZB41" s="344"/>
      <c r="GZC41" s="344"/>
      <c r="GZD41" s="344"/>
      <c r="GZE41" s="344"/>
      <c r="GZF41" s="344"/>
      <c r="GZG41" s="344"/>
      <c r="GZH41" s="344"/>
      <c r="GZI41" s="344"/>
      <c r="GZJ41" s="344"/>
      <c r="GZK41" s="344"/>
      <c r="GZL41" s="344"/>
      <c r="GZM41" s="344"/>
      <c r="GZN41" s="344"/>
      <c r="GZO41" s="344"/>
      <c r="GZP41" s="344"/>
      <c r="GZQ41" s="344"/>
      <c r="GZR41" s="344"/>
      <c r="GZS41" s="344"/>
      <c r="GZT41" s="344"/>
      <c r="GZU41" s="344"/>
      <c r="GZV41" s="344"/>
      <c r="GZW41" s="344"/>
      <c r="GZX41" s="344"/>
      <c r="GZY41" s="344"/>
      <c r="GZZ41" s="344"/>
      <c r="HAA41" s="344"/>
      <c r="HAB41" s="344"/>
      <c r="HAC41" s="344"/>
      <c r="HAD41" s="344"/>
      <c r="HAE41" s="344"/>
      <c r="HAF41" s="344"/>
      <c r="HAG41" s="344"/>
      <c r="HAH41" s="344"/>
      <c r="HAI41" s="344"/>
      <c r="HAJ41" s="344"/>
      <c r="HAK41" s="344"/>
      <c r="HAL41" s="344"/>
      <c r="HAM41" s="344"/>
      <c r="HAN41" s="344"/>
      <c r="HAO41" s="344"/>
      <c r="HAP41" s="344"/>
      <c r="HAQ41" s="344"/>
      <c r="HAR41" s="344"/>
      <c r="HAS41" s="344"/>
      <c r="HAT41" s="344"/>
      <c r="HAU41" s="344"/>
      <c r="HAV41" s="344"/>
      <c r="HAW41" s="344"/>
      <c r="HAX41" s="344"/>
      <c r="HAY41" s="344"/>
      <c r="HAZ41" s="344"/>
      <c r="HBA41" s="344"/>
      <c r="HBB41" s="344"/>
      <c r="HBC41" s="344"/>
      <c r="HBD41" s="344"/>
      <c r="HBE41" s="344"/>
      <c r="HBF41" s="344"/>
      <c r="HBG41" s="344"/>
      <c r="HBH41" s="344"/>
      <c r="HBI41" s="344"/>
      <c r="HBJ41" s="344"/>
      <c r="HBK41" s="344"/>
      <c r="HBL41" s="344"/>
      <c r="HBM41" s="344"/>
      <c r="HBN41" s="344"/>
      <c r="HBO41" s="344"/>
      <c r="HBP41" s="344"/>
      <c r="HBQ41" s="344"/>
      <c r="HBR41" s="344"/>
      <c r="HBS41" s="344"/>
      <c r="HBT41" s="344"/>
      <c r="HBU41" s="344"/>
      <c r="HBV41" s="344"/>
      <c r="HBW41" s="344"/>
      <c r="HBX41" s="344"/>
      <c r="HBY41" s="344"/>
      <c r="HBZ41" s="344"/>
      <c r="HCA41" s="344"/>
      <c r="HCB41" s="344"/>
      <c r="HCC41" s="344"/>
      <c r="HCD41" s="344"/>
      <c r="HCE41" s="344"/>
      <c r="HCF41" s="344"/>
      <c r="HCG41" s="344"/>
      <c r="HCH41" s="344"/>
      <c r="HCI41" s="344"/>
      <c r="HCJ41" s="344"/>
      <c r="HCK41" s="344"/>
      <c r="HCL41" s="344"/>
      <c r="HCM41" s="344"/>
      <c r="HCN41" s="344"/>
      <c r="HCO41" s="344"/>
      <c r="HCP41" s="344"/>
      <c r="HCQ41" s="344"/>
      <c r="HCR41" s="344"/>
      <c r="HCS41" s="344"/>
      <c r="HCT41" s="344"/>
      <c r="HCU41" s="344"/>
      <c r="HCV41" s="344"/>
      <c r="HCW41" s="344"/>
      <c r="HCX41" s="344"/>
      <c r="HCY41" s="344"/>
      <c r="HCZ41" s="344"/>
      <c r="HDA41" s="344"/>
      <c r="HDB41" s="344"/>
      <c r="HDC41" s="344"/>
      <c r="HDD41" s="344"/>
      <c r="HDE41" s="344"/>
      <c r="HDF41" s="344"/>
      <c r="HDG41" s="344"/>
      <c r="HDH41" s="344"/>
      <c r="HDI41" s="344"/>
      <c r="HDJ41" s="344"/>
      <c r="HDK41" s="344"/>
      <c r="HDL41" s="344"/>
      <c r="HDM41" s="344"/>
      <c r="HDN41" s="344"/>
      <c r="HDO41" s="344"/>
      <c r="HDP41" s="344"/>
      <c r="HDQ41" s="344"/>
      <c r="HDR41" s="344"/>
      <c r="HDS41" s="344"/>
      <c r="HDT41" s="344"/>
      <c r="HDU41" s="344"/>
      <c r="HDV41" s="344"/>
      <c r="HDW41" s="344"/>
      <c r="HDX41" s="344"/>
      <c r="HDY41" s="344"/>
      <c r="HDZ41" s="344"/>
      <c r="HEA41" s="344"/>
      <c r="HEB41" s="344"/>
      <c r="HEC41" s="344"/>
      <c r="HED41" s="344"/>
      <c r="HEE41" s="344"/>
      <c r="HEF41" s="344"/>
      <c r="HEG41" s="344"/>
      <c r="HEH41" s="344"/>
      <c r="HEI41" s="344"/>
      <c r="HEJ41" s="344"/>
      <c r="HEK41" s="344"/>
      <c r="HEL41" s="344"/>
      <c r="HEM41" s="344"/>
      <c r="HEN41" s="344"/>
      <c r="HEO41" s="344"/>
      <c r="HEP41" s="344"/>
      <c r="HEQ41" s="344"/>
      <c r="HER41" s="344"/>
      <c r="HES41" s="344"/>
      <c r="HET41" s="344"/>
      <c r="HEU41" s="344"/>
      <c r="HEV41" s="344"/>
      <c r="HEW41" s="344"/>
      <c r="HEX41" s="344"/>
      <c r="HEY41" s="344"/>
      <c r="HEZ41" s="344"/>
      <c r="HFA41" s="344"/>
      <c r="HFB41" s="344"/>
      <c r="HFC41" s="344"/>
      <c r="HFD41" s="344"/>
      <c r="HFE41" s="344"/>
      <c r="HFF41" s="344"/>
      <c r="HFG41" s="344"/>
      <c r="HFH41" s="344"/>
      <c r="HFI41" s="344"/>
      <c r="HFJ41" s="344"/>
      <c r="HFK41" s="344"/>
      <c r="HFL41" s="344"/>
      <c r="HFM41" s="344"/>
      <c r="HFN41" s="344"/>
      <c r="HFO41" s="344"/>
      <c r="HFP41" s="344"/>
      <c r="HFQ41" s="344"/>
      <c r="HFR41" s="344"/>
      <c r="HFS41" s="344"/>
      <c r="HFT41" s="344"/>
      <c r="HFU41" s="344"/>
      <c r="HFV41" s="344"/>
      <c r="HFW41" s="344"/>
      <c r="HFX41" s="344"/>
      <c r="HFY41" s="344"/>
      <c r="HFZ41" s="344"/>
      <c r="HGA41" s="344"/>
      <c r="HGB41" s="344"/>
      <c r="HGC41" s="344"/>
      <c r="HGD41" s="344"/>
      <c r="HGE41" s="344"/>
      <c r="HGF41" s="344"/>
      <c r="HGG41" s="344"/>
      <c r="HGH41" s="344"/>
      <c r="HGI41" s="344"/>
      <c r="HGJ41" s="344"/>
      <c r="HGK41" s="344"/>
      <c r="HGL41" s="344"/>
      <c r="HGM41" s="344"/>
      <c r="HGN41" s="344"/>
      <c r="HGO41" s="344"/>
      <c r="HGP41" s="344"/>
      <c r="HGQ41" s="344"/>
      <c r="HGR41" s="344"/>
      <c r="HGS41" s="344"/>
      <c r="HGT41" s="344"/>
      <c r="HGU41" s="344"/>
      <c r="HGV41" s="344"/>
      <c r="HGW41" s="344"/>
      <c r="HGX41" s="344"/>
      <c r="HGY41" s="344"/>
      <c r="HGZ41" s="344"/>
      <c r="HHA41" s="344"/>
      <c r="HHB41" s="344"/>
      <c r="HHC41" s="344"/>
      <c r="HHD41" s="344"/>
      <c r="HHE41" s="344"/>
      <c r="HHF41" s="344"/>
      <c r="HHG41" s="344"/>
      <c r="HHH41" s="344"/>
      <c r="HHI41" s="344"/>
      <c r="HHJ41" s="344"/>
      <c r="HHK41" s="344"/>
      <c r="HHL41" s="344"/>
      <c r="HHM41" s="344"/>
      <c r="HHN41" s="344"/>
      <c r="HHO41" s="344"/>
      <c r="HHP41" s="344"/>
      <c r="HHQ41" s="344"/>
      <c r="HHR41" s="344"/>
      <c r="HHS41" s="344"/>
      <c r="HHT41" s="344"/>
      <c r="HHU41" s="344"/>
      <c r="HHV41" s="344"/>
      <c r="HHW41" s="344"/>
      <c r="HHX41" s="344"/>
      <c r="HHY41" s="344"/>
      <c r="HHZ41" s="344"/>
      <c r="HIA41" s="344"/>
      <c r="HIB41" s="344"/>
      <c r="HIC41" s="344"/>
      <c r="HID41" s="344"/>
      <c r="HIE41" s="344"/>
      <c r="HIF41" s="344"/>
      <c r="HIG41" s="344"/>
      <c r="HIH41" s="344"/>
      <c r="HII41" s="344"/>
      <c r="HIJ41" s="344"/>
      <c r="HIK41" s="344"/>
      <c r="HIL41" s="344"/>
      <c r="HIM41" s="344"/>
      <c r="HIN41" s="344"/>
      <c r="HIO41" s="344"/>
      <c r="HIP41" s="344"/>
      <c r="HIQ41" s="344"/>
      <c r="HIR41" s="344"/>
      <c r="HIS41" s="344"/>
      <c r="HIT41" s="344"/>
      <c r="HIU41" s="344"/>
      <c r="HIV41" s="344"/>
      <c r="HIW41" s="344"/>
      <c r="HIX41" s="344"/>
      <c r="HIY41" s="344"/>
      <c r="HIZ41" s="344"/>
      <c r="HJA41" s="344"/>
      <c r="HJB41" s="344"/>
      <c r="HJC41" s="344"/>
      <c r="HJD41" s="344"/>
      <c r="HJE41" s="344"/>
      <c r="HJF41" s="344"/>
      <c r="HJG41" s="344"/>
      <c r="HJH41" s="344"/>
      <c r="HJI41" s="344"/>
      <c r="HJJ41" s="344"/>
      <c r="HJK41" s="344"/>
      <c r="HJL41" s="344"/>
      <c r="HJM41" s="344"/>
      <c r="HJN41" s="344"/>
      <c r="HJO41" s="344"/>
      <c r="HJP41" s="344"/>
      <c r="HJQ41" s="344"/>
      <c r="HJR41" s="344"/>
      <c r="HJS41" s="344"/>
      <c r="HJT41" s="344"/>
      <c r="HJU41" s="344"/>
      <c r="HJV41" s="344"/>
      <c r="HJW41" s="344"/>
      <c r="HJX41" s="344"/>
      <c r="HJY41" s="344"/>
      <c r="HJZ41" s="344"/>
      <c r="HKA41" s="344"/>
      <c r="HKB41" s="344"/>
      <c r="HKC41" s="344"/>
      <c r="HKD41" s="344"/>
      <c r="HKE41" s="344"/>
      <c r="HKF41" s="344"/>
      <c r="HKG41" s="344"/>
      <c r="HKH41" s="344"/>
      <c r="HKI41" s="344"/>
      <c r="HKJ41" s="344"/>
      <c r="HKK41" s="344"/>
      <c r="HKL41" s="344"/>
      <c r="HKM41" s="344"/>
      <c r="HKN41" s="344"/>
      <c r="HKO41" s="344"/>
      <c r="HKP41" s="344"/>
      <c r="HKQ41" s="344"/>
      <c r="HKR41" s="344"/>
      <c r="HKS41" s="344"/>
      <c r="HKT41" s="344"/>
      <c r="HKU41" s="344"/>
      <c r="HKV41" s="344"/>
      <c r="HKW41" s="344"/>
      <c r="HKX41" s="344"/>
      <c r="HKY41" s="344"/>
      <c r="HKZ41" s="344"/>
      <c r="HLA41" s="344"/>
      <c r="HLB41" s="344"/>
      <c r="HLC41" s="344"/>
      <c r="HLD41" s="344"/>
      <c r="HLE41" s="344"/>
      <c r="HLF41" s="344"/>
      <c r="HLG41" s="344"/>
      <c r="HLH41" s="344"/>
      <c r="HLI41" s="344"/>
      <c r="HLJ41" s="344"/>
      <c r="HLK41" s="344"/>
      <c r="HLL41" s="344"/>
      <c r="HLM41" s="344"/>
      <c r="HLN41" s="344"/>
      <c r="HLO41" s="344"/>
      <c r="HLP41" s="344"/>
      <c r="HLQ41" s="344"/>
      <c r="HLR41" s="344"/>
      <c r="HLS41" s="344"/>
      <c r="HLT41" s="344"/>
      <c r="HLU41" s="344"/>
      <c r="HLV41" s="344"/>
      <c r="HLW41" s="344"/>
      <c r="HLX41" s="344"/>
      <c r="HLY41" s="344"/>
      <c r="HLZ41" s="344"/>
      <c r="HMA41" s="344"/>
      <c r="HMB41" s="344"/>
      <c r="HMC41" s="344"/>
      <c r="HMD41" s="344"/>
      <c r="HME41" s="344"/>
      <c r="HMF41" s="344"/>
      <c r="HMG41" s="344"/>
      <c r="HMH41" s="344"/>
      <c r="HMI41" s="344"/>
      <c r="HMJ41" s="344"/>
      <c r="HMK41" s="344"/>
      <c r="HML41" s="344"/>
      <c r="HMM41" s="344"/>
      <c r="HMN41" s="344"/>
      <c r="HMO41" s="344"/>
      <c r="HMP41" s="344"/>
      <c r="HMQ41" s="344"/>
      <c r="HMR41" s="344"/>
      <c r="HMS41" s="344"/>
      <c r="HMT41" s="344"/>
      <c r="HMU41" s="344"/>
      <c r="HMV41" s="344"/>
      <c r="HMW41" s="344"/>
      <c r="HMX41" s="344"/>
      <c r="HMY41" s="344"/>
      <c r="HMZ41" s="344"/>
      <c r="HNA41" s="344"/>
      <c r="HNB41" s="344"/>
      <c r="HNC41" s="344"/>
      <c r="HND41" s="344"/>
      <c r="HNE41" s="344"/>
      <c r="HNF41" s="344"/>
      <c r="HNG41" s="344"/>
      <c r="HNH41" s="344"/>
      <c r="HNI41" s="344"/>
      <c r="HNJ41" s="344"/>
      <c r="HNK41" s="344"/>
      <c r="HNL41" s="344"/>
      <c r="HNM41" s="344"/>
      <c r="HNN41" s="344"/>
      <c r="HNO41" s="344"/>
      <c r="HNP41" s="344"/>
      <c r="HNQ41" s="344"/>
      <c r="HNR41" s="344"/>
      <c r="HNS41" s="344"/>
      <c r="HNT41" s="344"/>
      <c r="HNU41" s="344"/>
      <c r="HNV41" s="344"/>
      <c r="HNW41" s="344"/>
      <c r="HNX41" s="344"/>
      <c r="HNY41" s="344"/>
      <c r="HNZ41" s="344"/>
      <c r="HOA41" s="344"/>
      <c r="HOB41" s="344"/>
      <c r="HOC41" s="344"/>
      <c r="HOD41" s="344"/>
      <c r="HOE41" s="344"/>
      <c r="HOF41" s="344"/>
      <c r="HOG41" s="344"/>
      <c r="HOH41" s="344"/>
      <c r="HOI41" s="344"/>
      <c r="HOJ41" s="344"/>
      <c r="HOK41" s="344"/>
      <c r="HOL41" s="344"/>
      <c r="HOM41" s="344"/>
      <c r="HON41" s="344"/>
      <c r="HOO41" s="344"/>
      <c r="HOP41" s="344"/>
      <c r="HOQ41" s="344"/>
      <c r="HOR41" s="344"/>
      <c r="HOS41" s="344"/>
      <c r="HOT41" s="344"/>
      <c r="HOU41" s="344"/>
      <c r="HOV41" s="344"/>
      <c r="HOW41" s="344"/>
      <c r="HOX41" s="344"/>
      <c r="HOY41" s="344"/>
      <c r="HOZ41" s="344"/>
      <c r="HPA41" s="344"/>
      <c r="HPB41" s="344"/>
      <c r="HPC41" s="344"/>
      <c r="HPD41" s="344"/>
      <c r="HPE41" s="344"/>
      <c r="HPF41" s="344"/>
      <c r="HPG41" s="344"/>
      <c r="HPH41" s="344"/>
      <c r="HPI41" s="344"/>
      <c r="HPJ41" s="344"/>
      <c r="HPK41" s="344"/>
      <c r="HPL41" s="344"/>
      <c r="HPM41" s="344"/>
      <c r="HPN41" s="344"/>
      <c r="HPO41" s="344"/>
      <c r="HPP41" s="344"/>
      <c r="HPQ41" s="344"/>
      <c r="HPR41" s="344"/>
      <c r="HPS41" s="344"/>
      <c r="HPT41" s="344"/>
      <c r="HPU41" s="344"/>
      <c r="HPV41" s="344"/>
      <c r="HPW41" s="344"/>
      <c r="HPX41" s="344"/>
      <c r="HPY41" s="344"/>
      <c r="HPZ41" s="344"/>
      <c r="HQA41" s="344"/>
      <c r="HQB41" s="344"/>
      <c r="HQC41" s="344"/>
      <c r="HQD41" s="344"/>
      <c r="HQE41" s="344"/>
      <c r="HQF41" s="344"/>
      <c r="HQG41" s="344"/>
      <c r="HQH41" s="344"/>
      <c r="HQI41" s="344"/>
      <c r="HQJ41" s="344"/>
      <c r="HQK41" s="344"/>
      <c r="HQL41" s="344"/>
      <c r="HQM41" s="344"/>
      <c r="HQN41" s="344"/>
      <c r="HQO41" s="344"/>
      <c r="HQP41" s="344"/>
      <c r="HQQ41" s="344"/>
      <c r="HQR41" s="344"/>
      <c r="HQS41" s="344"/>
      <c r="HQT41" s="344"/>
      <c r="HQU41" s="344"/>
      <c r="HQV41" s="344"/>
      <c r="HQW41" s="344"/>
      <c r="HQX41" s="344"/>
      <c r="HQY41" s="344"/>
      <c r="HQZ41" s="344"/>
      <c r="HRA41" s="344"/>
      <c r="HRB41" s="344"/>
      <c r="HRC41" s="344"/>
      <c r="HRD41" s="344"/>
      <c r="HRE41" s="344"/>
      <c r="HRF41" s="344"/>
      <c r="HRG41" s="344"/>
      <c r="HRH41" s="344"/>
      <c r="HRI41" s="344"/>
      <c r="HRJ41" s="344"/>
      <c r="HRK41" s="344"/>
      <c r="HRL41" s="344"/>
      <c r="HRM41" s="344"/>
      <c r="HRN41" s="344"/>
      <c r="HRO41" s="344"/>
      <c r="HRP41" s="344"/>
      <c r="HRQ41" s="344"/>
      <c r="HRR41" s="344"/>
      <c r="HRS41" s="344"/>
      <c r="HRT41" s="344"/>
      <c r="HRU41" s="344"/>
      <c r="HRV41" s="344"/>
      <c r="HRW41" s="344"/>
      <c r="HRX41" s="344"/>
      <c r="HRY41" s="344"/>
      <c r="HRZ41" s="344"/>
      <c r="HSA41" s="344"/>
      <c r="HSB41" s="344"/>
      <c r="HSC41" s="344"/>
      <c r="HSD41" s="344"/>
      <c r="HSE41" s="344"/>
      <c r="HSF41" s="344"/>
      <c r="HSG41" s="344"/>
      <c r="HSH41" s="344"/>
      <c r="HSI41" s="344"/>
      <c r="HSJ41" s="344"/>
      <c r="HSK41" s="344"/>
      <c r="HSL41" s="344"/>
      <c r="HSM41" s="344"/>
      <c r="HSN41" s="344"/>
      <c r="HSO41" s="344"/>
      <c r="HSP41" s="344"/>
      <c r="HSQ41" s="344"/>
      <c r="HSR41" s="344"/>
      <c r="HSS41" s="344"/>
      <c r="HST41" s="344"/>
      <c r="HSU41" s="344"/>
      <c r="HSV41" s="344"/>
      <c r="HSW41" s="344"/>
      <c r="HSX41" s="344"/>
      <c r="HSY41" s="344"/>
      <c r="HSZ41" s="344"/>
      <c r="HTA41" s="344"/>
      <c r="HTB41" s="344"/>
      <c r="HTC41" s="344"/>
      <c r="HTD41" s="344"/>
      <c r="HTE41" s="344"/>
      <c r="HTF41" s="344"/>
      <c r="HTG41" s="344"/>
      <c r="HTH41" s="344"/>
      <c r="HTI41" s="344"/>
      <c r="HTJ41" s="344"/>
      <c r="HTK41" s="344"/>
      <c r="HTL41" s="344"/>
      <c r="HTM41" s="344"/>
      <c r="HTN41" s="344"/>
      <c r="HTO41" s="344"/>
      <c r="HTP41" s="344"/>
      <c r="HTQ41" s="344"/>
      <c r="HTR41" s="344"/>
      <c r="HTS41" s="344"/>
      <c r="HTT41" s="344"/>
      <c r="HTU41" s="344"/>
      <c r="HTV41" s="344"/>
      <c r="HTW41" s="344"/>
      <c r="HTX41" s="344"/>
      <c r="HTY41" s="344"/>
      <c r="HTZ41" s="344"/>
      <c r="HUA41" s="344"/>
      <c r="HUB41" s="344"/>
      <c r="HUC41" s="344"/>
      <c r="HUD41" s="344"/>
      <c r="HUE41" s="344"/>
      <c r="HUF41" s="344"/>
      <c r="HUG41" s="344"/>
      <c r="HUH41" s="344"/>
      <c r="HUI41" s="344"/>
      <c r="HUJ41" s="344"/>
      <c r="HUK41" s="344"/>
      <c r="HUL41" s="344"/>
      <c r="HUM41" s="344"/>
      <c r="HUN41" s="344"/>
      <c r="HUO41" s="344"/>
      <c r="HUP41" s="344"/>
      <c r="HUQ41" s="344"/>
      <c r="HUR41" s="344"/>
      <c r="HUS41" s="344"/>
      <c r="HUT41" s="344"/>
      <c r="HUU41" s="344"/>
      <c r="HUV41" s="344"/>
      <c r="HUW41" s="344"/>
      <c r="HUX41" s="344"/>
      <c r="HUY41" s="344"/>
      <c r="HUZ41" s="344"/>
      <c r="HVA41" s="344"/>
      <c r="HVB41" s="344"/>
      <c r="HVC41" s="344"/>
      <c r="HVD41" s="344"/>
      <c r="HVE41" s="344"/>
      <c r="HVF41" s="344"/>
      <c r="HVG41" s="344"/>
      <c r="HVH41" s="344"/>
      <c r="HVI41" s="344"/>
      <c r="HVJ41" s="344"/>
      <c r="HVK41" s="344"/>
      <c r="HVL41" s="344"/>
      <c r="HVM41" s="344"/>
      <c r="HVN41" s="344"/>
      <c r="HVO41" s="344"/>
      <c r="HVP41" s="344"/>
      <c r="HVQ41" s="344"/>
      <c r="HVR41" s="344"/>
      <c r="HVS41" s="344"/>
      <c r="HVT41" s="344"/>
      <c r="HVU41" s="344"/>
      <c r="HVV41" s="344"/>
      <c r="HVW41" s="344"/>
      <c r="HVX41" s="344"/>
      <c r="HVY41" s="344"/>
      <c r="HVZ41" s="344"/>
      <c r="HWA41" s="344"/>
      <c r="HWB41" s="344"/>
      <c r="HWC41" s="344"/>
      <c r="HWD41" s="344"/>
      <c r="HWE41" s="344"/>
      <c r="HWF41" s="344"/>
      <c r="HWG41" s="344"/>
      <c r="HWH41" s="344"/>
      <c r="HWI41" s="344"/>
      <c r="HWJ41" s="344"/>
      <c r="HWK41" s="344"/>
      <c r="HWL41" s="344"/>
      <c r="HWM41" s="344"/>
      <c r="HWN41" s="344"/>
      <c r="HWO41" s="344"/>
      <c r="HWP41" s="344"/>
      <c r="HWQ41" s="344"/>
      <c r="HWR41" s="344"/>
      <c r="HWS41" s="344"/>
      <c r="HWT41" s="344"/>
      <c r="HWU41" s="344"/>
      <c r="HWV41" s="344"/>
      <c r="HWW41" s="344"/>
      <c r="HWX41" s="344"/>
      <c r="HWY41" s="344"/>
      <c r="HWZ41" s="344"/>
      <c r="HXA41" s="344"/>
      <c r="HXB41" s="344"/>
      <c r="HXC41" s="344"/>
      <c r="HXD41" s="344"/>
      <c r="HXE41" s="344"/>
      <c r="HXF41" s="344"/>
      <c r="HXG41" s="344"/>
      <c r="HXH41" s="344"/>
      <c r="HXI41" s="344"/>
      <c r="HXJ41" s="344"/>
      <c r="HXK41" s="344"/>
      <c r="HXL41" s="344"/>
      <c r="HXM41" s="344"/>
      <c r="HXN41" s="344"/>
      <c r="HXO41" s="344"/>
      <c r="HXP41" s="344"/>
      <c r="HXQ41" s="344"/>
      <c r="HXR41" s="344"/>
      <c r="HXS41" s="344"/>
      <c r="HXT41" s="344"/>
      <c r="HXU41" s="344"/>
      <c r="HXV41" s="344"/>
      <c r="HXW41" s="344"/>
      <c r="HXX41" s="344"/>
      <c r="HXY41" s="344"/>
      <c r="HXZ41" s="344"/>
      <c r="HYA41" s="344"/>
      <c r="HYB41" s="344"/>
      <c r="HYC41" s="344"/>
      <c r="HYD41" s="344"/>
      <c r="HYE41" s="344"/>
      <c r="HYF41" s="344"/>
      <c r="HYG41" s="344"/>
      <c r="HYH41" s="344"/>
      <c r="HYI41" s="344"/>
      <c r="HYJ41" s="344"/>
      <c r="HYK41" s="344"/>
      <c r="HYL41" s="344"/>
      <c r="HYM41" s="344"/>
      <c r="HYN41" s="344"/>
      <c r="HYO41" s="344"/>
      <c r="HYP41" s="344"/>
      <c r="HYQ41" s="344"/>
      <c r="HYR41" s="344"/>
      <c r="HYS41" s="344"/>
      <c r="HYT41" s="344"/>
      <c r="HYU41" s="344"/>
      <c r="HYV41" s="344"/>
      <c r="HYW41" s="344"/>
      <c r="HYX41" s="344"/>
      <c r="HYY41" s="344"/>
      <c r="HYZ41" s="344"/>
      <c r="HZA41" s="344"/>
      <c r="HZB41" s="344"/>
      <c r="HZC41" s="344"/>
      <c r="HZD41" s="344"/>
      <c r="HZE41" s="344"/>
      <c r="HZF41" s="344"/>
      <c r="HZG41" s="344"/>
      <c r="HZH41" s="344"/>
      <c r="HZI41" s="344"/>
      <c r="HZJ41" s="344"/>
      <c r="HZK41" s="344"/>
      <c r="HZL41" s="344"/>
      <c r="HZM41" s="344"/>
      <c r="HZN41" s="344"/>
      <c r="HZO41" s="344"/>
      <c r="HZP41" s="344"/>
      <c r="HZQ41" s="344"/>
      <c r="HZR41" s="344"/>
      <c r="HZS41" s="344"/>
      <c r="HZT41" s="344"/>
      <c r="HZU41" s="344"/>
      <c r="HZV41" s="344"/>
      <c r="HZW41" s="344"/>
      <c r="HZX41" s="344"/>
      <c r="HZY41" s="344"/>
      <c r="HZZ41" s="344"/>
      <c r="IAA41" s="344"/>
      <c r="IAB41" s="344"/>
      <c r="IAC41" s="344"/>
      <c r="IAD41" s="344"/>
      <c r="IAE41" s="344"/>
      <c r="IAF41" s="344"/>
      <c r="IAG41" s="344"/>
      <c r="IAH41" s="344"/>
      <c r="IAI41" s="344"/>
      <c r="IAJ41" s="344"/>
      <c r="IAK41" s="344"/>
      <c r="IAL41" s="344"/>
      <c r="IAM41" s="344"/>
      <c r="IAN41" s="344"/>
      <c r="IAO41" s="344"/>
      <c r="IAP41" s="344"/>
      <c r="IAQ41" s="344"/>
      <c r="IAR41" s="344"/>
      <c r="IAS41" s="344"/>
      <c r="IAT41" s="344"/>
      <c r="IAU41" s="344"/>
      <c r="IAV41" s="344"/>
      <c r="IAW41" s="344"/>
      <c r="IAX41" s="344"/>
      <c r="IAY41" s="344"/>
      <c r="IAZ41" s="344"/>
      <c r="IBA41" s="344"/>
      <c r="IBB41" s="344"/>
      <c r="IBC41" s="344"/>
      <c r="IBD41" s="344"/>
      <c r="IBE41" s="344"/>
      <c r="IBF41" s="344"/>
      <c r="IBG41" s="344"/>
      <c r="IBH41" s="344"/>
      <c r="IBI41" s="344"/>
      <c r="IBJ41" s="344"/>
      <c r="IBK41" s="344"/>
      <c r="IBL41" s="344"/>
      <c r="IBM41" s="344"/>
      <c r="IBN41" s="344"/>
      <c r="IBO41" s="344"/>
      <c r="IBP41" s="344"/>
      <c r="IBQ41" s="344"/>
      <c r="IBR41" s="344"/>
      <c r="IBS41" s="344"/>
      <c r="IBT41" s="344"/>
      <c r="IBU41" s="344"/>
      <c r="IBV41" s="344"/>
      <c r="IBW41" s="344"/>
      <c r="IBX41" s="344"/>
      <c r="IBY41" s="344"/>
      <c r="IBZ41" s="344"/>
      <c r="ICA41" s="344"/>
      <c r="ICB41" s="344"/>
      <c r="ICC41" s="344"/>
      <c r="ICD41" s="344"/>
      <c r="ICE41" s="344"/>
      <c r="ICF41" s="344"/>
      <c r="ICG41" s="344"/>
      <c r="ICH41" s="344"/>
      <c r="ICI41" s="344"/>
      <c r="ICJ41" s="344"/>
      <c r="ICK41" s="344"/>
      <c r="ICL41" s="344"/>
      <c r="ICM41" s="344"/>
      <c r="ICN41" s="344"/>
      <c r="ICO41" s="344"/>
      <c r="ICP41" s="344"/>
      <c r="ICQ41" s="344"/>
      <c r="ICR41" s="344"/>
      <c r="ICS41" s="344"/>
      <c r="ICT41" s="344"/>
      <c r="ICU41" s="344"/>
      <c r="ICV41" s="344"/>
      <c r="ICW41" s="344"/>
      <c r="ICX41" s="344"/>
      <c r="ICY41" s="344"/>
      <c r="ICZ41" s="344"/>
      <c r="IDA41" s="344"/>
      <c r="IDB41" s="344"/>
      <c r="IDC41" s="344"/>
      <c r="IDD41" s="344"/>
      <c r="IDE41" s="344"/>
      <c r="IDF41" s="344"/>
      <c r="IDG41" s="344"/>
      <c r="IDH41" s="344"/>
      <c r="IDI41" s="344"/>
      <c r="IDJ41" s="344"/>
      <c r="IDK41" s="344"/>
      <c r="IDL41" s="344"/>
      <c r="IDM41" s="344"/>
      <c r="IDN41" s="344"/>
      <c r="IDO41" s="344"/>
      <c r="IDP41" s="344"/>
      <c r="IDQ41" s="344"/>
      <c r="IDR41" s="344"/>
      <c r="IDS41" s="344"/>
      <c r="IDT41" s="344"/>
      <c r="IDU41" s="344"/>
      <c r="IDV41" s="344"/>
      <c r="IDW41" s="344"/>
      <c r="IDX41" s="344"/>
      <c r="IDY41" s="344"/>
      <c r="IDZ41" s="344"/>
      <c r="IEA41" s="344"/>
      <c r="IEB41" s="344"/>
      <c r="IEC41" s="344"/>
      <c r="IED41" s="344"/>
      <c r="IEE41" s="344"/>
      <c r="IEF41" s="344"/>
      <c r="IEG41" s="344"/>
      <c r="IEH41" s="344"/>
      <c r="IEI41" s="344"/>
      <c r="IEJ41" s="344"/>
      <c r="IEK41" s="344"/>
      <c r="IEL41" s="344"/>
      <c r="IEM41" s="344"/>
      <c r="IEN41" s="344"/>
      <c r="IEO41" s="344"/>
      <c r="IEP41" s="344"/>
      <c r="IEQ41" s="344"/>
      <c r="IER41" s="344"/>
      <c r="IES41" s="344"/>
      <c r="IET41" s="344"/>
      <c r="IEU41" s="344"/>
      <c r="IEV41" s="344"/>
      <c r="IEW41" s="344"/>
      <c r="IEX41" s="344"/>
      <c r="IEY41" s="344"/>
      <c r="IEZ41" s="344"/>
      <c r="IFA41" s="344"/>
      <c r="IFB41" s="344"/>
      <c r="IFC41" s="344"/>
      <c r="IFD41" s="344"/>
      <c r="IFE41" s="344"/>
      <c r="IFF41" s="344"/>
      <c r="IFG41" s="344"/>
      <c r="IFH41" s="344"/>
      <c r="IFI41" s="344"/>
      <c r="IFJ41" s="344"/>
      <c r="IFK41" s="344"/>
      <c r="IFL41" s="344"/>
      <c r="IFM41" s="344"/>
      <c r="IFN41" s="344"/>
      <c r="IFO41" s="344"/>
      <c r="IFP41" s="344"/>
      <c r="IFQ41" s="344"/>
      <c r="IFR41" s="344"/>
      <c r="IFS41" s="344"/>
      <c r="IFT41" s="344"/>
      <c r="IFU41" s="344"/>
      <c r="IFV41" s="344"/>
      <c r="IFW41" s="344"/>
      <c r="IFX41" s="344"/>
      <c r="IFY41" s="344"/>
      <c r="IFZ41" s="344"/>
      <c r="IGA41" s="344"/>
      <c r="IGB41" s="344"/>
      <c r="IGC41" s="344"/>
      <c r="IGD41" s="344"/>
      <c r="IGE41" s="344"/>
      <c r="IGF41" s="344"/>
      <c r="IGG41" s="344"/>
      <c r="IGH41" s="344"/>
      <c r="IGI41" s="344"/>
      <c r="IGJ41" s="344"/>
      <c r="IGK41" s="344"/>
      <c r="IGL41" s="344"/>
      <c r="IGM41" s="344"/>
      <c r="IGN41" s="344"/>
      <c r="IGO41" s="344"/>
      <c r="IGP41" s="344"/>
      <c r="IGQ41" s="344"/>
      <c r="IGR41" s="344"/>
      <c r="IGS41" s="344"/>
      <c r="IGT41" s="344"/>
      <c r="IGU41" s="344"/>
      <c r="IGV41" s="344"/>
      <c r="IGW41" s="344"/>
      <c r="IGX41" s="344"/>
      <c r="IGY41" s="344"/>
      <c r="IGZ41" s="344"/>
      <c r="IHA41" s="344"/>
      <c r="IHB41" s="344"/>
      <c r="IHC41" s="344"/>
      <c r="IHD41" s="344"/>
      <c r="IHE41" s="344"/>
      <c r="IHF41" s="344"/>
      <c r="IHG41" s="344"/>
      <c r="IHH41" s="344"/>
      <c r="IHI41" s="344"/>
      <c r="IHJ41" s="344"/>
      <c r="IHK41" s="344"/>
      <c r="IHL41" s="344"/>
      <c r="IHM41" s="344"/>
      <c r="IHN41" s="344"/>
      <c r="IHO41" s="344"/>
      <c r="IHP41" s="344"/>
      <c r="IHQ41" s="344"/>
      <c r="IHR41" s="344"/>
      <c r="IHS41" s="344"/>
      <c r="IHT41" s="344"/>
      <c r="IHU41" s="344"/>
      <c r="IHV41" s="344"/>
      <c r="IHW41" s="344"/>
      <c r="IHX41" s="344"/>
      <c r="IHY41" s="344"/>
      <c r="IHZ41" s="344"/>
      <c r="IIA41" s="344"/>
      <c r="IIB41" s="344"/>
      <c r="IIC41" s="344"/>
      <c r="IID41" s="344"/>
      <c r="IIE41" s="344"/>
      <c r="IIF41" s="344"/>
      <c r="IIG41" s="344"/>
      <c r="IIH41" s="344"/>
      <c r="III41" s="344"/>
      <c r="IIJ41" s="344"/>
      <c r="IIK41" s="344"/>
      <c r="IIL41" s="344"/>
      <c r="IIM41" s="344"/>
      <c r="IIN41" s="344"/>
      <c r="IIO41" s="344"/>
      <c r="IIP41" s="344"/>
      <c r="IIQ41" s="344"/>
      <c r="IIR41" s="344"/>
      <c r="IIS41" s="344"/>
      <c r="IIT41" s="344"/>
      <c r="IIU41" s="344"/>
      <c r="IIV41" s="344"/>
      <c r="IIW41" s="344"/>
      <c r="IIX41" s="344"/>
      <c r="IIY41" s="344"/>
      <c r="IIZ41" s="344"/>
      <c r="IJA41" s="344"/>
      <c r="IJB41" s="344"/>
      <c r="IJC41" s="344"/>
      <c r="IJD41" s="344"/>
      <c r="IJE41" s="344"/>
      <c r="IJF41" s="344"/>
      <c r="IJG41" s="344"/>
      <c r="IJH41" s="344"/>
      <c r="IJI41" s="344"/>
      <c r="IJJ41" s="344"/>
      <c r="IJK41" s="344"/>
      <c r="IJL41" s="344"/>
      <c r="IJM41" s="344"/>
      <c r="IJN41" s="344"/>
      <c r="IJO41" s="344"/>
      <c r="IJP41" s="344"/>
      <c r="IJQ41" s="344"/>
      <c r="IJR41" s="344"/>
      <c r="IJS41" s="344"/>
      <c r="IJT41" s="344"/>
      <c r="IJU41" s="344"/>
      <c r="IJV41" s="344"/>
      <c r="IJW41" s="344"/>
      <c r="IJX41" s="344"/>
      <c r="IJY41" s="344"/>
      <c r="IJZ41" s="344"/>
      <c r="IKA41" s="344"/>
      <c r="IKB41" s="344"/>
      <c r="IKC41" s="344"/>
      <c r="IKD41" s="344"/>
      <c r="IKE41" s="344"/>
      <c r="IKF41" s="344"/>
      <c r="IKG41" s="344"/>
      <c r="IKH41" s="344"/>
      <c r="IKI41" s="344"/>
      <c r="IKJ41" s="344"/>
      <c r="IKK41" s="344"/>
      <c r="IKL41" s="344"/>
      <c r="IKM41" s="344"/>
      <c r="IKN41" s="344"/>
      <c r="IKO41" s="344"/>
      <c r="IKP41" s="344"/>
      <c r="IKQ41" s="344"/>
      <c r="IKR41" s="344"/>
      <c r="IKS41" s="344"/>
      <c r="IKT41" s="344"/>
      <c r="IKU41" s="344"/>
      <c r="IKV41" s="344"/>
      <c r="IKW41" s="344"/>
      <c r="IKX41" s="344"/>
      <c r="IKY41" s="344"/>
      <c r="IKZ41" s="344"/>
      <c r="ILA41" s="344"/>
      <c r="ILB41" s="344"/>
      <c r="ILC41" s="344"/>
      <c r="ILD41" s="344"/>
      <c r="ILE41" s="344"/>
      <c r="ILF41" s="344"/>
      <c r="ILG41" s="344"/>
      <c r="ILH41" s="344"/>
      <c r="ILI41" s="344"/>
      <c r="ILJ41" s="344"/>
      <c r="ILK41" s="344"/>
      <c r="ILL41" s="344"/>
      <c r="ILM41" s="344"/>
      <c r="ILN41" s="344"/>
      <c r="ILO41" s="344"/>
      <c r="ILP41" s="344"/>
      <c r="ILQ41" s="344"/>
      <c r="ILR41" s="344"/>
      <c r="ILS41" s="344"/>
      <c r="ILT41" s="344"/>
      <c r="ILU41" s="344"/>
      <c r="ILV41" s="344"/>
      <c r="ILW41" s="344"/>
      <c r="ILX41" s="344"/>
      <c r="ILY41" s="344"/>
      <c r="ILZ41" s="344"/>
      <c r="IMA41" s="344"/>
      <c r="IMB41" s="344"/>
      <c r="IMC41" s="344"/>
      <c r="IMD41" s="344"/>
      <c r="IME41" s="344"/>
      <c r="IMF41" s="344"/>
      <c r="IMG41" s="344"/>
      <c r="IMH41" s="344"/>
      <c r="IMI41" s="344"/>
      <c r="IMJ41" s="344"/>
      <c r="IMK41" s="344"/>
      <c r="IML41" s="344"/>
      <c r="IMM41" s="344"/>
      <c r="IMN41" s="344"/>
      <c r="IMO41" s="344"/>
      <c r="IMP41" s="344"/>
      <c r="IMQ41" s="344"/>
      <c r="IMR41" s="344"/>
      <c r="IMS41" s="344"/>
      <c r="IMT41" s="344"/>
      <c r="IMU41" s="344"/>
      <c r="IMV41" s="344"/>
      <c r="IMW41" s="344"/>
      <c r="IMX41" s="344"/>
      <c r="IMY41" s="344"/>
      <c r="IMZ41" s="344"/>
      <c r="INA41" s="344"/>
      <c r="INB41" s="344"/>
      <c r="INC41" s="344"/>
      <c r="IND41" s="344"/>
      <c r="INE41" s="344"/>
      <c r="INF41" s="344"/>
      <c r="ING41" s="344"/>
      <c r="INH41" s="344"/>
      <c r="INI41" s="344"/>
      <c r="INJ41" s="344"/>
      <c r="INK41" s="344"/>
      <c r="INL41" s="344"/>
      <c r="INM41" s="344"/>
      <c r="INN41" s="344"/>
      <c r="INO41" s="344"/>
      <c r="INP41" s="344"/>
      <c r="INQ41" s="344"/>
      <c r="INR41" s="344"/>
      <c r="INS41" s="344"/>
      <c r="INT41" s="344"/>
      <c r="INU41" s="344"/>
      <c r="INV41" s="344"/>
      <c r="INW41" s="344"/>
      <c r="INX41" s="344"/>
      <c r="INY41" s="344"/>
      <c r="INZ41" s="344"/>
      <c r="IOA41" s="344"/>
      <c r="IOB41" s="344"/>
      <c r="IOC41" s="344"/>
      <c r="IOD41" s="344"/>
      <c r="IOE41" s="344"/>
      <c r="IOF41" s="344"/>
      <c r="IOG41" s="344"/>
      <c r="IOH41" s="344"/>
      <c r="IOI41" s="344"/>
      <c r="IOJ41" s="344"/>
      <c r="IOK41" s="344"/>
      <c r="IOL41" s="344"/>
      <c r="IOM41" s="344"/>
      <c r="ION41" s="344"/>
      <c r="IOO41" s="344"/>
      <c r="IOP41" s="344"/>
      <c r="IOQ41" s="344"/>
      <c r="IOR41" s="344"/>
      <c r="IOS41" s="344"/>
      <c r="IOT41" s="344"/>
      <c r="IOU41" s="344"/>
      <c r="IOV41" s="344"/>
      <c r="IOW41" s="344"/>
      <c r="IOX41" s="344"/>
      <c r="IOY41" s="344"/>
      <c r="IOZ41" s="344"/>
      <c r="IPA41" s="344"/>
      <c r="IPB41" s="344"/>
      <c r="IPC41" s="344"/>
      <c r="IPD41" s="344"/>
      <c r="IPE41" s="344"/>
      <c r="IPF41" s="344"/>
      <c r="IPG41" s="344"/>
      <c r="IPH41" s="344"/>
      <c r="IPI41" s="344"/>
      <c r="IPJ41" s="344"/>
      <c r="IPK41" s="344"/>
      <c r="IPL41" s="344"/>
      <c r="IPM41" s="344"/>
      <c r="IPN41" s="344"/>
      <c r="IPO41" s="344"/>
      <c r="IPP41" s="344"/>
      <c r="IPQ41" s="344"/>
      <c r="IPR41" s="344"/>
      <c r="IPS41" s="344"/>
      <c r="IPT41" s="344"/>
      <c r="IPU41" s="344"/>
      <c r="IPV41" s="344"/>
      <c r="IPW41" s="344"/>
      <c r="IPX41" s="344"/>
      <c r="IPY41" s="344"/>
      <c r="IPZ41" s="344"/>
      <c r="IQA41" s="344"/>
      <c r="IQB41" s="344"/>
      <c r="IQC41" s="344"/>
      <c r="IQD41" s="344"/>
      <c r="IQE41" s="344"/>
      <c r="IQF41" s="344"/>
      <c r="IQG41" s="344"/>
      <c r="IQH41" s="344"/>
      <c r="IQI41" s="344"/>
      <c r="IQJ41" s="344"/>
      <c r="IQK41" s="344"/>
      <c r="IQL41" s="344"/>
      <c r="IQM41" s="344"/>
      <c r="IQN41" s="344"/>
      <c r="IQO41" s="344"/>
      <c r="IQP41" s="344"/>
      <c r="IQQ41" s="344"/>
      <c r="IQR41" s="344"/>
      <c r="IQS41" s="344"/>
      <c r="IQT41" s="344"/>
      <c r="IQU41" s="344"/>
      <c r="IQV41" s="344"/>
      <c r="IQW41" s="344"/>
      <c r="IQX41" s="344"/>
      <c r="IQY41" s="344"/>
      <c r="IQZ41" s="344"/>
      <c r="IRA41" s="344"/>
      <c r="IRB41" s="344"/>
      <c r="IRC41" s="344"/>
      <c r="IRD41" s="344"/>
      <c r="IRE41" s="344"/>
      <c r="IRF41" s="344"/>
      <c r="IRG41" s="344"/>
      <c r="IRH41" s="344"/>
      <c r="IRI41" s="344"/>
      <c r="IRJ41" s="344"/>
      <c r="IRK41" s="344"/>
      <c r="IRL41" s="344"/>
      <c r="IRM41" s="344"/>
      <c r="IRN41" s="344"/>
      <c r="IRO41" s="344"/>
      <c r="IRP41" s="344"/>
      <c r="IRQ41" s="344"/>
      <c r="IRR41" s="344"/>
      <c r="IRS41" s="344"/>
      <c r="IRT41" s="344"/>
      <c r="IRU41" s="344"/>
      <c r="IRV41" s="344"/>
      <c r="IRW41" s="344"/>
      <c r="IRX41" s="344"/>
      <c r="IRY41" s="344"/>
      <c r="IRZ41" s="344"/>
      <c r="ISA41" s="344"/>
      <c r="ISB41" s="344"/>
      <c r="ISC41" s="344"/>
      <c r="ISD41" s="344"/>
      <c r="ISE41" s="344"/>
      <c r="ISF41" s="344"/>
      <c r="ISG41" s="344"/>
      <c r="ISH41" s="344"/>
      <c r="ISI41" s="344"/>
      <c r="ISJ41" s="344"/>
      <c r="ISK41" s="344"/>
      <c r="ISL41" s="344"/>
      <c r="ISM41" s="344"/>
      <c r="ISN41" s="344"/>
      <c r="ISO41" s="344"/>
      <c r="ISP41" s="344"/>
      <c r="ISQ41" s="344"/>
      <c r="ISR41" s="344"/>
      <c r="ISS41" s="344"/>
      <c r="IST41" s="344"/>
      <c r="ISU41" s="344"/>
      <c r="ISV41" s="344"/>
      <c r="ISW41" s="344"/>
      <c r="ISX41" s="344"/>
      <c r="ISY41" s="344"/>
      <c r="ISZ41" s="344"/>
      <c r="ITA41" s="344"/>
      <c r="ITB41" s="344"/>
      <c r="ITC41" s="344"/>
      <c r="ITD41" s="344"/>
      <c r="ITE41" s="344"/>
      <c r="ITF41" s="344"/>
      <c r="ITG41" s="344"/>
      <c r="ITH41" s="344"/>
      <c r="ITI41" s="344"/>
      <c r="ITJ41" s="344"/>
      <c r="ITK41" s="344"/>
      <c r="ITL41" s="344"/>
      <c r="ITM41" s="344"/>
      <c r="ITN41" s="344"/>
      <c r="ITO41" s="344"/>
      <c r="ITP41" s="344"/>
      <c r="ITQ41" s="344"/>
      <c r="ITR41" s="344"/>
      <c r="ITS41" s="344"/>
      <c r="ITT41" s="344"/>
      <c r="ITU41" s="344"/>
      <c r="ITV41" s="344"/>
      <c r="ITW41" s="344"/>
      <c r="ITX41" s="344"/>
      <c r="ITY41" s="344"/>
      <c r="ITZ41" s="344"/>
      <c r="IUA41" s="344"/>
      <c r="IUB41" s="344"/>
      <c r="IUC41" s="344"/>
      <c r="IUD41" s="344"/>
      <c r="IUE41" s="344"/>
      <c r="IUF41" s="344"/>
      <c r="IUG41" s="344"/>
      <c r="IUH41" s="344"/>
      <c r="IUI41" s="344"/>
      <c r="IUJ41" s="344"/>
      <c r="IUK41" s="344"/>
      <c r="IUL41" s="344"/>
      <c r="IUM41" s="344"/>
      <c r="IUN41" s="344"/>
      <c r="IUO41" s="344"/>
      <c r="IUP41" s="344"/>
      <c r="IUQ41" s="344"/>
      <c r="IUR41" s="344"/>
      <c r="IUS41" s="344"/>
      <c r="IUT41" s="344"/>
      <c r="IUU41" s="344"/>
      <c r="IUV41" s="344"/>
      <c r="IUW41" s="344"/>
      <c r="IUX41" s="344"/>
      <c r="IUY41" s="344"/>
      <c r="IUZ41" s="344"/>
      <c r="IVA41" s="344"/>
      <c r="IVB41" s="344"/>
      <c r="IVC41" s="344"/>
      <c r="IVD41" s="344"/>
      <c r="IVE41" s="344"/>
      <c r="IVF41" s="344"/>
      <c r="IVG41" s="344"/>
      <c r="IVH41" s="344"/>
      <c r="IVI41" s="344"/>
      <c r="IVJ41" s="344"/>
      <c r="IVK41" s="344"/>
      <c r="IVL41" s="344"/>
      <c r="IVM41" s="344"/>
      <c r="IVN41" s="344"/>
      <c r="IVO41" s="344"/>
      <c r="IVP41" s="344"/>
      <c r="IVQ41" s="344"/>
      <c r="IVR41" s="344"/>
      <c r="IVS41" s="344"/>
      <c r="IVT41" s="344"/>
      <c r="IVU41" s="344"/>
      <c r="IVV41" s="344"/>
      <c r="IVW41" s="344"/>
      <c r="IVX41" s="344"/>
      <c r="IVY41" s="344"/>
      <c r="IVZ41" s="344"/>
      <c r="IWA41" s="344"/>
      <c r="IWB41" s="344"/>
      <c r="IWC41" s="344"/>
      <c r="IWD41" s="344"/>
      <c r="IWE41" s="344"/>
      <c r="IWF41" s="344"/>
      <c r="IWG41" s="344"/>
      <c r="IWH41" s="344"/>
      <c r="IWI41" s="344"/>
      <c r="IWJ41" s="344"/>
      <c r="IWK41" s="344"/>
      <c r="IWL41" s="344"/>
      <c r="IWM41" s="344"/>
      <c r="IWN41" s="344"/>
      <c r="IWO41" s="344"/>
      <c r="IWP41" s="344"/>
      <c r="IWQ41" s="344"/>
      <c r="IWR41" s="344"/>
      <c r="IWS41" s="344"/>
      <c r="IWT41" s="344"/>
      <c r="IWU41" s="344"/>
      <c r="IWV41" s="344"/>
      <c r="IWW41" s="344"/>
      <c r="IWX41" s="344"/>
      <c r="IWY41" s="344"/>
      <c r="IWZ41" s="344"/>
      <c r="IXA41" s="344"/>
      <c r="IXB41" s="344"/>
      <c r="IXC41" s="344"/>
      <c r="IXD41" s="344"/>
      <c r="IXE41" s="344"/>
      <c r="IXF41" s="344"/>
      <c r="IXG41" s="344"/>
      <c r="IXH41" s="344"/>
      <c r="IXI41" s="344"/>
      <c r="IXJ41" s="344"/>
      <c r="IXK41" s="344"/>
      <c r="IXL41" s="344"/>
      <c r="IXM41" s="344"/>
      <c r="IXN41" s="344"/>
      <c r="IXO41" s="344"/>
      <c r="IXP41" s="344"/>
      <c r="IXQ41" s="344"/>
      <c r="IXR41" s="344"/>
      <c r="IXS41" s="344"/>
      <c r="IXT41" s="344"/>
      <c r="IXU41" s="344"/>
      <c r="IXV41" s="344"/>
      <c r="IXW41" s="344"/>
      <c r="IXX41" s="344"/>
      <c r="IXY41" s="344"/>
      <c r="IXZ41" s="344"/>
      <c r="IYA41" s="344"/>
      <c r="IYB41" s="344"/>
      <c r="IYC41" s="344"/>
      <c r="IYD41" s="344"/>
      <c r="IYE41" s="344"/>
      <c r="IYF41" s="344"/>
      <c r="IYG41" s="344"/>
      <c r="IYH41" s="344"/>
      <c r="IYI41" s="344"/>
      <c r="IYJ41" s="344"/>
      <c r="IYK41" s="344"/>
      <c r="IYL41" s="344"/>
      <c r="IYM41" s="344"/>
      <c r="IYN41" s="344"/>
      <c r="IYO41" s="344"/>
      <c r="IYP41" s="344"/>
      <c r="IYQ41" s="344"/>
      <c r="IYR41" s="344"/>
      <c r="IYS41" s="344"/>
      <c r="IYT41" s="344"/>
      <c r="IYU41" s="344"/>
      <c r="IYV41" s="344"/>
      <c r="IYW41" s="344"/>
      <c r="IYX41" s="344"/>
      <c r="IYY41" s="344"/>
      <c r="IYZ41" s="344"/>
      <c r="IZA41" s="344"/>
      <c r="IZB41" s="344"/>
      <c r="IZC41" s="344"/>
      <c r="IZD41" s="344"/>
      <c r="IZE41" s="344"/>
      <c r="IZF41" s="344"/>
      <c r="IZG41" s="344"/>
      <c r="IZH41" s="344"/>
      <c r="IZI41" s="344"/>
      <c r="IZJ41" s="344"/>
      <c r="IZK41" s="344"/>
      <c r="IZL41" s="344"/>
      <c r="IZM41" s="344"/>
      <c r="IZN41" s="344"/>
      <c r="IZO41" s="344"/>
      <c r="IZP41" s="344"/>
      <c r="IZQ41" s="344"/>
      <c r="IZR41" s="344"/>
      <c r="IZS41" s="344"/>
      <c r="IZT41" s="344"/>
      <c r="IZU41" s="344"/>
      <c r="IZV41" s="344"/>
      <c r="IZW41" s="344"/>
      <c r="IZX41" s="344"/>
      <c r="IZY41" s="344"/>
      <c r="IZZ41" s="344"/>
      <c r="JAA41" s="344"/>
      <c r="JAB41" s="344"/>
      <c r="JAC41" s="344"/>
      <c r="JAD41" s="344"/>
      <c r="JAE41" s="344"/>
      <c r="JAF41" s="344"/>
      <c r="JAG41" s="344"/>
      <c r="JAH41" s="344"/>
      <c r="JAI41" s="344"/>
      <c r="JAJ41" s="344"/>
      <c r="JAK41" s="344"/>
      <c r="JAL41" s="344"/>
      <c r="JAM41" s="344"/>
      <c r="JAN41" s="344"/>
      <c r="JAO41" s="344"/>
      <c r="JAP41" s="344"/>
      <c r="JAQ41" s="344"/>
      <c r="JAR41" s="344"/>
      <c r="JAS41" s="344"/>
      <c r="JAT41" s="344"/>
      <c r="JAU41" s="344"/>
      <c r="JAV41" s="344"/>
      <c r="JAW41" s="344"/>
      <c r="JAX41" s="344"/>
      <c r="JAY41" s="344"/>
      <c r="JAZ41" s="344"/>
      <c r="JBA41" s="344"/>
      <c r="JBB41" s="344"/>
      <c r="JBC41" s="344"/>
      <c r="JBD41" s="344"/>
      <c r="JBE41" s="344"/>
      <c r="JBF41" s="344"/>
      <c r="JBG41" s="344"/>
      <c r="JBH41" s="344"/>
      <c r="JBI41" s="344"/>
      <c r="JBJ41" s="344"/>
      <c r="JBK41" s="344"/>
      <c r="JBL41" s="344"/>
      <c r="JBM41" s="344"/>
      <c r="JBN41" s="344"/>
      <c r="JBO41" s="344"/>
      <c r="JBP41" s="344"/>
      <c r="JBQ41" s="344"/>
      <c r="JBR41" s="344"/>
      <c r="JBS41" s="344"/>
      <c r="JBT41" s="344"/>
      <c r="JBU41" s="344"/>
      <c r="JBV41" s="344"/>
      <c r="JBW41" s="344"/>
      <c r="JBX41" s="344"/>
      <c r="JBY41" s="344"/>
      <c r="JBZ41" s="344"/>
      <c r="JCA41" s="344"/>
      <c r="JCB41" s="344"/>
      <c r="JCC41" s="344"/>
      <c r="JCD41" s="344"/>
      <c r="JCE41" s="344"/>
      <c r="JCF41" s="344"/>
      <c r="JCG41" s="344"/>
      <c r="JCH41" s="344"/>
      <c r="JCI41" s="344"/>
      <c r="JCJ41" s="344"/>
      <c r="JCK41" s="344"/>
      <c r="JCL41" s="344"/>
      <c r="JCM41" s="344"/>
      <c r="JCN41" s="344"/>
      <c r="JCO41" s="344"/>
      <c r="JCP41" s="344"/>
      <c r="JCQ41" s="344"/>
      <c r="JCR41" s="344"/>
      <c r="JCS41" s="344"/>
      <c r="JCT41" s="344"/>
      <c r="JCU41" s="344"/>
      <c r="JCV41" s="344"/>
      <c r="JCW41" s="344"/>
      <c r="JCX41" s="344"/>
      <c r="JCY41" s="344"/>
      <c r="JCZ41" s="344"/>
      <c r="JDA41" s="344"/>
      <c r="JDB41" s="344"/>
      <c r="JDC41" s="344"/>
      <c r="JDD41" s="344"/>
      <c r="JDE41" s="344"/>
      <c r="JDF41" s="344"/>
      <c r="JDG41" s="344"/>
      <c r="JDH41" s="344"/>
      <c r="JDI41" s="344"/>
      <c r="JDJ41" s="344"/>
      <c r="JDK41" s="344"/>
      <c r="JDL41" s="344"/>
      <c r="JDM41" s="344"/>
      <c r="JDN41" s="344"/>
      <c r="JDO41" s="344"/>
      <c r="JDP41" s="344"/>
      <c r="JDQ41" s="344"/>
      <c r="JDR41" s="344"/>
      <c r="JDS41" s="344"/>
      <c r="JDT41" s="344"/>
      <c r="JDU41" s="344"/>
      <c r="JDV41" s="344"/>
      <c r="JDW41" s="344"/>
      <c r="JDX41" s="344"/>
      <c r="JDY41" s="344"/>
      <c r="JDZ41" s="344"/>
      <c r="JEA41" s="344"/>
      <c r="JEB41" s="344"/>
      <c r="JEC41" s="344"/>
      <c r="JED41" s="344"/>
      <c r="JEE41" s="344"/>
      <c r="JEF41" s="344"/>
      <c r="JEG41" s="344"/>
      <c r="JEH41" s="344"/>
      <c r="JEI41" s="344"/>
      <c r="JEJ41" s="344"/>
      <c r="JEK41" s="344"/>
      <c r="JEL41" s="344"/>
      <c r="JEM41" s="344"/>
      <c r="JEN41" s="344"/>
      <c r="JEO41" s="344"/>
      <c r="JEP41" s="344"/>
      <c r="JEQ41" s="344"/>
      <c r="JER41" s="344"/>
      <c r="JES41" s="344"/>
      <c r="JET41" s="344"/>
      <c r="JEU41" s="344"/>
      <c r="JEV41" s="344"/>
      <c r="JEW41" s="344"/>
      <c r="JEX41" s="344"/>
      <c r="JEY41" s="344"/>
      <c r="JEZ41" s="344"/>
      <c r="JFA41" s="344"/>
      <c r="JFB41" s="344"/>
      <c r="JFC41" s="344"/>
      <c r="JFD41" s="344"/>
      <c r="JFE41" s="344"/>
      <c r="JFF41" s="344"/>
      <c r="JFG41" s="344"/>
      <c r="JFH41" s="344"/>
      <c r="JFI41" s="344"/>
      <c r="JFJ41" s="344"/>
      <c r="JFK41" s="344"/>
      <c r="JFL41" s="344"/>
      <c r="JFM41" s="344"/>
      <c r="JFN41" s="344"/>
      <c r="JFO41" s="344"/>
      <c r="JFP41" s="344"/>
      <c r="JFQ41" s="344"/>
      <c r="JFR41" s="344"/>
      <c r="JFS41" s="344"/>
      <c r="JFT41" s="344"/>
      <c r="JFU41" s="344"/>
      <c r="JFV41" s="344"/>
      <c r="JFW41" s="344"/>
      <c r="JFX41" s="344"/>
      <c r="JFY41" s="344"/>
      <c r="JFZ41" s="344"/>
      <c r="JGA41" s="344"/>
      <c r="JGB41" s="344"/>
      <c r="JGC41" s="344"/>
      <c r="JGD41" s="344"/>
      <c r="JGE41" s="344"/>
      <c r="JGF41" s="344"/>
      <c r="JGG41" s="344"/>
      <c r="JGH41" s="344"/>
      <c r="JGI41" s="344"/>
      <c r="JGJ41" s="344"/>
      <c r="JGK41" s="344"/>
      <c r="JGL41" s="344"/>
      <c r="JGM41" s="344"/>
      <c r="JGN41" s="344"/>
      <c r="JGO41" s="344"/>
      <c r="JGP41" s="344"/>
      <c r="JGQ41" s="344"/>
      <c r="JGR41" s="344"/>
      <c r="JGS41" s="344"/>
      <c r="JGT41" s="344"/>
      <c r="JGU41" s="344"/>
      <c r="JGV41" s="344"/>
      <c r="JGW41" s="344"/>
      <c r="JGX41" s="344"/>
      <c r="JGY41" s="344"/>
      <c r="JGZ41" s="344"/>
      <c r="JHA41" s="344"/>
      <c r="JHB41" s="344"/>
      <c r="JHC41" s="344"/>
      <c r="JHD41" s="344"/>
      <c r="JHE41" s="344"/>
      <c r="JHF41" s="344"/>
      <c r="JHG41" s="344"/>
      <c r="JHH41" s="344"/>
      <c r="JHI41" s="344"/>
      <c r="JHJ41" s="344"/>
      <c r="JHK41" s="344"/>
      <c r="JHL41" s="344"/>
      <c r="JHM41" s="344"/>
      <c r="JHN41" s="344"/>
      <c r="JHO41" s="344"/>
      <c r="JHP41" s="344"/>
      <c r="JHQ41" s="344"/>
      <c r="JHR41" s="344"/>
      <c r="JHS41" s="344"/>
      <c r="JHT41" s="344"/>
      <c r="JHU41" s="344"/>
      <c r="JHV41" s="344"/>
      <c r="JHW41" s="344"/>
      <c r="JHX41" s="344"/>
      <c r="JHY41" s="344"/>
      <c r="JHZ41" s="344"/>
      <c r="JIA41" s="344"/>
      <c r="JIB41" s="344"/>
      <c r="JIC41" s="344"/>
      <c r="JID41" s="344"/>
      <c r="JIE41" s="344"/>
      <c r="JIF41" s="344"/>
      <c r="JIG41" s="344"/>
      <c r="JIH41" s="344"/>
      <c r="JII41" s="344"/>
      <c r="JIJ41" s="344"/>
      <c r="JIK41" s="344"/>
      <c r="JIL41" s="344"/>
      <c r="JIM41" s="344"/>
      <c r="JIN41" s="344"/>
      <c r="JIO41" s="344"/>
      <c r="JIP41" s="344"/>
      <c r="JIQ41" s="344"/>
      <c r="JIR41" s="344"/>
      <c r="JIS41" s="344"/>
      <c r="JIT41" s="344"/>
      <c r="JIU41" s="344"/>
      <c r="JIV41" s="344"/>
      <c r="JIW41" s="344"/>
      <c r="JIX41" s="344"/>
      <c r="JIY41" s="344"/>
      <c r="JIZ41" s="344"/>
      <c r="JJA41" s="344"/>
      <c r="JJB41" s="344"/>
      <c r="JJC41" s="344"/>
      <c r="JJD41" s="344"/>
      <c r="JJE41" s="344"/>
      <c r="JJF41" s="344"/>
      <c r="JJG41" s="344"/>
      <c r="JJH41" s="344"/>
      <c r="JJI41" s="344"/>
      <c r="JJJ41" s="344"/>
      <c r="JJK41" s="344"/>
      <c r="JJL41" s="344"/>
      <c r="JJM41" s="344"/>
      <c r="JJN41" s="344"/>
      <c r="JJO41" s="344"/>
      <c r="JJP41" s="344"/>
      <c r="JJQ41" s="344"/>
      <c r="JJR41" s="344"/>
      <c r="JJS41" s="344"/>
      <c r="JJT41" s="344"/>
      <c r="JJU41" s="344"/>
      <c r="JJV41" s="344"/>
      <c r="JJW41" s="344"/>
      <c r="JJX41" s="344"/>
      <c r="JJY41" s="344"/>
      <c r="JJZ41" s="344"/>
      <c r="JKA41" s="344"/>
      <c r="JKB41" s="344"/>
      <c r="JKC41" s="344"/>
      <c r="JKD41" s="344"/>
      <c r="JKE41" s="344"/>
      <c r="JKF41" s="344"/>
      <c r="JKG41" s="344"/>
      <c r="JKH41" s="344"/>
      <c r="JKI41" s="344"/>
      <c r="JKJ41" s="344"/>
      <c r="JKK41" s="344"/>
      <c r="JKL41" s="344"/>
      <c r="JKM41" s="344"/>
      <c r="JKN41" s="344"/>
      <c r="JKO41" s="344"/>
      <c r="JKP41" s="344"/>
      <c r="JKQ41" s="344"/>
      <c r="JKR41" s="344"/>
      <c r="JKS41" s="344"/>
      <c r="JKT41" s="344"/>
      <c r="JKU41" s="344"/>
      <c r="JKV41" s="344"/>
      <c r="JKW41" s="344"/>
      <c r="JKX41" s="344"/>
      <c r="JKY41" s="344"/>
      <c r="JKZ41" s="344"/>
      <c r="JLA41" s="344"/>
      <c r="JLB41" s="344"/>
      <c r="JLC41" s="344"/>
      <c r="JLD41" s="344"/>
      <c r="JLE41" s="344"/>
      <c r="JLF41" s="344"/>
      <c r="JLG41" s="344"/>
      <c r="JLH41" s="344"/>
      <c r="JLI41" s="344"/>
      <c r="JLJ41" s="344"/>
      <c r="JLK41" s="344"/>
      <c r="JLL41" s="344"/>
      <c r="JLM41" s="344"/>
      <c r="JLN41" s="344"/>
      <c r="JLO41" s="344"/>
      <c r="JLP41" s="344"/>
      <c r="JLQ41" s="344"/>
      <c r="JLR41" s="344"/>
      <c r="JLS41" s="344"/>
      <c r="JLT41" s="344"/>
      <c r="JLU41" s="344"/>
      <c r="JLV41" s="344"/>
      <c r="JLW41" s="344"/>
      <c r="JLX41" s="344"/>
      <c r="JLY41" s="344"/>
      <c r="JLZ41" s="344"/>
      <c r="JMA41" s="344"/>
      <c r="JMB41" s="344"/>
      <c r="JMC41" s="344"/>
      <c r="JMD41" s="344"/>
      <c r="JME41" s="344"/>
      <c r="JMF41" s="344"/>
      <c r="JMG41" s="344"/>
      <c r="JMH41" s="344"/>
      <c r="JMI41" s="344"/>
      <c r="JMJ41" s="344"/>
      <c r="JMK41" s="344"/>
      <c r="JML41" s="344"/>
      <c r="JMM41" s="344"/>
      <c r="JMN41" s="344"/>
      <c r="JMO41" s="344"/>
      <c r="JMP41" s="344"/>
      <c r="JMQ41" s="344"/>
      <c r="JMR41" s="344"/>
      <c r="JMS41" s="344"/>
      <c r="JMT41" s="344"/>
      <c r="JMU41" s="344"/>
      <c r="JMV41" s="344"/>
      <c r="JMW41" s="344"/>
      <c r="JMX41" s="344"/>
      <c r="JMY41" s="344"/>
      <c r="JMZ41" s="344"/>
      <c r="JNA41" s="344"/>
      <c r="JNB41" s="344"/>
      <c r="JNC41" s="344"/>
      <c r="JND41" s="344"/>
      <c r="JNE41" s="344"/>
      <c r="JNF41" s="344"/>
      <c r="JNG41" s="344"/>
      <c r="JNH41" s="344"/>
      <c r="JNI41" s="344"/>
      <c r="JNJ41" s="344"/>
      <c r="JNK41" s="344"/>
      <c r="JNL41" s="344"/>
      <c r="JNM41" s="344"/>
      <c r="JNN41" s="344"/>
      <c r="JNO41" s="344"/>
      <c r="JNP41" s="344"/>
      <c r="JNQ41" s="344"/>
      <c r="JNR41" s="344"/>
      <c r="JNS41" s="344"/>
      <c r="JNT41" s="344"/>
      <c r="JNU41" s="344"/>
      <c r="JNV41" s="344"/>
      <c r="JNW41" s="344"/>
      <c r="JNX41" s="344"/>
      <c r="JNY41" s="344"/>
      <c r="JNZ41" s="344"/>
      <c r="JOA41" s="344"/>
      <c r="JOB41" s="344"/>
      <c r="JOC41" s="344"/>
      <c r="JOD41" s="344"/>
      <c r="JOE41" s="344"/>
      <c r="JOF41" s="344"/>
      <c r="JOG41" s="344"/>
      <c r="JOH41" s="344"/>
      <c r="JOI41" s="344"/>
      <c r="JOJ41" s="344"/>
      <c r="JOK41" s="344"/>
      <c r="JOL41" s="344"/>
      <c r="JOM41" s="344"/>
      <c r="JON41" s="344"/>
      <c r="JOO41" s="344"/>
      <c r="JOP41" s="344"/>
      <c r="JOQ41" s="344"/>
      <c r="JOR41" s="344"/>
      <c r="JOS41" s="344"/>
      <c r="JOT41" s="344"/>
      <c r="JOU41" s="344"/>
      <c r="JOV41" s="344"/>
      <c r="JOW41" s="344"/>
      <c r="JOX41" s="344"/>
      <c r="JOY41" s="344"/>
      <c r="JOZ41" s="344"/>
      <c r="JPA41" s="344"/>
      <c r="JPB41" s="344"/>
      <c r="JPC41" s="344"/>
      <c r="JPD41" s="344"/>
      <c r="JPE41" s="344"/>
      <c r="JPF41" s="344"/>
      <c r="JPG41" s="344"/>
      <c r="JPH41" s="344"/>
      <c r="JPI41" s="344"/>
      <c r="JPJ41" s="344"/>
      <c r="JPK41" s="344"/>
      <c r="JPL41" s="344"/>
      <c r="JPM41" s="344"/>
      <c r="JPN41" s="344"/>
      <c r="JPO41" s="344"/>
      <c r="JPP41" s="344"/>
      <c r="JPQ41" s="344"/>
      <c r="JPR41" s="344"/>
      <c r="JPS41" s="344"/>
      <c r="JPT41" s="344"/>
      <c r="JPU41" s="344"/>
      <c r="JPV41" s="344"/>
      <c r="JPW41" s="344"/>
      <c r="JPX41" s="344"/>
      <c r="JPY41" s="344"/>
      <c r="JPZ41" s="344"/>
      <c r="JQA41" s="344"/>
      <c r="JQB41" s="344"/>
      <c r="JQC41" s="344"/>
      <c r="JQD41" s="344"/>
      <c r="JQE41" s="344"/>
      <c r="JQF41" s="344"/>
      <c r="JQG41" s="344"/>
      <c r="JQH41" s="344"/>
      <c r="JQI41" s="344"/>
      <c r="JQJ41" s="344"/>
      <c r="JQK41" s="344"/>
      <c r="JQL41" s="344"/>
      <c r="JQM41" s="344"/>
      <c r="JQN41" s="344"/>
      <c r="JQO41" s="344"/>
      <c r="JQP41" s="344"/>
      <c r="JQQ41" s="344"/>
      <c r="JQR41" s="344"/>
      <c r="JQS41" s="344"/>
      <c r="JQT41" s="344"/>
      <c r="JQU41" s="344"/>
      <c r="JQV41" s="344"/>
      <c r="JQW41" s="344"/>
      <c r="JQX41" s="344"/>
      <c r="JQY41" s="344"/>
      <c r="JQZ41" s="344"/>
      <c r="JRA41" s="344"/>
      <c r="JRB41" s="344"/>
      <c r="JRC41" s="344"/>
      <c r="JRD41" s="344"/>
      <c r="JRE41" s="344"/>
      <c r="JRF41" s="344"/>
      <c r="JRG41" s="344"/>
      <c r="JRH41" s="344"/>
      <c r="JRI41" s="344"/>
      <c r="JRJ41" s="344"/>
      <c r="JRK41" s="344"/>
      <c r="JRL41" s="344"/>
      <c r="JRM41" s="344"/>
      <c r="JRN41" s="344"/>
      <c r="JRO41" s="344"/>
      <c r="JRP41" s="344"/>
      <c r="JRQ41" s="344"/>
      <c r="JRR41" s="344"/>
      <c r="JRS41" s="344"/>
      <c r="JRT41" s="344"/>
      <c r="JRU41" s="344"/>
      <c r="JRV41" s="344"/>
      <c r="JRW41" s="344"/>
      <c r="JRX41" s="344"/>
      <c r="JRY41" s="344"/>
      <c r="JRZ41" s="344"/>
      <c r="JSA41" s="344"/>
      <c r="JSB41" s="344"/>
      <c r="JSC41" s="344"/>
      <c r="JSD41" s="344"/>
      <c r="JSE41" s="344"/>
      <c r="JSF41" s="344"/>
      <c r="JSG41" s="344"/>
      <c r="JSH41" s="344"/>
      <c r="JSI41" s="344"/>
      <c r="JSJ41" s="344"/>
      <c r="JSK41" s="344"/>
      <c r="JSL41" s="344"/>
      <c r="JSM41" s="344"/>
      <c r="JSN41" s="344"/>
      <c r="JSO41" s="344"/>
      <c r="JSP41" s="344"/>
      <c r="JSQ41" s="344"/>
      <c r="JSR41" s="344"/>
      <c r="JSS41" s="344"/>
      <c r="JST41" s="344"/>
      <c r="JSU41" s="344"/>
      <c r="JSV41" s="344"/>
      <c r="JSW41" s="344"/>
      <c r="JSX41" s="344"/>
      <c r="JSY41" s="344"/>
      <c r="JSZ41" s="344"/>
      <c r="JTA41" s="344"/>
      <c r="JTB41" s="344"/>
      <c r="JTC41" s="344"/>
      <c r="JTD41" s="344"/>
      <c r="JTE41" s="344"/>
      <c r="JTF41" s="344"/>
      <c r="JTG41" s="344"/>
      <c r="JTH41" s="344"/>
      <c r="JTI41" s="344"/>
      <c r="JTJ41" s="344"/>
      <c r="JTK41" s="344"/>
      <c r="JTL41" s="344"/>
      <c r="JTM41" s="344"/>
      <c r="JTN41" s="344"/>
      <c r="JTO41" s="344"/>
      <c r="JTP41" s="344"/>
      <c r="JTQ41" s="344"/>
      <c r="JTR41" s="344"/>
      <c r="JTS41" s="344"/>
      <c r="JTT41" s="344"/>
      <c r="JTU41" s="344"/>
      <c r="JTV41" s="344"/>
      <c r="JTW41" s="344"/>
      <c r="JTX41" s="344"/>
      <c r="JTY41" s="344"/>
      <c r="JTZ41" s="344"/>
      <c r="JUA41" s="344"/>
      <c r="JUB41" s="344"/>
      <c r="JUC41" s="344"/>
      <c r="JUD41" s="344"/>
      <c r="JUE41" s="344"/>
      <c r="JUF41" s="344"/>
      <c r="JUG41" s="344"/>
      <c r="JUH41" s="344"/>
      <c r="JUI41" s="344"/>
      <c r="JUJ41" s="344"/>
      <c r="JUK41" s="344"/>
      <c r="JUL41" s="344"/>
      <c r="JUM41" s="344"/>
      <c r="JUN41" s="344"/>
      <c r="JUO41" s="344"/>
      <c r="JUP41" s="344"/>
      <c r="JUQ41" s="344"/>
      <c r="JUR41" s="344"/>
      <c r="JUS41" s="344"/>
      <c r="JUT41" s="344"/>
      <c r="JUU41" s="344"/>
      <c r="JUV41" s="344"/>
      <c r="JUW41" s="344"/>
      <c r="JUX41" s="344"/>
      <c r="JUY41" s="344"/>
      <c r="JUZ41" s="344"/>
      <c r="JVA41" s="344"/>
      <c r="JVB41" s="344"/>
      <c r="JVC41" s="344"/>
      <c r="JVD41" s="344"/>
      <c r="JVE41" s="344"/>
      <c r="JVF41" s="344"/>
      <c r="JVG41" s="344"/>
      <c r="JVH41" s="344"/>
      <c r="JVI41" s="344"/>
      <c r="JVJ41" s="344"/>
      <c r="JVK41" s="344"/>
      <c r="JVL41" s="344"/>
      <c r="JVM41" s="344"/>
      <c r="JVN41" s="344"/>
      <c r="JVO41" s="344"/>
      <c r="JVP41" s="344"/>
      <c r="JVQ41" s="344"/>
      <c r="JVR41" s="344"/>
      <c r="JVS41" s="344"/>
      <c r="JVT41" s="344"/>
      <c r="JVU41" s="344"/>
      <c r="JVV41" s="344"/>
      <c r="JVW41" s="344"/>
      <c r="JVX41" s="344"/>
      <c r="JVY41" s="344"/>
      <c r="JVZ41" s="344"/>
      <c r="JWA41" s="344"/>
      <c r="JWB41" s="344"/>
      <c r="JWC41" s="344"/>
      <c r="JWD41" s="344"/>
      <c r="JWE41" s="344"/>
      <c r="JWF41" s="344"/>
      <c r="JWG41" s="344"/>
      <c r="JWH41" s="344"/>
      <c r="JWI41" s="344"/>
      <c r="JWJ41" s="344"/>
      <c r="JWK41" s="344"/>
      <c r="JWL41" s="344"/>
      <c r="JWM41" s="344"/>
      <c r="JWN41" s="344"/>
      <c r="JWO41" s="344"/>
      <c r="JWP41" s="344"/>
      <c r="JWQ41" s="344"/>
      <c r="JWR41" s="344"/>
      <c r="JWS41" s="344"/>
      <c r="JWT41" s="344"/>
      <c r="JWU41" s="344"/>
      <c r="JWV41" s="344"/>
      <c r="JWW41" s="344"/>
      <c r="JWX41" s="344"/>
      <c r="JWY41" s="344"/>
      <c r="JWZ41" s="344"/>
      <c r="JXA41" s="344"/>
      <c r="JXB41" s="344"/>
      <c r="JXC41" s="344"/>
      <c r="JXD41" s="344"/>
      <c r="JXE41" s="344"/>
      <c r="JXF41" s="344"/>
      <c r="JXG41" s="344"/>
      <c r="JXH41" s="344"/>
      <c r="JXI41" s="344"/>
      <c r="JXJ41" s="344"/>
      <c r="JXK41" s="344"/>
      <c r="JXL41" s="344"/>
      <c r="JXM41" s="344"/>
      <c r="JXN41" s="344"/>
      <c r="JXO41" s="344"/>
      <c r="JXP41" s="344"/>
      <c r="JXQ41" s="344"/>
      <c r="JXR41" s="344"/>
      <c r="JXS41" s="344"/>
      <c r="JXT41" s="344"/>
      <c r="JXU41" s="344"/>
      <c r="JXV41" s="344"/>
      <c r="JXW41" s="344"/>
      <c r="JXX41" s="344"/>
      <c r="JXY41" s="344"/>
      <c r="JXZ41" s="344"/>
      <c r="JYA41" s="344"/>
      <c r="JYB41" s="344"/>
      <c r="JYC41" s="344"/>
      <c r="JYD41" s="344"/>
      <c r="JYE41" s="344"/>
      <c r="JYF41" s="344"/>
      <c r="JYG41" s="344"/>
      <c r="JYH41" s="344"/>
      <c r="JYI41" s="344"/>
      <c r="JYJ41" s="344"/>
      <c r="JYK41" s="344"/>
      <c r="JYL41" s="344"/>
      <c r="JYM41" s="344"/>
      <c r="JYN41" s="344"/>
      <c r="JYO41" s="344"/>
      <c r="JYP41" s="344"/>
      <c r="JYQ41" s="344"/>
      <c r="JYR41" s="344"/>
      <c r="JYS41" s="344"/>
      <c r="JYT41" s="344"/>
      <c r="JYU41" s="344"/>
      <c r="JYV41" s="344"/>
      <c r="JYW41" s="344"/>
      <c r="JYX41" s="344"/>
      <c r="JYY41" s="344"/>
      <c r="JYZ41" s="344"/>
      <c r="JZA41" s="344"/>
      <c r="JZB41" s="344"/>
      <c r="JZC41" s="344"/>
      <c r="JZD41" s="344"/>
      <c r="JZE41" s="344"/>
      <c r="JZF41" s="344"/>
      <c r="JZG41" s="344"/>
      <c r="JZH41" s="344"/>
      <c r="JZI41" s="344"/>
      <c r="JZJ41" s="344"/>
      <c r="JZK41" s="344"/>
      <c r="JZL41" s="344"/>
      <c r="JZM41" s="344"/>
      <c r="JZN41" s="344"/>
      <c r="JZO41" s="344"/>
      <c r="JZP41" s="344"/>
      <c r="JZQ41" s="344"/>
      <c r="JZR41" s="344"/>
      <c r="JZS41" s="344"/>
      <c r="JZT41" s="344"/>
      <c r="JZU41" s="344"/>
      <c r="JZV41" s="344"/>
      <c r="JZW41" s="344"/>
      <c r="JZX41" s="344"/>
      <c r="JZY41" s="344"/>
      <c r="JZZ41" s="344"/>
      <c r="KAA41" s="344"/>
      <c r="KAB41" s="344"/>
      <c r="KAC41" s="344"/>
      <c r="KAD41" s="344"/>
      <c r="KAE41" s="344"/>
      <c r="KAF41" s="344"/>
      <c r="KAG41" s="344"/>
      <c r="KAH41" s="344"/>
      <c r="KAI41" s="344"/>
      <c r="KAJ41" s="344"/>
      <c r="KAK41" s="344"/>
      <c r="KAL41" s="344"/>
      <c r="KAM41" s="344"/>
      <c r="KAN41" s="344"/>
      <c r="KAO41" s="344"/>
      <c r="KAP41" s="344"/>
      <c r="KAQ41" s="344"/>
      <c r="KAR41" s="344"/>
      <c r="KAS41" s="344"/>
      <c r="KAT41" s="344"/>
      <c r="KAU41" s="344"/>
      <c r="KAV41" s="344"/>
      <c r="KAW41" s="344"/>
      <c r="KAX41" s="344"/>
      <c r="KAY41" s="344"/>
      <c r="KAZ41" s="344"/>
      <c r="KBA41" s="344"/>
      <c r="KBB41" s="344"/>
      <c r="KBC41" s="344"/>
      <c r="KBD41" s="344"/>
      <c r="KBE41" s="344"/>
      <c r="KBF41" s="344"/>
      <c r="KBG41" s="344"/>
      <c r="KBH41" s="344"/>
      <c r="KBI41" s="344"/>
      <c r="KBJ41" s="344"/>
      <c r="KBK41" s="344"/>
      <c r="KBL41" s="344"/>
      <c r="KBM41" s="344"/>
      <c r="KBN41" s="344"/>
      <c r="KBO41" s="344"/>
      <c r="KBP41" s="344"/>
      <c r="KBQ41" s="344"/>
      <c r="KBR41" s="344"/>
      <c r="KBS41" s="344"/>
      <c r="KBT41" s="344"/>
      <c r="KBU41" s="344"/>
      <c r="KBV41" s="344"/>
      <c r="KBW41" s="344"/>
      <c r="KBX41" s="344"/>
      <c r="KBY41" s="344"/>
      <c r="KBZ41" s="344"/>
      <c r="KCA41" s="344"/>
      <c r="KCB41" s="344"/>
      <c r="KCC41" s="344"/>
      <c r="KCD41" s="344"/>
      <c r="KCE41" s="344"/>
      <c r="KCF41" s="344"/>
      <c r="KCG41" s="344"/>
      <c r="KCH41" s="344"/>
      <c r="KCI41" s="344"/>
      <c r="KCJ41" s="344"/>
      <c r="KCK41" s="344"/>
      <c r="KCL41" s="344"/>
      <c r="KCM41" s="344"/>
      <c r="KCN41" s="344"/>
      <c r="KCO41" s="344"/>
      <c r="KCP41" s="344"/>
      <c r="KCQ41" s="344"/>
      <c r="KCR41" s="344"/>
      <c r="KCS41" s="344"/>
      <c r="KCT41" s="344"/>
      <c r="KCU41" s="344"/>
      <c r="KCV41" s="344"/>
      <c r="KCW41" s="344"/>
      <c r="KCX41" s="344"/>
      <c r="KCY41" s="344"/>
      <c r="KCZ41" s="344"/>
      <c r="KDA41" s="344"/>
      <c r="KDB41" s="344"/>
      <c r="KDC41" s="344"/>
      <c r="KDD41" s="344"/>
      <c r="KDE41" s="344"/>
      <c r="KDF41" s="344"/>
      <c r="KDG41" s="344"/>
      <c r="KDH41" s="344"/>
      <c r="KDI41" s="344"/>
      <c r="KDJ41" s="344"/>
      <c r="KDK41" s="344"/>
      <c r="KDL41" s="344"/>
      <c r="KDM41" s="344"/>
      <c r="KDN41" s="344"/>
      <c r="KDO41" s="344"/>
      <c r="KDP41" s="344"/>
      <c r="KDQ41" s="344"/>
      <c r="KDR41" s="344"/>
      <c r="KDS41" s="344"/>
      <c r="KDT41" s="344"/>
      <c r="KDU41" s="344"/>
      <c r="KDV41" s="344"/>
      <c r="KDW41" s="344"/>
      <c r="KDX41" s="344"/>
      <c r="KDY41" s="344"/>
      <c r="KDZ41" s="344"/>
      <c r="KEA41" s="344"/>
      <c r="KEB41" s="344"/>
      <c r="KEC41" s="344"/>
      <c r="KED41" s="344"/>
      <c r="KEE41" s="344"/>
      <c r="KEF41" s="344"/>
      <c r="KEG41" s="344"/>
      <c r="KEH41" s="344"/>
      <c r="KEI41" s="344"/>
      <c r="KEJ41" s="344"/>
      <c r="KEK41" s="344"/>
      <c r="KEL41" s="344"/>
      <c r="KEM41" s="344"/>
      <c r="KEN41" s="344"/>
      <c r="KEO41" s="344"/>
      <c r="KEP41" s="344"/>
      <c r="KEQ41" s="344"/>
      <c r="KER41" s="344"/>
      <c r="KES41" s="344"/>
      <c r="KET41" s="344"/>
      <c r="KEU41" s="344"/>
      <c r="KEV41" s="344"/>
      <c r="KEW41" s="344"/>
      <c r="KEX41" s="344"/>
      <c r="KEY41" s="344"/>
      <c r="KEZ41" s="344"/>
      <c r="KFA41" s="344"/>
      <c r="KFB41" s="344"/>
      <c r="KFC41" s="344"/>
      <c r="KFD41" s="344"/>
      <c r="KFE41" s="344"/>
      <c r="KFF41" s="344"/>
      <c r="KFG41" s="344"/>
      <c r="KFH41" s="344"/>
      <c r="KFI41" s="344"/>
      <c r="KFJ41" s="344"/>
      <c r="KFK41" s="344"/>
      <c r="KFL41" s="344"/>
      <c r="KFM41" s="344"/>
      <c r="KFN41" s="344"/>
      <c r="KFO41" s="344"/>
      <c r="KFP41" s="344"/>
      <c r="KFQ41" s="344"/>
      <c r="KFR41" s="344"/>
      <c r="KFS41" s="344"/>
      <c r="KFT41" s="344"/>
      <c r="KFU41" s="344"/>
      <c r="KFV41" s="344"/>
      <c r="KFW41" s="344"/>
      <c r="KFX41" s="344"/>
      <c r="KFY41" s="344"/>
      <c r="KFZ41" s="344"/>
      <c r="KGA41" s="344"/>
      <c r="KGB41" s="344"/>
      <c r="KGC41" s="344"/>
      <c r="KGD41" s="344"/>
      <c r="KGE41" s="344"/>
      <c r="KGF41" s="344"/>
      <c r="KGG41" s="344"/>
      <c r="KGH41" s="344"/>
      <c r="KGI41" s="344"/>
      <c r="KGJ41" s="344"/>
      <c r="KGK41" s="344"/>
      <c r="KGL41" s="344"/>
      <c r="KGM41" s="344"/>
      <c r="KGN41" s="344"/>
      <c r="KGO41" s="344"/>
      <c r="KGP41" s="344"/>
      <c r="KGQ41" s="344"/>
      <c r="KGR41" s="344"/>
      <c r="KGS41" s="344"/>
      <c r="KGT41" s="344"/>
      <c r="KGU41" s="344"/>
      <c r="KGV41" s="344"/>
      <c r="KGW41" s="344"/>
      <c r="KGX41" s="344"/>
      <c r="KGY41" s="344"/>
      <c r="KGZ41" s="344"/>
      <c r="KHA41" s="344"/>
      <c r="KHB41" s="344"/>
      <c r="KHC41" s="344"/>
      <c r="KHD41" s="344"/>
      <c r="KHE41" s="344"/>
      <c r="KHF41" s="344"/>
      <c r="KHG41" s="344"/>
      <c r="KHH41" s="344"/>
      <c r="KHI41" s="344"/>
      <c r="KHJ41" s="344"/>
      <c r="KHK41" s="344"/>
      <c r="KHL41" s="344"/>
      <c r="KHM41" s="344"/>
      <c r="KHN41" s="344"/>
      <c r="KHO41" s="344"/>
      <c r="KHP41" s="344"/>
      <c r="KHQ41" s="344"/>
      <c r="KHR41" s="344"/>
      <c r="KHS41" s="344"/>
      <c r="KHT41" s="344"/>
      <c r="KHU41" s="344"/>
      <c r="KHV41" s="344"/>
      <c r="KHW41" s="344"/>
      <c r="KHX41" s="344"/>
      <c r="KHY41" s="344"/>
      <c r="KHZ41" s="344"/>
      <c r="KIA41" s="344"/>
      <c r="KIB41" s="344"/>
      <c r="KIC41" s="344"/>
      <c r="KID41" s="344"/>
      <c r="KIE41" s="344"/>
      <c r="KIF41" s="344"/>
      <c r="KIG41" s="344"/>
      <c r="KIH41" s="344"/>
      <c r="KII41" s="344"/>
      <c r="KIJ41" s="344"/>
      <c r="KIK41" s="344"/>
      <c r="KIL41" s="344"/>
      <c r="KIM41" s="344"/>
      <c r="KIN41" s="344"/>
      <c r="KIO41" s="344"/>
      <c r="KIP41" s="344"/>
      <c r="KIQ41" s="344"/>
      <c r="KIR41" s="344"/>
      <c r="KIS41" s="344"/>
      <c r="KIT41" s="344"/>
      <c r="KIU41" s="344"/>
      <c r="KIV41" s="344"/>
      <c r="KIW41" s="344"/>
      <c r="KIX41" s="344"/>
      <c r="KIY41" s="344"/>
      <c r="KIZ41" s="344"/>
      <c r="KJA41" s="344"/>
      <c r="KJB41" s="344"/>
      <c r="KJC41" s="344"/>
      <c r="KJD41" s="344"/>
      <c r="KJE41" s="344"/>
      <c r="KJF41" s="344"/>
      <c r="KJG41" s="344"/>
      <c r="KJH41" s="344"/>
      <c r="KJI41" s="344"/>
      <c r="KJJ41" s="344"/>
      <c r="KJK41" s="344"/>
      <c r="KJL41" s="344"/>
      <c r="KJM41" s="344"/>
      <c r="KJN41" s="344"/>
      <c r="KJO41" s="344"/>
      <c r="KJP41" s="344"/>
      <c r="KJQ41" s="344"/>
      <c r="KJR41" s="344"/>
      <c r="KJS41" s="344"/>
      <c r="KJT41" s="344"/>
      <c r="KJU41" s="344"/>
      <c r="KJV41" s="344"/>
      <c r="KJW41" s="344"/>
      <c r="KJX41" s="344"/>
      <c r="KJY41" s="344"/>
      <c r="KJZ41" s="344"/>
      <c r="KKA41" s="344"/>
      <c r="KKB41" s="344"/>
      <c r="KKC41" s="344"/>
      <c r="KKD41" s="344"/>
      <c r="KKE41" s="344"/>
      <c r="KKF41" s="344"/>
      <c r="KKG41" s="344"/>
      <c r="KKH41" s="344"/>
      <c r="KKI41" s="344"/>
      <c r="KKJ41" s="344"/>
      <c r="KKK41" s="344"/>
      <c r="KKL41" s="344"/>
      <c r="KKM41" s="344"/>
      <c r="KKN41" s="344"/>
      <c r="KKO41" s="344"/>
      <c r="KKP41" s="344"/>
      <c r="KKQ41" s="344"/>
      <c r="KKR41" s="344"/>
      <c r="KKS41" s="344"/>
      <c r="KKT41" s="344"/>
      <c r="KKU41" s="344"/>
      <c r="KKV41" s="344"/>
      <c r="KKW41" s="344"/>
      <c r="KKX41" s="344"/>
      <c r="KKY41" s="344"/>
      <c r="KKZ41" s="344"/>
      <c r="KLA41" s="344"/>
      <c r="KLB41" s="344"/>
      <c r="KLC41" s="344"/>
      <c r="KLD41" s="344"/>
      <c r="KLE41" s="344"/>
      <c r="KLF41" s="344"/>
      <c r="KLG41" s="344"/>
      <c r="KLH41" s="344"/>
      <c r="KLI41" s="344"/>
      <c r="KLJ41" s="344"/>
      <c r="KLK41" s="344"/>
      <c r="KLL41" s="344"/>
      <c r="KLM41" s="344"/>
      <c r="KLN41" s="344"/>
      <c r="KLO41" s="344"/>
      <c r="KLP41" s="344"/>
      <c r="KLQ41" s="344"/>
      <c r="KLR41" s="344"/>
      <c r="KLS41" s="344"/>
      <c r="KLT41" s="344"/>
      <c r="KLU41" s="344"/>
      <c r="KLV41" s="344"/>
      <c r="KLW41" s="344"/>
      <c r="KLX41" s="344"/>
      <c r="KLY41" s="344"/>
      <c r="KLZ41" s="344"/>
      <c r="KMA41" s="344"/>
      <c r="KMB41" s="344"/>
      <c r="KMC41" s="344"/>
      <c r="KMD41" s="344"/>
      <c r="KME41" s="344"/>
      <c r="KMF41" s="344"/>
      <c r="KMG41" s="344"/>
      <c r="KMH41" s="344"/>
      <c r="KMI41" s="344"/>
      <c r="KMJ41" s="344"/>
      <c r="KMK41" s="344"/>
      <c r="KML41" s="344"/>
      <c r="KMM41" s="344"/>
      <c r="KMN41" s="344"/>
      <c r="KMO41" s="344"/>
      <c r="KMP41" s="344"/>
      <c r="KMQ41" s="344"/>
      <c r="KMR41" s="344"/>
      <c r="KMS41" s="344"/>
      <c r="KMT41" s="344"/>
      <c r="KMU41" s="344"/>
      <c r="KMV41" s="344"/>
      <c r="KMW41" s="344"/>
      <c r="KMX41" s="344"/>
      <c r="KMY41" s="344"/>
      <c r="KMZ41" s="344"/>
      <c r="KNA41" s="344"/>
      <c r="KNB41" s="344"/>
      <c r="KNC41" s="344"/>
      <c r="KND41" s="344"/>
      <c r="KNE41" s="344"/>
      <c r="KNF41" s="344"/>
      <c r="KNG41" s="344"/>
      <c r="KNH41" s="344"/>
      <c r="KNI41" s="344"/>
      <c r="KNJ41" s="344"/>
      <c r="KNK41" s="344"/>
      <c r="KNL41" s="344"/>
      <c r="KNM41" s="344"/>
      <c r="KNN41" s="344"/>
      <c r="KNO41" s="344"/>
      <c r="KNP41" s="344"/>
      <c r="KNQ41" s="344"/>
      <c r="KNR41" s="344"/>
      <c r="KNS41" s="344"/>
      <c r="KNT41" s="344"/>
      <c r="KNU41" s="344"/>
      <c r="KNV41" s="344"/>
      <c r="KNW41" s="344"/>
      <c r="KNX41" s="344"/>
      <c r="KNY41" s="344"/>
      <c r="KNZ41" s="344"/>
      <c r="KOA41" s="344"/>
      <c r="KOB41" s="344"/>
      <c r="KOC41" s="344"/>
      <c r="KOD41" s="344"/>
      <c r="KOE41" s="344"/>
      <c r="KOF41" s="344"/>
      <c r="KOG41" s="344"/>
      <c r="KOH41" s="344"/>
      <c r="KOI41" s="344"/>
      <c r="KOJ41" s="344"/>
      <c r="KOK41" s="344"/>
      <c r="KOL41" s="344"/>
      <c r="KOM41" s="344"/>
      <c r="KON41" s="344"/>
      <c r="KOO41" s="344"/>
      <c r="KOP41" s="344"/>
      <c r="KOQ41" s="344"/>
      <c r="KOR41" s="344"/>
      <c r="KOS41" s="344"/>
      <c r="KOT41" s="344"/>
      <c r="KOU41" s="344"/>
      <c r="KOV41" s="344"/>
      <c r="KOW41" s="344"/>
      <c r="KOX41" s="344"/>
      <c r="KOY41" s="344"/>
      <c r="KOZ41" s="344"/>
      <c r="KPA41" s="344"/>
      <c r="KPB41" s="344"/>
      <c r="KPC41" s="344"/>
      <c r="KPD41" s="344"/>
      <c r="KPE41" s="344"/>
      <c r="KPF41" s="344"/>
      <c r="KPG41" s="344"/>
      <c r="KPH41" s="344"/>
      <c r="KPI41" s="344"/>
      <c r="KPJ41" s="344"/>
      <c r="KPK41" s="344"/>
      <c r="KPL41" s="344"/>
      <c r="KPM41" s="344"/>
      <c r="KPN41" s="344"/>
      <c r="KPO41" s="344"/>
      <c r="KPP41" s="344"/>
      <c r="KPQ41" s="344"/>
      <c r="KPR41" s="344"/>
      <c r="KPS41" s="344"/>
      <c r="KPT41" s="344"/>
      <c r="KPU41" s="344"/>
      <c r="KPV41" s="344"/>
      <c r="KPW41" s="344"/>
      <c r="KPX41" s="344"/>
      <c r="KPY41" s="344"/>
      <c r="KPZ41" s="344"/>
      <c r="KQA41" s="344"/>
      <c r="KQB41" s="344"/>
      <c r="KQC41" s="344"/>
      <c r="KQD41" s="344"/>
      <c r="KQE41" s="344"/>
      <c r="KQF41" s="344"/>
      <c r="KQG41" s="344"/>
      <c r="KQH41" s="344"/>
      <c r="KQI41" s="344"/>
      <c r="KQJ41" s="344"/>
      <c r="KQK41" s="344"/>
      <c r="KQL41" s="344"/>
      <c r="KQM41" s="344"/>
      <c r="KQN41" s="344"/>
      <c r="KQO41" s="344"/>
      <c r="KQP41" s="344"/>
      <c r="KQQ41" s="344"/>
      <c r="KQR41" s="344"/>
      <c r="KQS41" s="344"/>
      <c r="KQT41" s="344"/>
      <c r="KQU41" s="344"/>
      <c r="KQV41" s="344"/>
      <c r="KQW41" s="344"/>
      <c r="KQX41" s="344"/>
      <c r="KQY41" s="344"/>
      <c r="KQZ41" s="344"/>
      <c r="KRA41" s="344"/>
      <c r="KRB41" s="344"/>
      <c r="KRC41" s="344"/>
      <c r="KRD41" s="344"/>
      <c r="KRE41" s="344"/>
      <c r="KRF41" s="344"/>
      <c r="KRG41" s="344"/>
      <c r="KRH41" s="344"/>
      <c r="KRI41" s="344"/>
      <c r="KRJ41" s="344"/>
      <c r="KRK41" s="344"/>
      <c r="KRL41" s="344"/>
      <c r="KRM41" s="344"/>
      <c r="KRN41" s="344"/>
      <c r="KRO41" s="344"/>
      <c r="KRP41" s="344"/>
      <c r="KRQ41" s="344"/>
      <c r="KRR41" s="344"/>
      <c r="KRS41" s="344"/>
      <c r="KRT41" s="344"/>
      <c r="KRU41" s="344"/>
      <c r="KRV41" s="344"/>
      <c r="KRW41" s="344"/>
      <c r="KRX41" s="344"/>
      <c r="KRY41" s="344"/>
      <c r="KRZ41" s="344"/>
      <c r="KSA41" s="344"/>
      <c r="KSB41" s="344"/>
      <c r="KSC41" s="344"/>
      <c r="KSD41" s="344"/>
      <c r="KSE41" s="344"/>
      <c r="KSF41" s="344"/>
      <c r="KSG41" s="344"/>
      <c r="KSH41" s="344"/>
      <c r="KSI41" s="344"/>
      <c r="KSJ41" s="344"/>
      <c r="KSK41" s="344"/>
      <c r="KSL41" s="344"/>
      <c r="KSM41" s="344"/>
      <c r="KSN41" s="344"/>
      <c r="KSO41" s="344"/>
      <c r="KSP41" s="344"/>
      <c r="KSQ41" s="344"/>
      <c r="KSR41" s="344"/>
      <c r="KSS41" s="344"/>
      <c r="KST41" s="344"/>
      <c r="KSU41" s="344"/>
      <c r="KSV41" s="344"/>
      <c r="KSW41" s="344"/>
      <c r="KSX41" s="344"/>
      <c r="KSY41" s="344"/>
      <c r="KSZ41" s="344"/>
      <c r="KTA41" s="344"/>
      <c r="KTB41" s="344"/>
      <c r="KTC41" s="344"/>
      <c r="KTD41" s="344"/>
      <c r="KTE41" s="344"/>
      <c r="KTF41" s="344"/>
      <c r="KTG41" s="344"/>
      <c r="KTH41" s="344"/>
      <c r="KTI41" s="344"/>
      <c r="KTJ41" s="344"/>
      <c r="KTK41" s="344"/>
      <c r="KTL41" s="344"/>
      <c r="KTM41" s="344"/>
      <c r="KTN41" s="344"/>
      <c r="KTO41" s="344"/>
      <c r="KTP41" s="344"/>
      <c r="KTQ41" s="344"/>
      <c r="KTR41" s="344"/>
      <c r="KTS41" s="344"/>
      <c r="KTT41" s="344"/>
      <c r="KTU41" s="344"/>
      <c r="KTV41" s="344"/>
      <c r="KTW41" s="344"/>
      <c r="KTX41" s="344"/>
      <c r="KTY41" s="344"/>
      <c r="KTZ41" s="344"/>
      <c r="KUA41" s="344"/>
      <c r="KUB41" s="344"/>
      <c r="KUC41" s="344"/>
      <c r="KUD41" s="344"/>
      <c r="KUE41" s="344"/>
      <c r="KUF41" s="344"/>
      <c r="KUG41" s="344"/>
      <c r="KUH41" s="344"/>
      <c r="KUI41" s="344"/>
      <c r="KUJ41" s="344"/>
      <c r="KUK41" s="344"/>
      <c r="KUL41" s="344"/>
      <c r="KUM41" s="344"/>
      <c r="KUN41" s="344"/>
      <c r="KUO41" s="344"/>
      <c r="KUP41" s="344"/>
      <c r="KUQ41" s="344"/>
      <c r="KUR41" s="344"/>
      <c r="KUS41" s="344"/>
      <c r="KUT41" s="344"/>
      <c r="KUU41" s="344"/>
      <c r="KUV41" s="344"/>
      <c r="KUW41" s="344"/>
      <c r="KUX41" s="344"/>
      <c r="KUY41" s="344"/>
      <c r="KUZ41" s="344"/>
      <c r="KVA41" s="344"/>
      <c r="KVB41" s="344"/>
      <c r="KVC41" s="344"/>
      <c r="KVD41" s="344"/>
      <c r="KVE41" s="344"/>
      <c r="KVF41" s="344"/>
      <c r="KVG41" s="344"/>
      <c r="KVH41" s="344"/>
      <c r="KVI41" s="344"/>
      <c r="KVJ41" s="344"/>
      <c r="KVK41" s="344"/>
      <c r="KVL41" s="344"/>
      <c r="KVM41" s="344"/>
      <c r="KVN41" s="344"/>
      <c r="KVO41" s="344"/>
      <c r="KVP41" s="344"/>
      <c r="KVQ41" s="344"/>
      <c r="KVR41" s="344"/>
      <c r="KVS41" s="344"/>
      <c r="KVT41" s="344"/>
      <c r="KVU41" s="344"/>
      <c r="KVV41" s="344"/>
      <c r="KVW41" s="344"/>
      <c r="KVX41" s="344"/>
      <c r="KVY41" s="344"/>
      <c r="KVZ41" s="344"/>
      <c r="KWA41" s="344"/>
      <c r="KWB41" s="344"/>
      <c r="KWC41" s="344"/>
      <c r="KWD41" s="344"/>
      <c r="KWE41" s="344"/>
      <c r="KWF41" s="344"/>
      <c r="KWG41" s="344"/>
      <c r="KWH41" s="344"/>
      <c r="KWI41" s="344"/>
      <c r="KWJ41" s="344"/>
      <c r="KWK41" s="344"/>
      <c r="KWL41" s="344"/>
      <c r="KWM41" s="344"/>
      <c r="KWN41" s="344"/>
      <c r="KWO41" s="344"/>
      <c r="KWP41" s="344"/>
      <c r="KWQ41" s="344"/>
      <c r="KWR41" s="344"/>
      <c r="KWS41" s="344"/>
      <c r="KWT41" s="344"/>
      <c r="KWU41" s="344"/>
      <c r="KWV41" s="344"/>
      <c r="KWW41" s="344"/>
      <c r="KWX41" s="344"/>
      <c r="KWY41" s="344"/>
      <c r="KWZ41" s="344"/>
      <c r="KXA41" s="344"/>
      <c r="KXB41" s="344"/>
      <c r="KXC41" s="344"/>
      <c r="KXD41" s="344"/>
      <c r="KXE41" s="344"/>
      <c r="KXF41" s="344"/>
      <c r="KXG41" s="344"/>
      <c r="KXH41" s="344"/>
      <c r="KXI41" s="344"/>
      <c r="KXJ41" s="344"/>
      <c r="KXK41" s="344"/>
      <c r="KXL41" s="344"/>
      <c r="KXM41" s="344"/>
      <c r="KXN41" s="344"/>
      <c r="KXO41" s="344"/>
      <c r="KXP41" s="344"/>
      <c r="KXQ41" s="344"/>
      <c r="KXR41" s="344"/>
      <c r="KXS41" s="344"/>
      <c r="KXT41" s="344"/>
      <c r="KXU41" s="344"/>
      <c r="KXV41" s="344"/>
      <c r="KXW41" s="344"/>
      <c r="KXX41" s="344"/>
      <c r="KXY41" s="344"/>
      <c r="KXZ41" s="344"/>
      <c r="KYA41" s="344"/>
      <c r="KYB41" s="344"/>
      <c r="KYC41" s="344"/>
      <c r="KYD41" s="344"/>
      <c r="KYE41" s="344"/>
      <c r="KYF41" s="344"/>
      <c r="KYG41" s="344"/>
      <c r="KYH41" s="344"/>
      <c r="KYI41" s="344"/>
      <c r="KYJ41" s="344"/>
      <c r="KYK41" s="344"/>
      <c r="KYL41" s="344"/>
      <c r="KYM41" s="344"/>
      <c r="KYN41" s="344"/>
      <c r="KYO41" s="344"/>
      <c r="KYP41" s="344"/>
      <c r="KYQ41" s="344"/>
      <c r="KYR41" s="344"/>
      <c r="KYS41" s="344"/>
      <c r="KYT41" s="344"/>
      <c r="KYU41" s="344"/>
      <c r="KYV41" s="344"/>
      <c r="KYW41" s="344"/>
      <c r="KYX41" s="344"/>
      <c r="KYY41" s="344"/>
      <c r="KYZ41" s="344"/>
      <c r="KZA41" s="344"/>
      <c r="KZB41" s="344"/>
      <c r="KZC41" s="344"/>
      <c r="KZD41" s="344"/>
      <c r="KZE41" s="344"/>
      <c r="KZF41" s="344"/>
      <c r="KZG41" s="344"/>
      <c r="KZH41" s="344"/>
      <c r="KZI41" s="344"/>
      <c r="KZJ41" s="344"/>
      <c r="KZK41" s="344"/>
      <c r="KZL41" s="344"/>
      <c r="KZM41" s="344"/>
      <c r="KZN41" s="344"/>
      <c r="KZO41" s="344"/>
      <c r="KZP41" s="344"/>
      <c r="KZQ41" s="344"/>
      <c r="KZR41" s="344"/>
      <c r="KZS41" s="344"/>
      <c r="KZT41" s="344"/>
      <c r="KZU41" s="344"/>
      <c r="KZV41" s="344"/>
      <c r="KZW41" s="344"/>
      <c r="KZX41" s="344"/>
      <c r="KZY41" s="344"/>
      <c r="KZZ41" s="344"/>
      <c r="LAA41" s="344"/>
      <c r="LAB41" s="344"/>
      <c r="LAC41" s="344"/>
      <c r="LAD41" s="344"/>
      <c r="LAE41" s="344"/>
      <c r="LAF41" s="344"/>
      <c r="LAG41" s="344"/>
      <c r="LAH41" s="344"/>
      <c r="LAI41" s="344"/>
      <c r="LAJ41" s="344"/>
      <c r="LAK41" s="344"/>
      <c r="LAL41" s="344"/>
      <c r="LAM41" s="344"/>
      <c r="LAN41" s="344"/>
      <c r="LAO41" s="344"/>
      <c r="LAP41" s="344"/>
      <c r="LAQ41" s="344"/>
      <c r="LAR41" s="344"/>
      <c r="LAS41" s="344"/>
      <c r="LAT41" s="344"/>
      <c r="LAU41" s="344"/>
      <c r="LAV41" s="344"/>
      <c r="LAW41" s="344"/>
      <c r="LAX41" s="344"/>
      <c r="LAY41" s="344"/>
      <c r="LAZ41" s="344"/>
      <c r="LBA41" s="344"/>
      <c r="LBB41" s="344"/>
      <c r="LBC41" s="344"/>
      <c r="LBD41" s="344"/>
      <c r="LBE41" s="344"/>
      <c r="LBF41" s="344"/>
      <c r="LBG41" s="344"/>
      <c r="LBH41" s="344"/>
      <c r="LBI41" s="344"/>
      <c r="LBJ41" s="344"/>
      <c r="LBK41" s="344"/>
      <c r="LBL41" s="344"/>
      <c r="LBM41" s="344"/>
      <c r="LBN41" s="344"/>
      <c r="LBO41" s="344"/>
      <c r="LBP41" s="344"/>
      <c r="LBQ41" s="344"/>
      <c r="LBR41" s="344"/>
      <c r="LBS41" s="344"/>
      <c r="LBT41" s="344"/>
      <c r="LBU41" s="344"/>
      <c r="LBV41" s="344"/>
      <c r="LBW41" s="344"/>
      <c r="LBX41" s="344"/>
      <c r="LBY41" s="344"/>
      <c r="LBZ41" s="344"/>
      <c r="LCA41" s="344"/>
      <c r="LCB41" s="344"/>
      <c r="LCC41" s="344"/>
      <c r="LCD41" s="344"/>
      <c r="LCE41" s="344"/>
      <c r="LCF41" s="344"/>
      <c r="LCG41" s="344"/>
      <c r="LCH41" s="344"/>
      <c r="LCI41" s="344"/>
      <c r="LCJ41" s="344"/>
      <c r="LCK41" s="344"/>
      <c r="LCL41" s="344"/>
      <c r="LCM41" s="344"/>
      <c r="LCN41" s="344"/>
      <c r="LCO41" s="344"/>
      <c r="LCP41" s="344"/>
      <c r="LCQ41" s="344"/>
      <c r="LCR41" s="344"/>
      <c r="LCS41" s="344"/>
      <c r="LCT41" s="344"/>
      <c r="LCU41" s="344"/>
      <c r="LCV41" s="344"/>
      <c r="LCW41" s="344"/>
      <c r="LCX41" s="344"/>
      <c r="LCY41" s="344"/>
      <c r="LCZ41" s="344"/>
      <c r="LDA41" s="344"/>
      <c r="LDB41" s="344"/>
      <c r="LDC41" s="344"/>
      <c r="LDD41" s="344"/>
      <c r="LDE41" s="344"/>
      <c r="LDF41" s="344"/>
      <c r="LDG41" s="344"/>
      <c r="LDH41" s="344"/>
      <c r="LDI41" s="344"/>
      <c r="LDJ41" s="344"/>
      <c r="LDK41" s="344"/>
      <c r="LDL41" s="344"/>
      <c r="LDM41" s="344"/>
      <c r="LDN41" s="344"/>
      <c r="LDO41" s="344"/>
      <c r="LDP41" s="344"/>
      <c r="LDQ41" s="344"/>
      <c r="LDR41" s="344"/>
      <c r="LDS41" s="344"/>
      <c r="LDT41" s="344"/>
      <c r="LDU41" s="344"/>
      <c r="LDV41" s="344"/>
      <c r="LDW41" s="344"/>
      <c r="LDX41" s="344"/>
      <c r="LDY41" s="344"/>
      <c r="LDZ41" s="344"/>
      <c r="LEA41" s="344"/>
      <c r="LEB41" s="344"/>
      <c r="LEC41" s="344"/>
      <c r="LED41" s="344"/>
      <c r="LEE41" s="344"/>
      <c r="LEF41" s="344"/>
      <c r="LEG41" s="344"/>
      <c r="LEH41" s="344"/>
      <c r="LEI41" s="344"/>
      <c r="LEJ41" s="344"/>
      <c r="LEK41" s="344"/>
      <c r="LEL41" s="344"/>
      <c r="LEM41" s="344"/>
      <c r="LEN41" s="344"/>
      <c r="LEO41" s="344"/>
      <c r="LEP41" s="344"/>
      <c r="LEQ41" s="344"/>
      <c r="LER41" s="344"/>
      <c r="LES41" s="344"/>
      <c r="LET41" s="344"/>
      <c r="LEU41" s="344"/>
      <c r="LEV41" s="344"/>
      <c r="LEW41" s="344"/>
      <c r="LEX41" s="344"/>
      <c r="LEY41" s="344"/>
      <c r="LEZ41" s="344"/>
      <c r="LFA41" s="344"/>
      <c r="LFB41" s="344"/>
      <c r="LFC41" s="344"/>
      <c r="LFD41" s="344"/>
      <c r="LFE41" s="344"/>
      <c r="LFF41" s="344"/>
      <c r="LFG41" s="344"/>
      <c r="LFH41" s="344"/>
      <c r="LFI41" s="344"/>
      <c r="LFJ41" s="344"/>
      <c r="LFK41" s="344"/>
      <c r="LFL41" s="344"/>
      <c r="LFM41" s="344"/>
      <c r="LFN41" s="344"/>
      <c r="LFO41" s="344"/>
      <c r="LFP41" s="344"/>
      <c r="LFQ41" s="344"/>
      <c r="LFR41" s="344"/>
      <c r="LFS41" s="344"/>
      <c r="LFT41" s="344"/>
      <c r="LFU41" s="344"/>
      <c r="LFV41" s="344"/>
      <c r="LFW41" s="344"/>
      <c r="LFX41" s="344"/>
      <c r="LFY41" s="344"/>
      <c r="LFZ41" s="344"/>
      <c r="LGA41" s="344"/>
      <c r="LGB41" s="344"/>
      <c r="LGC41" s="344"/>
      <c r="LGD41" s="344"/>
      <c r="LGE41" s="344"/>
      <c r="LGF41" s="344"/>
      <c r="LGG41" s="344"/>
      <c r="LGH41" s="344"/>
      <c r="LGI41" s="344"/>
      <c r="LGJ41" s="344"/>
      <c r="LGK41" s="344"/>
      <c r="LGL41" s="344"/>
      <c r="LGM41" s="344"/>
      <c r="LGN41" s="344"/>
      <c r="LGO41" s="344"/>
      <c r="LGP41" s="344"/>
      <c r="LGQ41" s="344"/>
      <c r="LGR41" s="344"/>
      <c r="LGS41" s="344"/>
      <c r="LGT41" s="344"/>
      <c r="LGU41" s="344"/>
      <c r="LGV41" s="344"/>
      <c r="LGW41" s="344"/>
      <c r="LGX41" s="344"/>
      <c r="LGY41" s="344"/>
      <c r="LGZ41" s="344"/>
      <c r="LHA41" s="344"/>
      <c r="LHB41" s="344"/>
      <c r="LHC41" s="344"/>
      <c r="LHD41" s="344"/>
      <c r="LHE41" s="344"/>
      <c r="LHF41" s="344"/>
      <c r="LHG41" s="344"/>
      <c r="LHH41" s="344"/>
      <c r="LHI41" s="344"/>
      <c r="LHJ41" s="344"/>
      <c r="LHK41" s="344"/>
      <c r="LHL41" s="344"/>
      <c r="LHM41" s="344"/>
      <c r="LHN41" s="344"/>
      <c r="LHO41" s="344"/>
      <c r="LHP41" s="344"/>
      <c r="LHQ41" s="344"/>
      <c r="LHR41" s="344"/>
      <c r="LHS41" s="344"/>
      <c r="LHT41" s="344"/>
      <c r="LHU41" s="344"/>
      <c r="LHV41" s="344"/>
      <c r="LHW41" s="344"/>
      <c r="LHX41" s="344"/>
      <c r="LHY41" s="344"/>
      <c r="LHZ41" s="344"/>
      <c r="LIA41" s="344"/>
      <c r="LIB41" s="344"/>
      <c r="LIC41" s="344"/>
      <c r="LID41" s="344"/>
      <c r="LIE41" s="344"/>
      <c r="LIF41" s="344"/>
      <c r="LIG41" s="344"/>
      <c r="LIH41" s="344"/>
      <c r="LII41" s="344"/>
      <c r="LIJ41" s="344"/>
      <c r="LIK41" s="344"/>
      <c r="LIL41" s="344"/>
      <c r="LIM41" s="344"/>
      <c r="LIN41" s="344"/>
      <c r="LIO41" s="344"/>
      <c r="LIP41" s="344"/>
      <c r="LIQ41" s="344"/>
      <c r="LIR41" s="344"/>
      <c r="LIS41" s="344"/>
      <c r="LIT41" s="344"/>
      <c r="LIU41" s="344"/>
      <c r="LIV41" s="344"/>
      <c r="LIW41" s="344"/>
      <c r="LIX41" s="344"/>
      <c r="LIY41" s="344"/>
      <c r="LIZ41" s="344"/>
      <c r="LJA41" s="344"/>
      <c r="LJB41" s="344"/>
      <c r="LJC41" s="344"/>
      <c r="LJD41" s="344"/>
      <c r="LJE41" s="344"/>
      <c r="LJF41" s="344"/>
      <c r="LJG41" s="344"/>
      <c r="LJH41" s="344"/>
      <c r="LJI41" s="344"/>
      <c r="LJJ41" s="344"/>
      <c r="LJK41" s="344"/>
      <c r="LJL41" s="344"/>
      <c r="LJM41" s="344"/>
      <c r="LJN41" s="344"/>
      <c r="LJO41" s="344"/>
      <c r="LJP41" s="344"/>
      <c r="LJQ41" s="344"/>
      <c r="LJR41" s="344"/>
      <c r="LJS41" s="344"/>
      <c r="LJT41" s="344"/>
      <c r="LJU41" s="344"/>
      <c r="LJV41" s="344"/>
      <c r="LJW41" s="344"/>
      <c r="LJX41" s="344"/>
      <c r="LJY41" s="344"/>
      <c r="LJZ41" s="344"/>
      <c r="LKA41" s="344"/>
      <c r="LKB41" s="344"/>
      <c r="LKC41" s="344"/>
      <c r="LKD41" s="344"/>
      <c r="LKE41" s="344"/>
      <c r="LKF41" s="344"/>
      <c r="LKG41" s="344"/>
      <c r="LKH41" s="344"/>
      <c r="LKI41" s="344"/>
      <c r="LKJ41" s="344"/>
      <c r="LKK41" s="344"/>
      <c r="LKL41" s="344"/>
      <c r="LKM41" s="344"/>
      <c r="LKN41" s="344"/>
      <c r="LKO41" s="344"/>
      <c r="LKP41" s="344"/>
      <c r="LKQ41" s="344"/>
      <c r="LKR41" s="344"/>
      <c r="LKS41" s="344"/>
      <c r="LKT41" s="344"/>
      <c r="LKU41" s="344"/>
      <c r="LKV41" s="344"/>
      <c r="LKW41" s="344"/>
      <c r="LKX41" s="344"/>
      <c r="LKY41" s="344"/>
      <c r="LKZ41" s="344"/>
      <c r="LLA41" s="344"/>
      <c r="LLB41" s="344"/>
      <c r="LLC41" s="344"/>
      <c r="LLD41" s="344"/>
      <c r="LLE41" s="344"/>
      <c r="LLF41" s="344"/>
      <c r="LLG41" s="344"/>
      <c r="LLH41" s="344"/>
      <c r="LLI41" s="344"/>
      <c r="LLJ41" s="344"/>
      <c r="LLK41" s="344"/>
      <c r="LLL41" s="344"/>
      <c r="LLM41" s="344"/>
      <c r="LLN41" s="344"/>
      <c r="LLO41" s="344"/>
      <c r="LLP41" s="344"/>
      <c r="LLQ41" s="344"/>
      <c r="LLR41" s="344"/>
      <c r="LLS41" s="344"/>
      <c r="LLT41" s="344"/>
      <c r="LLU41" s="344"/>
      <c r="LLV41" s="344"/>
      <c r="LLW41" s="344"/>
      <c r="LLX41" s="344"/>
      <c r="LLY41" s="344"/>
      <c r="LLZ41" s="344"/>
      <c r="LMA41" s="344"/>
      <c r="LMB41" s="344"/>
      <c r="LMC41" s="344"/>
      <c r="LMD41" s="344"/>
      <c r="LME41" s="344"/>
      <c r="LMF41" s="344"/>
      <c r="LMG41" s="344"/>
      <c r="LMH41" s="344"/>
      <c r="LMI41" s="344"/>
      <c r="LMJ41" s="344"/>
      <c r="LMK41" s="344"/>
      <c r="LML41" s="344"/>
      <c r="LMM41" s="344"/>
      <c r="LMN41" s="344"/>
      <c r="LMO41" s="344"/>
      <c r="LMP41" s="344"/>
      <c r="LMQ41" s="344"/>
      <c r="LMR41" s="344"/>
      <c r="LMS41" s="344"/>
      <c r="LMT41" s="344"/>
      <c r="LMU41" s="344"/>
      <c r="LMV41" s="344"/>
      <c r="LMW41" s="344"/>
      <c r="LMX41" s="344"/>
      <c r="LMY41" s="344"/>
      <c r="LMZ41" s="344"/>
      <c r="LNA41" s="344"/>
      <c r="LNB41" s="344"/>
      <c r="LNC41" s="344"/>
      <c r="LND41" s="344"/>
      <c r="LNE41" s="344"/>
      <c r="LNF41" s="344"/>
      <c r="LNG41" s="344"/>
      <c r="LNH41" s="344"/>
      <c r="LNI41" s="344"/>
      <c r="LNJ41" s="344"/>
      <c r="LNK41" s="344"/>
      <c r="LNL41" s="344"/>
      <c r="LNM41" s="344"/>
      <c r="LNN41" s="344"/>
      <c r="LNO41" s="344"/>
      <c r="LNP41" s="344"/>
      <c r="LNQ41" s="344"/>
      <c r="LNR41" s="344"/>
      <c r="LNS41" s="344"/>
      <c r="LNT41" s="344"/>
      <c r="LNU41" s="344"/>
      <c r="LNV41" s="344"/>
      <c r="LNW41" s="344"/>
      <c r="LNX41" s="344"/>
      <c r="LNY41" s="344"/>
      <c r="LNZ41" s="344"/>
      <c r="LOA41" s="344"/>
      <c r="LOB41" s="344"/>
      <c r="LOC41" s="344"/>
      <c r="LOD41" s="344"/>
      <c r="LOE41" s="344"/>
      <c r="LOF41" s="344"/>
      <c r="LOG41" s="344"/>
      <c r="LOH41" s="344"/>
      <c r="LOI41" s="344"/>
      <c r="LOJ41" s="344"/>
      <c r="LOK41" s="344"/>
      <c r="LOL41" s="344"/>
      <c r="LOM41" s="344"/>
      <c r="LON41" s="344"/>
      <c r="LOO41" s="344"/>
      <c r="LOP41" s="344"/>
      <c r="LOQ41" s="344"/>
      <c r="LOR41" s="344"/>
      <c r="LOS41" s="344"/>
      <c r="LOT41" s="344"/>
      <c r="LOU41" s="344"/>
      <c r="LOV41" s="344"/>
      <c r="LOW41" s="344"/>
      <c r="LOX41" s="344"/>
      <c r="LOY41" s="344"/>
      <c r="LOZ41" s="344"/>
      <c r="LPA41" s="344"/>
      <c r="LPB41" s="344"/>
      <c r="LPC41" s="344"/>
      <c r="LPD41" s="344"/>
      <c r="LPE41" s="344"/>
      <c r="LPF41" s="344"/>
      <c r="LPG41" s="344"/>
      <c r="LPH41" s="344"/>
      <c r="LPI41" s="344"/>
      <c r="LPJ41" s="344"/>
      <c r="LPK41" s="344"/>
      <c r="LPL41" s="344"/>
      <c r="LPM41" s="344"/>
      <c r="LPN41" s="344"/>
      <c r="LPO41" s="344"/>
      <c r="LPP41" s="344"/>
      <c r="LPQ41" s="344"/>
      <c r="LPR41" s="344"/>
      <c r="LPS41" s="344"/>
      <c r="LPT41" s="344"/>
      <c r="LPU41" s="344"/>
      <c r="LPV41" s="344"/>
      <c r="LPW41" s="344"/>
      <c r="LPX41" s="344"/>
      <c r="LPY41" s="344"/>
      <c r="LPZ41" s="344"/>
      <c r="LQA41" s="344"/>
      <c r="LQB41" s="344"/>
      <c r="LQC41" s="344"/>
      <c r="LQD41" s="344"/>
      <c r="LQE41" s="344"/>
      <c r="LQF41" s="344"/>
      <c r="LQG41" s="344"/>
      <c r="LQH41" s="344"/>
      <c r="LQI41" s="344"/>
      <c r="LQJ41" s="344"/>
      <c r="LQK41" s="344"/>
      <c r="LQL41" s="344"/>
      <c r="LQM41" s="344"/>
      <c r="LQN41" s="344"/>
      <c r="LQO41" s="344"/>
      <c r="LQP41" s="344"/>
      <c r="LQQ41" s="344"/>
      <c r="LQR41" s="344"/>
      <c r="LQS41" s="344"/>
      <c r="LQT41" s="344"/>
      <c r="LQU41" s="344"/>
      <c r="LQV41" s="344"/>
      <c r="LQW41" s="344"/>
      <c r="LQX41" s="344"/>
      <c r="LQY41" s="344"/>
      <c r="LQZ41" s="344"/>
      <c r="LRA41" s="344"/>
      <c r="LRB41" s="344"/>
      <c r="LRC41" s="344"/>
      <c r="LRD41" s="344"/>
      <c r="LRE41" s="344"/>
      <c r="LRF41" s="344"/>
      <c r="LRG41" s="344"/>
      <c r="LRH41" s="344"/>
      <c r="LRI41" s="344"/>
      <c r="LRJ41" s="344"/>
      <c r="LRK41" s="344"/>
      <c r="LRL41" s="344"/>
      <c r="LRM41" s="344"/>
      <c r="LRN41" s="344"/>
      <c r="LRO41" s="344"/>
      <c r="LRP41" s="344"/>
      <c r="LRQ41" s="344"/>
      <c r="LRR41" s="344"/>
      <c r="LRS41" s="344"/>
      <c r="LRT41" s="344"/>
      <c r="LRU41" s="344"/>
      <c r="LRV41" s="344"/>
      <c r="LRW41" s="344"/>
      <c r="LRX41" s="344"/>
      <c r="LRY41" s="344"/>
      <c r="LRZ41" s="344"/>
      <c r="LSA41" s="344"/>
      <c r="LSB41" s="344"/>
      <c r="LSC41" s="344"/>
      <c r="LSD41" s="344"/>
      <c r="LSE41" s="344"/>
      <c r="LSF41" s="344"/>
      <c r="LSG41" s="344"/>
      <c r="LSH41" s="344"/>
      <c r="LSI41" s="344"/>
      <c r="LSJ41" s="344"/>
      <c r="LSK41" s="344"/>
      <c r="LSL41" s="344"/>
      <c r="LSM41" s="344"/>
      <c r="LSN41" s="344"/>
      <c r="LSO41" s="344"/>
      <c r="LSP41" s="344"/>
      <c r="LSQ41" s="344"/>
      <c r="LSR41" s="344"/>
      <c r="LSS41" s="344"/>
      <c r="LST41" s="344"/>
      <c r="LSU41" s="344"/>
      <c r="LSV41" s="344"/>
      <c r="LSW41" s="344"/>
      <c r="LSX41" s="344"/>
      <c r="LSY41" s="344"/>
      <c r="LSZ41" s="344"/>
      <c r="LTA41" s="344"/>
      <c r="LTB41" s="344"/>
      <c r="LTC41" s="344"/>
      <c r="LTD41" s="344"/>
      <c r="LTE41" s="344"/>
      <c r="LTF41" s="344"/>
      <c r="LTG41" s="344"/>
      <c r="LTH41" s="344"/>
      <c r="LTI41" s="344"/>
      <c r="LTJ41" s="344"/>
      <c r="LTK41" s="344"/>
      <c r="LTL41" s="344"/>
      <c r="LTM41" s="344"/>
      <c r="LTN41" s="344"/>
      <c r="LTO41" s="344"/>
      <c r="LTP41" s="344"/>
      <c r="LTQ41" s="344"/>
      <c r="LTR41" s="344"/>
      <c r="LTS41" s="344"/>
      <c r="LTT41" s="344"/>
      <c r="LTU41" s="344"/>
      <c r="LTV41" s="344"/>
      <c r="LTW41" s="344"/>
      <c r="LTX41" s="344"/>
      <c r="LTY41" s="344"/>
      <c r="LTZ41" s="344"/>
      <c r="LUA41" s="344"/>
      <c r="LUB41" s="344"/>
      <c r="LUC41" s="344"/>
      <c r="LUD41" s="344"/>
      <c r="LUE41" s="344"/>
      <c r="LUF41" s="344"/>
      <c r="LUG41" s="344"/>
      <c r="LUH41" s="344"/>
      <c r="LUI41" s="344"/>
      <c r="LUJ41" s="344"/>
      <c r="LUK41" s="344"/>
      <c r="LUL41" s="344"/>
      <c r="LUM41" s="344"/>
      <c r="LUN41" s="344"/>
      <c r="LUO41" s="344"/>
      <c r="LUP41" s="344"/>
      <c r="LUQ41" s="344"/>
      <c r="LUR41" s="344"/>
      <c r="LUS41" s="344"/>
      <c r="LUT41" s="344"/>
      <c r="LUU41" s="344"/>
      <c r="LUV41" s="344"/>
      <c r="LUW41" s="344"/>
      <c r="LUX41" s="344"/>
      <c r="LUY41" s="344"/>
      <c r="LUZ41" s="344"/>
      <c r="LVA41" s="344"/>
      <c r="LVB41" s="344"/>
      <c r="LVC41" s="344"/>
      <c r="LVD41" s="344"/>
      <c r="LVE41" s="344"/>
      <c r="LVF41" s="344"/>
      <c r="LVG41" s="344"/>
      <c r="LVH41" s="344"/>
      <c r="LVI41" s="344"/>
      <c r="LVJ41" s="344"/>
      <c r="LVK41" s="344"/>
      <c r="LVL41" s="344"/>
      <c r="LVM41" s="344"/>
      <c r="LVN41" s="344"/>
      <c r="LVO41" s="344"/>
      <c r="LVP41" s="344"/>
      <c r="LVQ41" s="344"/>
      <c r="LVR41" s="344"/>
      <c r="LVS41" s="344"/>
      <c r="LVT41" s="344"/>
      <c r="LVU41" s="344"/>
      <c r="LVV41" s="344"/>
      <c r="LVW41" s="344"/>
      <c r="LVX41" s="344"/>
      <c r="LVY41" s="344"/>
      <c r="LVZ41" s="344"/>
      <c r="LWA41" s="344"/>
      <c r="LWB41" s="344"/>
      <c r="LWC41" s="344"/>
      <c r="LWD41" s="344"/>
      <c r="LWE41" s="344"/>
      <c r="LWF41" s="344"/>
      <c r="LWG41" s="344"/>
      <c r="LWH41" s="344"/>
      <c r="LWI41" s="344"/>
      <c r="LWJ41" s="344"/>
      <c r="LWK41" s="344"/>
      <c r="LWL41" s="344"/>
      <c r="LWM41" s="344"/>
      <c r="LWN41" s="344"/>
      <c r="LWO41" s="344"/>
      <c r="LWP41" s="344"/>
      <c r="LWQ41" s="344"/>
      <c r="LWR41" s="344"/>
      <c r="LWS41" s="344"/>
      <c r="LWT41" s="344"/>
      <c r="LWU41" s="344"/>
      <c r="LWV41" s="344"/>
      <c r="LWW41" s="344"/>
      <c r="LWX41" s="344"/>
      <c r="LWY41" s="344"/>
      <c r="LWZ41" s="344"/>
      <c r="LXA41" s="344"/>
      <c r="LXB41" s="344"/>
      <c r="LXC41" s="344"/>
      <c r="LXD41" s="344"/>
      <c r="LXE41" s="344"/>
      <c r="LXF41" s="344"/>
      <c r="LXG41" s="344"/>
      <c r="LXH41" s="344"/>
      <c r="LXI41" s="344"/>
      <c r="LXJ41" s="344"/>
      <c r="LXK41" s="344"/>
      <c r="LXL41" s="344"/>
      <c r="LXM41" s="344"/>
      <c r="LXN41" s="344"/>
      <c r="LXO41" s="344"/>
      <c r="LXP41" s="344"/>
      <c r="LXQ41" s="344"/>
      <c r="LXR41" s="344"/>
      <c r="LXS41" s="344"/>
      <c r="LXT41" s="344"/>
      <c r="LXU41" s="344"/>
      <c r="LXV41" s="344"/>
      <c r="LXW41" s="344"/>
      <c r="LXX41" s="344"/>
      <c r="LXY41" s="344"/>
      <c r="LXZ41" s="344"/>
      <c r="LYA41" s="344"/>
      <c r="LYB41" s="344"/>
      <c r="LYC41" s="344"/>
      <c r="LYD41" s="344"/>
      <c r="LYE41" s="344"/>
      <c r="LYF41" s="344"/>
      <c r="LYG41" s="344"/>
      <c r="LYH41" s="344"/>
      <c r="LYI41" s="344"/>
      <c r="LYJ41" s="344"/>
      <c r="LYK41" s="344"/>
      <c r="LYL41" s="344"/>
      <c r="LYM41" s="344"/>
      <c r="LYN41" s="344"/>
      <c r="LYO41" s="344"/>
      <c r="LYP41" s="344"/>
      <c r="LYQ41" s="344"/>
      <c r="LYR41" s="344"/>
      <c r="LYS41" s="344"/>
      <c r="LYT41" s="344"/>
      <c r="LYU41" s="344"/>
      <c r="LYV41" s="344"/>
      <c r="LYW41" s="344"/>
      <c r="LYX41" s="344"/>
      <c r="LYY41" s="344"/>
      <c r="LYZ41" s="344"/>
      <c r="LZA41" s="344"/>
      <c r="LZB41" s="344"/>
      <c r="LZC41" s="344"/>
      <c r="LZD41" s="344"/>
      <c r="LZE41" s="344"/>
      <c r="LZF41" s="344"/>
      <c r="LZG41" s="344"/>
      <c r="LZH41" s="344"/>
      <c r="LZI41" s="344"/>
      <c r="LZJ41" s="344"/>
      <c r="LZK41" s="344"/>
      <c r="LZL41" s="344"/>
      <c r="LZM41" s="344"/>
      <c r="LZN41" s="344"/>
      <c r="LZO41" s="344"/>
      <c r="LZP41" s="344"/>
      <c r="LZQ41" s="344"/>
      <c r="LZR41" s="344"/>
      <c r="LZS41" s="344"/>
      <c r="LZT41" s="344"/>
      <c r="LZU41" s="344"/>
      <c r="LZV41" s="344"/>
      <c r="LZW41" s="344"/>
      <c r="LZX41" s="344"/>
      <c r="LZY41" s="344"/>
      <c r="LZZ41" s="344"/>
      <c r="MAA41" s="344"/>
      <c r="MAB41" s="344"/>
      <c r="MAC41" s="344"/>
      <c r="MAD41" s="344"/>
      <c r="MAE41" s="344"/>
      <c r="MAF41" s="344"/>
      <c r="MAG41" s="344"/>
      <c r="MAH41" s="344"/>
      <c r="MAI41" s="344"/>
      <c r="MAJ41" s="344"/>
      <c r="MAK41" s="344"/>
      <c r="MAL41" s="344"/>
      <c r="MAM41" s="344"/>
      <c r="MAN41" s="344"/>
      <c r="MAO41" s="344"/>
      <c r="MAP41" s="344"/>
      <c r="MAQ41" s="344"/>
      <c r="MAR41" s="344"/>
      <c r="MAS41" s="344"/>
      <c r="MAT41" s="344"/>
      <c r="MAU41" s="344"/>
      <c r="MAV41" s="344"/>
      <c r="MAW41" s="344"/>
      <c r="MAX41" s="344"/>
      <c r="MAY41" s="344"/>
      <c r="MAZ41" s="344"/>
      <c r="MBA41" s="344"/>
      <c r="MBB41" s="344"/>
      <c r="MBC41" s="344"/>
      <c r="MBD41" s="344"/>
      <c r="MBE41" s="344"/>
      <c r="MBF41" s="344"/>
      <c r="MBG41" s="344"/>
      <c r="MBH41" s="344"/>
      <c r="MBI41" s="344"/>
      <c r="MBJ41" s="344"/>
      <c r="MBK41" s="344"/>
      <c r="MBL41" s="344"/>
      <c r="MBM41" s="344"/>
      <c r="MBN41" s="344"/>
      <c r="MBO41" s="344"/>
      <c r="MBP41" s="344"/>
      <c r="MBQ41" s="344"/>
      <c r="MBR41" s="344"/>
      <c r="MBS41" s="344"/>
      <c r="MBT41" s="344"/>
      <c r="MBU41" s="344"/>
      <c r="MBV41" s="344"/>
      <c r="MBW41" s="344"/>
      <c r="MBX41" s="344"/>
      <c r="MBY41" s="344"/>
      <c r="MBZ41" s="344"/>
      <c r="MCA41" s="344"/>
      <c r="MCB41" s="344"/>
      <c r="MCC41" s="344"/>
      <c r="MCD41" s="344"/>
      <c r="MCE41" s="344"/>
      <c r="MCF41" s="344"/>
      <c r="MCG41" s="344"/>
      <c r="MCH41" s="344"/>
      <c r="MCI41" s="344"/>
      <c r="MCJ41" s="344"/>
      <c r="MCK41" s="344"/>
      <c r="MCL41" s="344"/>
      <c r="MCM41" s="344"/>
      <c r="MCN41" s="344"/>
      <c r="MCO41" s="344"/>
      <c r="MCP41" s="344"/>
      <c r="MCQ41" s="344"/>
      <c r="MCR41" s="344"/>
      <c r="MCS41" s="344"/>
      <c r="MCT41" s="344"/>
      <c r="MCU41" s="344"/>
      <c r="MCV41" s="344"/>
      <c r="MCW41" s="344"/>
      <c r="MCX41" s="344"/>
      <c r="MCY41" s="344"/>
      <c r="MCZ41" s="344"/>
      <c r="MDA41" s="344"/>
      <c r="MDB41" s="344"/>
      <c r="MDC41" s="344"/>
      <c r="MDD41" s="344"/>
      <c r="MDE41" s="344"/>
      <c r="MDF41" s="344"/>
      <c r="MDG41" s="344"/>
      <c r="MDH41" s="344"/>
      <c r="MDI41" s="344"/>
      <c r="MDJ41" s="344"/>
      <c r="MDK41" s="344"/>
      <c r="MDL41" s="344"/>
      <c r="MDM41" s="344"/>
      <c r="MDN41" s="344"/>
      <c r="MDO41" s="344"/>
      <c r="MDP41" s="344"/>
      <c r="MDQ41" s="344"/>
      <c r="MDR41" s="344"/>
      <c r="MDS41" s="344"/>
      <c r="MDT41" s="344"/>
      <c r="MDU41" s="344"/>
      <c r="MDV41" s="344"/>
      <c r="MDW41" s="344"/>
      <c r="MDX41" s="344"/>
      <c r="MDY41" s="344"/>
      <c r="MDZ41" s="344"/>
      <c r="MEA41" s="344"/>
      <c r="MEB41" s="344"/>
      <c r="MEC41" s="344"/>
      <c r="MED41" s="344"/>
      <c r="MEE41" s="344"/>
      <c r="MEF41" s="344"/>
      <c r="MEG41" s="344"/>
      <c r="MEH41" s="344"/>
      <c r="MEI41" s="344"/>
      <c r="MEJ41" s="344"/>
      <c r="MEK41" s="344"/>
      <c r="MEL41" s="344"/>
      <c r="MEM41" s="344"/>
      <c r="MEN41" s="344"/>
      <c r="MEO41" s="344"/>
      <c r="MEP41" s="344"/>
      <c r="MEQ41" s="344"/>
      <c r="MER41" s="344"/>
      <c r="MES41" s="344"/>
      <c r="MET41" s="344"/>
      <c r="MEU41" s="344"/>
      <c r="MEV41" s="344"/>
      <c r="MEW41" s="344"/>
      <c r="MEX41" s="344"/>
      <c r="MEY41" s="344"/>
      <c r="MEZ41" s="344"/>
      <c r="MFA41" s="344"/>
      <c r="MFB41" s="344"/>
      <c r="MFC41" s="344"/>
      <c r="MFD41" s="344"/>
      <c r="MFE41" s="344"/>
      <c r="MFF41" s="344"/>
      <c r="MFG41" s="344"/>
      <c r="MFH41" s="344"/>
      <c r="MFI41" s="344"/>
      <c r="MFJ41" s="344"/>
      <c r="MFK41" s="344"/>
      <c r="MFL41" s="344"/>
      <c r="MFM41" s="344"/>
      <c r="MFN41" s="344"/>
      <c r="MFO41" s="344"/>
      <c r="MFP41" s="344"/>
      <c r="MFQ41" s="344"/>
      <c r="MFR41" s="344"/>
      <c r="MFS41" s="344"/>
      <c r="MFT41" s="344"/>
      <c r="MFU41" s="344"/>
      <c r="MFV41" s="344"/>
      <c r="MFW41" s="344"/>
      <c r="MFX41" s="344"/>
      <c r="MFY41" s="344"/>
      <c r="MFZ41" s="344"/>
      <c r="MGA41" s="344"/>
      <c r="MGB41" s="344"/>
      <c r="MGC41" s="344"/>
      <c r="MGD41" s="344"/>
      <c r="MGE41" s="344"/>
      <c r="MGF41" s="344"/>
      <c r="MGG41" s="344"/>
      <c r="MGH41" s="344"/>
      <c r="MGI41" s="344"/>
      <c r="MGJ41" s="344"/>
      <c r="MGK41" s="344"/>
      <c r="MGL41" s="344"/>
      <c r="MGM41" s="344"/>
      <c r="MGN41" s="344"/>
      <c r="MGO41" s="344"/>
      <c r="MGP41" s="344"/>
      <c r="MGQ41" s="344"/>
      <c r="MGR41" s="344"/>
      <c r="MGS41" s="344"/>
      <c r="MGT41" s="344"/>
      <c r="MGU41" s="344"/>
      <c r="MGV41" s="344"/>
      <c r="MGW41" s="344"/>
      <c r="MGX41" s="344"/>
      <c r="MGY41" s="344"/>
      <c r="MGZ41" s="344"/>
      <c r="MHA41" s="344"/>
      <c r="MHB41" s="344"/>
      <c r="MHC41" s="344"/>
      <c r="MHD41" s="344"/>
      <c r="MHE41" s="344"/>
      <c r="MHF41" s="344"/>
      <c r="MHG41" s="344"/>
      <c r="MHH41" s="344"/>
      <c r="MHI41" s="344"/>
      <c r="MHJ41" s="344"/>
      <c r="MHK41" s="344"/>
      <c r="MHL41" s="344"/>
      <c r="MHM41" s="344"/>
      <c r="MHN41" s="344"/>
      <c r="MHO41" s="344"/>
      <c r="MHP41" s="344"/>
      <c r="MHQ41" s="344"/>
      <c r="MHR41" s="344"/>
      <c r="MHS41" s="344"/>
      <c r="MHT41" s="344"/>
      <c r="MHU41" s="344"/>
      <c r="MHV41" s="344"/>
      <c r="MHW41" s="344"/>
      <c r="MHX41" s="344"/>
      <c r="MHY41" s="344"/>
      <c r="MHZ41" s="344"/>
      <c r="MIA41" s="344"/>
      <c r="MIB41" s="344"/>
      <c r="MIC41" s="344"/>
      <c r="MID41" s="344"/>
      <c r="MIE41" s="344"/>
      <c r="MIF41" s="344"/>
      <c r="MIG41" s="344"/>
      <c r="MIH41" s="344"/>
      <c r="MII41" s="344"/>
      <c r="MIJ41" s="344"/>
      <c r="MIK41" s="344"/>
      <c r="MIL41" s="344"/>
      <c r="MIM41" s="344"/>
      <c r="MIN41" s="344"/>
      <c r="MIO41" s="344"/>
      <c r="MIP41" s="344"/>
      <c r="MIQ41" s="344"/>
      <c r="MIR41" s="344"/>
      <c r="MIS41" s="344"/>
      <c r="MIT41" s="344"/>
      <c r="MIU41" s="344"/>
      <c r="MIV41" s="344"/>
      <c r="MIW41" s="344"/>
      <c r="MIX41" s="344"/>
      <c r="MIY41" s="344"/>
      <c r="MIZ41" s="344"/>
      <c r="MJA41" s="344"/>
      <c r="MJB41" s="344"/>
      <c r="MJC41" s="344"/>
      <c r="MJD41" s="344"/>
      <c r="MJE41" s="344"/>
      <c r="MJF41" s="344"/>
      <c r="MJG41" s="344"/>
      <c r="MJH41" s="344"/>
      <c r="MJI41" s="344"/>
      <c r="MJJ41" s="344"/>
      <c r="MJK41" s="344"/>
      <c r="MJL41" s="344"/>
      <c r="MJM41" s="344"/>
      <c r="MJN41" s="344"/>
      <c r="MJO41" s="344"/>
      <c r="MJP41" s="344"/>
      <c r="MJQ41" s="344"/>
      <c r="MJR41" s="344"/>
      <c r="MJS41" s="344"/>
      <c r="MJT41" s="344"/>
      <c r="MJU41" s="344"/>
      <c r="MJV41" s="344"/>
      <c r="MJW41" s="344"/>
      <c r="MJX41" s="344"/>
      <c r="MJY41" s="344"/>
      <c r="MJZ41" s="344"/>
      <c r="MKA41" s="344"/>
      <c r="MKB41" s="344"/>
      <c r="MKC41" s="344"/>
      <c r="MKD41" s="344"/>
      <c r="MKE41" s="344"/>
      <c r="MKF41" s="344"/>
      <c r="MKG41" s="344"/>
      <c r="MKH41" s="344"/>
      <c r="MKI41" s="344"/>
      <c r="MKJ41" s="344"/>
      <c r="MKK41" s="344"/>
      <c r="MKL41" s="344"/>
      <c r="MKM41" s="344"/>
      <c r="MKN41" s="344"/>
      <c r="MKO41" s="344"/>
      <c r="MKP41" s="344"/>
      <c r="MKQ41" s="344"/>
      <c r="MKR41" s="344"/>
      <c r="MKS41" s="344"/>
      <c r="MKT41" s="344"/>
      <c r="MKU41" s="344"/>
      <c r="MKV41" s="344"/>
      <c r="MKW41" s="344"/>
      <c r="MKX41" s="344"/>
      <c r="MKY41" s="344"/>
      <c r="MKZ41" s="344"/>
      <c r="MLA41" s="344"/>
      <c r="MLB41" s="344"/>
      <c r="MLC41" s="344"/>
      <c r="MLD41" s="344"/>
      <c r="MLE41" s="344"/>
      <c r="MLF41" s="344"/>
      <c r="MLG41" s="344"/>
      <c r="MLH41" s="344"/>
      <c r="MLI41" s="344"/>
      <c r="MLJ41" s="344"/>
      <c r="MLK41" s="344"/>
      <c r="MLL41" s="344"/>
      <c r="MLM41" s="344"/>
      <c r="MLN41" s="344"/>
      <c r="MLO41" s="344"/>
      <c r="MLP41" s="344"/>
      <c r="MLQ41" s="344"/>
      <c r="MLR41" s="344"/>
      <c r="MLS41" s="344"/>
      <c r="MLT41" s="344"/>
      <c r="MLU41" s="344"/>
      <c r="MLV41" s="344"/>
      <c r="MLW41" s="344"/>
      <c r="MLX41" s="344"/>
      <c r="MLY41" s="344"/>
      <c r="MLZ41" s="344"/>
      <c r="MMA41" s="344"/>
      <c r="MMB41" s="344"/>
      <c r="MMC41" s="344"/>
      <c r="MMD41" s="344"/>
      <c r="MME41" s="344"/>
      <c r="MMF41" s="344"/>
      <c r="MMG41" s="344"/>
      <c r="MMH41" s="344"/>
      <c r="MMI41" s="344"/>
      <c r="MMJ41" s="344"/>
      <c r="MMK41" s="344"/>
      <c r="MML41" s="344"/>
      <c r="MMM41" s="344"/>
      <c r="MMN41" s="344"/>
      <c r="MMO41" s="344"/>
      <c r="MMP41" s="344"/>
      <c r="MMQ41" s="344"/>
      <c r="MMR41" s="344"/>
      <c r="MMS41" s="344"/>
      <c r="MMT41" s="344"/>
      <c r="MMU41" s="344"/>
      <c r="MMV41" s="344"/>
      <c r="MMW41" s="344"/>
      <c r="MMX41" s="344"/>
      <c r="MMY41" s="344"/>
      <c r="MMZ41" s="344"/>
      <c r="MNA41" s="344"/>
      <c r="MNB41" s="344"/>
      <c r="MNC41" s="344"/>
      <c r="MND41" s="344"/>
      <c r="MNE41" s="344"/>
      <c r="MNF41" s="344"/>
      <c r="MNG41" s="344"/>
      <c r="MNH41" s="344"/>
      <c r="MNI41" s="344"/>
      <c r="MNJ41" s="344"/>
      <c r="MNK41" s="344"/>
      <c r="MNL41" s="344"/>
      <c r="MNM41" s="344"/>
      <c r="MNN41" s="344"/>
      <c r="MNO41" s="344"/>
      <c r="MNP41" s="344"/>
      <c r="MNQ41" s="344"/>
      <c r="MNR41" s="344"/>
      <c r="MNS41" s="344"/>
      <c r="MNT41" s="344"/>
      <c r="MNU41" s="344"/>
      <c r="MNV41" s="344"/>
      <c r="MNW41" s="344"/>
      <c r="MNX41" s="344"/>
      <c r="MNY41" s="344"/>
      <c r="MNZ41" s="344"/>
      <c r="MOA41" s="344"/>
      <c r="MOB41" s="344"/>
      <c r="MOC41" s="344"/>
      <c r="MOD41" s="344"/>
      <c r="MOE41" s="344"/>
      <c r="MOF41" s="344"/>
      <c r="MOG41" s="344"/>
      <c r="MOH41" s="344"/>
      <c r="MOI41" s="344"/>
      <c r="MOJ41" s="344"/>
      <c r="MOK41" s="344"/>
      <c r="MOL41" s="344"/>
      <c r="MOM41" s="344"/>
      <c r="MON41" s="344"/>
      <c r="MOO41" s="344"/>
      <c r="MOP41" s="344"/>
      <c r="MOQ41" s="344"/>
      <c r="MOR41" s="344"/>
      <c r="MOS41" s="344"/>
      <c r="MOT41" s="344"/>
      <c r="MOU41" s="344"/>
      <c r="MOV41" s="344"/>
      <c r="MOW41" s="344"/>
      <c r="MOX41" s="344"/>
      <c r="MOY41" s="344"/>
      <c r="MOZ41" s="344"/>
      <c r="MPA41" s="344"/>
      <c r="MPB41" s="344"/>
      <c r="MPC41" s="344"/>
      <c r="MPD41" s="344"/>
      <c r="MPE41" s="344"/>
      <c r="MPF41" s="344"/>
      <c r="MPG41" s="344"/>
      <c r="MPH41" s="344"/>
      <c r="MPI41" s="344"/>
      <c r="MPJ41" s="344"/>
      <c r="MPK41" s="344"/>
      <c r="MPL41" s="344"/>
      <c r="MPM41" s="344"/>
      <c r="MPN41" s="344"/>
      <c r="MPO41" s="344"/>
      <c r="MPP41" s="344"/>
      <c r="MPQ41" s="344"/>
      <c r="MPR41" s="344"/>
      <c r="MPS41" s="344"/>
      <c r="MPT41" s="344"/>
      <c r="MPU41" s="344"/>
      <c r="MPV41" s="344"/>
      <c r="MPW41" s="344"/>
      <c r="MPX41" s="344"/>
      <c r="MPY41" s="344"/>
      <c r="MPZ41" s="344"/>
      <c r="MQA41" s="344"/>
      <c r="MQB41" s="344"/>
      <c r="MQC41" s="344"/>
      <c r="MQD41" s="344"/>
      <c r="MQE41" s="344"/>
      <c r="MQF41" s="344"/>
      <c r="MQG41" s="344"/>
      <c r="MQH41" s="344"/>
      <c r="MQI41" s="344"/>
      <c r="MQJ41" s="344"/>
      <c r="MQK41" s="344"/>
      <c r="MQL41" s="344"/>
      <c r="MQM41" s="344"/>
      <c r="MQN41" s="344"/>
      <c r="MQO41" s="344"/>
      <c r="MQP41" s="344"/>
      <c r="MQQ41" s="344"/>
      <c r="MQR41" s="344"/>
      <c r="MQS41" s="344"/>
      <c r="MQT41" s="344"/>
      <c r="MQU41" s="344"/>
      <c r="MQV41" s="344"/>
      <c r="MQW41" s="344"/>
      <c r="MQX41" s="344"/>
      <c r="MQY41" s="344"/>
      <c r="MQZ41" s="344"/>
      <c r="MRA41" s="344"/>
      <c r="MRB41" s="344"/>
      <c r="MRC41" s="344"/>
      <c r="MRD41" s="344"/>
      <c r="MRE41" s="344"/>
      <c r="MRF41" s="344"/>
      <c r="MRG41" s="344"/>
      <c r="MRH41" s="344"/>
      <c r="MRI41" s="344"/>
      <c r="MRJ41" s="344"/>
      <c r="MRK41" s="344"/>
      <c r="MRL41" s="344"/>
      <c r="MRM41" s="344"/>
      <c r="MRN41" s="344"/>
      <c r="MRO41" s="344"/>
      <c r="MRP41" s="344"/>
      <c r="MRQ41" s="344"/>
      <c r="MRR41" s="344"/>
      <c r="MRS41" s="344"/>
      <c r="MRT41" s="344"/>
      <c r="MRU41" s="344"/>
      <c r="MRV41" s="344"/>
      <c r="MRW41" s="344"/>
      <c r="MRX41" s="344"/>
      <c r="MRY41" s="344"/>
      <c r="MRZ41" s="344"/>
      <c r="MSA41" s="344"/>
      <c r="MSB41" s="344"/>
      <c r="MSC41" s="344"/>
      <c r="MSD41" s="344"/>
      <c r="MSE41" s="344"/>
      <c r="MSF41" s="344"/>
      <c r="MSG41" s="344"/>
      <c r="MSH41" s="344"/>
      <c r="MSI41" s="344"/>
      <c r="MSJ41" s="344"/>
      <c r="MSK41" s="344"/>
      <c r="MSL41" s="344"/>
      <c r="MSM41" s="344"/>
      <c r="MSN41" s="344"/>
      <c r="MSO41" s="344"/>
      <c r="MSP41" s="344"/>
      <c r="MSQ41" s="344"/>
      <c r="MSR41" s="344"/>
      <c r="MSS41" s="344"/>
      <c r="MST41" s="344"/>
      <c r="MSU41" s="344"/>
      <c r="MSV41" s="344"/>
      <c r="MSW41" s="344"/>
      <c r="MSX41" s="344"/>
      <c r="MSY41" s="344"/>
      <c r="MSZ41" s="344"/>
      <c r="MTA41" s="344"/>
      <c r="MTB41" s="344"/>
      <c r="MTC41" s="344"/>
      <c r="MTD41" s="344"/>
      <c r="MTE41" s="344"/>
      <c r="MTF41" s="344"/>
      <c r="MTG41" s="344"/>
      <c r="MTH41" s="344"/>
      <c r="MTI41" s="344"/>
      <c r="MTJ41" s="344"/>
      <c r="MTK41" s="344"/>
      <c r="MTL41" s="344"/>
      <c r="MTM41" s="344"/>
      <c r="MTN41" s="344"/>
      <c r="MTO41" s="344"/>
      <c r="MTP41" s="344"/>
      <c r="MTQ41" s="344"/>
      <c r="MTR41" s="344"/>
      <c r="MTS41" s="344"/>
      <c r="MTT41" s="344"/>
      <c r="MTU41" s="344"/>
      <c r="MTV41" s="344"/>
      <c r="MTW41" s="344"/>
      <c r="MTX41" s="344"/>
      <c r="MTY41" s="344"/>
      <c r="MTZ41" s="344"/>
      <c r="MUA41" s="344"/>
      <c r="MUB41" s="344"/>
      <c r="MUC41" s="344"/>
      <c r="MUD41" s="344"/>
      <c r="MUE41" s="344"/>
      <c r="MUF41" s="344"/>
      <c r="MUG41" s="344"/>
      <c r="MUH41" s="344"/>
      <c r="MUI41" s="344"/>
      <c r="MUJ41" s="344"/>
      <c r="MUK41" s="344"/>
      <c r="MUL41" s="344"/>
      <c r="MUM41" s="344"/>
      <c r="MUN41" s="344"/>
      <c r="MUO41" s="344"/>
      <c r="MUP41" s="344"/>
      <c r="MUQ41" s="344"/>
      <c r="MUR41" s="344"/>
      <c r="MUS41" s="344"/>
      <c r="MUT41" s="344"/>
      <c r="MUU41" s="344"/>
      <c r="MUV41" s="344"/>
      <c r="MUW41" s="344"/>
      <c r="MUX41" s="344"/>
      <c r="MUY41" s="344"/>
      <c r="MUZ41" s="344"/>
      <c r="MVA41" s="344"/>
      <c r="MVB41" s="344"/>
      <c r="MVC41" s="344"/>
      <c r="MVD41" s="344"/>
      <c r="MVE41" s="344"/>
      <c r="MVF41" s="344"/>
      <c r="MVG41" s="344"/>
      <c r="MVH41" s="344"/>
      <c r="MVI41" s="344"/>
      <c r="MVJ41" s="344"/>
      <c r="MVK41" s="344"/>
      <c r="MVL41" s="344"/>
      <c r="MVM41" s="344"/>
      <c r="MVN41" s="344"/>
      <c r="MVO41" s="344"/>
      <c r="MVP41" s="344"/>
      <c r="MVQ41" s="344"/>
      <c r="MVR41" s="344"/>
      <c r="MVS41" s="344"/>
      <c r="MVT41" s="344"/>
      <c r="MVU41" s="344"/>
      <c r="MVV41" s="344"/>
      <c r="MVW41" s="344"/>
      <c r="MVX41" s="344"/>
      <c r="MVY41" s="344"/>
      <c r="MVZ41" s="344"/>
      <c r="MWA41" s="344"/>
      <c r="MWB41" s="344"/>
      <c r="MWC41" s="344"/>
      <c r="MWD41" s="344"/>
      <c r="MWE41" s="344"/>
      <c r="MWF41" s="344"/>
      <c r="MWG41" s="344"/>
      <c r="MWH41" s="344"/>
      <c r="MWI41" s="344"/>
      <c r="MWJ41" s="344"/>
      <c r="MWK41" s="344"/>
      <c r="MWL41" s="344"/>
      <c r="MWM41" s="344"/>
      <c r="MWN41" s="344"/>
      <c r="MWO41" s="344"/>
      <c r="MWP41" s="344"/>
      <c r="MWQ41" s="344"/>
      <c r="MWR41" s="344"/>
      <c r="MWS41" s="344"/>
      <c r="MWT41" s="344"/>
      <c r="MWU41" s="344"/>
      <c r="MWV41" s="344"/>
      <c r="MWW41" s="344"/>
      <c r="MWX41" s="344"/>
      <c r="MWY41" s="344"/>
      <c r="MWZ41" s="344"/>
      <c r="MXA41" s="344"/>
      <c r="MXB41" s="344"/>
      <c r="MXC41" s="344"/>
      <c r="MXD41" s="344"/>
      <c r="MXE41" s="344"/>
      <c r="MXF41" s="344"/>
      <c r="MXG41" s="344"/>
      <c r="MXH41" s="344"/>
      <c r="MXI41" s="344"/>
      <c r="MXJ41" s="344"/>
      <c r="MXK41" s="344"/>
      <c r="MXL41" s="344"/>
      <c r="MXM41" s="344"/>
      <c r="MXN41" s="344"/>
      <c r="MXO41" s="344"/>
      <c r="MXP41" s="344"/>
      <c r="MXQ41" s="344"/>
      <c r="MXR41" s="344"/>
      <c r="MXS41" s="344"/>
      <c r="MXT41" s="344"/>
      <c r="MXU41" s="344"/>
      <c r="MXV41" s="344"/>
      <c r="MXW41" s="344"/>
      <c r="MXX41" s="344"/>
      <c r="MXY41" s="344"/>
      <c r="MXZ41" s="344"/>
      <c r="MYA41" s="344"/>
      <c r="MYB41" s="344"/>
      <c r="MYC41" s="344"/>
      <c r="MYD41" s="344"/>
      <c r="MYE41" s="344"/>
      <c r="MYF41" s="344"/>
      <c r="MYG41" s="344"/>
      <c r="MYH41" s="344"/>
      <c r="MYI41" s="344"/>
      <c r="MYJ41" s="344"/>
      <c r="MYK41" s="344"/>
      <c r="MYL41" s="344"/>
      <c r="MYM41" s="344"/>
      <c r="MYN41" s="344"/>
      <c r="MYO41" s="344"/>
      <c r="MYP41" s="344"/>
      <c r="MYQ41" s="344"/>
      <c r="MYR41" s="344"/>
      <c r="MYS41" s="344"/>
      <c r="MYT41" s="344"/>
      <c r="MYU41" s="344"/>
      <c r="MYV41" s="344"/>
      <c r="MYW41" s="344"/>
      <c r="MYX41" s="344"/>
      <c r="MYY41" s="344"/>
      <c r="MYZ41" s="344"/>
      <c r="MZA41" s="344"/>
      <c r="MZB41" s="344"/>
      <c r="MZC41" s="344"/>
      <c r="MZD41" s="344"/>
      <c r="MZE41" s="344"/>
      <c r="MZF41" s="344"/>
      <c r="MZG41" s="344"/>
      <c r="MZH41" s="344"/>
      <c r="MZI41" s="344"/>
      <c r="MZJ41" s="344"/>
      <c r="MZK41" s="344"/>
      <c r="MZL41" s="344"/>
      <c r="MZM41" s="344"/>
      <c r="MZN41" s="344"/>
      <c r="MZO41" s="344"/>
      <c r="MZP41" s="344"/>
      <c r="MZQ41" s="344"/>
      <c r="MZR41" s="344"/>
      <c r="MZS41" s="344"/>
      <c r="MZT41" s="344"/>
      <c r="MZU41" s="344"/>
      <c r="MZV41" s="344"/>
      <c r="MZW41" s="344"/>
      <c r="MZX41" s="344"/>
      <c r="MZY41" s="344"/>
      <c r="MZZ41" s="344"/>
      <c r="NAA41" s="344"/>
      <c r="NAB41" s="344"/>
      <c r="NAC41" s="344"/>
      <c r="NAD41" s="344"/>
      <c r="NAE41" s="344"/>
      <c r="NAF41" s="344"/>
      <c r="NAG41" s="344"/>
      <c r="NAH41" s="344"/>
      <c r="NAI41" s="344"/>
      <c r="NAJ41" s="344"/>
      <c r="NAK41" s="344"/>
      <c r="NAL41" s="344"/>
      <c r="NAM41" s="344"/>
      <c r="NAN41" s="344"/>
      <c r="NAO41" s="344"/>
      <c r="NAP41" s="344"/>
      <c r="NAQ41" s="344"/>
      <c r="NAR41" s="344"/>
      <c r="NAS41" s="344"/>
      <c r="NAT41" s="344"/>
      <c r="NAU41" s="344"/>
      <c r="NAV41" s="344"/>
      <c r="NAW41" s="344"/>
      <c r="NAX41" s="344"/>
      <c r="NAY41" s="344"/>
      <c r="NAZ41" s="344"/>
      <c r="NBA41" s="344"/>
      <c r="NBB41" s="344"/>
      <c r="NBC41" s="344"/>
      <c r="NBD41" s="344"/>
      <c r="NBE41" s="344"/>
      <c r="NBF41" s="344"/>
      <c r="NBG41" s="344"/>
      <c r="NBH41" s="344"/>
      <c r="NBI41" s="344"/>
      <c r="NBJ41" s="344"/>
      <c r="NBK41" s="344"/>
      <c r="NBL41" s="344"/>
      <c r="NBM41" s="344"/>
      <c r="NBN41" s="344"/>
      <c r="NBO41" s="344"/>
      <c r="NBP41" s="344"/>
      <c r="NBQ41" s="344"/>
      <c r="NBR41" s="344"/>
      <c r="NBS41" s="344"/>
      <c r="NBT41" s="344"/>
      <c r="NBU41" s="344"/>
      <c r="NBV41" s="344"/>
      <c r="NBW41" s="344"/>
      <c r="NBX41" s="344"/>
      <c r="NBY41" s="344"/>
      <c r="NBZ41" s="344"/>
      <c r="NCA41" s="344"/>
      <c r="NCB41" s="344"/>
      <c r="NCC41" s="344"/>
      <c r="NCD41" s="344"/>
      <c r="NCE41" s="344"/>
      <c r="NCF41" s="344"/>
      <c r="NCG41" s="344"/>
      <c r="NCH41" s="344"/>
      <c r="NCI41" s="344"/>
      <c r="NCJ41" s="344"/>
      <c r="NCK41" s="344"/>
      <c r="NCL41" s="344"/>
      <c r="NCM41" s="344"/>
      <c r="NCN41" s="344"/>
      <c r="NCO41" s="344"/>
      <c r="NCP41" s="344"/>
      <c r="NCQ41" s="344"/>
      <c r="NCR41" s="344"/>
      <c r="NCS41" s="344"/>
      <c r="NCT41" s="344"/>
      <c r="NCU41" s="344"/>
      <c r="NCV41" s="344"/>
      <c r="NCW41" s="344"/>
      <c r="NCX41" s="344"/>
      <c r="NCY41" s="344"/>
      <c r="NCZ41" s="344"/>
      <c r="NDA41" s="344"/>
      <c r="NDB41" s="344"/>
      <c r="NDC41" s="344"/>
      <c r="NDD41" s="344"/>
      <c r="NDE41" s="344"/>
      <c r="NDF41" s="344"/>
      <c r="NDG41" s="344"/>
      <c r="NDH41" s="344"/>
      <c r="NDI41" s="344"/>
      <c r="NDJ41" s="344"/>
      <c r="NDK41" s="344"/>
      <c r="NDL41" s="344"/>
      <c r="NDM41" s="344"/>
      <c r="NDN41" s="344"/>
      <c r="NDO41" s="344"/>
      <c r="NDP41" s="344"/>
      <c r="NDQ41" s="344"/>
      <c r="NDR41" s="344"/>
      <c r="NDS41" s="344"/>
      <c r="NDT41" s="344"/>
      <c r="NDU41" s="344"/>
      <c r="NDV41" s="344"/>
      <c r="NDW41" s="344"/>
      <c r="NDX41" s="344"/>
      <c r="NDY41" s="344"/>
      <c r="NDZ41" s="344"/>
      <c r="NEA41" s="344"/>
      <c r="NEB41" s="344"/>
      <c r="NEC41" s="344"/>
      <c r="NED41" s="344"/>
      <c r="NEE41" s="344"/>
      <c r="NEF41" s="344"/>
      <c r="NEG41" s="344"/>
      <c r="NEH41" s="344"/>
      <c r="NEI41" s="344"/>
      <c r="NEJ41" s="344"/>
      <c r="NEK41" s="344"/>
      <c r="NEL41" s="344"/>
      <c r="NEM41" s="344"/>
      <c r="NEN41" s="344"/>
      <c r="NEO41" s="344"/>
      <c r="NEP41" s="344"/>
      <c r="NEQ41" s="344"/>
      <c r="NER41" s="344"/>
      <c r="NES41" s="344"/>
      <c r="NET41" s="344"/>
      <c r="NEU41" s="344"/>
      <c r="NEV41" s="344"/>
      <c r="NEW41" s="344"/>
      <c r="NEX41" s="344"/>
      <c r="NEY41" s="344"/>
      <c r="NEZ41" s="344"/>
      <c r="NFA41" s="344"/>
      <c r="NFB41" s="344"/>
      <c r="NFC41" s="344"/>
      <c r="NFD41" s="344"/>
      <c r="NFE41" s="344"/>
      <c r="NFF41" s="344"/>
      <c r="NFG41" s="344"/>
      <c r="NFH41" s="344"/>
      <c r="NFI41" s="344"/>
      <c r="NFJ41" s="344"/>
      <c r="NFK41" s="344"/>
      <c r="NFL41" s="344"/>
      <c r="NFM41" s="344"/>
      <c r="NFN41" s="344"/>
      <c r="NFO41" s="344"/>
      <c r="NFP41" s="344"/>
      <c r="NFQ41" s="344"/>
      <c r="NFR41" s="344"/>
      <c r="NFS41" s="344"/>
      <c r="NFT41" s="344"/>
      <c r="NFU41" s="344"/>
      <c r="NFV41" s="344"/>
      <c r="NFW41" s="344"/>
      <c r="NFX41" s="344"/>
      <c r="NFY41" s="344"/>
      <c r="NFZ41" s="344"/>
      <c r="NGA41" s="344"/>
      <c r="NGB41" s="344"/>
      <c r="NGC41" s="344"/>
      <c r="NGD41" s="344"/>
      <c r="NGE41" s="344"/>
      <c r="NGF41" s="344"/>
      <c r="NGG41" s="344"/>
      <c r="NGH41" s="344"/>
      <c r="NGI41" s="344"/>
      <c r="NGJ41" s="344"/>
      <c r="NGK41" s="344"/>
      <c r="NGL41" s="344"/>
      <c r="NGM41" s="344"/>
      <c r="NGN41" s="344"/>
      <c r="NGO41" s="344"/>
      <c r="NGP41" s="344"/>
      <c r="NGQ41" s="344"/>
      <c r="NGR41" s="344"/>
      <c r="NGS41" s="344"/>
      <c r="NGT41" s="344"/>
      <c r="NGU41" s="344"/>
      <c r="NGV41" s="344"/>
      <c r="NGW41" s="344"/>
      <c r="NGX41" s="344"/>
      <c r="NGY41" s="344"/>
      <c r="NGZ41" s="344"/>
      <c r="NHA41" s="344"/>
      <c r="NHB41" s="344"/>
      <c r="NHC41" s="344"/>
      <c r="NHD41" s="344"/>
      <c r="NHE41" s="344"/>
      <c r="NHF41" s="344"/>
      <c r="NHG41" s="344"/>
      <c r="NHH41" s="344"/>
      <c r="NHI41" s="344"/>
      <c r="NHJ41" s="344"/>
      <c r="NHK41" s="344"/>
      <c r="NHL41" s="344"/>
      <c r="NHM41" s="344"/>
      <c r="NHN41" s="344"/>
      <c r="NHO41" s="344"/>
      <c r="NHP41" s="344"/>
      <c r="NHQ41" s="344"/>
      <c r="NHR41" s="344"/>
      <c r="NHS41" s="344"/>
      <c r="NHT41" s="344"/>
      <c r="NHU41" s="344"/>
      <c r="NHV41" s="344"/>
      <c r="NHW41" s="344"/>
      <c r="NHX41" s="344"/>
      <c r="NHY41" s="344"/>
      <c r="NHZ41" s="344"/>
      <c r="NIA41" s="344"/>
      <c r="NIB41" s="344"/>
      <c r="NIC41" s="344"/>
      <c r="NID41" s="344"/>
      <c r="NIE41" s="344"/>
      <c r="NIF41" s="344"/>
      <c r="NIG41" s="344"/>
      <c r="NIH41" s="344"/>
      <c r="NII41" s="344"/>
      <c r="NIJ41" s="344"/>
      <c r="NIK41" s="344"/>
      <c r="NIL41" s="344"/>
      <c r="NIM41" s="344"/>
      <c r="NIN41" s="344"/>
      <c r="NIO41" s="344"/>
      <c r="NIP41" s="344"/>
      <c r="NIQ41" s="344"/>
      <c r="NIR41" s="344"/>
      <c r="NIS41" s="344"/>
      <c r="NIT41" s="344"/>
      <c r="NIU41" s="344"/>
      <c r="NIV41" s="344"/>
      <c r="NIW41" s="344"/>
      <c r="NIX41" s="344"/>
      <c r="NIY41" s="344"/>
      <c r="NIZ41" s="344"/>
      <c r="NJA41" s="344"/>
      <c r="NJB41" s="344"/>
      <c r="NJC41" s="344"/>
      <c r="NJD41" s="344"/>
      <c r="NJE41" s="344"/>
      <c r="NJF41" s="344"/>
      <c r="NJG41" s="344"/>
      <c r="NJH41" s="344"/>
      <c r="NJI41" s="344"/>
      <c r="NJJ41" s="344"/>
      <c r="NJK41" s="344"/>
      <c r="NJL41" s="344"/>
      <c r="NJM41" s="344"/>
      <c r="NJN41" s="344"/>
      <c r="NJO41" s="344"/>
      <c r="NJP41" s="344"/>
      <c r="NJQ41" s="344"/>
      <c r="NJR41" s="344"/>
      <c r="NJS41" s="344"/>
      <c r="NJT41" s="344"/>
      <c r="NJU41" s="344"/>
      <c r="NJV41" s="344"/>
      <c r="NJW41" s="344"/>
      <c r="NJX41" s="344"/>
      <c r="NJY41" s="344"/>
      <c r="NJZ41" s="344"/>
      <c r="NKA41" s="344"/>
      <c r="NKB41" s="344"/>
      <c r="NKC41" s="344"/>
      <c r="NKD41" s="344"/>
      <c r="NKE41" s="344"/>
      <c r="NKF41" s="344"/>
      <c r="NKG41" s="344"/>
      <c r="NKH41" s="344"/>
      <c r="NKI41" s="344"/>
      <c r="NKJ41" s="344"/>
      <c r="NKK41" s="344"/>
      <c r="NKL41" s="344"/>
      <c r="NKM41" s="344"/>
      <c r="NKN41" s="344"/>
      <c r="NKO41" s="344"/>
      <c r="NKP41" s="344"/>
      <c r="NKQ41" s="344"/>
      <c r="NKR41" s="344"/>
      <c r="NKS41" s="344"/>
      <c r="NKT41" s="344"/>
      <c r="NKU41" s="344"/>
      <c r="NKV41" s="344"/>
      <c r="NKW41" s="344"/>
      <c r="NKX41" s="344"/>
      <c r="NKY41" s="344"/>
      <c r="NKZ41" s="344"/>
      <c r="NLA41" s="344"/>
      <c r="NLB41" s="344"/>
      <c r="NLC41" s="344"/>
      <c r="NLD41" s="344"/>
      <c r="NLE41" s="344"/>
      <c r="NLF41" s="344"/>
      <c r="NLG41" s="344"/>
      <c r="NLH41" s="344"/>
      <c r="NLI41" s="344"/>
      <c r="NLJ41" s="344"/>
      <c r="NLK41" s="344"/>
      <c r="NLL41" s="344"/>
      <c r="NLM41" s="344"/>
      <c r="NLN41" s="344"/>
      <c r="NLO41" s="344"/>
      <c r="NLP41" s="344"/>
      <c r="NLQ41" s="344"/>
      <c r="NLR41" s="344"/>
      <c r="NLS41" s="344"/>
      <c r="NLT41" s="344"/>
      <c r="NLU41" s="344"/>
      <c r="NLV41" s="344"/>
      <c r="NLW41" s="344"/>
      <c r="NLX41" s="344"/>
      <c r="NLY41" s="344"/>
      <c r="NLZ41" s="344"/>
      <c r="NMA41" s="344"/>
      <c r="NMB41" s="344"/>
      <c r="NMC41" s="344"/>
      <c r="NMD41" s="344"/>
      <c r="NME41" s="344"/>
      <c r="NMF41" s="344"/>
      <c r="NMG41" s="344"/>
      <c r="NMH41" s="344"/>
      <c r="NMI41" s="344"/>
      <c r="NMJ41" s="344"/>
      <c r="NMK41" s="344"/>
      <c r="NML41" s="344"/>
      <c r="NMM41" s="344"/>
      <c r="NMN41" s="344"/>
      <c r="NMO41" s="344"/>
      <c r="NMP41" s="344"/>
      <c r="NMQ41" s="344"/>
      <c r="NMR41" s="344"/>
      <c r="NMS41" s="344"/>
      <c r="NMT41" s="344"/>
      <c r="NMU41" s="344"/>
      <c r="NMV41" s="344"/>
      <c r="NMW41" s="344"/>
      <c r="NMX41" s="344"/>
      <c r="NMY41" s="344"/>
      <c r="NMZ41" s="344"/>
      <c r="NNA41" s="344"/>
      <c r="NNB41" s="344"/>
      <c r="NNC41" s="344"/>
      <c r="NND41" s="344"/>
      <c r="NNE41" s="344"/>
      <c r="NNF41" s="344"/>
      <c r="NNG41" s="344"/>
      <c r="NNH41" s="344"/>
      <c r="NNI41" s="344"/>
      <c r="NNJ41" s="344"/>
      <c r="NNK41" s="344"/>
      <c r="NNL41" s="344"/>
      <c r="NNM41" s="344"/>
      <c r="NNN41" s="344"/>
      <c r="NNO41" s="344"/>
      <c r="NNP41" s="344"/>
      <c r="NNQ41" s="344"/>
      <c r="NNR41" s="344"/>
      <c r="NNS41" s="344"/>
      <c r="NNT41" s="344"/>
      <c r="NNU41" s="344"/>
      <c r="NNV41" s="344"/>
      <c r="NNW41" s="344"/>
      <c r="NNX41" s="344"/>
      <c r="NNY41" s="344"/>
      <c r="NNZ41" s="344"/>
      <c r="NOA41" s="344"/>
      <c r="NOB41" s="344"/>
      <c r="NOC41" s="344"/>
      <c r="NOD41" s="344"/>
      <c r="NOE41" s="344"/>
      <c r="NOF41" s="344"/>
      <c r="NOG41" s="344"/>
      <c r="NOH41" s="344"/>
      <c r="NOI41" s="344"/>
      <c r="NOJ41" s="344"/>
      <c r="NOK41" s="344"/>
      <c r="NOL41" s="344"/>
      <c r="NOM41" s="344"/>
      <c r="NON41" s="344"/>
      <c r="NOO41" s="344"/>
      <c r="NOP41" s="344"/>
      <c r="NOQ41" s="344"/>
      <c r="NOR41" s="344"/>
      <c r="NOS41" s="344"/>
      <c r="NOT41" s="344"/>
      <c r="NOU41" s="344"/>
      <c r="NOV41" s="344"/>
      <c r="NOW41" s="344"/>
      <c r="NOX41" s="344"/>
      <c r="NOY41" s="344"/>
      <c r="NOZ41" s="344"/>
      <c r="NPA41" s="344"/>
      <c r="NPB41" s="344"/>
      <c r="NPC41" s="344"/>
      <c r="NPD41" s="344"/>
      <c r="NPE41" s="344"/>
      <c r="NPF41" s="344"/>
      <c r="NPG41" s="344"/>
      <c r="NPH41" s="344"/>
      <c r="NPI41" s="344"/>
      <c r="NPJ41" s="344"/>
      <c r="NPK41" s="344"/>
      <c r="NPL41" s="344"/>
      <c r="NPM41" s="344"/>
      <c r="NPN41" s="344"/>
      <c r="NPO41" s="344"/>
      <c r="NPP41" s="344"/>
      <c r="NPQ41" s="344"/>
      <c r="NPR41" s="344"/>
      <c r="NPS41" s="344"/>
      <c r="NPT41" s="344"/>
      <c r="NPU41" s="344"/>
      <c r="NPV41" s="344"/>
      <c r="NPW41" s="344"/>
      <c r="NPX41" s="344"/>
      <c r="NPY41" s="344"/>
      <c r="NPZ41" s="344"/>
      <c r="NQA41" s="344"/>
      <c r="NQB41" s="344"/>
      <c r="NQC41" s="344"/>
      <c r="NQD41" s="344"/>
      <c r="NQE41" s="344"/>
      <c r="NQF41" s="344"/>
      <c r="NQG41" s="344"/>
      <c r="NQH41" s="344"/>
      <c r="NQI41" s="344"/>
      <c r="NQJ41" s="344"/>
      <c r="NQK41" s="344"/>
      <c r="NQL41" s="344"/>
      <c r="NQM41" s="344"/>
      <c r="NQN41" s="344"/>
      <c r="NQO41" s="344"/>
      <c r="NQP41" s="344"/>
      <c r="NQQ41" s="344"/>
      <c r="NQR41" s="344"/>
      <c r="NQS41" s="344"/>
      <c r="NQT41" s="344"/>
      <c r="NQU41" s="344"/>
      <c r="NQV41" s="344"/>
      <c r="NQW41" s="344"/>
      <c r="NQX41" s="344"/>
      <c r="NQY41" s="344"/>
      <c r="NQZ41" s="344"/>
      <c r="NRA41" s="344"/>
      <c r="NRB41" s="344"/>
      <c r="NRC41" s="344"/>
      <c r="NRD41" s="344"/>
      <c r="NRE41" s="344"/>
      <c r="NRF41" s="344"/>
      <c r="NRG41" s="344"/>
      <c r="NRH41" s="344"/>
      <c r="NRI41" s="344"/>
      <c r="NRJ41" s="344"/>
      <c r="NRK41" s="344"/>
      <c r="NRL41" s="344"/>
      <c r="NRM41" s="344"/>
      <c r="NRN41" s="344"/>
      <c r="NRO41" s="344"/>
      <c r="NRP41" s="344"/>
      <c r="NRQ41" s="344"/>
      <c r="NRR41" s="344"/>
      <c r="NRS41" s="344"/>
      <c r="NRT41" s="344"/>
      <c r="NRU41" s="344"/>
      <c r="NRV41" s="344"/>
      <c r="NRW41" s="344"/>
      <c r="NRX41" s="344"/>
      <c r="NRY41" s="344"/>
      <c r="NRZ41" s="344"/>
      <c r="NSA41" s="344"/>
      <c r="NSB41" s="344"/>
      <c r="NSC41" s="344"/>
      <c r="NSD41" s="344"/>
      <c r="NSE41" s="344"/>
      <c r="NSF41" s="344"/>
      <c r="NSG41" s="344"/>
      <c r="NSH41" s="344"/>
      <c r="NSI41" s="344"/>
      <c r="NSJ41" s="344"/>
      <c r="NSK41" s="344"/>
      <c r="NSL41" s="344"/>
      <c r="NSM41" s="344"/>
      <c r="NSN41" s="344"/>
      <c r="NSO41" s="344"/>
      <c r="NSP41" s="344"/>
      <c r="NSQ41" s="344"/>
      <c r="NSR41" s="344"/>
      <c r="NSS41" s="344"/>
      <c r="NST41" s="344"/>
      <c r="NSU41" s="344"/>
      <c r="NSV41" s="344"/>
      <c r="NSW41" s="344"/>
      <c r="NSX41" s="344"/>
      <c r="NSY41" s="344"/>
      <c r="NSZ41" s="344"/>
      <c r="NTA41" s="344"/>
      <c r="NTB41" s="344"/>
      <c r="NTC41" s="344"/>
      <c r="NTD41" s="344"/>
      <c r="NTE41" s="344"/>
      <c r="NTF41" s="344"/>
      <c r="NTG41" s="344"/>
      <c r="NTH41" s="344"/>
      <c r="NTI41" s="344"/>
      <c r="NTJ41" s="344"/>
      <c r="NTK41" s="344"/>
      <c r="NTL41" s="344"/>
      <c r="NTM41" s="344"/>
      <c r="NTN41" s="344"/>
      <c r="NTO41" s="344"/>
      <c r="NTP41" s="344"/>
      <c r="NTQ41" s="344"/>
      <c r="NTR41" s="344"/>
      <c r="NTS41" s="344"/>
      <c r="NTT41" s="344"/>
      <c r="NTU41" s="344"/>
      <c r="NTV41" s="344"/>
      <c r="NTW41" s="344"/>
      <c r="NTX41" s="344"/>
      <c r="NTY41" s="344"/>
      <c r="NTZ41" s="344"/>
      <c r="NUA41" s="344"/>
      <c r="NUB41" s="344"/>
      <c r="NUC41" s="344"/>
      <c r="NUD41" s="344"/>
      <c r="NUE41" s="344"/>
      <c r="NUF41" s="344"/>
      <c r="NUG41" s="344"/>
      <c r="NUH41" s="344"/>
      <c r="NUI41" s="344"/>
      <c r="NUJ41" s="344"/>
      <c r="NUK41" s="344"/>
      <c r="NUL41" s="344"/>
      <c r="NUM41" s="344"/>
      <c r="NUN41" s="344"/>
      <c r="NUO41" s="344"/>
      <c r="NUP41" s="344"/>
      <c r="NUQ41" s="344"/>
      <c r="NUR41" s="344"/>
      <c r="NUS41" s="344"/>
      <c r="NUT41" s="344"/>
      <c r="NUU41" s="344"/>
      <c r="NUV41" s="344"/>
      <c r="NUW41" s="344"/>
      <c r="NUX41" s="344"/>
      <c r="NUY41" s="344"/>
      <c r="NUZ41" s="344"/>
      <c r="NVA41" s="344"/>
      <c r="NVB41" s="344"/>
      <c r="NVC41" s="344"/>
      <c r="NVD41" s="344"/>
      <c r="NVE41" s="344"/>
      <c r="NVF41" s="344"/>
      <c r="NVG41" s="344"/>
      <c r="NVH41" s="344"/>
      <c r="NVI41" s="344"/>
      <c r="NVJ41" s="344"/>
      <c r="NVK41" s="344"/>
      <c r="NVL41" s="344"/>
      <c r="NVM41" s="344"/>
      <c r="NVN41" s="344"/>
      <c r="NVO41" s="344"/>
      <c r="NVP41" s="344"/>
      <c r="NVQ41" s="344"/>
      <c r="NVR41" s="344"/>
      <c r="NVS41" s="344"/>
      <c r="NVT41" s="344"/>
      <c r="NVU41" s="344"/>
      <c r="NVV41" s="344"/>
      <c r="NVW41" s="344"/>
      <c r="NVX41" s="344"/>
      <c r="NVY41" s="344"/>
      <c r="NVZ41" s="344"/>
      <c r="NWA41" s="344"/>
      <c r="NWB41" s="344"/>
      <c r="NWC41" s="344"/>
      <c r="NWD41" s="344"/>
      <c r="NWE41" s="344"/>
      <c r="NWF41" s="344"/>
      <c r="NWG41" s="344"/>
      <c r="NWH41" s="344"/>
      <c r="NWI41" s="344"/>
      <c r="NWJ41" s="344"/>
      <c r="NWK41" s="344"/>
      <c r="NWL41" s="344"/>
      <c r="NWM41" s="344"/>
      <c r="NWN41" s="344"/>
      <c r="NWO41" s="344"/>
      <c r="NWP41" s="344"/>
      <c r="NWQ41" s="344"/>
      <c r="NWR41" s="344"/>
      <c r="NWS41" s="344"/>
      <c r="NWT41" s="344"/>
      <c r="NWU41" s="344"/>
      <c r="NWV41" s="344"/>
      <c r="NWW41" s="344"/>
      <c r="NWX41" s="344"/>
      <c r="NWY41" s="344"/>
      <c r="NWZ41" s="344"/>
      <c r="NXA41" s="344"/>
      <c r="NXB41" s="344"/>
      <c r="NXC41" s="344"/>
      <c r="NXD41" s="344"/>
      <c r="NXE41" s="344"/>
      <c r="NXF41" s="344"/>
      <c r="NXG41" s="344"/>
      <c r="NXH41" s="344"/>
      <c r="NXI41" s="344"/>
      <c r="NXJ41" s="344"/>
      <c r="NXK41" s="344"/>
      <c r="NXL41" s="344"/>
      <c r="NXM41" s="344"/>
      <c r="NXN41" s="344"/>
      <c r="NXO41" s="344"/>
      <c r="NXP41" s="344"/>
      <c r="NXQ41" s="344"/>
      <c r="NXR41" s="344"/>
      <c r="NXS41" s="344"/>
      <c r="NXT41" s="344"/>
      <c r="NXU41" s="344"/>
      <c r="NXV41" s="344"/>
      <c r="NXW41" s="344"/>
      <c r="NXX41" s="344"/>
      <c r="NXY41" s="344"/>
      <c r="NXZ41" s="344"/>
      <c r="NYA41" s="344"/>
      <c r="NYB41" s="344"/>
      <c r="NYC41" s="344"/>
      <c r="NYD41" s="344"/>
      <c r="NYE41" s="344"/>
      <c r="NYF41" s="344"/>
      <c r="NYG41" s="344"/>
      <c r="NYH41" s="344"/>
      <c r="NYI41" s="344"/>
      <c r="NYJ41" s="344"/>
      <c r="NYK41" s="344"/>
      <c r="NYL41" s="344"/>
      <c r="NYM41" s="344"/>
      <c r="NYN41" s="344"/>
      <c r="NYO41" s="344"/>
      <c r="NYP41" s="344"/>
      <c r="NYQ41" s="344"/>
      <c r="NYR41" s="344"/>
      <c r="NYS41" s="344"/>
      <c r="NYT41" s="344"/>
      <c r="NYU41" s="344"/>
      <c r="NYV41" s="344"/>
      <c r="NYW41" s="344"/>
      <c r="NYX41" s="344"/>
      <c r="NYY41" s="344"/>
      <c r="NYZ41" s="344"/>
      <c r="NZA41" s="344"/>
      <c r="NZB41" s="344"/>
      <c r="NZC41" s="344"/>
      <c r="NZD41" s="344"/>
      <c r="NZE41" s="344"/>
      <c r="NZF41" s="344"/>
      <c r="NZG41" s="344"/>
      <c r="NZH41" s="344"/>
      <c r="NZI41" s="344"/>
      <c r="NZJ41" s="344"/>
      <c r="NZK41" s="344"/>
      <c r="NZL41" s="344"/>
      <c r="NZM41" s="344"/>
      <c r="NZN41" s="344"/>
      <c r="NZO41" s="344"/>
      <c r="NZP41" s="344"/>
      <c r="NZQ41" s="344"/>
      <c r="NZR41" s="344"/>
      <c r="NZS41" s="344"/>
      <c r="NZT41" s="344"/>
      <c r="NZU41" s="344"/>
      <c r="NZV41" s="344"/>
      <c r="NZW41" s="344"/>
      <c r="NZX41" s="344"/>
      <c r="NZY41" s="344"/>
      <c r="NZZ41" s="344"/>
      <c r="OAA41" s="344"/>
      <c r="OAB41" s="344"/>
      <c r="OAC41" s="344"/>
      <c r="OAD41" s="344"/>
      <c r="OAE41" s="344"/>
      <c r="OAF41" s="344"/>
      <c r="OAG41" s="344"/>
      <c r="OAH41" s="344"/>
      <c r="OAI41" s="344"/>
      <c r="OAJ41" s="344"/>
      <c r="OAK41" s="344"/>
      <c r="OAL41" s="344"/>
      <c r="OAM41" s="344"/>
      <c r="OAN41" s="344"/>
      <c r="OAO41" s="344"/>
      <c r="OAP41" s="344"/>
      <c r="OAQ41" s="344"/>
      <c r="OAR41" s="344"/>
      <c r="OAS41" s="344"/>
      <c r="OAT41" s="344"/>
      <c r="OAU41" s="344"/>
      <c r="OAV41" s="344"/>
      <c r="OAW41" s="344"/>
      <c r="OAX41" s="344"/>
      <c r="OAY41" s="344"/>
      <c r="OAZ41" s="344"/>
      <c r="OBA41" s="344"/>
      <c r="OBB41" s="344"/>
      <c r="OBC41" s="344"/>
      <c r="OBD41" s="344"/>
      <c r="OBE41" s="344"/>
      <c r="OBF41" s="344"/>
      <c r="OBG41" s="344"/>
      <c r="OBH41" s="344"/>
      <c r="OBI41" s="344"/>
      <c r="OBJ41" s="344"/>
      <c r="OBK41" s="344"/>
      <c r="OBL41" s="344"/>
      <c r="OBM41" s="344"/>
      <c r="OBN41" s="344"/>
      <c r="OBO41" s="344"/>
      <c r="OBP41" s="344"/>
      <c r="OBQ41" s="344"/>
      <c r="OBR41" s="344"/>
      <c r="OBS41" s="344"/>
      <c r="OBT41" s="344"/>
      <c r="OBU41" s="344"/>
      <c r="OBV41" s="344"/>
      <c r="OBW41" s="344"/>
      <c r="OBX41" s="344"/>
      <c r="OBY41" s="344"/>
      <c r="OBZ41" s="344"/>
      <c r="OCA41" s="344"/>
      <c r="OCB41" s="344"/>
      <c r="OCC41" s="344"/>
      <c r="OCD41" s="344"/>
      <c r="OCE41" s="344"/>
      <c r="OCF41" s="344"/>
      <c r="OCG41" s="344"/>
      <c r="OCH41" s="344"/>
      <c r="OCI41" s="344"/>
      <c r="OCJ41" s="344"/>
      <c r="OCK41" s="344"/>
      <c r="OCL41" s="344"/>
      <c r="OCM41" s="344"/>
      <c r="OCN41" s="344"/>
      <c r="OCO41" s="344"/>
      <c r="OCP41" s="344"/>
      <c r="OCQ41" s="344"/>
      <c r="OCR41" s="344"/>
      <c r="OCS41" s="344"/>
      <c r="OCT41" s="344"/>
      <c r="OCU41" s="344"/>
      <c r="OCV41" s="344"/>
      <c r="OCW41" s="344"/>
      <c r="OCX41" s="344"/>
      <c r="OCY41" s="344"/>
      <c r="OCZ41" s="344"/>
      <c r="ODA41" s="344"/>
      <c r="ODB41" s="344"/>
      <c r="ODC41" s="344"/>
      <c r="ODD41" s="344"/>
      <c r="ODE41" s="344"/>
      <c r="ODF41" s="344"/>
      <c r="ODG41" s="344"/>
      <c r="ODH41" s="344"/>
      <c r="ODI41" s="344"/>
      <c r="ODJ41" s="344"/>
      <c r="ODK41" s="344"/>
      <c r="ODL41" s="344"/>
      <c r="ODM41" s="344"/>
      <c r="ODN41" s="344"/>
      <c r="ODO41" s="344"/>
      <c r="ODP41" s="344"/>
      <c r="ODQ41" s="344"/>
      <c r="ODR41" s="344"/>
      <c r="ODS41" s="344"/>
      <c r="ODT41" s="344"/>
      <c r="ODU41" s="344"/>
      <c r="ODV41" s="344"/>
      <c r="ODW41" s="344"/>
      <c r="ODX41" s="344"/>
      <c r="ODY41" s="344"/>
      <c r="ODZ41" s="344"/>
      <c r="OEA41" s="344"/>
      <c r="OEB41" s="344"/>
      <c r="OEC41" s="344"/>
      <c r="OED41" s="344"/>
      <c r="OEE41" s="344"/>
      <c r="OEF41" s="344"/>
      <c r="OEG41" s="344"/>
      <c r="OEH41" s="344"/>
      <c r="OEI41" s="344"/>
      <c r="OEJ41" s="344"/>
      <c r="OEK41" s="344"/>
      <c r="OEL41" s="344"/>
      <c r="OEM41" s="344"/>
      <c r="OEN41" s="344"/>
      <c r="OEO41" s="344"/>
      <c r="OEP41" s="344"/>
      <c r="OEQ41" s="344"/>
      <c r="OER41" s="344"/>
      <c r="OES41" s="344"/>
      <c r="OET41" s="344"/>
      <c r="OEU41" s="344"/>
      <c r="OEV41" s="344"/>
      <c r="OEW41" s="344"/>
      <c r="OEX41" s="344"/>
      <c r="OEY41" s="344"/>
      <c r="OEZ41" s="344"/>
      <c r="OFA41" s="344"/>
      <c r="OFB41" s="344"/>
      <c r="OFC41" s="344"/>
      <c r="OFD41" s="344"/>
      <c r="OFE41" s="344"/>
      <c r="OFF41" s="344"/>
      <c r="OFG41" s="344"/>
      <c r="OFH41" s="344"/>
      <c r="OFI41" s="344"/>
      <c r="OFJ41" s="344"/>
      <c r="OFK41" s="344"/>
      <c r="OFL41" s="344"/>
      <c r="OFM41" s="344"/>
      <c r="OFN41" s="344"/>
      <c r="OFO41" s="344"/>
      <c r="OFP41" s="344"/>
      <c r="OFQ41" s="344"/>
      <c r="OFR41" s="344"/>
      <c r="OFS41" s="344"/>
      <c r="OFT41" s="344"/>
      <c r="OFU41" s="344"/>
      <c r="OFV41" s="344"/>
      <c r="OFW41" s="344"/>
      <c r="OFX41" s="344"/>
      <c r="OFY41" s="344"/>
      <c r="OFZ41" s="344"/>
      <c r="OGA41" s="344"/>
      <c r="OGB41" s="344"/>
      <c r="OGC41" s="344"/>
      <c r="OGD41" s="344"/>
      <c r="OGE41" s="344"/>
      <c r="OGF41" s="344"/>
      <c r="OGG41" s="344"/>
      <c r="OGH41" s="344"/>
      <c r="OGI41" s="344"/>
      <c r="OGJ41" s="344"/>
      <c r="OGK41" s="344"/>
      <c r="OGL41" s="344"/>
      <c r="OGM41" s="344"/>
      <c r="OGN41" s="344"/>
      <c r="OGO41" s="344"/>
      <c r="OGP41" s="344"/>
      <c r="OGQ41" s="344"/>
      <c r="OGR41" s="344"/>
      <c r="OGS41" s="344"/>
      <c r="OGT41" s="344"/>
      <c r="OGU41" s="344"/>
      <c r="OGV41" s="344"/>
      <c r="OGW41" s="344"/>
      <c r="OGX41" s="344"/>
      <c r="OGY41" s="344"/>
      <c r="OGZ41" s="344"/>
      <c r="OHA41" s="344"/>
      <c r="OHB41" s="344"/>
      <c r="OHC41" s="344"/>
      <c r="OHD41" s="344"/>
      <c r="OHE41" s="344"/>
      <c r="OHF41" s="344"/>
      <c r="OHG41" s="344"/>
      <c r="OHH41" s="344"/>
      <c r="OHI41" s="344"/>
      <c r="OHJ41" s="344"/>
      <c r="OHK41" s="344"/>
      <c r="OHL41" s="344"/>
      <c r="OHM41" s="344"/>
      <c r="OHN41" s="344"/>
      <c r="OHO41" s="344"/>
      <c r="OHP41" s="344"/>
      <c r="OHQ41" s="344"/>
      <c r="OHR41" s="344"/>
      <c r="OHS41" s="344"/>
      <c r="OHT41" s="344"/>
      <c r="OHU41" s="344"/>
      <c r="OHV41" s="344"/>
      <c r="OHW41" s="344"/>
      <c r="OHX41" s="344"/>
      <c r="OHY41" s="344"/>
      <c r="OHZ41" s="344"/>
      <c r="OIA41" s="344"/>
      <c r="OIB41" s="344"/>
      <c r="OIC41" s="344"/>
      <c r="OID41" s="344"/>
      <c r="OIE41" s="344"/>
      <c r="OIF41" s="344"/>
      <c r="OIG41" s="344"/>
      <c r="OIH41" s="344"/>
      <c r="OII41" s="344"/>
      <c r="OIJ41" s="344"/>
      <c r="OIK41" s="344"/>
      <c r="OIL41" s="344"/>
      <c r="OIM41" s="344"/>
      <c r="OIN41" s="344"/>
      <c r="OIO41" s="344"/>
      <c r="OIP41" s="344"/>
      <c r="OIQ41" s="344"/>
      <c r="OIR41" s="344"/>
      <c r="OIS41" s="344"/>
      <c r="OIT41" s="344"/>
      <c r="OIU41" s="344"/>
      <c r="OIV41" s="344"/>
      <c r="OIW41" s="344"/>
      <c r="OIX41" s="344"/>
      <c r="OIY41" s="344"/>
      <c r="OIZ41" s="344"/>
      <c r="OJA41" s="344"/>
      <c r="OJB41" s="344"/>
      <c r="OJC41" s="344"/>
      <c r="OJD41" s="344"/>
      <c r="OJE41" s="344"/>
      <c r="OJF41" s="344"/>
      <c r="OJG41" s="344"/>
      <c r="OJH41" s="344"/>
      <c r="OJI41" s="344"/>
      <c r="OJJ41" s="344"/>
      <c r="OJK41" s="344"/>
      <c r="OJL41" s="344"/>
      <c r="OJM41" s="344"/>
      <c r="OJN41" s="344"/>
      <c r="OJO41" s="344"/>
      <c r="OJP41" s="344"/>
      <c r="OJQ41" s="344"/>
      <c r="OJR41" s="344"/>
      <c r="OJS41" s="344"/>
      <c r="OJT41" s="344"/>
      <c r="OJU41" s="344"/>
      <c r="OJV41" s="344"/>
      <c r="OJW41" s="344"/>
      <c r="OJX41" s="344"/>
      <c r="OJY41" s="344"/>
      <c r="OJZ41" s="344"/>
      <c r="OKA41" s="344"/>
      <c r="OKB41" s="344"/>
      <c r="OKC41" s="344"/>
      <c r="OKD41" s="344"/>
      <c r="OKE41" s="344"/>
      <c r="OKF41" s="344"/>
      <c r="OKG41" s="344"/>
      <c r="OKH41" s="344"/>
      <c r="OKI41" s="344"/>
      <c r="OKJ41" s="344"/>
      <c r="OKK41" s="344"/>
      <c r="OKL41" s="344"/>
      <c r="OKM41" s="344"/>
      <c r="OKN41" s="344"/>
      <c r="OKO41" s="344"/>
      <c r="OKP41" s="344"/>
      <c r="OKQ41" s="344"/>
      <c r="OKR41" s="344"/>
      <c r="OKS41" s="344"/>
      <c r="OKT41" s="344"/>
      <c r="OKU41" s="344"/>
      <c r="OKV41" s="344"/>
      <c r="OKW41" s="344"/>
      <c r="OKX41" s="344"/>
      <c r="OKY41" s="344"/>
      <c r="OKZ41" s="344"/>
      <c r="OLA41" s="344"/>
      <c r="OLB41" s="344"/>
      <c r="OLC41" s="344"/>
      <c r="OLD41" s="344"/>
      <c r="OLE41" s="344"/>
      <c r="OLF41" s="344"/>
      <c r="OLG41" s="344"/>
      <c r="OLH41" s="344"/>
      <c r="OLI41" s="344"/>
      <c r="OLJ41" s="344"/>
      <c r="OLK41" s="344"/>
      <c r="OLL41" s="344"/>
      <c r="OLM41" s="344"/>
      <c r="OLN41" s="344"/>
      <c r="OLO41" s="344"/>
      <c r="OLP41" s="344"/>
      <c r="OLQ41" s="344"/>
      <c r="OLR41" s="344"/>
      <c r="OLS41" s="344"/>
      <c r="OLT41" s="344"/>
      <c r="OLU41" s="344"/>
      <c r="OLV41" s="344"/>
      <c r="OLW41" s="344"/>
      <c r="OLX41" s="344"/>
      <c r="OLY41" s="344"/>
      <c r="OLZ41" s="344"/>
      <c r="OMA41" s="344"/>
      <c r="OMB41" s="344"/>
      <c r="OMC41" s="344"/>
      <c r="OMD41" s="344"/>
      <c r="OME41" s="344"/>
      <c r="OMF41" s="344"/>
      <c r="OMG41" s="344"/>
      <c r="OMH41" s="344"/>
      <c r="OMI41" s="344"/>
      <c r="OMJ41" s="344"/>
      <c r="OMK41" s="344"/>
      <c r="OML41" s="344"/>
      <c r="OMM41" s="344"/>
      <c r="OMN41" s="344"/>
      <c r="OMO41" s="344"/>
      <c r="OMP41" s="344"/>
      <c r="OMQ41" s="344"/>
      <c r="OMR41" s="344"/>
      <c r="OMS41" s="344"/>
      <c r="OMT41" s="344"/>
      <c r="OMU41" s="344"/>
      <c r="OMV41" s="344"/>
      <c r="OMW41" s="344"/>
      <c r="OMX41" s="344"/>
      <c r="OMY41" s="344"/>
      <c r="OMZ41" s="344"/>
      <c r="ONA41" s="344"/>
      <c r="ONB41" s="344"/>
      <c r="ONC41" s="344"/>
      <c r="OND41" s="344"/>
      <c r="ONE41" s="344"/>
      <c r="ONF41" s="344"/>
      <c r="ONG41" s="344"/>
      <c r="ONH41" s="344"/>
      <c r="ONI41" s="344"/>
      <c r="ONJ41" s="344"/>
      <c r="ONK41" s="344"/>
      <c r="ONL41" s="344"/>
      <c r="ONM41" s="344"/>
      <c r="ONN41" s="344"/>
      <c r="ONO41" s="344"/>
      <c r="ONP41" s="344"/>
      <c r="ONQ41" s="344"/>
      <c r="ONR41" s="344"/>
      <c r="ONS41" s="344"/>
      <c r="ONT41" s="344"/>
      <c r="ONU41" s="344"/>
      <c r="ONV41" s="344"/>
      <c r="ONW41" s="344"/>
      <c r="ONX41" s="344"/>
      <c r="ONY41" s="344"/>
      <c r="ONZ41" s="344"/>
      <c r="OOA41" s="344"/>
      <c r="OOB41" s="344"/>
      <c r="OOC41" s="344"/>
      <c r="OOD41" s="344"/>
      <c r="OOE41" s="344"/>
      <c r="OOF41" s="344"/>
      <c r="OOG41" s="344"/>
      <c r="OOH41" s="344"/>
      <c r="OOI41" s="344"/>
      <c r="OOJ41" s="344"/>
      <c r="OOK41" s="344"/>
      <c r="OOL41" s="344"/>
      <c r="OOM41" s="344"/>
      <c r="OON41" s="344"/>
      <c r="OOO41" s="344"/>
      <c r="OOP41" s="344"/>
      <c r="OOQ41" s="344"/>
      <c r="OOR41" s="344"/>
      <c r="OOS41" s="344"/>
      <c r="OOT41" s="344"/>
      <c r="OOU41" s="344"/>
      <c r="OOV41" s="344"/>
      <c r="OOW41" s="344"/>
      <c r="OOX41" s="344"/>
      <c r="OOY41" s="344"/>
      <c r="OOZ41" s="344"/>
      <c r="OPA41" s="344"/>
      <c r="OPB41" s="344"/>
      <c r="OPC41" s="344"/>
      <c r="OPD41" s="344"/>
      <c r="OPE41" s="344"/>
      <c r="OPF41" s="344"/>
      <c r="OPG41" s="344"/>
      <c r="OPH41" s="344"/>
      <c r="OPI41" s="344"/>
      <c r="OPJ41" s="344"/>
      <c r="OPK41" s="344"/>
      <c r="OPL41" s="344"/>
      <c r="OPM41" s="344"/>
      <c r="OPN41" s="344"/>
      <c r="OPO41" s="344"/>
      <c r="OPP41" s="344"/>
      <c r="OPQ41" s="344"/>
      <c r="OPR41" s="344"/>
      <c r="OPS41" s="344"/>
      <c r="OPT41" s="344"/>
      <c r="OPU41" s="344"/>
      <c r="OPV41" s="344"/>
      <c r="OPW41" s="344"/>
      <c r="OPX41" s="344"/>
      <c r="OPY41" s="344"/>
      <c r="OPZ41" s="344"/>
      <c r="OQA41" s="344"/>
      <c r="OQB41" s="344"/>
      <c r="OQC41" s="344"/>
      <c r="OQD41" s="344"/>
      <c r="OQE41" s="344"/>
      <c r="OQF41" s="344"/>
      <c r="OQG41" s="344"/>
      <c r="OQH41" s="344"/>
      <c r="OQI41" s="344"/>
      <c r="OQJ41" s="344"/>
      <c r="OQK41" s="344"/>
      <c r="OQL41" s="344"/>
      <c r="OQM41" s="344"/>
      <c r="OQN41" s="344"/>
      <c r="OQO41" s="344"/>
      <c r="OQP41" s="344"/>
      <c r="OQQ41" s="344"/>
      <c r="OQR41" s="344"/>
      <c r="OQS41" s="344"/>
      <c r="OQT41" s="344"/>
      <c r="OQU41" s="344"/>
      <c r="OQV41" s="344"/>
      <c r="OQW41" s="344"/>
      <c r="OQX41" s="344"/>
      <c r="OQY41" s="344"/>
      <c r="OQZ41" s="344"/>
      <c r="ORA41" s="344"/>
      <c r="ORB41" s="344"/>
      <c r="ORC41" s="344"/>
      <c r="ORD41" s="344"/>
      <c r="ORE41" s="344"/>
      <c r="ORF41" s="344"/>
      <c r="ORG41" s="344"/>
      <c r="ORH41" s="344"/>
      <c r="ORI41" s="344"/>
      <c r="ORJ41" s="344"/>
      <c r="ORK41" s="344"/>
      <c r="ORL41" s="344"/>
      <c r="ORM41" s="344"/>
      <c r="ORN41" s="344"/>
      <c r="ORO41" s="344"/>
      <c r="ORP41" s="344"/>
      <c r="ORQ41" s="344"/>
      <c r="ORR41" s="344"/>
      <c r="ORS41" s="344"/>
      <c r="ORT41" s="344"/>
      <c r="ORU41" s="344"/>
      <c r="ORV41" s="344"/>
      <c r="ORW41" s="344"/>
      <c r="ORX41" s="344"/>
      <c r="ORY41" s="344"/>
      <c r="ORZ41" s="344"/>
      <c r="OSA41" s="344"/>
      <c r="OSB41" s="344"/>
      <c r="OSC41" s="344"/>
      <c r="OSD41" s="344"/>
      <c r="OSE41" s="344"/>
      <c r="OSF41" s="344"/>
      <c r="OSG41" s="344"/>
      <c r="OSH41" s="344"/>
      <c r="OSI41" s="344"/>
      <c r="OSJ41" s="344"/>
      <c r="OSK41" s="344"/>
      <c r="OSL41" s="344"/>
      <c r="OSM41" s="344"/>
      <c r="OSN41" s="344"/>
      <c r="OSO41" s="344"/>
      <c r="OSP41" s="344"/>
      <c r="OSQ41" s="344"/>
      <c r="OSR41" s="344"/>
      <c r="OSS41" s="344"/>
      <c r="OST41" s="344"/>
      <c r="OSU41" s="344"/>
      <c r="OSV41" s="344"/>
      <c r="OSW41" s="344"/>
      <c r="OSX41" s="344"/>
      <c r="OSY41" s="344"/>
      <c r="OSZ41" s="344"/>
      <c r="OTA41" s="344"/>
      <c r="OTB41" s="344"/>
      <c r="OTC41" s="344"/>
      <c r="OTD41" s="344"/>
      <c r="OTE41" s="344"/>
      <c r="OTF41" s="344"/>
      <c r="OTG41" s="344"/>
      <c r="OTH41" s="344"/>
      <c r="OTI41" s="344"/>
      <c r="OTJ41" s="344"/>
      <c r="OTK41" s="344"/>
      <c r="OTL41" s="344"/>
      <c r="OTM41" s="344"/>
      <c r="OTN41" s="344"/>
      <c r="OTO41" s="344"/>
      <c r="OTP41" s="344"/>
      <c r="OTQ41" s="344"/>
      <c r="OTR41" s="344"/>
      <c r="OTS41" s="344"/>
      <c r="OTT41" s="344"/>
      <c r="OTU41" s="344"/>
      <c r="OTV41" s="344"/>
      <c r="OTW41" s="344"/>
      <c r="OTX41" s="344"/>
      <c r="OTY41" s="344"/>
      <c r="OTZ41" s="344"/>
      <c r="OUA41" s="344"/>
      <c r="OUB41" s="344"/>
      <c r="OUC41" s="344"/>
      <c r="OUD41" s="344"/>
      <c r="OUE41" s="344"/>
      <c r="OUF41" s="344"/>
      <c r="OUG41" s="344"/>
      <c r="OUH41" s="344"/>
      <c r="OUI41" s="344"/>
      <c r="OUJ41" s="344"/>
      <c r="OUK41" s="344"/>
      <c r="OUL41" s="344"/>
      <c r="OUM41" s="344"/>
      <c r="OUN41" s="344"/>
      <c r="OUO41" s="344"/>
      <c r="OUP41" s="344"/>
      <c r="OUQ41" s="344"/>
      <c r="OUR41" s="344"/>
      <c r="OUS41" s="344"/>
      <c r="OUT41" s="344"/>
      <c r="OUU41" s="344"/>
      <c r="OUV41" s="344"/>
      <c r="OUW41" s="344"/>
      <c r="OUX41" s="344"/>
      <c r="OUY41" s="344"/>
      <c r="OUZ41" s="344"/>
      <c r="OVA41" s="344"/>
      <c r="OVB41" s="344"/>
      <c r="OVC41" s="344"/>
      <c r="OVD41" s="344"/>
      <c r="OVE41" s="344"/>
      <c r="OVF41" s="344"/>
      <c r="OVG41" s="344"/>
      <c r="OVH41" s="344"/>
      <c r="OVI41" s="344"/>
      <c r="OVJ41" s="344"/>
      <c r="OVK41" s="344"/>
      <c r="OVL41" s="344"/>
      <c r="OVM41" s="344"/>
      <c r="OVN41" s="344"/>
      <c r="OVO41" s="344"/>
      <c r="OVP41" s="344"/>
      <c r="OVQ41" s="344"/>
      <c r="OVR41" s="344"/>
      <c r="OVS41" s="344"/>
      <c r="OVT41" s="344"/>
      <c r="OVU41" s="344"/>
      <c r="OVV41" s="344"/>
      <c r="OVW41" s="344"/>
      <c r="OVX41" s="344"/>
      <c r="OVY41" s="344"/>
      <c r="OVZ41" s="344"/>
      <c r="OWA41" s="344"/>
      <c r="OWB41" s="344"/>
      <c r="OWC41" s="344"/>
      <c r="OWD41" s="344"/>
      <c r="OWE41" s="344"/>
      <c r="OWF41" s="344"/>
      <c r="OWG41" s="344"/>
      <c r="OWH41" s="344"/>
      <c r="OWI41" s="344"/>
      <c r="OWJ41" s="344"/>
      <c r="OWK41" s="344"/>
      <c r="OWL41" s="344"/>
      <c r="OWM41" s="344"/>
      <c r="OWN41" s="344"/>
      <c r="OWO41" s="344"/>
      <c r="OWP41" s="344"/>
      <c r="OWQ41" s="344"/>
      <c r="OWR41" s="344"/>
      <c r="OWS41" s="344"/>
      <c r="OWT41" s="344"/>
      <c r="OWU41" s="344"/>
      <c r="OWV41" s="344"/>
      <c r="OWW41" s="344"/>
      <c r="OWX41" s="344"/>
      <c r="OWY41" s="344"/>
      <c r="OWZ41" s="344"/>
      <c r="OXA41" s="344"/>
      <c r="OXB41" s="344"/>
      <c r="OXC41" s="344"/>
      <c r="OXD41" s="344"/>
      <c r="OXE41" s="344"/>
      <c r="OXF41" s="344"/>
      <c r="OXG41" s="344"/>
      <c r="OXH41" s="344"/>
      <c r="OXI41" s="344"/>
      <c r="OXJ41" s="344"/>
      <c r="OXK41" s="344"/>
      <c r="OXL41" s="344"/>
      <c r="OXM41" s="344"/>
      <c r="OXN41" s="344"/>
      <c r="OXO41" s="344"/>
      <c r="OXP41" s="344"/>
      <c r="OXQ41" s="344"/>
      <c r="OXR41" s="344"/>
      <c r="OXS41" s="344"/>
      <c r="OXT41" s="344"/>
      <c r="OXU41" s="344"/>
      <c r="OXV41" s="344"/>
      <c r="OXW41" s="344"/>
      <c r="OXX41" s="344"/>
      <c r="OXY41" s="344"/>
      <c r="OXZ41" s="344"/>
      <c r="OYA41" s="344"/>
      <c r="OYB41" s="344"/>
      <c r="OYC41" s="344"/>
      <c r="OYD41" s="344"/>
      <c r="OYE41" s="344"/>
      <c r="OYF41" s="344"/>
      <c r="OYG41" s="344"/>
      <c r="OYH41" s="344"/>
      <c r="OYI41" s="344"/>
      <c r="OYJ41" s="344"/>
      <c r="OYK41" s="344"/>
      <c r="OYL41" s="344"/>
      <c r="OYM41" s="344"/>
      <c r="OYN41" s="344"/>
      <c r="OYO41" s="344"/>
      <c r="OYP41" s="344"/>
      <c r="OYQ41" s="344"/>
      <c r="OYR41" s="344"/>
      <c r="OYS41" s="344"/>
      <c r="OYT41" s="344"/>
      <c r="OYU41" s="344"/>
      <c r="OYV41" s="344"/>
      <c r="OYW41" s="344"/>
      <c r="OYX41" s="344"/>
      <c r="OYY41" s="344"/>
      <c r="OYZ41" s="344"/>
      <c r="OZA41" s="344"/>
      <c r="OZB41" s="344"/>
      <c r="OZC41" s="344"/>
      <c r="OZD41" s="344"/>
      <c r="OZE41" s="344"/>
      <c r="OZF41" s="344"/>
      <c r="OZG41" s="344"/>
      <c r="OZH41" s="344"/>
      <c r="OZI41" s="344"/>
      <c r="OZJ41" s="344"/>
      <c r="OZK41" s="344"/>
      <c r="OZL41" s="344"/>
      <c r="OZM41" s="344"/>
      <c r="OZN41" s="344"/>
      <c r="OZO41" s="344"/>
      <c r="OZP41" s="344"/>
      <c r="OZQ41" s="344"/>
      <c r="OZR41" s="344"/>
      <c r="OZS41" s="344"/>
      <c r="OZT41" s="344"/>
      <c r="OZU41" s="344"/>
      <c r="OZV41" s="344"/>
      <c r="OZW41" s="344"/>
      <c r="OZX41" s="344"/>
      <c r="OZY41" s="344"/>
      <c r="OZZ41" s="344"/>
      <c r="PAA41" s="344"/>
      <c r="PAB41" s="344"/>
      <c r="PAC41" s="344"/>
      <c r="PAD41" s="344"/>
      <c r="PAE41" s="344"/>
      <c r="PAF41" s="344"/>
      <c r="PAG41" s="344"/>
      <c r="PAH41" s="344"/>
      <c r="PAI41" s="344"/>
      <c r="PAJ41" s="344"/>
      <c r="PAK41" s="344"/>
      <c r="PAL41" s="344"/>
      <c r="PAM41" s="344"/>
      <c r="PAN41" s="344"/>
      <c r="PAO41" s="344"/>
      <c r="PAP41" s="344"/>
      <c r="PAQ41" s="344"/>
      <c r="PAR41" s="344"/>
      <c r="PAS41" s="344"/>
      <c r="PAT41" s="344"/>
      <c r="PAU41" s="344"/>
      <c r="PAV41" s="344"/>
      <c r="PAW41" s="344"/>
      <c r="PAX41" s="344"/>
      <c r="PAY41" s="344"/>
      <c r="PAZ41" s="344"/>
      <c r="PBA41" s="344"/>
      <c r="PBB41" s="344"/>
      <c r="PBC41" s="344"/>
      <c r="PBD41" s="344"/>
      <c r="PBE41" s="344"/>
      <c r="PBF41" s="344"/>
      <c r="PBG41" s="344"/>
      <c r="PBH41" s="344"/>
      <c r="PBI41" s="344"/>
      <c r="PBJ41" s="344"/>
      <c r="PBK41" s="344"/>
      <c r="PBL41" s="344"/>
      <c r="PBM41" s="344"/>
      <c r="PBN41" s="344"/>
      <c r="PBO41" s="344"/>
      <c r="PBP41" s="344"/>
      <c r="PBQ41" s="344"/>
      <c r="PBR41" s="344"/>
      <c r="PBS41" s="344"/>
      <c r="PBT41" s="344"/>
      <c r="PBU41" s="344"/>
      <c r="PBV41" s="344"/>
      <c r="PBW41" s="344"/>
      <c r="PBX41" s="344"/>
      <c r="PBY41" s="344"/>
      <c r="PBZ41" s="344"/>
      <c r="PCA41" s="344"/>
      <c r="PCB41" s="344"/>
      <c r="PCC41" s="344"/>
      <c r="PCD41" s="344"/>
      <c r="PCE41" s="344"/>
      <c r="PCF41" s="344"/>
      <c r="PCG41" s="344"/>
      <c r="PCH41" s="344"/>
      <c r="PCI41" s="344"/>
      <c r="PCJ41" s="344"/>
      <c r="PCK41" s="344"/>
      <c r="PCL41" s="344"/>
      <c r="PCM41" s="344"/>
      <c r="PCN41" s="344"/>
      <c r="PCO41" s="344"/>
      <c r="PCP41" s="344"/>
      <c r="PCQ41" s="344"/>
      <c r="PCR41" s="344"/>
      <c r="PCS41" s="344"/>
      <c r="PCT41" s="344"/>
      <c r="PCU41" s="344"/>
      <c r="PCV41" s="344"/>
      <c r="PCW41" s="344"/>
      <c r="PCX41" s="344"/>
      <c r="PCY41" s="344"/>
      <c r="PCZ41" s="344"/>
      <c r="PDA41" s="344"/>
      <c r="PDB41" s="344"/>
      <c r="PDC41" s="344"/>
      <c r="PDD41" s="344"/>
      <c r="PDE41" s="344"/>
      <c r="PDF41" s="344"/>
      <c r="PDG41" s="344"/>
      <c r="PDH41" s="344"/>
      <c r="PDI41" s="344"/>
      <c r="PDJ41" s="344"/>
      <c r="PDK41" s="344"/>
      <c r="PDL41" s="344"/>
      <c r="PDM41" s="344"/>
      <c r="PDN41" s="344"/>
      <c r="PDO41" s="344"/>
      <c r="PDP41" s="344"/>
      <c r="PDQ41" s="344"/>
      <c r="PDR41" s="344"/>
      <c r="PDS41" s="344"/>
      <c r="PDT41" s="344"/>
      <c r="PDU41" s="344"/>
      <c r="PDV41" s="344"/>
      <c r="PDW41" s="344"/>
      <c r="PDX41" s="344"/>
      <c r="PDY41" s="344"/>
      <c r="PDZ41" s="344"/>
      <c r="PEA41" s="344"/>
      <c r="PEB41" s="344"/>
      <c r="PEC41" s="344"/>
      <c r="PED41" s="344"/>
      <c r="PEE41" s="344"/>
      <c r="PEF41" s="344"/>
      <c r="PEG41" s="344"/>
      <c r="PEH41" s="344"/>
      <c r="PEI41" s="344"/>
      <c r="PEJ41" s="344"/>
      <c r="PEK41" s="344"/>
      <c r="PEL41" s="344"/>
      <c r="PEM41" s="344"/>
      <c r="PEN41" s="344"/>
      <c r="PEO41" s="344"/>
      <c r="PEP41" s="344"/>
      <c r="PEQ41" s="344"/>
      <c r="PER41" s="344"/>
      <c r="PES41" s="344"/>
      <c r="PET41" s="344"/>
      <c r="PEU41" s="344"/>
      <c r="PEV41" s="344"/>
      <c r="PEW41" s="344"/>
      <c r="PEX41" s="344"/>
      <c r="PEY41" s="344"/>
      <c r="PEZ41" s="344"/>
      <c r="PFA41" s="344"/>
      <c r="PFB41" s="344"/>
      <c r="PFC41" s="344"/>
      <c r="PFD41" s="344"/>
      <c r="PFE41" s="344"/>
      <c r="PFF41" s="344"/>
      <c r="PFG41" s="344"/>
      <c r="PFH41" s="344"/>
      <c r="PFI41" s="344"/>
      <c r="PFJ41" s="344"/>
      <c r="PFK41" s="344"/>
      <c r="PFL41" s="344"/>
      <c r="PFM41" s="344"/>
      <c r="PFN41" s="344"/>
      <c r="PFO41" s="344"/>
      <c r="PFP41" s="344"/>
      <c r="PFQ41" s="344"/>
      <c r="PFR41" s="344"/>
      <c r="PFS41" s="344"/>
      <c r="PFT41" s="344"/>
      <c r="PFU41" s="344"/>
      <c r="PFV41" s="344"/>
      <c r="PFW41" s="344"/>
      <c r="PFX41" s="344"/>
      <c r="PFY41" s="344"/>
      <c r="PFZ41" s="344"/>
      <c r="PGA41" s="344"/>
      <c r="PGB41" s="344"/>
      <c r="PGC41" s="344"/>
      <c r="PGD41" s="344"/>
      <c r="PGE41" s="344"/>
      <c r="PGF41" s="344"/>
      <c r="PGG41" s="344"/>
      <c r="PGH41" s="344"/>
      <c r="PGI41" s="344"/>
      <c r="PGJ41" s="344"/>
      <c r="PGK41" s="344"/>
      <c r="PGL41" s="344"/>
      <c r="PGM41" s="344"/>
      <c r="PGN41" s="344"/>
      <c r="PGO41" s="344"/>
      <c r="PGP41" s="344"/>
      <c r="PGQ41" s="344"/>
      <c r="PGR41" s="344"/>
      <c r="PGS41" s="344"/>
      <c r="PGT41" s="344"/>
      <c r="PGU41" s="344"/>
      <c r="PGV41" s="344"/>
      <c r="PGW41" s="344"/>
      <c r="PGX41" s="344"/>
      <c r="PGY41" s="344"/>
      <c r="PGZ41" s="344"/>
      <c r="PHA41" s="344"/>
      <c r="PHB41" s="344"/>
      <c r="PHC41" s="344"/>
      <c r="PHD41" s="344"/>
      <c r="PHE41" s="344"/>
      <c r="PHF41" s="344"/>
      <c r="PHG41" s="344"/>
      <c r="PHH41" s="344"/>
      <c r="PHI41" s="344"/>
      <c r="PHJ41" s="344"/>
      <c r="PHK41" s="344"/>
      <c r="PHL41" s="344"/>
      <c r="PHM41" s="344"/>
      <c r="PHN41" s="344"/>
      <c r="PHO41" s="344"/>
      <c r="PHP41" s="344"/>
      <c r="PHQ41" s="344"/>
      <c r="PHR41" s="344"/>
      <c r="PHS41" s="344"/>
      <c r="PHT41" s="344"/>
      <c r="PHU41" s="344"/>
      <c r="PHV41" s="344"/>
      <c r="PHW41" s="344"/>
      <c r="PHX41" s="344"/>
      <c r="PHY41" s="344"/>
      <c r="PHZ41" s="344"/>
      <c r="PIA41" s="344"/>
      <c r="PIB41" s="344"/>
      <c r="PIC41" s="344"/>
      <c r="PID41" s="344"/>
      <c r="PIE41" s="344"/>
      <c r="PIF41" s="344"/>
      <c r="PIG41" s="344"/>
      <c r="PIH41" s="344"/>
      <c r="PII41" s="344"/>
      <c r="PIJ41" s="344"/>
      <c r="PIK41" s="344"/>
      <c r="PIL41" s="344"/>
      <c r="PIM41" s="344"/>
      <c r="PIN41" s="344"/>
      <c r="PIO41" s="344"/>
      <c r="PIP41" s="344"/>
      <c r="PIQ41" s="344"/>
      <c r="PIR41" s="344"/>
      <c r="PIS41" s="344"/>
      <c r="PIT41" s="344"/>
      <c r="PIU41" s="344"/>
      <c r="PIV41" s="344"/>
      <c r="PIW41" s="344"/>
      <c r="PIX41" s="344"/>
      <c r="PIY41" s="344"/>
      <c r="PIZ41" s="344"/>
      <c r="PJA41" s="344"/>
      <c r="PJB41" s="344"/>
      <c r="PJC41" s="344"/>
      <c r="PJD41" s="344"/>
      <c r="PJE41" s="344"/>
      <c r="PJF41" s="344"/>
      <c r="PJG41" s="344"/>
      <c r="PJH41" s="344"/>
      <c r="PJI41" s="344"/>
      <c r="PJJ41" s="344"/>
      <c r="PJK41" s="344"/>
      <c r="PJL41" s="344"/>
      <c r="PJM41" s="344"/>
      <c r="PJN41" s="344"/>
      <c r="PJO41" s="344"/>
      <c r="PJP41" s="344"/>
      <c r="PJQ41" s="344"/>
      <c r="PJR41" s="344"/>
      <c r="PJS41" s="344"/>
      <c r="PJT41" s="344"/>
      <c r="PJU41" s="344"/>
      <c r="PJV41" s="344"/>
      <c r="PJW41" s="344"/>
      <c r="PJX41" s="344"/>
      <c r="PJY41" s="344"/>
      <c r="PJZ41" s="344"/>
      <c r="PKA41" s="344"/>
      <c r="PKB41" s="344"/>
      <c r="PKC41" s="344"/>
      <c r="PKD41" s="344"/>
      <c r="PKE41" s="344"/>
      <c r="PKF41" s="344"/>
      <c r="PKG41" s="344"/>
      <c r="PKH41" s="344"/>
      <c r="PKI41" s="344"/>
      <c r="PKJ41" s="344"/>
      <c r="PKK41" s="344"/>
      <c r="PKL41" s="344"/>
      <c r="PKM41" s="344"/>
      <c r="PKN41" s="344"/>
      <c r="PKO41" s="344"/>
      <c r="PKP41" s="344"/>
      <c r="PKQ41" s="344"/>
      <c r="PKR41" s="344"/>
      <c r="PKS41" s="344"/>
      <c r="PKT41" s="344"/>
      <c r="PKU41" s="344"/>
      <c r="PKV41" s="344"/>
      <c r="PKW41" s="344"/>
      <c r="PKX41" s="344"/>
      <c r="PKY41" s="344"/>
      <c r="PKZ41" s="344"/>
      <c r="PLA41" s="344"/>
      <c r="PLB41" s="344"/>
      <c r="PLC41" s="344"/>
      <c r="PLD41" s="344"/>
      <c r="PLE41" s="344"/>
      <c r="PLF41" s="344"/>
      <c r="PLG41" s="344"/>
      <c r="PLH41" s="344"/>
      <c r="PLI41" s="344"/>
      <c r="PLJ41" s="344"/>
      <c r="PLK41" s="344"/>
      <c r="PLL41" s="344"/>
      <c r="PLM41" s="344"/>
      <c r="PLN41" s="344"/>
      <c r="PLO41" s="344"/>
      <c r="PLP41" s="344"/>
      <c r="PLQ41" s="344"/>
      <c r="PLR41" s="344"/>
      <c r="PLS41" s="344"/>
      <c r="PLT41" s="344"/>
      <c r="PLU41" s="344"/>
      <c r="PLV41" s="344"/>
      <c r="PLW41" s="344"/>
      <c r="PLX41" s="344"/>
      <c r="PLY41" s="344"/>
      <c r="PLZ41" s="344"/>
      <c r="PMA41" s="344"/>
      <c r="PMB41" s="344"/>
      <c r="PMC41" s="344"/>
      <c r="PMD41" s="344"/>
      <c r="PME41" s="344"/>
      <c r="PMF41" s="344"/>
      <c r="PMG41" s="344"/>
      <c r="PMH41" s="344"/>
      <c r="PMI41" s="344"/>
      <c r="PMJ41" s="344"/>
      <c r="PMK41" s="344"/>
      <c r="PML41" s="344"/>
      <c r="PMM41" s="344"/>
      <c r="PMN41" s="344"/>
      <c r="PMO41" s="344"/>
      <c r="PMP41" s="344"/>
      <c r="PMQ41" s="344"/>
      <c r="PMR41" s="344"/>
      <c r="PMS41" s="344"/>
      <c r="PMT41" s="344"/>
      <c r="PMU41" s="344"/>
      <c r="PMV41" s="344"/>
      <c r="PMW41" s="344"/>
      <c r="PMX41" s="344"/>
      <c r="PMY41" s="344"/>
      <c r="PMZ41" s="344"/>
      <c r="PNA41" s="344"/>
      <c r="PNB41" s="344"/>
      <c r="PNC41" s="344"/>
      <c r="PND41" s="344"/>
      <c r="PNE41" s="344"/>
      <c r="PNF41" s="344"/>
      <c r="PNG41" s="344"/>
      <c r="PNH41" s="344"/>
      <c r="PNI41" s="344"/>
      <c r="PNJ41" s="344"/>
      <c r="PNK41" s="344"/>
      <c r="PNL41" s="344"/>
      <c r="PNM41" s="344"/>
      <c r="PNN41" s="344"/>
      <c r="PNO41" s="344"/>
      <c r="PNP41" s="344"/>
      <c r="PNQ41" s="344"/>
      <c r="PNR41" s="344"/>
      <c r="PNS41" s="344"/>
      <c r="PNT41" s="344"/>
      <c r="PNU41" s="344"/>
      <c r="PNV41" s="344"/>
      <c r="PNW41" s="344"/>
      <c r="PNX41" s="344"/>
      <c r="PNY41" s="344"/>
      <c r="PNZ41" s="344"/>
      <c r="POA41" s="344"/>
      <c r="POB41" s="344"/>
      <c r="POC41" s="344"/>
      <c r="POD41" s="344"/>
      <c r="POE41" s="344"/>
      <c r="POF41" s="344"/>
      <c r="POG41" s="344"/>
      <c r="POH41" s="344"/>
      <c r="POI41" s="344"/>
      <c r="POJ41" s="344"/>
      <c r="POK41" s="344"/>
      <c r="POL41" s="344"/>
      <c r="POM41" s="344"/>
      <c r="PON41" s="344"/>
      <c r="POO41" s="344"/>
      <c r="POP41" s="344"/>
      <c r="POQ41" s="344"/>
      <c r="POR41" s="344"/>
      <c r="POS41" s="344"/>
      <c r="POT41" s="344"/>
      <c r="POU41" s="344"/>
      <c r="POV41" s="344"/>
      <c r="POW41" s="344"/>
      <c r="POX41" s="344"/>
      <c r="POY41" s="344"/>
      <c r="POZ41" s="344"/>
      <c r="PPA41" s="344"/>
      <c r="PPB41" s="344"/>
      <c r="PPC41" s="344"/>
      <c r="PPD41" s="344"/>
      <c r="PPE41" s="344"/>
      <c r="PPF41" s="344"/>
      <c r="PPG41" s="344"/>
      <c r="PPH41" s="344"/>
      <c r="PPI41" s="344"/>
      <c r="PPJ41" s="344"/>
      <c r="PPK41" s="344"/>
      <c r="PPL41" s="344"/>
      <c r="PPM41" s="344"/>
      <c r="PPN41" s="344"/>
      <c r="PPO41" s="344"/>
      <c r="PPP41" s="344"/>
      <c r="PPQ41" s="344"/>
      <c r="PPR41" s="344"/>
      <c r="PPS41" s="344"/>
      <c r="PPT41" s="344"/>
      <c r="PPU41" s="344"/>
      <c r="PPV41" s="344"/>
      <c r="PPW41" s="344"/>
      <c r="PPX41" s="344"/>
      <c r="PPY41" s="344"/>
      <c r="PPZ41" s="344"/>
      <c r="PQA41" s="344"/>
      <c r="PQB41" s="344"/>
      <c r="PQC41" s="344"/>
      <c r="PQD41" s="344"/>
      <c r="PQE41" s="344"/>
      <c r="PQF41" s="344"/>
      <c r="PQG41" s="344"/>
      <c r="PQH41" s="344"/>
      <c r="PQI41" s="344"/>
      <c r="PQJ41" s="344"/>
      <c r="PQK41" s="344"/>
      <c r="PQL41" s="344"/>
      <c r="PQM41" s="344"/>
      <c r="PQN41" s="344"/>
      <c r="PQO41" s="344"/>
      <c r="PQP41" s="344"/>
      <c r="PQQ41" s="344"/>
      <c r="PQR41" s="344"/>
      <c r="PQS41" s="344"/>
      <c r="PQT41" s="344"/>
      <c r="PQU41" s="344"/>
      <c r="PQV41" s="344"/>
      <c r="PQW41" s="344"/>
      <c r="PQX41" s="344"/>
      <c r="PQY41" s="344"/>
      <c r="PQZ41" s="344"/>
      <c r="PRA41" s="344"/>
      <c r="PRB41" s="344"/>
      <c r="PRC41" s="344"/>
      <c r="PRD41" s="344"/>
      <c r="PRE41" s="344"/>
      <c r="PRF41" s="344"/>
      <c r="PRG41" s="344"/>
      <c r="PRH41" s="344"/>
      <c r="PRI41" s="344"/>
      <c r="PRJ41" s="344"/>
      <c r="PRK41" s="344"/>
      <c r="PRL41" s="344"/>
      <c r="PRM41" s="344"/>
      <c r="PRN41" s="344"/>
      <c r="PRO41" s="344"/>
      <c r="PRP41" s="344"/>
      <c r="PRQ41" s="344"/>
      <c r="PRR41" s="344"/>
      <c r="PRS41" s="344"/>
      <c r="PRT41" s="344"/>
      <c r="PRU41" s="344"/>
      <c r="PRV41" s="344"/>
      <c r="PRW41" s="344"/>
      <c r="PRX41" s="344"/>
      <c r="PRY41" s="344"/>
      <c r="PRZ41" s="344"/>
      <c r="PSA41" s="344"/>
      <c r="PSB41" s="344"/>
      <c r="PSC41" s="344"/>
      <c r="PSD41" s="344"/>
      <c r="PSE41" s="344"/>
      <c r="PSF41" s="344"/>
      <c r="PSG41" s="344"/>
      <c r="PSH41" s="344"/>
      <c r="PSI41" s="344"/>
      <c r="PSJ41" s="344"/>
      <c r="PSK41" s="344"/>
      <c r="PSL41" s="344"/>
      <c r="PSM41" s="344"/>
      <c r="PSN41" s="344"/>
      <c r="PSO41" s="344"/>
      <c r="PSP41" s="344"/>
      <c r="PSQ41" s="344"/>
      <c r="PSR41" s="344"/>
      <c r="PSS41" s="344"/>
      <c r="PST41" s="344"/>
      <c r="PSU41" s="344"/>
      <c r="PSV41" s="344"/>
      <c r="PSW41" s="344"/>
      <c r="PSX41" s="344"/>
      <c r="PSY41" s="344"/>
      <c r="PSZ41" s="344"/>
      <c r="PTA41" s="344"/>
      <c r="PTB41" s="344"/>
      <c r="PTC41" s="344"/>
      <c r="PTD41" s="344"/>
      <c r="PTE41" s="344"/>
      <c r="PTF41" s="344"/>
      <c r="PTG41" s="344"/>
      <c r="PTH41" s="344"/>
      <c r="PTI41" s="344"/>
      <c r="PTJ41" s="344"/>
      <c r="PTK41" s="344"/>
      <c r="PTL41" s="344"/>
      <c r="PTM41" s="344"/>
      <c r="PTN41" s="344"/>
      <c r="PTO41" s="344"/>
      <c r="PTP41" s="344"/>
      <c r="PTQ41" s="344"/>
      <c r="PTR41" s="344"/>
      <c r="PTS41" s="344"/>
      <c r="PTT41" s="344"/>
      <c r="PTU41" s="344"/>
      <c r="PTV41" s="344"/>
      <c r="PTW41" s="344"/>
      <c r="PTX41" s="344"/>
      <c r="PTY41" s="344"/>
      <c r="PTZ41" s="344"/>
      <c r="PUA41" s="344"/>
      <c r="PUB41" s="344"/>
      <c r="PUC41" s="344"/>
      <c r="PUD41" s="344"/>
      <c r="PUE41" s="344"/>
      <c r="PUF41" s="344"/>
      <c r="PUG41" s="344"/>
      <c r="PUH41" s="344"/>
      <c r="PUI41" s="344"/>
      <c r="PUJ41" s="344"/>
      <c r="PUK41" s="344"/>
      <c r="PUL41" s="344"/>
      <c r="PUM41" s="344"/>
      <c r="PUN41" s="344"/>
      <c r="PUO41" s="344"/>
      <c r="PUP41" s="344"/>
      <c r="PUQ41" s="344"/>
      <c r="PUR41" s="344"/>
      <c r="PUS41" s="344"/>
      <c r="PUT41" s="344"/>
      <c r="PUU41" s="344"/>
      <c r="PUV41" s="344"/>
      <c r="PUW41" s="344"/>
      <c r="PUX41" s="344"/>
      <c r="PUY41" s="344"/>
      <c r="PUZ41" s="344"/>
      <c r="PVA41" s="344"/>
      <c r="PVB41" s="344"/>
      <c r="PVC41" s="344"/>
      <c r="PVD41" s="344"/>
      <c r="PVE41" s="344"/>
      <c r="PVF41" s="344"/>
      <c r="PVG41" s="344"/>
      <c r="PVH41" s="344"/>
      <c r="PVI41" s="344"/>
      <c r="PVJ41" s="344"/>
      <c r="PVK41" s="344"/>
      <c r="PVL41" s="344"/>
      <c r="PVM41" s="344"/>
      <c r="PVN41" s="344"/>
      <c r="PVO41" s="344"/>
      <c r="PVP41" s="344"/>
      <c r="PVQ41" s="344"/>
      <c r="PVR41" s="344"/>
      <c r="PVS41" s="344"/>
      <c r="PVT41" s="344"/>
      <c r="PVU41" s="344"/>
      <c r="PVV41" s="344"/>
      <c r="PVW41" s="344"/>
      <c r="PVX41" s="344"/>
      <c r="PVY41" s="344"/>
      <c r="PVZ41" s="344"/>
      <c r="PWA41" s="344"/>
      <c r="PWB41" s="344"/>
      <c r="PWC41" s="344"/>
      <c r="PWD41" s="344"/>
      <c r="PWE41" s="344"/>
      <c r="PWF41" s="344"/>
      <c r="PWG41" s="344"/>
      <c r="PWH41" s="344"/>
      <c r="PWI41" s="344"/>
      <c r="PWJ41" s="344"/>
      <c r="PWK41" s="344"/>
      <c r="PWL41" s="344"/>
      <c r="PWM41" s="344"/>
      <c r="PWN41" s="344"/>
      <c r="PWO41" s="344"/>
      <c r="PWP41" s="344"/>
      <c r="PWQ41" s="344"/>
      <c r="PWR41" s="344"/>
      <c r="PWS41" s="344"/>
      <c r="PWT41" s="344"/>
      <c r="PWU41" s="344"/>
      <c r="PWV41" s="344"/>
      <c r="PWW41" s="344"/>
      <c r="PWX41" s="344"/>
      <c r="PWY41" s="344"/>
      <c r="PWZ41" s="344"/>
      <c r="PXA41" s="344"/>
      <c r="PXB41" s="344"/>
      <c r="PXC41" s="344"/>
      <c r="PXD41" s="344"/>
      <c r="PXE41" s="344"/>
      <c r="PXF41" s="344"/>
      <c r="PXG41" s="344"/>
      <c r="PXH41" s="344"/>
      <c r="PXI41" s="344"/>
      <c r="PXJ41" s="344"/>
      <c r="PXK41" s="344"/>
      <c r="PXL41" s="344"/>
      <c r="PXM41" s="344"/>
      <c r="PXN41" s="344"/>
      <c r="PXO41" s="344"/>
      <c r="PXP41" s="344"/>
      <c r="PXQ41" s="344"/>
      <c r="PXR41" s="344"/>
      <c r="PXS41" s="344"/>
      <c r="PXT41" s="344"/>
      <c r="PXU41" s="344"/>
      <c r="PXV41" s="344"/>
      <c r="PXW41" s="344"/>
      <c r="PXX41" s="344"/>
      <c r="PXY41" s="344"/>
      <c r="PXZ41" s="344"/>
      <c r="PYA41" s="344"/>
      <c r="PYB41" s="344"/>
      <c r="PYC41" s="344"/>
      <c r="PYD41" s="344"/>
      <c r="PYE41" s="344"/>
      <c r="PYF41" s="344"/>
      <c r="PYG41" s="344"/>
      <c r="PYH41" s="344"/>
      <c r="PYI41" s="344"/>
      <c r="PYJ41" s="344"/>
      <c r="PYK41" s="344"/>
      <c r="PYL41" s="344"/>
      <c r="PYM41" s="344"/>
      <c r="PYN41" s="344"/>
      <c r="PYO41" s="344"/>
      <c r="PYP41" s="344"/>
      <c r="PYQ41" s="344"/>
      <c r="PYR41" s="344"/>
      <c r="PYS41" s="344"/>
      <c r="PYT41" s="344"/>
      <c r="PYU41" s="344"/>
      <c r="PYV41" s="344"/>
      <c r="PYW41" s="344"/>
      <c r="PYX41" s="344"/>
      <c r="PYY41" s="344"/>
      <c r="PYZ41" s="344"/>
      <c r="PZA41" s="344"/>
      <c r="PZB41" s="344"/>
      <c r="PZC41" s="344"/>
      <c r="PZD41" s="344"/>
      <c r="PZE41" s="344"/>
      <c r="PZF41" s="344"/>
      <c r="PZG41" s="344"/>
      <c r="PZH41" s="344"/>
      <c r="PZI41" s="344"/>
      <c r="PZJ41" s="344"/>
      <c r="PZK41" s="344"/>
      <c r="PZL41" s="344"/>
      <c r="PZM41" s="344"/>
      <c r="PZN41" s="344"/>
      <c r="PZO41" s="344"/>
      <c r="PZP41" s="344"/>
      <c r="PZQ41" s="344"/>
      <c r="PZR41" s="344"/>
      <c r="PZS41" s="344"/>
      <c r="PZT41" s="344"/>
      <c r="PZU41" s="344"/>
      <c r="PZV41" s="344"/>
      <c r="PZW41" s="344"/>
      <c r="PZX41" s="344"/>
      <c r="PZY41" s="344"/>
      <c r="PZZ41" s="344"/>
      <c r="QAA41" s="344"/>
      <c r="QAB41" s="344"/>
      <c r="QAC41" s="344"/>
      <c r="QAD41" s="344"/>
      <c r="QAE41" s="344"/>
      <c r="QAF41" s="344"/>
      <c r="QAG41" s="344"/>
      <c r="QAH41" s="344"/>
      <c r="QAI41" s="344"/>
      <c r="QAJ41" s="344"/>
      <c r="QAK41" s="344"/>
      <c r="QAL41" s="344"/>
      <c r="QAM41" s="344"/>
      <c r="QAN41" s="344"/>
      <c r="QAO41" s="344"/>
      <c r="QAP41" s="344"/>
      <c r="QAQ41" s="344"/>
      <c r="QAR41" s="344"/>
      <c r="QAS41" s="344"/>
      <c r="QAT41" s="344"/>
      <c r="QAU41" s="344"/>
      <c r="QAV41" s="344"/>
      <c r="QAW41" s="344"/>
      <c r="QAX41" s="344"/>
      <c r="QAY41" s="344"/>
      <c r="QAZ41" s="344"/>
      <c r="QBA41" s="344"/>
      <c r="QBB41" s="344"/>
      <c r="QBC41" s="344"/>
      <c r="QBD41" s="344"/>
      <c r="QBE41" s="344"/>
      <c r="QBF41" s="344"/>
      <c r="QBG41" s="344"/>
      <c r="QBH41" s="344"/>
      <c r="QBI41" s="344"/>
      <c r="QBJ41" s="344"/>
      <c r="QBK41" s="344"/>
      <c r="QBL41" s="344"/>
      <c r="QBM41" s="344"/>
      <c r="QBN41" s="344"/>
      <c r="QBO41" s="344"/>
      <c r="QBP41" s="344"/>
      <c r="QBQ41" s="344"/>
      <c r="QBR41" s="344"/>
      <c r="QBS41" s="344"/>
      <c r="QBT41" s="344"/>
      <c r="QBU41" s="344"/>
      <c r="QBV41" s="344"/>
      <c r="QBW41" s="344"/>
      <c r="QBX41" s="344"/>
      <c r="QBY41" s="344"/>
      <c r="QBZ41" s="344"/>
      <c r="QCA41" s="344"/>
      <c r="QCB41" s="344"/>
      <c r="QCC41" s="344"/>
      <c r="QCD41" s="344"/>
      <c r="QCE41" s="344"/>
      <c r="QCF41" s="344"/>
      <c r="QCG41" s="344"/>
      <c r="QCH41" s="344"/>
      <c r="QCI41" s="344"/>
      <c r="QCJ41" s="344"/>
      <c r="QCK41" s="344"/>
      <c r="QCL41" s="344"/>
      <c r="QCM41" s="344"/>
      <c r="QCN41" s="344"/>
      <c r="QCO41" s="344"/>
      <c r="QCP41" s="344"/>
      <c r="QCQ41" s="344"/>
      <c r="QCR41" s="344"/>
      <c r="QCS41" s="344"/>
      <c r="QCT41" s="344"/>
      <c r="QCU41" s="344"/>
      <c r="QCV41" s="344"/>
      <c r="QCW41" s="344"/>
      <c r="QCX41" s="344"/>
      <c r="QCY41" s="344"/>
      <c r="QCZ41" s="344"/>
      <c r="QDA41" s="344"/>
      <c r="QDB41" s="344"/>
      <c r="QDC41" s="344"/>
      <c r="QDD41" s="344"/>
      <c r="QDE41" s="344"/>
      <c r="QDF41" s="344"/>
      <c r="QDG41" s="344"/>
      <c r="QDH41" s="344"/>
      <c r="QDI41" s="344"/>
      <c r="QDJ41" s="344"/>
      <c r="QDK41" s="344"/>
      <c r="QDL41" s="344"/>
      <c r="QDM41" s="344"/>
      <c r="QDN41" s="344"/>
      <c r="QDO41" s="344"/>
      <c r="QDP41" s="344"/>
      <c r="QDQ41" s="344"/>
      <c r="QDR41" s="344"/>
      <c r="QDS41" s="344"/>
      <c r="QDT41" s="344"/>
      <c r="QDU41" s="344"/>
      <c r="QDV41" s="344"/>
      <c r="QDW41" s="344"/>
      <c r="QDX41" s="344"/>
      <c r="QDY41" s="344"/>
      <c r="QDZ41" s="344"/>
      <c r="QEA41" s="344"/>
      <c r="QEB41" s="344"/>
      <c r="QEC41" s="344"/>
      <c r="QED41" s="344"/>
      <c r="QEE41" s="344"/>
      <c r="QEF41" s="344"/>
      <c r="QEG41" s="344"/>
      <c r="QEH41" s="344"/>
      <c r="QEI41" s="344"/>
      <c r="QEJ41" s="344"/>
      <c r="QEK41" s="344"/>
      <c r="QEL41" s="344"/>
      <c r="QEM41" s="344"/>
      <c r="QEN41" s="344"/>
      <c r="QEO41" s="344"/>
      <c r="QEP41" s="344"/>
      <c r="QEQ41" s="344"/>
      <c r="QER41" s="344"/>
      <c r="QES41" s="344"/>
      <c r="QET41" s="344"/>
      <c r="QEU41" s="344"/>
      <c r="QEV41" s="344"/>
      <c r="QEW41" s="344"/>
      <c r="QEX41" s="344"/>
      <c r="QEY41" s="344"/>
      <c r="QEZ41" s="344"/>
      <c r="QFA41" s="344"/>
      <c r="QFB41" s="344"/>
      <c r="QFC41" s="344"/>
      <c r="QFD41" s="344"/>
      <c r="QFE41" s="344"/>
      <c r="QFF41" s="344"/>
      <c r="QFG41" s="344"/>
      <c r="QFH41" s="344"/>
      <c r="QFI41" s="344"/>
      <c r="QFJ41" s="344"/>
      <c r="QFK41" s="344"/>
      <c r="QFL41" s="344"/>
      <c r="QFM41" s="344"/>
      <c r="QFN41" s="344"/>
      <c r="QFO41" s="344"/>
      <c r="QFP41" s="344"/>
      <c r="QFQ41" s="344"/>
      <c r="QFR41" s="344"/>
      <c r="QFS41" s="344"/>
      <c r="QFT41" s="344"/>
      <c r="QFU41" s="344"/>
      <c r="QFV41" s="344"/>
      <c r="QFW41" s="344"/>
      <c r="QFX41" s="344"/>
      <c r="QFY41" s="344"/>
      <c r="QFZ41" s="344"/>
      <c r="QGA41" s="344"/>
      <c r="QGB41" s="344"/>
      <c r="QGC41" s="344"/>
      <c r="QGD41" s="344"/>
      <c r="QGE41" s="344"/>
      <c r="QGF41" s="344"/>
      <c r="QGG41" s="344"/>
      <c r="QGH41" s="344"/>
      <c r="QGI41" s="344"/>
      <c r="QGJ41" s="344"/>
      <c r="QGK41" s="344"/>
      <c r="QGL41" s="344"/>
      <c r="QGM41" s="344"/>
      <c r="QGN41" s="344"/>
      <c r="QGO41" s="344"/>
      <c r="QGP41" s="344"/>
      <c r="QGQ41" s="344"/>
      <c r="QGR41" s="344"/>
      <c r="QGS41" s="344"/>
      <c r="QGT41" s="344"/>
      <c r="QGU41" s="344"/>
      <c r="QGV41" s="344"/>
      <c r="QGW41" s="344"/>
      <c r="QGX41" s="344"/>
      <c r="QGY41" s="344"/>
      <c r="QGZ41" s="344"/>
      <c r="QHA41" s="344"/>
      <c r="QHB41" s="344"/>
      <c r="QHC41" s="344"/>
      <c r="QHD41" s="344"/>
      <c r="QHE41" s="344"/>
      <c r="QHF41" s="344"/>
      <c r="QHG41" s="344"/>
      <c r="QHH41" s="344"/>
      <c r="QHI41" s="344"/>
      <c r="QHJ41" s="344"/>
      <c r="QHK41" s="344"/>
      <c r="QHL41" s="344"/>
      <c r="QHM41" s="344"/>
      <c r="QHN41" s="344"/>
      <c r="QHO41" s="344"/>
      <c r="QHP41" s="344"/>
      <c r="QHQ41" s="344"/>
      <c r="QHR41" s="344"/>
      <c r="QHS41" s="344"/>
      <c r="QHT41" s="344"/>
      <c r="QHU41" s="344"/>
      <c r="QHV41" s="344"/>
      <c r="QHW41" s="344"/>
      <c r="QHX41" s="344"/>
      <c r="QHY41" s="344"/>
      <c r="QHZ41" s="344"/>
      <c r="QIA41" s="344"/>
      <c r="QIB41" s="344"/>
      <c r="QIC41" s="344"/>
      <c r="QID41" s="344"/>
      <c r="QIE41" s="344"/>
      <c r="QIF41" s="344"/>
      <c r="QIG41" s="344"/>
      <c r="QIH41" s="344"/>
      <c r="QII41" s="344"/>
      <c r="QIJ41" s="344"/>
      <c r="QIK41" s="344"/>
      <c r="QIL41" s="344"/>
      <c r="QIM41" s="344"/>
      <c r="QIN41" s="344"/>
      <c r="QIO41" s="344"/>
      <c r="QIP41" s="344"/>
      <c r="QIQ41" s="344"/>
      <c r="QIR41" s="344"/>
      <c r="QIS41" s="344"/>
      <c r="QIT41" s="344"/>
      <c r="QIU41" s="344"/>
      <c r="QIV41" s="344"/>
      <c r="QIW41" s="344"/>
      <c r="QIX41" s="344"/>
      <c r="QIY41" s="344"/>
      <c r="QIZ41" s="344"/>
      <c r="QJA41" s="344"/>
      <c r="QJB41" s="344"/>
      <c r="QJC41" s="344"/>
      <c r="QJD41" s="344"/>
      <c r="QJE41" s="344"/>
      <c r="QJF41" s="344"/>
      <c r="QJG41" s="344"/>
      <c r="QJH41" s="344"/>
      <c r="QJI41" s="344"/>
      <c r="QJJ41" s="344"/>
      <c r="QJK41" s="344"/>
      <c r="QJL41" s="344"/>
      <c r="QJM41" s="344"/>
      <c r="QJN41" s="344"/>
      <c r="QJO41" s="344"/>
      <c r="QJP41" s="344"/>
      <c r="QJQ41" s="344"/>
      <c r="QJR41" s="344"/>
      <c r="QJS41" s="344"/>
      <c r="QJT41" s="344"/>
      <c r="QJU41" s="344"/>
      <c r="QJV41" s="344"/>
      <c r="QJW41" s="344"/>
      <c r="QJX41" s="344"/>
      <c r="QJY41" s="344"/>
      <c r="QJZ41" s="344"/>
      <c r="QKA41" s="344"/>
      <c r="QKB41" s="344"/>
      <c r="QKC41" s="344"/>
      <c r="QKD41" s="344"/>
      <c r="QKE41" s="344"/>
      <c r="QKF41" s="344"/>
      <c r="QKG41" s="344"/>
      <c r="QKH41" s="344"/>
      <c r="QKI41" s="344"/>
      <c r="QKJ41" s="344"/>
      <c r="QKK41" s="344"/>
      <c r="QKL41" s="344"/>
      <c r="QKM41" s="344"/>
      <c r="QKN41" s="344"/>
      <c r="QKO41" s="344"/>
      <c r="QKP41" s="344"/>
      <c r="QKQ41" s="344"/>
      <c r="QKR41" s="344"/>
      <c r="QKS41" s="344"/>
      <c r="QKT41" s="344"/>
      <c r="QKU41" s="344"/>
      <c r="QKV41" s="344"/>
      <c r="QKW41" s="344"/>
      <c r="QKX41" s="344"/>
      <c r="QKY41" s="344"/>
      <c r="QKZ41" s="344"/>
      <c r="QLA41" s="344"/>
      <c r="QLB41" s="344"/>
      <c r="QLC41" s="344"/>
      <c r="QLD41" s="344"/>
      <c r="QLE41" s="344"/>
      <c r="QLF41" s="344"/>
      <c r="QLG41" s="344"/>
      <c r="QLH41" s="344"/>
      <c r="QLI41" s="344"/>
      <c r="QLJ41" s="344"/>
      <c r="QLK41" s="344"/>
      <c r="QLL41" s="344"/>
      <c r="QLM41" s="344"/>
      <c r="QLN41" s="344"/>
      <c r="QLO41" s="344"/>
      <c r="QLP41" s="344"/>
      <c r="QLQ41" s="344"/>
      <c r="QLR41" s="344"/>
      <c r="QLS41" s="344"/>
      <c r="QLT41" s="344"/>
      <c r="QLU41" s="344"/>
      <c r="QLV41" s="344"/>
      <c r="QLW41" s="344"/>
      <c r="QLX41" s="344"/>
      <c r="QLY41" s="344"/>
      <c r="QLZ41" s="344"/>
      <c r="QMA41" s="344"/>
      <c r="QMB41" s="344"/>
      <c r="QMC41" s="344"/>
      <c r="QMD41" s="344"/>
      <c r="QME41" s="344"/>
      <c r="QMF41" s="344"/>
      <c r="QMG41" s="344"/>
      <c r="QMH41" s="344"/>
      <c r="QMI41" s="344"/>
      <c r="QMJ41" s="344"/>
      <c r="QMK41" s="344"/>
      <c r="QML41" s="344"/>
      <c r="QMM41" s="344"/>
      <c r="QMN41" s="344"/>
      <c r="QMO41" s="344"/>
      <c r="QMP41" s="344"/>
      <c r="QMQ41" s="344"/>
      <c r="QMR41" s="344"/>
      <c r="QMS41" s="344"/>
      <c r="QMT41" s="344"/>
      <c r="QMU41" s="344"/>
      <c r="QMV41" s="344"/>
      <c r="QMW41" s="344"/>
      <c r="QMX41" s="344"/>
      <c r="QMY41" s="344"/>
      <c r="QMZ41" s="344"/>
      <c r="QNA41" s="344"/>
      <c r="QNB41" s="344"/>
      <c r="QNC41" s="344"/>
      <c r="QND41" s="344"/>
      <c r="QNE41" s="344"/>
      <c r="QNF41" s="344"/>
      <c r="QNG41" s="344"/>
      <c r="QNH41" s="344"/>
      <c r="QNI41" s="344"/>
      <c r="QNJ41" s="344"/>
      <c r="QNK41" s="344"/>
      <c r="QNL41" s="344"/>
      <c r="QNM41" s="344"/>
      <c r="QNN41" s="344"/>
      <c r="QNO41" s="344"/>
      <c r="QNP41" s="344"/>
      <c r="QNQ41" s="344"/>
      <c r="QNR41" s="344"/>
      <c r="QNS41" s="344"/>
      <c r="QNT41" s="344"/>
      <c r="QNU41" s="344"/>
      <c r="QNV41" s="344"/>
      <c r="QNW41" s="344"/>
      <c r="QNX41" s="344"/>
      <c r="QNY41" s="344"/>
      <c r="QNZ41" s="344"/>
      <c r="QOA41" s="344"/>
      <c r="QOB41" s="344"/>
      <c r="QOC41" s="344"/>
      <c r="QOD41" s="344"/>
      <c r="QOE41" s="344"/>
      <c r="QOF41" s="344"/>
      <c r="QOG41" s="344"/>
      <c r="QOH41" s="344"/>
      <c r="QOI41" s="344"/>
      <c r="QOJ41" s="344"/>
      <c r="QOK41" s="344"/>
      <c r="QOL41" s="344"/>
      <c r="QOM41" s="344"/>
      <c r="QON41" s="344"/>
      <c r="QOO41" s="344"/>
      <c r="QOP41" s="344"/>
      <c r="QOQ41" s="344"/>
      <c r="QOR41" s="344"/>
      <c r="QOS41" s="344"/>
      <c r="QOT41" s="344"/>
      <c r="QOU41" s="344"/>
      <c r="QOV41" s="344"/>
      <c r="QOW41" s="344"/>
      <c r="QOX41" s="344"/>
      <c r="QOY41" s="344"/>
      <c r="QOZ41" s="344"/>
      <c r="QPA41" s="344"/>
      <c r="QPB41" s="344"/>
      <c r="QPC41" s="344"/>
      <c r="QPD41" s="344"/>
      <c r="QPE41" s="344"/>
      <c r="QPF41" s="344"/>
      <c r="QPG41" s="344"/>
      <c r="QPH41" s="344"/>
      <c r="QPI41" s="344"/>
      <c r="QPJ41" s="344"/>
      <c r="QPK41" s="344"/>
      <c r="QPL41" s="344"/>
      <c r="QPM41" s="344"/>
      <c r="QPN41" s="344"/>
      <c r="QPO41" s="344"/>
      <c r="QPP41" s="344"/>
      <c r="QPQ41" s="344"/>
      <c r="QPR41" s="344"/>
      <c r="QPS41" s="344"/>
      <c r="QPT41" s="344"/>
      <c r="QPU41" s="344"/>
      <c r="QPV41" s="344"/>
      <c r="QPW41" s="344"/>
      <c r="QPX41" s="344"/>
      <c r="QPY41" s="344"/>
      <c r="QPZ41" s="344"/>
      <c r="QQA41" s="344"/>
      <c r="QQB41" s="344"/>
      <c r="QQC41" s="344"/>
      <c r="QQD41" s="344"/>
      <c r="QQE41" s="344"/>
      <c r="QQF41" s="344"/>
      <c r="QQG41" s="344"/>
      <c r="QQH41" s="344"/>
      <c r="QQI41" s="344"/>
      <c r="QQJ41" s="344"/>
      <c r="QQK41" s="344"/>
      <c r="QQL41" s="344"/>
      <c r="QQM41" s="344"/>
      <c r="QQN41" s="344"/>
      <c r="QQO41" s="344"/>
      <c r="QQP41" s="344"/>
      <c r="QQQ41" s="344"/>
      <c r="QQR41" s="344"/>
      <c r="QQS41" s="344"/>
      <c r="QQT41" s="344"/>
      <c r="QQU41" s="344"/>
      <c r="QQV41" s="344"/>
      <c r="QQW41" s="344"/>
      <c r="QQX41" s="344"/>
      <c r="QQY41" s="344"/>
      <c r="QQZ41" s="344"/>
      <c r="QRA41" s="344"/>
      <c r="QRB41" s="344"/>
      <c r="QRC41" s="344"/>
      <c r="QRD41" s="344"/>
      <c r="QRE41" s="344"/>
      <c r="QRF41" s="344"/>
      <c r="QRG41" s="344"/>
      <c r="QRH41" s="344"/>
      <c r="QRI41" s="344"/>
      <c r="QRJ41" s="344"/>
      <c r="QRK41" s="344"/>
      <c r="QRL41" s="344"/>
      <c r="QRM41" s="344"/>
      <c r="QRN41" s="344"/>
      <c r="QRO41" s="344"/>
      <c r="QRP41" s="344"/>
      <c r="QRQ41" s="344"/>
      <c r="QRR41" s="344"/>
      <c r="QRS41" s="344"/>
      <c r="QRT41" s="344"/>
      <c r="QRU41" s="344"/>
      <c r="QRV41" s="344"/>
      <c r="QRW41" s="344"/>
      <c r="QRX41" s="344"/>
      <c r="QRY41" s="344"/>
      <c r="QRZ41" s="344"/>
      <c r="QSA41" s="344"/>
      <c r="QSB41" s="344"/>
      <c r="QSC41" s="344"/>
      <c r="QSD41" s="344"/>
      <c r="QSE41" s="344"/>
      <c r="QSF41" s="344"/>
      <c r="QSG41" s="344"/>
      <c r="QSH41" s="344"/>
      <c r="QSI41" s="344"/>
      <c r="QSJ41" s="344"/>
      <c r="QSK41" s="344"/>
      <c r="QSL41" s="344"/>
      <c r="QSM41" s="344"/>
      <c r="QSN41" s="344"/>
      <c r="QSO41" s="344"/>
      <c r="QSP41" s="344"/>
      <c r="QSQ41" s="344"/>
      <c r="QSR41" s="344"/>
      <c r="QSS41" s="344"/>
      <c r="QST41" s="344"/>
      <c r="QSU41" s="344"/>
      <c r="QSV41" s="344"/>
      <c r="QSW41" s="344"/>
      <c r="QSX41" s="344"/>
      <c r="QSY41" s="344"/>
      <c r="QSZ41" s="344"/>
      <c r="QTA41" s="344"/>
      <c r="QTB41" s="344"/>
      <c r="QTC41" s="344"/>
      <c r="QTD41" s="344"/>
      <c r="QTE41" s="344"/>
      <c r="QTF41" s="344"/>
      <c r="QTG41" s="344"/>
      <c r="QTH41" s="344"/>
      <c r="QTI41" s="344"/>
      <c r="QTJ41" s="344"/>
      <c r="QTK41" s="344"/>
      <c r="QTL41" s="344"/>
      <c r="QTM41" s="344"/>
      <c r="QTN41" s="344"/>
      <c r="QTO41" s="344"/>
      <c r="QTP41" s="344"/>
      <c r="QTQ41" s="344"/>
      <c r="QTR41" s="344"/>
      <c r="QTS41" s="344"/>
      <c r="QTT41" s="344"/>
      <c r="QTU41" s="344"/>
      <c r="QTV41" s="344"/>
      <c r="QTW41" s="344"/>
      <c r="QTX41" s="344"/>
      <c r="QTY41" s="344"/>
      <c r="QTZ41" s="344"/>
      <c r="QUA41" s="344"/>
      <c r="QUB41" s="344"/>
      <c r="QUC41" s="344"/>
      <c r="QUD41" s="344"/>
      <c r="QUE41" s="344"/>
      <c r="QUF41" s="344"/>
      <c r="QUG41" s="344"/>
      <c r="QUH41" s="344"/>
      <c r="QUI41" s="344"/>
      <c r="QUJ41" s="344"/>
      <c r="QUK41" s="344"/>
      <c r="QUL41" s="344"/>
      <c r="QUM41" s="344"/>
      <c r="QUN41" s="344"/>
      <c r="QUO41" s="344"/>
      <c r="QUP41" s="344"/>
      <c r="QUQ41" s="344"/>
      <c r="QUR41" s="344"/>
      <c r="QUS41" s="344"/>
      <c r="QUT41" s="344"/>
      <c r="QUU41" s="344"/>
      <c r="QUV41" s="344"/>
      <c r="QUW41" s="344"/>
      <c r="QUX41" s="344"/>
      <c r="QUY41" s="344"/>
      <c r="QUZ41" s="344"/>
      <c r="QVA41" s="344"/>
      <c r="QVB41" s="344"/>
      <c r="QVC41" s="344"/>
      <c r="QVD41" s="344"/>
      <c r="QVE41" s="344"/>
      <c r="QVF41" s="344"/>
      <c r="QVG41" s="344"/>
      <c r="QVH41" s="344"/>
      <c r="QVI41" s="344"/>
      <c r="QVJ41" s="344"/>
      <c r="QVK41" s="344"/>
      <c r="QVL41" s="344"/>
      <c r="QVM41" s="344"/>
      <c r="QVN41" s="344"/>
      <c r="QVO41" s="344"/>
      <c r="QVP41" s="344"/>
      <c r="QVQ41" s="344"/>
      <c r="QVR41" s="344"/>
      <c r="QVS41" s="344"/>
      <c r="QVT41" s="344"/>
      <c r="QVU41" s="344"/>
      <c r="QVV41" s="344"/>
      <c r="QVW41" s="344"/>
      <c r="QVX41" s="344"/>
      <c r="QVY41" s="344"/>
      <c r="QVZ41" s="344"/>
      <c r="QWA41" s="344"/>
      <c r="QWB41" s="344"/>
      <c r="QWC41" s="344"/>
      <c r="QWD41" s="344"/>
      <c r="QWE41" s="344"/>
      <c r="QWF41" s="344"/>
      <c r="QWG41" s="344"/>
      <c r="QWH41" s="344"/>
      <c r="QWI41" s="344"/>
      <c r="QWJ41" s="344"/>
      <c r="QWK41" s="344"/>
      <c r="QWL41" s="344"/>
      <c r="QWM41" s="344"/>
      <c r="QWN41" s="344"/>
      <c r="QWO41" s="344"/>
      <c r="QWP41" s="344"/>
      <c r="QWQ41" s="344"/>
      <c r="QWR41" s="344"/>
      <c r="QWS41" s="344"/>
      <c r="QWT41" s="344"/>
      <c r="QWU41" s="344"/>
      <c r="QWV41" s="344"/>
      <c r="QWW41" s="344"/>
      <c r="QWX41" s="344"/>
      <c r="QWY41" s="344"/>
      <c r="QWZ41" s="344"/>
      <c r="QXA41" s="344"/>
      <c r="QXB41" s="344"/>
      <c r="QXC41" s="344"/>
      <c r="QXD41" s="344"/>
      <c r="QXE41" s="344"/>
      <c r="QXF41" s="344"/>
      <c r="QXG41" s="344"/>
      <c r="QXH41" s="344"/>
      <c r="QXI41" s="344"/>
      <c r="QXJ41" s="344"/>
      <c r="QXK41" s="344"/>
      <c r="QXL41" s="344"/>
      <c r="QXM41" s="344"/>
      <c r="QXN41" s="344"/>
      <c r="QXO41" s="344"/>
      <c r="QXP41" s="344"/>
      <c r="QXQ41" s="344"/>
      <c r="QXR41" s="344"/>
      <c r="QXS41" s="344"/>
      <c r="QXT41" s="344"/>
      <c r="QXU41" s="344"/>
      <c r="QXV41" s="344"/>
      <c r="QXW41" s="344"/>
      <c r="QXX41" s="344"/>
      <c r="QXY41" s="344"/>
      <c r="QXZ41" s="344"/>
      <c r="QYA41" s="344"/>
      <c r="QYB41" s="344"/>
      <c r="QYC41" s="344"/>
      <c r="QYD41" s="344"/>
      <c r="QYE41" s="344"/>
      <c r="QYF41" s="344"/>
      <c r="QYG41" s="344"/>
      <c r="QYH41" s="344"/>
      <c r="QYI41" s="344"/>
      <c r="QYJ41" s="344"/>
      <c r="QYK41" s="344"/>
      <c r="QYL41" s="344"/>
      <c r="QYM41" s="344"/>
      <c r="QYN41" s="344"/>
      <c r="QYO41" s="344"/>
      <c r="QYP41" s="344"/>
      <c r="QYQ41" s="344"/>
      <c r="QYR41" s="344"/>
      <c r="QYS41" s="344"/>
      <c r="QYT41" s="344"/>
      <c r="QYU41" s="344"/>
      <c r="QYV41" s="344"/>
      <c r="QYW41" s="344"/>
      <c r="QYX41" s="344"/>
      <c r="QYY41" s="344"/>
      <c r="QYZ41" s="344"/>
      <c r="QZA41" s="344"/>
      <c r="QZB41" s="344"/>
      <c r="QZC41" s="344"/>
      <c r="QZD41" s="344"/>
      <c r="QZE41" s="344"/>
      <c r="QZF41" s="344"/>
      <c r="QZG41" s="344"/>
      <c r="QZH41" s="344"/>
      <c r="QZI41" s="344"/>
      <c r="QZJ41" s="344"/>
      <c r="QZK41" s="344"/>
      <c r="QZL41" s="344"/>
      <c r="QZM41" s="344"/>
      <c r="QZN41" s="344"/>
      <c r="QZO41" s="344"/>
      <c r="QZP41" s="344"/>
      <c r="QZQ41" s="344"/>
      <c r="QZR41" s="344"/>
      <c r="QZS41" s="344"/>
      <c r="QZT41" s="344"/>
      <c r="QZU41" s="344"/>
      <c r="QZV41" s="344"/>
      <c r="QZW41" s="344"/>
      <c r="QZX41" s="344"/>
      <c r="QZY41" s="344"/>
      <c r="QZZ41" s="344"/>
      <c r="RAA41" s="344"/>
      <c r="RAB41" s="344"/>
      <c r="RAC41" s="344"/>
      <c r="RAD41" s="344"/>
      <c r="RAE41" s="344"/>
      <c r="RAF41" s="344"/>
      <c r="RAG41" s="344"/>
      <c r="RAH41" s="344"/>
      <c r="RAI41" s="344"/>
      <c r="RAJ41" s="344"/>
      <c r="RAK41" s="344"/>
      <c r="RAL41" s="344"/>
      <c r="RAM41" s="344"/>
      <c r="RAN41" s="344"/>
      <c r="RAO41" s="344"/>
      <c r="RAP41" s="344"/>
      <c r="RAQ41" s="344"/>
      <c r="RAR41" s="344"/>
      <c r="RAS41" s="344"/>
      <c r="RAT41" s="344"/>
      <c r="RAU41" s="344"/>
      <c r="RAV41" s="344"/>
      <c r="RAW41" s="344"/>
      <c r="RAX41" s="344"/>
      <c r="RAY41" s="344"/>
      <c r="RAZ41" s="344"/>
      <c r="RBA41" s="344"/>
      <c r="RBB41" s="344"/>
      <c r="RBC41" s="344"/>
      <c r="RBD41" s="344"/>
      <c r="RBE41" s="344"/>
      <c r="RBF41" s="344"/>
      <c r="RBG41" s="344"/>
      <c r="RBH41" s="344"/>
      <c r="RBI41" s="344"/>
      <c r="RBJ41" s="344"/>
      <c r="RBK41" s="344"/>
      <c r="RBL41" s="344"/>
      <c r="RBM41" s="344"/>
      <c r="RBN41" s="344"/>
      <c r="RBO41" s="344"/>
      <c r="RBP41" s="344"/>
      <c r="RBQ41" s="344"/>
      <c r="RBR41" s="344"/>
      <c r="RBS41" s="344"/>
      <c r="RBT41" s="344"/>
      <c r="RBU41" s="344"/>
      <c r="RBV41" s="344"/>
      <c r="RBW41" s="344"/>
      <c r="RBX41" s="344"/>
      <c r="RBY41" s="344"/>
      <c r="RBZ41" s="344"/>
      <c r="RCA41" s="344"/>
      <c r="RCB41" s="344"/>
      <c r="RCC41" s="344"/>
      <c r="RCD41" s="344"/>
      <c r="RCE41" s="344"/>
      <c r="RCF41" s="344"/>
      <c r="RCG41" s="344"/>
      <c r="RCH41" s="344"/>
      <c r="RCI41" s="344"/>
      <c r="RCJ41" s="344"/>
      <c r="RCK41" s="344"/>
      <c r="RCL41" s="344"/>
      <c r="RCM41" s="344"/>
      <c r="RCN41" s="344"/>
      <c r="RCO41" s="344"/>
      <c r="RCP41" s="344"/>
      <c r="RCQ41" s="344"/>
      <c r="RCR41" s="344"/>
      <c r="RCS41" s="344"/>
      <c r="RCT41" s="344"/>
      <c r="RCU41" s="344"/>
      <c r="RCV41" s="344"/>
      <c r="RCW41" s="344"/>
      <c r="RCX41" s="344"/>
      <c r="RCY41" s="344"/>
      <c r="RCZ41" s="344"/>
      <c r="RDA41" s="344"/>
      <c r="RDB41" s="344"/>
      <c r="RDC41" s="344"/>
      <c r="RDD41" s="344"/>
      <c r="RDE41" s="344"/>
      <c r="RDF41" s="344"/>
      <c r="RDG41" s="344"/>
      <c r="RDH41" s="344"/>
      <c r="RDI41" s="344"/>
      <c r="RDJ41" s="344"/>
      <c r="RDK41" s="344"/>
      <c r="RDL41" s="344"/>
      <c r="RDM41" s="344"/>
      <c r="RDN41" s="344"/>
      <c r="RDO41" s="344"/>
      <c r="RDP41" s="344"/>
      <c r="RDQ41" s="344"/>
      <c r="RDR41" s="344"/>
      <c r="RDS41" s="344"/>
      <c r="RDT41" s="344"/>
      <c r="RDU41" s="344"/>
      <c r="RDV41" s="344"/>
      <c r="RDW41" s="344"/>
      <c r="RDX41" s="344"/>
      <c r="RDY41" s="344"/>
      <c r="RDZ41" s="344"/>
      <c r="REA41" s="344"/>
      <c r="REB41" s="344"/>
      <c r="REC41" s="344"/>
      <c r="RED41" s="344"/>
      <c r="REE41" s="344"/>
      <c r="REF41" s="344"/>
      <c r="REG41" s="344"/>
      <c r="REH41" s="344"/>
      <c r="REI41" s="344"/>
      <c r="REJ41" s="344"/>
      <c r="REK41" s="344"/>
      <c r="REL41" s="344"/>
      <c r="REM41" s="344"/>
      <c r="REN41" s="344"/>
      <c r="REO41" s="344"/>
      <c r="REP41" s="344"/>
      <c r="REQ41" s="344"/>
      <c r="RER41" s="344"/>
      <c r="RES41" s="344"/>
      <c r="RET41" s="344"/>
      <c r="REU41" s="344"/>
      <c r="REV41" s="344"/>
      <c r="REW41" s="344"/>
      <c r="REX41" s="344"/>
      <c r="REY41" s="344"/>
      <c r="REZ41" s="344"/>
      <c r="RFA41" s="344"/>
      <c r="RFB41" s="344"/>
      <c r="RFC41" s="344"/>
      <c r="RFD41" s="344"/>
      <c r="RFE41" s="344"/>
      <c r="RFF41" s="344"/>
      <c r="RFG41" s="344"/>
      <c r="RFH41" s="344"/>
      <c r="RFI41" s="344"/>
      <c r="RFJ41" s="344"/>
      <c r="RFK41" s="344"/>
      <c r="RFL41" s="344"/>
      <c r="RFM41" s="344"/>
      <c r="RFN41" s="344"/>
      <c r="RFO41" s="344"/>
      <c r="RFP41" s="344"/>
      <c r="RFQ41" s="344"/>
      <c r="RFR41" s="344"/>
      <c r="RFS41" s="344"/>
      <c r="RFT41" s="344"/>
      <c r="RFU41" s="344"/>
      <c r="RFV41" s="344"/>
      <c r="RFW41" s="344"/>
      <c r="RFX41" s="344"/>
      <c r="RFY41" s="344"/>
      <c r="RFZ41" s="344"/>
      <c r="RGA41" s="344"/>
      <c r="RGB41" s="344"/>
      <c r="RGC41" s="344"/>
      <c r="RGD41" s="344"/>
      <c r="RGE41" s="344"/>
      <c r="RGF41" s="344"/>
      <c r="RGG41" s="344"/>
      <c r="RGH41" s="344"/>
      <c r="RGI41" s="344"/>
      <c r="RGJ41" s="344"/>
      <c r="RGK41" s="344"/>
      <c r="RGL41" s="344"/>
      <c r="RGM41" s="344"/>
      <c r="RGN41" s="344"/>
      <c r="RGO41" s="344"/>
      <c r="RGP41" s="344"/>
      <c r="RGQ41" s="344"/>
      <c r="RGR41" s="344"/>
      <c r="RGS41" s="344"/>
      <c r="RGT41" s="344"/>
      <c r="RGU41" s="344"/>
      <c r="RGV41" s="344"/>
      <c r="RGW41" s="344"/>
      <c r="RGX41" s="344"/>
      <c r="RGY41" s="344"/>
      <c r="RGZ41" s="344"/>
      <c r="RHA41" s="344"/>
      <c r="RHB41" s="344"/>
      <c r="RHC41" s="344"/>
      <c r="RHD41" s="344"/>
      <c r="RHE41" s="344"/>
      <c r="RHF41" s="344"/>
      <c r="RHG41" s="344"/>
      <c r="RHH41" s="344"/>
      <c r="RHI41" s="344"/>
      <c r="RHJ41" s="344"/>
      <c r="RHK41" s="344"/>
      <c r="RHL41" s="344"/>
      <c r="RHM41" s="344"/>
      <c r="RHN41" s="344"/>
      <c r="RHO41" s="344"/>
      <c r="RHP41" s="344"/>
      <c r="RHQ41" s="344"/>
      <c r="RHR41" s="344"/>
      <c r="RHS41" s="344"/>
      <c r="RHT41" s="344"/>
      <c r="RHU41" s="344"/>
      <c r="RHV41" s="344"/>
      <c r="RHW41" s="344"/>
      <c r="RHX41" s="344"/>
      <c r="RHY41" s="344"/>
      <c r="RHZ41" s="344"/>
      <c r="RIA41" s="344"/>
      <c r="RIB41" s="344"/>
      <c r="RIC41" s="344"/>
      <c r="RID41" s="344"/>
      <c r="RIE41" s="344"/>
      <c r="RIF41" s="344"/>
      <c r="RIG41" s="344"/>
      <c r="RIH41" s="344"/>
      <c r="RII41" s="344"/>
      <c r="RIJ41" s="344"/>
      <c r="RIK41" s="344"/>
      <c r="RIL41" s="344"/>
      <c r="RIM41" s="344"/>
      <c r="RIN41" s="344"/>
      <c r="RIO41" s="344"/>
      <c r="RIP41" s="344"/>
      <c r="RIQ41" s="344"/>
      <c r="RIR41" s="344"/>
      <c r="RIS41" s="344"/>
      <c r="RIT41" s="344"/>
      <c r="RIU41" s="344"/>
      <c r="RIV41" s="344"/>
      <c r="RIW41" s="344"/>
      <c r="RIX41" s="344"/>
      <c r="RIY41" s="344"/>
      <c r="RIZ41" s="344"/>
      <c r="RJA41" s="344"/>
      <c r="RJB41" s="344"/>
      <c r="RJC41" s="344"/>
      <c r="RJD41" s="344"/>
      <c r="RJE41" s="344"/>
      <c r="RJF41" s="344"/>
      <c r="RJG41" s="344"/>
      <c r="RJH41" s="344"/>
      <c r="RJI41" s="344"/>
      <c r="RJJ41" s="344"/>
      <c r="RJK41" s="344"/>
      <c r="RJL41" s="344"/>
      <c r="RJM41" s="344"/>
      <c r="RJN41" s="344"/>
      <c r="RJO41" s="344"/>
      <c r="RJP41" s="344"/>
      <c r="RJQ41" s="344"/>
      <c r="RJR41" s="344"/>
      <c r="RJS41" s="344"/>
      <c r="RJT41" s="344"/>
      <c r="RJU41" s="344"/>
      <c r="RJV41" s="344"/>
      <c r="RJW41" s="344"/>
      <c r="RJX41" s="344"/>
      <c r="RJY41" s="344"/>
      <c r="RJZ41" s="344"/>
      <c r="RKA41" s="344"/>
      <c r="RKB41" s="344"/>
      <c r="RKC41" s="344"/>
      <c r="RKD41" s="344"/>
      <c r="RKE41" s="344"/>
      <c r="RKF41" s="344"/>
      <c r="RKG41" s="344"/>
      <c r="RKH41" s="344"/>
      <c r="RKI41" s="344"/>
      <c r="RKJ41" s="344"/>
      <c r="RKK41" s="344"/>
      <c r="RKL41" s="344"/>
      <c r="RKM41" s="344"/>
      <c r="RKN41" s="344"/>
      <c r="RKO41" s="344"/>
      <c r="RKP41" s="344"/>
      <c r="RKQ41" s="344"/>
      <c r="RKR41" s="344"/>
      <c r="RKS41" s="344"/>
      <c r="RKT41" s="344"/>
      <c r="RKU41" s="344"/>
      <c r="RKV41" s="344"/>
      <c r="RKW41" s="344"/>
      <c r="RKX41" s="344"/>
      <c r="RKY41" s="344"/>
      <c r="RKZ41" s="344"/>
      <c r="RLA41" s="344"/>
      <c r="RLB41" s="344"/>
      <c r="RLC41" s="344"/>
      <c r="RLD41" s="344"/>
      <c r="RLE41" s="344"/>
      <c r="RLF41" s="344"/>
      <c r="RLG41" s="344"/>
      <c r="RLH41" s="344"/>
      <c r="RLI41" s="344"/>
      <c r="RLJ41" s="344"/>
      <c r="RLK41" s="344"/>
      <c r="RLL41" s="344"/>
      <c r="RLM41" s="344"/>
      <c r="RLN41" s="344"/>
      <c r="RLO41" s="344"/>
      <c r="RLP41" s="344"/>
      <c r="RLQ41" s="344"/>
      <c r="RLR41" s="344"/>
      <c r="RLS41" s="344"/>
      <c r="RLT41" s="344"/>
      <c r="RLU41" s="344"/>
      <c r="RLV41" s="344"/>
      <c r="RLW41" s="344"/>
      <c r="RLX41" s="344"/>
      <c r="RLY41" s="344"/>
      <c r="RLZ41" s="344"/>
      <c r="RMA41" s="344"/>
      <c r="RMB41" s="344"/>
      <c r="RMC41" s="344"/>
      <c r="RMD41" s="344"/>
      <c r="RME41" s="344"/>
      <c r="RMF41" s="344"/>
      <c r="RMG41" s="344"/>
      <c r="RMH41" s="344"/>
      <c r="RMI41" s="344"/>
      <c r="RMJ41" s="344"/>
      <c r="RMK41" s="344"/>
      <c r="RML41" s="344"/>
      <c r="RMM41" s="344"/>
      <c r="RMN41" s="344"/>
      <c r="RMO41" s="344"/>
      <c r="RMP41" s="344"/>
      <c r="RMQ41" s="344"/>
      <c r="RMR41" s="344"/>
      <c r="RMS41" s="344"/>
      <c r="RMT41" s="344"/>
      <c r="RMU41" s="344"/>
      <c r="RMV41" s="344"/>
      <c r="RMW41" s="344"/>
      <c r="RMX41" s="344"/>
      <c r="RMY41" s="344"/>
      <c r="RMZ41" s="344"/>
      <c r="RNA41" s="344"/>
      <c r="RNB41" s="344"/>
      <c r="RNC41" s="344"/>
      <c r="RND41" s="344"/>
      <c r="RNE41" s="344"/>
      <c r="RNF41" s="344"/>
      <c r="RNG41" s="344"/>
      <c r="RNH41" s="344"/>
      <c r="RNI41" s="344"/>
      <c r="RNJ41" s="344"/>
      <c r="RNK41" s="344"/>
      <c r="RNL41" s="344"/>
      <c r="RNM41" s="344"/>
      <c r="RNN41" s="344"/>
      <c r="RNO41" s="344"/>
      <c r="RNP41" s="344"/>
      <c r="RNQ41" s="344"/>
      <c r="RNR41" s="344"/>
      <c r="RNS41" s="344"/>
      <c r="RNT41" s="344"/>
      <c r="RNU41" s="344"/>
      <c r="RNV41" s="344"/>
      <c r="RNW41" s="344"/>
      <c r="RNX41" s="344"/>
      <c r="RNY41" s="344"/>
      <c r="RNZ41" s="344"/>
      <c r="ROA41" s="344"/>
      <c r="ROB41" s="344"/>
      <c r="ROC41" s="344"/>
      <c r="ROD41" s="344"/>
      <c r="ROE41" s="344"/>
      <c r="ROF41" s="344"/>
      <c r="ROG41" s="344"/>
      <c r="ROH41" s="344"/>
      <c r="ROI41" s="344"/>
      <c r="ROJ41" s="344"/>
      <c r="ROK41" s="344"/>
      <c r="ROL41" s="344"/>
      <c r="ROM41" s="344"/>
      <c r="RON41" s="344"/>
      <c r="ROO41" s="344"/>
      <c r="ROP41" s="344"/>
      <c r="ROQ41" s="344"/>
      <c r="ROR41" s="344"/>
      <c r="ROS41" s="344"/>
      <c r="ROT41" s="344"/>
      <c r="ROU41" s="344"/>
      <c r="ROV41" s="344"/>
      <c r="ROW41" s="344"/>
      <c r="ROX41" s="344"/>
      <c r="ROY41" s="344"/>
      <c r="ROZ41" s="344"/>
      <c r="RPA41" s="344"/>
      <c r="RPB41" s="344"/>
      <c r="RPC41" s="344"/>
      <c r="RPD41" s="344"/>
      <c r="RPE41" s="344"/>
      <c r="RPF41" s="344"/>
      <c r="RPG41" s="344"/>
      <c r="RPH41" s="344"/>
      <c r="RPI41" s="344"/>
      <c r="RPJ41" s="344"/>
      <c r="RPK41" s="344"/>
      <c r="RPL41" s="344"/>
      <c r="RPM41" s="344"/>
      <c r="RPN41" s="344"/>
      <c r="RPO41" s="344"/>
      <c r="RPP41" s="344"/>
      <c r="RPQ41" s="344"/>
      <c r="RPR41" s="344"/>
      <c r="RPS41" s="344"/>
      <c r="RPT41" s="344"/>
      <c r="RPU41" s="344"/>
      <c r="RPV41" s="344"/>
      <c r="RPW41" s="344"/>
      <c r="RPX41" s="344"/>
      <c r="RPY41" s="344"/>
      <c r="RPZ41" s="344"/>
      <c r="RQA41" s="344"/>
      <c r="RQB41" s="344"/>
      <c r="RQC41" s="344"/>
      <c r="RQD41" s="344"/>
      <c r="RQE41" s="344"/>
      <c r="RQF41" s="344"/>
      <c r="RQG41" s="344"/>
      <c r="RQH41" s="344"/>
      <c r="RQI41" s="344"/>
      <c r="RQJ41" s="344"/>
      <c r="RQK41" s="344"/>
      <c r="RQL41" s="344"/>
      <c r="RQM41" s="344"/>
      <c r="RQN41" s="344"/>
      <c r="RQO41" s="344"/>
      <c r="RQP41" s="344"/>
      <c r="RQQ41" s="344"/>
      <c r="RQR41" s="344"/>
      <c r="RQS41" s="344"/>
      <c r="RQT41" s="344"/>
      <c r="RQU41" s="344"/>
      <c r="RQV41" s="344"/>
      <c r="RQW41" s="344"/>
      <c r="RQX41" s="344"/>
      <c r="RQY41" s="344"/>
      <c r="RQZ41" s="344"/>
      <c r="RRA41" s="344"/>
      <c r="RRB41" s="344"/>
      <c r="RRC41" s="344"/>
      <c r="RRD41" s="344"/>
      <c r="RRE41" s="344"/>
      <c r="RRF41" s="344"/>
      <c r="RRG41" s="344"/>
      <c r="RRH41" s="344"/>
      <c r="RRI41" s="344"/>
      <c r="RRJ41" s="344"/>
      <c r="RRK41" s="344"/>
      <c r="RRL41" s="344"/>
      <c r="RRM41" s="344"/>
      <c r="RRN41" s="344"/>
      <c r="RRO41" s="344"/>
      <c r="RRP41" s="344"/>
      <c r="RRQ41" s="344"/>
      <c r="RRR41" s="344"/>
      <c r="RRS41" s="344"/>
      <c r="RRT41" s="344"/>
      <c r="RRU41" s="344"/>
      <c r="RRV41" s="344"/>
      <c r="RRW41" s="344"/>
      <c r="RRX41" s="344"/>
      <c r="RRY41" s="344"/>
      <c r="RRZ41" s="344"/>
      <c r="RSA41" s="344"/>
      <c r="RSB41" s="344"/>
      <c r="RSC41" s="344"/>
      <c r="RSD41" s="344"/>
      <c r="RSE41" s="344"/>
      <c r="RSF41" s="344"/>
      <c r="RSG41" s="344"/>
      <c r="RSH41" s="344"/>
      <c r="RSI41" s="344"/>
      <c r="RSJ41" s="344"/>
      <c r="RSK41" s="344"/>
      <c r="RSL41" s="344"/>
      <c r="RSM41" s="344"/>
      <c r="RSN41" s="344"/>
      <c r="RSO41" s="344"/>
      <c r="RSP41" s="344"/>
      <c r="RSQ41" s="344"/>
      <c r="RSR41" s="344"/>
      <c r="RSS41" s="344"/>
      <c r="RST41" s="344"/>
      <c r="RSU41" s="344"/>
      <c r="RSV41" s="344"/>
      <c r="RSW41" s="344"/>
      <c r="RSX41" s="344"/>
      <c r="RSY41" s="344"/>
      <c r="RSZ41" s="344"/>
      <c r="RTA41" s="344"/>
      <c r="RTB41" s="344"/>
      <c r="RTC41" s="344"/>
      <c r="RTD41" s="344"/>
      <c r="RTE41" s="344"/>
      <c r="RTF41" s="344"/>
      <c r="RTG41" s="344"/>
      <c r="RTH41" s="344"/>
      <c r="RTI41" s="344"/>
      <c r="RTJ41" s="344"/>
      <c r="RTK41" s="344"/>
      <c r="RTL41" s="344"/>
      <c r="RTM41" s="344"/>
      <c r="RTN41" s="344"/>
      <c r="RTO41" s="344"/>
      <c r="RTP41" s="344"/>
      <c r="RTQ41" s="344"/>
      <c r="RTR41" s="344"/>
      <c r="RTS41" s="344"/>
      <c r="RTT41" s="344"/>
      <c r="RTU41" s="344"/>
      <c r="RTV41" s="344"/>
      <c r="RTW41" s="344"/>
      <c r="RTX41" s="344"/>
      <c r="RTY41" s="344"/>
      <c r="RTZ41" s="344"/>
      <c r="RUA41" s="344"/>
      <c r="RUB41" s="344"/>
      <c r="RUC41" s="344"/>
      <c r="RUD41" s="344"/>
      <c r="RUE41" s="344"/>
      <c r="RUF41" s="344"/>
      <c r="RUG41" s="344"/>
      <c r="RUH41" s="344"/>
      <c r="RUI41" s="344"/>
      <c r="RUJ41" s="344"/>
      <c r="RUK41" s="344"/>
      <c r="RUL41" s="344"/>
      <c r="RUM41" s="344"/>
      <c r="RUN41" s="344"/>
      <c r="RUO41" s="344"/>
      <c r="RUP41" s="344"/>
      <c r="RUQ41" s="344"/>
      <c r="RUR41" s="344"/>
      <c r="RUS41" s="344"/>
      <c r="RUT41" s="344"/>
      <c r="RUU41" s="344"/>
      <c r="RUV41" s="344"/>
      <c r="RUW41" s="344"/>
      <c r="RUX41" s="344"/>
      <c r="RUY41" s="344"/>
      <c r="RUZ41" s="344"/>
      <c r="RVA41" s="344"/>
      <c r="RVB41" s="344"/>
      <c r="RVC41" s="344"/>
      <c r="RVD41" s="344"/>
      <c r="RVE41" s="344"/>
      <c r="RVF41" s="344"/>
      <c r="RVG41" s="344"/>
      <c r="RVH41" s="344"/>
      <c r="RVI41" s="344"/>
      <c r="RVJ41" s="344"/>
      <c r="RVK41" s="344"/>
      <c r="RVL41" s="344"/>
      <c r="RVM41" s="344"/>
      <c r="RVN41" s="344"/>
      <c r="RVO41" s="344"/>
      <c r="RVP41" s="344"/>
      <c r="RVQ41" s="344"/>
      <c r="RVR41" s="344"/>
      <c r="RVS41" s="344"/>
      <c r="RVT41" s="344"/>
      <c r="RVU41" s="344"/>
      <c r="RVV41" s="344"/>
      <c r="RVW41" s="344"/>
      <c r="RVX41" s="344"/>
      <c r="RVY41" s="344"/>
      <c r="RVZ41" s="344"/>
      <c r="RWA41" s="344"/>
      <c r="RWB41" s="344"/>
      <c r="RWC41" s="344"/>
      <c r="RWD41" s="344"/>
      <c r="RWE41" s="344"/>
      <c r="RWF41" s="344"/>
      <c r="RWG41" s="344"/>
      <c r="RWH41" s="344"/>
      <c r="RWI41" s="344"/>
      <c r="RWJ41" s="344"/>
      <c r="RWK41" s="344"/>
      <c r="RWL41" s="344"/>
      <c r="RWM41" s="344"/>
      <c r="RWN41" s="344"/>
      <c r="RWO41" s="344"/>
      <c r="RWP41" s="344"/>
      <c r="RWQ41" s="344"/>
      <c r="RWR41" s="344"/>
      <c r="RWS41" s="344"/>
      <c r="RWT41" s="344"/>
      <c r="RWU41" s="344"/>
      <c r="RWV41" s="344"/>
      <c r="RWW41" s="344"/>
      <c r="RWX41" s="344"/>
      <c r="RWY41" s="344"/>
      <c r="RWZ41" s="344"/>
      <c r="RXA41" s="344"/>
      <c r="RXB41" s="344"/>
      <c r="RXC41" s="344"/>
      <c r="RXD41" s="344"/>
      <c r="RXE41" s="344"/>
      <c r="RXF41" s="344"/>
      <c r="RXG41" s="344"/>
      <c r="RXH41" s="344"/>
      <c r="RXI41" s="344"/>
      <c r="RXJ41" s="344"/>
      <c r="RXK41" s="344"/>
      <c r="RXL41" s="344"/>
      <c r="RXM41" s="344"/>
      <c r="RXN41" s="344"/>
      <c r="RXO41" s="344"/>
      <c r="RXP41" s="344"/>
      <c r="RXQ41" s="344"/>
      <c r="RXR41" s="344"/>
      <c r="RXS41" s="344"/>
      <c r="RXT41" s="344"/>
      <c r="RXU41" s="344"/>
      <c r="RXV41" s="344"/>
      <c r="RXW41" s="344"/>
      <c r="RXX41" s="344"/>
      <c r="RXY41" s="344"/>
      <c r="RXZ41" s="344"/>
      <c r="RYA41" s="344"/>
      <c r="RYB41" s="344"/>
      <c r="RYC41" s="344"/>
      <c r="RYD41" s="344"/>
      <c r="RYE41" s="344"/>
      <c r="RYF41" s="344"/>
      <c r="RYG41" s="344"/>
      <c r="RYH41" s="344"/>
      <c r="RYI41" s="344"/>
      <c r="RYJ41" s="344"/>
      <c r="RYK41" s="344"/>
      <c r="RYL41" s="344"/>
      <c r="RYM41" s="344"/>
      <c r="RYN41" s="344"/>
      <c r="RYO41" s="344"/>
      <c r="RYP41" s="344"/>
      <c r="RYQ41" s="344"/>
      <c r="RYR41" s="344"/>
      <c r="RYS41" s="344"/>
      <c r="RYT41" s="344"/>
      <c r="RYU41" s="344"/>
      <c r="RYV41" s="344"/>
      <c r="RYW41" s="344"/>
      <c r="RYX41" s="344"/>
      <c r="RYY41" s="344"/>
      <c r="RYZ41" s="344"/>
      <c r="RZA41" s="344"/>
      <c r="RZB41" s="344"/>
      <c r="RZC41" s="344"/>
      <c r="RZD41" s="344"/>
      <c r="RZE41" s="344"/>
      <c r="RZF41" s="344"/>
      <c r="RZG41" s="344"/>
      <c r="RZH41" s="344"/>
      <c r="RZI41" s="344"/>
      <c r="RZJ41" s="344"/>
      <c r="RZK41" s="344"/>
      <c r="RZL41" s="344"/>
      <c r="RZM41" s="344"/>
      <c r="RZN41" s="344"/>
      <c r="RZO41" s="344"/>
      <c r="RZP41" s="344"/>
      <c r="RZQ41" s="344"/>
      <c r="RZR41" s="344"/>
      <c r="RZS41" s="344"/>
      <c r="RZT41" s="344"/>
      <c r="RZU41" s="344"/>
      <c r="RZV41" s="344"/>
      <c r="RZW41" s="344"/>
      <c r="RZX41" s="344"/>
      <c r="RZY41" s="344"/>
      <c r="RZZ41" s="344"/>
      <c r="SAA41" s="344"/>
      <c r="SAB41" s="344"/>
      <c r="SAC41" s="344"/>
      <c r="SAD41" s="344"/>
      <c r="SAE41" s="344"/>
      <c r="SAF41" s="344"/>
      <c r="SAG41" s="344"/>
      <c r="SAH41" s="344"/>
      <c r="SAI41" s="344"/>
      <c r="SAJ41" s="344"/>
      <c r="SAK41" s="344"/>
      <c r="SAL41" s="344"/>
      <c r="SAM41" s="344"/>
      <c r="SAN41" s="344"/>
      <c r="SAO41" s="344"/>
      <c r="SAP41" s="344"/>
      <c r="SAQ41" s="344"/>
      <c r="SAR41" s="344"/>
      <c r="SAS41" s="344"/>
      <c r="SAT41" s="344"/>
      <c r="SAU41" s="344"/>
      <c r="SAV41" s="344"/>
      <c r="SAW41" s="344"/>
      <c r="SAX41" s="344"/>
      <c r="SAY41" s="344"/>
      <c r="SAZ41" s="344"/>
      <c r="SBA41" s="344"/>
      <c r="SBB41" s="344"/>
      <c r="SBC41" s="344"/>
      <c r="SBD41" s="344"/>
      <c r="SBE41" s="344"/>
      <c r="SBF41" s="344"/>
      <c r="SBG41" s="344"/>
      <c r="SBH41" s="344"/>
      <c r="SBI41" s="344"/>
      <c r="SBJ41" s="344"/>
      <c r="SBK41" s="344"/>
      <c r="SBL41" s="344"/>
      <c r="SBM41" s="344"/>
      <c r="SBN41" s="344"/>
      <c r="SBO41" s="344"/>
      <c r="SBP41" s="344"/>
      <c r="SBQ41" s="344"/>
      <c r="SBR41" s="344"/>
      <c r="SBS41" s="344"/>
      <c r="SBT41" s="344"/>
      <c r="SBU41" s="344"/>
      <c r="SBV41" s="344"/>
      <c r="SBW41" s="344"/>
      <c r="SBX41" s="344"/>
      <c r="SBY41" s="344"/>
      <c r="SBZ41" s="344"/>
      <c r="SCA41" s="344"/>
      <c r="SCB41" s="344"/>
      <c r="SCC41" s="344"/>
      <c r="SCD41" s="344"/>
      <c r="SCE41" s="344"/>
      <c r="SCF41" s="344"/>
      <c r="SCG41" s="344"/>
      <c r="SCH41" s="344"/>
      <c r="SCI41" s="344"/>
      <c r="SCJ41" s="344"/>
      <c r="SCK41" s="344"/>
      <c r="SCL41" s="344"/>
      <c r="SCM41" s="344"/>
      <c r="SCN41" s="344"/>
      <c r="SCO41" s="344"/>
      <c r="SCP41" s="344"/>
      <c r="SCQ41" s="344"/>
      <c r="SCR41" s="344"/>
      <c r="SCS41" s="344"/>
      <c r="SCT41" s="344"/>
      <c r="SCU41" s="344"/>
      <c r="SCV41" s="344"/>
      <c r="SCW41" s="344"/>
      <c r="SCX41" s="344"/>
      <c r="SCY41" s="344"/>
      <c r="SCZ41" s="344"/>
      <c r="SDA41" s="344"/>
      <c r="SDB41" s="344"/>
      <c r="SDC41" s="344"/>
      <c r="SDD41" s="344"/>
      <c r="SDE41" s="344"/>
      <c r="SDF41" s="344"/>
      <c r="SDG41" s="344"/>
      <c r="SDH41" s="344"/>
      <c r="SDI41" s="344"/>
      <c r="SDJ41" s="344"/>
      <c r="SDK41" s="344"/>
      <c r="SDL41" s="344"/>
      <c r="SDM41" s="344"/>
      <c r="SDN41" s="344"/>
      <c r="SDO41" s="344"/>
      <c r="SDP41" s="344"/>
      <c r="SDQ41" s="344"/>
      <c r="SDR41" s="344"/>
      <c r="SDS41" s="344"/>
      <c r="SDT41" s="344"/>
      <c r="SDU41" s="344"/>
      <c r="SDV41" s="344"/>
      <c r="SDW41" s="344"/>
      <c r="SDX41" s="344"/>
      <c r="SDY41" s="344"/>
      <c r="SDZ41" s="344"/>
      <c r="SEA41" s="344"/>
      <c r="SEB41" s="344"/>
      <c r="SEC41" s="344"/>
      <c r="SED41" s="344"/>
      <c r="SEE41" s="344"/>
      <c r="SEF41" s="344"/>
      <c r="SEG41" s="344"/>
      <c r="SEH41" s="344"/>
      <c r="SEI41" s="344"/>
      <c r="SEJ41" s="344"/>
      <c r="SEK41" s="344"/>
      <c r="SEL41" s="344"/>
      <c r="SEM41" s="344"/>
      <c r="SEN41" s="344"/>
      <c r="SEO41" s="344"/>
      <c r="SEP41" s="344"/>
      <c r="SEQ41" s="344"/>
      <c r="SER41" s="344"/>
      <c r="SES41" s="344"/>
      <c r="SET41" s="344"/>
      <c r="SEU41" s="344"/>
      <c r="SEV41" s="344"/>
      <c r="SEW41" s="344"/>
      <c r="SEX41" s="344"/>
      <c r="SEY41" s="344"/>
      <c r="SEZ41" s="344"/>
      <c r="SFA41" s="344"/>
      <c r="SFB41" s="344"/>
      <c r="SFC41" s="344"/>
      <c r="SFD41" s="344"/>
      <c r="SFE41" s="344"/>
      <c r="SFF41" s="344"/>
      <c r="SFG41" s="344"/>
      <c r="SFH41" s="344"/>
      <c r="SFI41" s="344"/>
      <c r="SFJ41" s="344"/>
      <c r="SFK41" s="344"/>
      <c r="SFL41" s="344"/>
      <c r="SFM41" s="344"/>
      <c r="SFN41" s="344"/>
      <c r="SFO41" s="344"/>
      <c r="SFP41" s="344"/>
      <c r="SFQ41" s="344"/>
      <c r="SFR41" s="344"/>
      <c r="SFS41" s="344"/>
      <c r="SFT41" s="344"/>
      <c r="SFU41" s="344"/>
      <c r="SFV41" s="344"/>
      <c r="SFW41" s="344"/>
      <c r="SFX41" s="344"/>
      <c r="SFY41" s="344"/>
      <c r="SFZ41" s="344"/>
      <c r="SGA41" s="344"/>
      <c r="SGB41" s="344"/>
      <c r="SGC41" s="344"/>
      <c r="SGD41" s="344"/>
      <c r="SGE41" s="344"/>
      <c r="SGF41" s="344"/>
      <c r="SGG41" s="344"/>
      <c r="SGH41" s="344"/>
      <c r="SGI41" s="344"/>
      <c r="SGJ41" s="344"/>
      <c r="SGK41" s="344"/>
      <c r="SGL41" s="344"/>
      <c r="SGM41" s="344"/>
      <c r="SGN41" s="344"/>
      <c r="SGO41" s="344"/>
      <c r="SGP41" s="344"/>
      <c r="SGQ41" s="344"/>
      <c r="SGR41" s="344"/>
      <c r="SGS41" s="344"/>
      <c r="SGT41" s="344"/>
      <c r="SGU41" s="344"/>
      <c r="SGV41" s="344"/>
      <c r="SGW41" s="344"/>
      <c r="SGX41" s="344"/>
      <c r="SGY41" s="344"/>
      <c r="SGZ41" s="344"/>
      <c r="SHA41" s="344"/>
      <c r="SHB41" s="344"/>
      <c r="SHC41" s="344"/>
      <c r="SHD41" s="344"/>
      <c r="SHE41" s="344"/>
      <c r="SHF41" s="344"/>
      <c r="SHG41" s="344"/>
      <c r="SHH41" s="344"/>
      <c r="SHI41" s="344"/>
      <c r="SHJ41" s="344"/>
      <c r="SHK41" s="344"/>
      <c r="SHL41" s="344"/>
      <c r="SHM41" s="344"/>
      <c r="SHN41" s="344"/>
      <c r="SHO41" s="344"/>
      <c r="SHP41" s="344"/>
      <c r="SHQ41" s="344"/>
      <c r="SHR41" s="344"/>
      <c r="SHS41" s="344"/>
      <c r="SHT41" s="344"/>
      <c r="SHU41" s="344"/>
      <c r="SHV41" s="344"/>
      <c r="SHW41" s="344"/>
      <c r="SHX41" s="344"/>
      <c r="SHY41" s="344"/>
      <c r="SHZ41" s="344"/>
      <c r="SIA41" s="344"/>
      <c r="SIB41" s="344"/>
      <c r="SIC41" s="344"/>
      <c r="SID41" s="344"/>
      <c r="SIE41" s="344"/>
      <c r="SIF41" s="344"/>
      <c r="SIG41" s="344"/>
      <c r="SIH41" s="344"/>
      <c r="SII41" s="344"/>
      <c r="SIJ41" s="344"/>
      <c r="SIK41" s="344"/>
      <c r="SIL41" s="344"/>
      <c r="SIM41" s="344"/>
      <c r="SIN41" s="344"/>
      <c r="SIO41" s="344"/>
      <c r="SIP41" s="344"/>
      <c r="SIQ41" s="344"/>
      <c r="SIR41" s="344"/>
      <c r="SIS41" s="344"/>
      <c r="SIT41" s="344"/>
      <c r="SIU41" s="344"/>
      <c r="SIV41" s="344"/>
      <c r="SIW41" s="344"/>
      <c r="SIX41" s="344"/>
      <c r="SIY41" s="344"/>
      <c r="SIZ41" s="344"/>
      <c r="SJA41" s="344"/>
      <c r="SJB41" s="344"/>
      <c r="SJC41" s="344"/>
      <c r="SJD41" s="344"/>
      <c r="SJE41" s="344"/>
      <c r="SJF41" s="344"/>
      <c r="SJG41" s="344"/>
      <c r="SJH41" s="344"/>
      <c r="SJI41" s="344"/>
      <c r="SJJ41" s="344"/>
      <c r="SJK41" s="344"/>
      <c r="SJL41" s="344"/>
      <c r="SJM41" s="344"/>
      <c r="SJN41" s="344"/>
      <c r="SJO41" s="344"/>
      <c r="SJP41" s="344"/>
      <c r="SJQ41" s="344"/>
      <c r="SJR41" s="344"/>
      <c r="SJS41" s="344"/>
      <c r="SJT41" s="344"/>
      <c r="SJU41" s="344"/>
      <c r="SJV41" s="344"/>
      <c r="SJW41" s="344"/>
      <c r="SJX41" s="344"/>
      <c r="SJY41" s="344"/>
      <c r="SJZ41" s="344"/>
      <c r="SKA41" s="344"/>
      <c r="SKB41" s="344"/>
      <c r="SKC41" s="344"/>
      <c r="SKD41" s="344"/>
      <c r="SKE41" s="344"/>
      <c r="SKF41" s="344"/>
      <c r="SKG41" s="344"/>
      <c r="SKH41" s="344"/>
      <c r="SKI41" s="344"/>
      <c r="SKJ41" s="344"/>
      <c r="SKK41" s="344"/>
      <c r="SKL41" s="344"/>
      <c r="SKM41" s="344"/>
      <c r="SKN41" s="344"/>
      <c r="SKO41" s="344"/>
      <c r="SKP41" s="344"/>
      <c r="SKQ41" s="344"/>
      <c r="SKR41" s="344"/>
      <c r="SKS41" s="344"/>
      <c r="SKT41" s="344"/>
      <c r="SKU41" s="344"/>
      <c r="SKV41" s="344"/>
      <c r="SKW41" s="344"/>
      <c r="SKX41" s="344"/>
      <c r="SKY41" s="344"/>
      <c r="SKZ41" s="344"/>
      <c r="SLA41" s="344"/>
      <c r="SLB41" s="344"/>
      <c r="SLC41" s="344"/>
      <c r="SLD41" s="344"/>
      <c r="SLE41" s="344"/>
      <c r="SLF41" s="344"/>
      <c r="SLG41" s="344"/>
      <c r="SLH41" s="344"/>
      <c r="SLI41" s="344"/>
      <c r="SLJ41" s="344"/>
      <c r="SLK41" s="344"/>
      <c r="SLL41" s="344"/>
      <c r="SLM41" s="344"/>
      <c r="SLN41" s="344"/>
      <c r="SLO41" s="344"/>
      <c r="SLP41" s="344"/>
      <c r="SLQ41" s="344"/>
      <c r="SLR41" s="344"/>
      <c r="SLS41" s="344"/>
      <c r="SLT41" s="344"/>
      <c r="SLU41" s="344"/>
      <c r="SLV41" s="344"/>
      <c r="SLW41" s="344"/>
      <c r="SLX41" s="344"/>
      <c r="SLY41" s="344"/>
      <c r="SLZ41" s="344"/>
      <c r="SMA41" s="344"/>
      <c r="SMB41" s="344"/>
      <c r="SMC41" s="344"/>
      <c r="SMD41" s="344"/>
      <c r="SME41" s="344"/>
      <c r="SMF41" s="344"/>
      <c r="SMG41" s="344"/>
      <c r="SMH41" s="344"/>
      <c r="SMI41" s="344"/>
      <c r="SMJ41" s="344"/>
      <c r="SMK41" s="344"/>
      <c r="SML41" s="344"/>
      <c r="SMM41" s="344"/>
      <c r="SMN41" s="344"/>
      <c r="SMO41" s="344"/>
      <c r="SMP41" s="344"/>
      <c r="SMQ41" s="344"/>
      <c r="SMR41" s="344"/>
      <c r="SMS41" s="344"/>
      <c r="SMT41" s="344"/>
      <c r="SMU41" s="344"/>
      <c r="SMV41" s="344"/>
      <c r="SMW41" s="344"/>
      <c r="SMX41" s="344"/>
      <c r="SMY41" s="344"/>
      <c r="SMZ41" s="344"/>
      <c r="SNA41" s="344"/>
      <c r="SNB41" s="344"/>
      <c r="SNC41" s="344"/>
      <c r="SND41" s="344"/>
      <c r="SNE41" s="344"/>
      <c r="SNF41" s="344"/>
      <c r="SNG41" s="344"/>
      <c r="SNH41" s="344"/>
      <c r="SNI41" s="344"/>
      <c r="SNJ41" s="344"/>
      <c r="SNK41" s="344"/>
      <c r="SNL41" s="344"/>
      <c r="SNM41" s="344"/>
      <c r="SNN41" s="344"/>
      <c r="SNO41" s="344"/>
      <c r="SNP41" s="344"/>
      <c r="SNQ41" s="344"/>
      <c r="SNR41" s="344"/>
      <c r="SNS41" s="344"/>
      <c r="SNT41" s="344"/>
      <c r="SNU41" s="344"/>
      <c r="SNV41" s="344"/>
      <c r="SNW41" s="344"/>
      <c r="SNX41" s="344"/>
      <c r="SNY41" s="344"/>
      <c r="SNZ41" s="344"/>
      <c r="SOA41" s="344"/>
      <c r="SOB41" s="344"/>
      <c r="SOC41" s="344"/>
      <c r="SOD41" s="344"/>
      <c r="SOE41" s="344"/>
      <c r="SOF41" s="344"/>
      <c r="SOG41" s="344"/>
      <c r="SOH41" s="344"/>
      <c r="SOI41" s="344"/>
      <c r="SOJ41" s="344"/>
      <c r="SOK41" s="344"/>
      <c r="SOL41" s="344"/>
      <c r="SOM41" s="344"/>
      <c r="SON41" s="344"/>
      <c r="SOO41" s="344"/>
      <c r="SOP41" s="344"/>
      <c r="SOQ41" s="344"/>
      <c r="SOR41" s="344"/>
      <c r="SOS41" s="344"/>
      <c r="SOT41" s="344"/>
      <c r="SOU41" s="344"/>
      <c r="SOV41" s="344"/>
      <c r="SOW41" s="344"/>
      <c r="SOX41" s="344"/>
      <c r="SOY41" s="344"/>
      <c r="SOZ41" s="344"/>
      <c r="SPA41" s="344"/>
      <c r="SPB41" s="344"/>
      <c r="SPC41" s="344"/>
      <c r="SPD41" s="344"/>
      <c r="SPE41" s="344"/>
      <c r="SPF41" s="344"/>
      <c r="SPG41" s="344"/>
      <c r="SPH41" s="344"/>
      <c r="SPI41" s="344"/>
      <c r="SPJ41" s="344"/>
      <c r="SPK41" s="344"/>
      <c r="SPL41" s="344"/>
      <c r="SPM41" s="344"/>
      <c r="SPN41" s="344"/>
      <c r="SPO41" s="344"/>
      <c r="SPP41" s="344"/>
      <c r="SPQ41" s="344"/>
      <c r="SPR41" s="344"/>
      <c r="SPS41" s="344"/>
      <c r="SPT41" s="344"/>
      <c r="SPU41" s="344"/>
      <c r="SPV41" s="344"/>
      <c r="SPW41" s="344"/>
      <c r="SPX41" s="344"/>
      <c r="SPY41" s="344"/>
      <c r="SPZ41" s="344"/>
      <c r="SQA41" s="344"/>
      <c r="SQB41" s="344"/>
      <c r="SQC41" s="344"/>
      <c r="SQD41" s="344"/>
      <c r="SQE41" s="344"/>
      <c r="SQF41" s="344"/>
      <c r="SQG41" s="344"/>
      <c r="SQH41" s="344"/>
      <c r="SQI41" s="344"/>
      <c r="SQJ41" s="344"/>
      <c r="SQK41" s="344"/>
      <c r="SQL41" s="344"/>
      <c r="SQM41" s="344"/>
      <c r="SQN41" s="344"/>
      <c r="SQO41" s="344"/>
      <c r="SQP41" s="344"/>
      <c r="SQQ41" s="344"/>
      <c r="SQR41" s="344"/>
      <c r="SQS41" s="344"/>
      <c r="SQT41" s="344"/>
      <c r="SQU41" s="344"/>
      <c r="SQV41" s="344"/>
      <c r="SQW41" s="344"/>
      <c r="SQX41" s="344"/>
      <c r="SQY41" s="344"/>
      <c r="SQZ41" s="344"/>
      <c r="SRA41" s="344"/>
      <c r="SRB41" s="344"/>
      <c r="SRC41" s="344"/>
      <c r="SRD41" s="344"/>
      <c r="SRE41" s="344"/>
      <c r="SRF41" s="344"/>
      <c r="SRG41" s="344"/>
      <c r="SRH41" s="344"/>
      <c r="SRI41" s="344"/>
      <c r="SRJ41" s="344"/>
      <c r="SRK41" s="344"/>
      <c r="SRL41" s="344"/>
      <c r="SRM41" s="344"/>
      <c r="SRN41" s="344"/>
      <c r="SRO41" s="344"/>
      <c r="SRP41" s="344"/>
      <c r="SRQ41" s="344"/>
      <c r="SRR41" s="344"/>
      <c r="SRS41" s="344"/>
      <c r="SRT41" s="344"/>
      <c r="SRU41" s="344"/>
      <c r="SRV41" s="344"/>
      <c r="SRW41" s="344"/>
      <c r="SRX41" s="344"/>
      <c r="SRY41" s="344"/>
      <c r="SRZ41" s="344"/>
      <c r="SSA41" s="344"/>
      <c r="SSB41" s="344"/>
      <c r="SSC41" s="344"/>
      <c r="SSD41" s="344"/>
      <c r="SSE41" s="344"/>
      <c r="SSF41" s="344"/>
      <c r="SSG41" s="344"/>
      <c r="SSH41" s="344"/>
      <c r="SSI41" s="344"/>
      <c r="SSJ41" s="344"/>
      <c r="SSK41" s="344"/>
      <c r="SSL41" s="344"/>
      <c r="SSM41" s="344"/>
      <c r="SSN41" s="344"/>
      <c r="SSO41" s="344"/>
      <c r="SSP41" s="344"/>
      <c r="SSQ41" s="344"/>
      <c r="SSR41" s="344"/>
      <c r="SSS41" s="344"/>
      <c r="SST41" s="344"/>
      <c r="SSU41" s="344"/>
      <c r="SSV41" s="344"/>
      <c r="SSW41" s="344"/>
      <c r="SSX41" s="344"/>
      <c r="SSY41" s="344"/>
      <c r="SSZ41" s="344"/>
      <c r="STA41" s="344"/>
      <c r="STB41" s="344"/>
      <c r="STC41" s="344"/>
      <c r="STD41" s="344"/>
      <c r="STE41" s="344"/>
      <c r="STF41" s="344"/>
      <c r="STG41" s="344"/>
      <c r="STH41" s="344"/>
      <c r="STI41" s="344"/>
      <c r="STJ41" s="344"/>
      <c r="STK41" s="344"/>
      <c r="STL41" s="344"/>
      <c r="STM41" s="344"/>
      <c r="STN41" s="344"/>
      <c r="STO41" s="344"/>
      <c r="STP41" s="344"/>
      <c r="STQ41" s="344"/>
      <c r="STR41" s="344"/>
      <c r="STS41" s="344"/>
      <c r="STT41" s="344"/>
      <c r="STU41" s="344"/>
      <c r="STV41" s="344"/>
      <c r="STW41" s="344"/>
      <c r="STX41" s="344"/>
      <c r="STY41" s="344"/>
      <c r="STZ41" s="344"/>
      <c r="SUA41" s="344"/>
      <c r="SUB41" s="344"/>
      <c r="SUC41" s="344"/>
      <c r="SUD41" s="344"/>
      <c r="SUE41" s="344"/>
      <c r="SUF41" s="344"/>
      <c r="SUG41" s="344"/>
      <c r="SUH41" s="344"/>
      <c r="SUI41" s="344"/>
      <c r="SUJ41" s="344"/>
      <c r="SUK41" s="344"/>
      <c r="SUL41" s="344"/>
      <c r="SUM41" s="344"/>
      <c r="SUN41" s="344"/>
      <c r="SUO41" s="344"/>
      <c r="SUP41" s="344"/>
      <c r="SUQ41" s="344"/>
      <c r="SUR41" s="344"/>
      <c r="SUS41" s="344"/>
      <c r="SUT41" s="344"/>
      <c r="SUU41" s="344"/>
      <c r="SUV41" s="344"/>
      <c r="SUW41" s="344"/>
      <c r="SUX41" s="344"/>
      <c r="SUY41" s="344"/>
      <c r="SUZ41" s="344"/>
      <c r="SVA41" s="344"/>
      <c r="SVB41" s="344"/>
      <c r="SVC41" s="344"/>
      <c r="SVD41" s="344"/>
      <c r="SVE41" s="344"/>
      <c r="SVF41" s="344"/>
      <c r="SVG41" s="344"/>
      <c r="SVH41" s="344"/>
      <c r="SVI41" s="344"/>
      <c r="SVJ41" s="344"/>
      <c r="SVK41" s="344"/>
      <c r="SVL41" s="344"/>
      <c r="SVM41" s="344"/>
      <c r="SVN41" s="344"/>
      <c r="SVO41" s="344"/>
      <c r="SVP41" s="344"/>
      <c r="SVQ41" s="344"/>
      <c r="SVR41" s="344"/>
      <c r="SVS41" s="344"/>
      <c r="SVT41" s="344"/>
      <c r="SVU41" s="344"/>
      <c r="SVV41" s="344"/>
      <c r="SVW41" s="344"/>
      <c r="SVX41" s="344"/>
      <c r="SVY41" s="344"/>
      <c r="SVZ41" s="344"/>
      <c r="SWA41" s="344"/>
      <c r="SWB41" s="344"/>
      <c r="SWC41" s="344"/>
      <c r="SWD41" s="344"/>
      <c r="SWE41" s="344"/>
      <c r="SWF41" s="344"/>
      <c r="SWG41" s="344"/>
      <c r="SWH41" s="344"/>
      <c r="SWI41" s="344"/>
      <c r="SWJ41" s="344"/>
      <c r="SWK41" s="344"/>
      <c r="SWL41" s="344"/>
      <c r="SWM41" s="344"/>
      <c r="SWN41" s="344"/>
      <c r="SWO41" s="344"/>
      <c r="SWP41" s="344"/>
      <c r="SWQ41" s="344"/>
      <c r="SWR41" s="344"/>
      <c r="SWS41" s="344"/>
      <c r="SWT41" s="344"/>
      <c r="SWU41" s="344"/>
      <c r="SWV41" s="344"/>
      <c r="SWW41" s="344"/>
      <c r="SWX41" s="344"/>
      <c r="SWY41" s="344"/>
      <c r="SWZ41" s="344"/>
      <c r="SXA41" s="344"/>
      <c r="SXB41" s="344"/>
      <c r="SXC41" s="344"/>
      <c r="SXD41" s="344"/>
      <c r="SXE41" s="344"/>
      <c r="SXF41" s="344"/>
      <c r="SXG41" s="344"/>
      <c r="SXH41" s="344"/>
      <c r="SXI41" s="344"/>
      <c r="SXJ41" s="344"/>
      <c r="SXK41" s="344"/>
      <c r="SXL41" s="344"/>
      <c r="SXM41" s="344"/>
      <c r="SXN41" s="344"/>
      <c r="SXO41" s="344"/>
      <c r="SXP41" s="344"/>
      <c r="SXQ41" s="344"/>
      <c r="SXR41" s="344"/>
      <c r="SXS41" s="344"/>
      <c r="SXT41" s="344"/>
      <c r="SXU41" s="344"/>
      <c r="SXV41" s="344"/>
      <c r="SXW41" s="344"/>
      <c r="SXX41" s="344"/>
      <c r="SXY41" s="344"/>
      <c r="SXZ41" s="344"/>
      <c r="SYA41" s="344"/>
      <c r="SYB41" s="344"/>
      <c r="SYC41" s="344"/>
      <c r="SYD41" s="344"/>
      <c r="SYE41" s="344"/>
      <c r="SYF41" s="344"/>
      <c r="SYG41" s="344"/>
      <c r="SYH41" s="344"/>
      <c r="SYI41" s="344"/>
      <c r="SYJ41" s="344"/>
      <c r="SYK41" s="344"/>
      <c r="SYL41" s="344"/>
      <c r="SYM41" s="344"/>
      <c r="SYN41" s="344"/>
      <c r="SYO41" s="344"/>
      <c r="SYP41" s="344"/>
      <c r="SYQ41" s="344"/>
      <c r="SYR41" s="344"/>
      <c r="SYS41" s="344"/>
      <c r="SYT41" s="344"/>
      <c r="SYU41" s="344"/>
      <c r="SYV41" s="344"/>
      <c r="SYW41" s="344"/>
      <c r="SYX41" s="344"/>
      <c r="SYY41" s="344"/>
      <c r="SYZ41" s="344"/>
      <c r="SZA41" s="344"/>
      <c r="SZB41" s="344"/>
      <c r="SZC41" s="344"/>
      <c r="SZD41" s="344"/>
      <c r="SZE41" s="344"/>
      <c r="SZF41" s="344"/>
      <c r="SZG41" s="344"/>
      <c r="SZH41" s="344"/>
      <c r="SZI41" s="344"/>
      <c r="SZJ41" s="344"/>
      <c r="SZK41" s="344"/>
      <c r="SZL41" s="344"/>
      <c r="SZM41" s="344"/>
      <c r="SZN41" s="344"/>
      <c r="SZO41" s="344"/>
      <c r="SZP41" s="344"/>
      <c r="SZQ41" s="344"/>
      <c r="SZR41" s="344"/>
      <c r="SZS41" s="344"/>
      <c r="SZT41" s="344"/>
      <c r="SZU41" s="344"/>
      <c r="SZV41" s="344"/>
      <c r="SZW41" s="344"/>
      <c r="SZX41" s="344"/>
      <c r="SZY41" s="344"/>
      <c r="SZZ41" s="344"/>
      <c r="TAA41" s="344"/>
      <c r="TAB41" s="344"/>
      <c r="TAC41" s="344"/>
      <c r="TAD41" s="344"/>
      <c r="TAE41" s="344"/>
      <c r="TAF41" s="344"/>
      <c r="TAG41" s="344"/>
      <c r="TAH41" s="344"/>
      <c r="TAI41" s="344"/>
      <c r="TAJ41" s="344"/>
      <c r="TAK41" s="344"/>
      <c r="TAL41" s="344"/>
      <c r="TAM41" s="344"/>
      <c r="TAN41" s="344"/>
      <c r="TAO41" s="344"/>
      <c r="TAP41" s="344"/>
      <c r="TAQ41" s="344"/>
      <c r="TAR41" s="344"/>
      <c r="TAS41" s="344"/>
      <c r="TAT41" s="344"/>
      <c r="TAU41" s="344"/>
      <c r="TAV41" s="344"/>
      <c r="TAW41" s="344"/>
      <c r="TAX41" s="344"/>
      <c r="TAY41" s="344"/>
      <c r="TAZ41" s="344"/>
      <c r="TBA41" s="344"/>
      <c r="TBB41" s="344"/>
      <c r="TBC41" s="344"/>
      <c r="TBD41" s="344"/>
      <c r="TBE41" s="344"/>
      <c r="TBF41" s="344"/>
      <c r="TBG41" s="344"/>
      <c r="TBH41" s="344"/>
      <c r="TBI41" s="344"/>
      <c r="TBJ41" s="344"/>
      <c r="TBK41" s="344"/>
      <c r="TBL41" s="344"/>
      <c r="TBM41" s="344"/>
      <c r="TBN41" s="344"/>
      <c r="TBO41" s="344"/>
      <c r="TBP41" s="344"/>
      <c r="TBQ41" s="344"/>
      <c r="TBR41" s="344"/>
      <c r="TBS41" s="344"/>
      <c r="TBT41" s="344"/>
      <c r="TBU41" s="344"/>
      <c r="TBV41" s="344"/>
      <c r="TBW41" s="344"/>
      <c r="TBX41" s="344"/>
      <c r="TBY41" s="344"/>
      <c r="TBZ41" s="344"/>
      <c r="TCA41" s="344"/>
      <c r="TCB41" s="344"/>
      <c r="TCC41" s="344"/>
      <c r="TCD41" s="344"/>
      <c r="TCE41" s="344"/>
      <c r="TCF41" s="344"/>
      <c r="TCG41" s="344"/>
      <c r="TCH41" s="344"/>
      <c r="TCI41" s="344"/>
      <c r="TCJ41" s="344"/>
      <c r="TCK41" s="344"/>
      <c r="TCL41" s="344"/>
      <c r="TCM41" s="344"/>
      <c r="TCN41" s="344"/>
      <c r="TCO41" s="344"/>
      <c r="TCP41" s="344"/>
      <c r="TCQ41" s="344"/>
      <c r="TCR41" s="344"/>
      <c r="TCS41" s="344"/>
      <c r="TCT41" s="344"/>
      <c r="TCU41" s="344"/>
      <c r="TCV41" s="344"/>
      <c r="TCW41" s="344"/>
      <c r="TCX41" s="344"/>
      <c r="TCY41" s="344"/>
      <c r="TCZ41" s="344"/>
      <c r="TDA41" s="344"/>
      <c r="TDB41" s="344"/>
      <c r="TDC41" s="344"/>
      <c r="TDD41" s="344"/>
      <c r="TDE41" s="344"/>
      <c r="TDF41" s="344"/>
      <c r="TDG41" s="344"/>
      <c r="TDH41" s="344"/>
      <c r="TDI41" s="344"/>
      <c r="TDJ41" s="344"/>
      <c r="TDK41" s="344"/>
      <c r="TDL41" s="344"/>
      <c r="TDM41" s="344"/>
      <c r="TDN41" s="344"/>
      <c r="TDO41" s="344"/>
      <c r="TDP41" s="344"/>
      <c r="TDQ41" s="344"/>
      <c r="TDR41" s="344"/>
      <c r="TDS41" s="344"/>
      <c r="TDT41" s="344"/>
      <c r="TDU41" s="344"/>
      <c r="TDV41" s="344"/>
      <c r="TDW41" s="344"/>
      <c r="TDX41" s="344"/>
      <c r="TDY41" s="344"/>
      <c r="TDZ41" s="344"/>
      <c r="TEA41" s="344"/>
      <c r="TEB41" s="344"/>
      <c r="TEC41" s="344"/>
      <c r="TED41" s="344"/>
      <c r="TEE41" s="344"/>
      <c r="TEF41" s="344"/>
      <c r="TEG41" s="344"/>
      <c r="TEH41" s="344"/>
      <c r="TEI41" s="344"/>
      <c r="TEJ41" s="344"/>
      <c r="TEK41" s="344"/>
      <c r="TEL41" s="344"/>
      <c r="TEM41" s="344"/>
      <c r="TEN41" s="344"/>
      <c r="TEO41" s="344"/>
      <c r="TEP41" s="344"/>
      <c r="TEQ41" s="344"/>
      <c r="TER41" s="344"/>
      <c r="TES41" s="344"/>
      <c r="TET41" s="344"/>
      <c r="TEU41" s="344"/>
      <c r="TEV41" s="344"/>
      <c r="TEW41" s="344"/>
      <c r="TEX41" s="344"/>
      <c r="TEY41" s="344"/>
      <c r="TEZ41" s="344"/>
      <c r="TFA41" s="344"/>
      <c r="TFB41" s="344"/>
      <c r="TFC41" s="344"/>
      <c r="TFD41" s="344"/>
      <c r="TFE41" s="344"/>
      <c r="TFF41" s="344"/>
      <c r="TFG41" s="344"/>
      <c r="TFH41" s="344"/>
      <c r="TFI41" s="344"/>
      <c r="TFJ41" s="344"/>
      <c r="TFK41" s="344"/>
      <c r="TFL41" s="344"/>
      <c r="TFM41" s="344"/>
      <c r="TFN41" s="344"/>
      <c r="TFO41" s="344"/>
      <c r="TFP41" s="344"/>
      <c r="TFQ41" s="344"/>
      <c r="TFR41" s="344"/>
      <c r="TFS41" s="344"/>
      <c r="TFT41" s="344"/>
      <c r="TFU41" s="344"/>
      <c r="TFV41" s="344"/>
      <c r="TFW41" s="344"/>
      <c r="TFX41" s="344"/>
      <c r="TFY41" s="344"/>
      <c r="TFZ41" s="344"/>
      <c r="TGA41" s="344"/>
      <c r="TGB41" s="344"/>
      <c r="TGC41" s="344"/>
      <c r="TGD41" s="344"/>
      <c r="TGE41" s="344"/>
      <c r="TGF41" s="344"/>
      <c r="TGG41" s="344"/>
      <c r="TGH41" s="344"/>
      <c r="TGI41" s="344"/>
      <c r="TGJ41" s="344"/>
      <c r="TGK41" s="344"/>
      <c r="TGL41" s="344"/>
      <c r="TGM41" s="344"/>
      <c r="TGN41" s="344"/>
      <c r="TGO41" s="344"/>
      <c r="TGP41" s="344"/>
      <c r="TGQ41" s="344"/>
      <c r="TGR41" s="344"/>
      <c r="TGS41" s="344"/>
      <c r="TGT41" s="344"/>
      <c r="TGU41" s="344"/>
      <c r="TGV41" s="344"/>
      <c r="TGW41" s="344"/>
      <c r="TGX41" s="344"/>
      <c r="TGY41" s="344"/>
      <c r="TGZ41" s="344"/>
      <c r="THA41" s="344"/>
      <c r="THB41" s="344"/>
      <c r="THC41" s="344"/>
      <c r="THD41" s="344"/>
      <c r="THE41" s="344"/>
      <c r="THF41" s="344"/>
      <c r="THG41" s="344"/>
      <c r="THH41" s="344"/>
      <c r="THI41" s="344"/>
      <c r="THJ41" s="344"/>
      <c r="THK41" s="344"/>
      <c r="THL41" s="344"/>
      <c r="THM41" s="344"/>
      <c r="THN41" s="344"/>
      <c r="THO41" s="344"/>
      <c r="THP41" s="344"/>
      <c r="THQ41" s="344"/>
      <c r="THR41" s="344"/>
      <c r="THS41" s="344"/>
      <c r="THT41" s="344"/>
      <c r="THU41" s="344"/>
      <c r="THV41" s="344"/>
      <c r="THW41" s="344"/>
      <c r="THX41" s="344"/>
      <c r="THY41" s="344"/>
      <c r="THZ41" s="344"/>
      <c r="TIA41" s="344"/>
      <c r="TIB41" s="344"/>
      <c r="TIC41" s="344"/>
      <c r="TID41" s="344"/>
      <c r="TIE41" s="344"/>
      <c r="TIF41" s="344"/>
      <c r="TIG41" s="344"/>
      <c r="TIH41" s="344"/>
      <c r="TII41" s="344"/>
      <c r="TIJ41" s="344"/>
      <c r="TIK41" s="344"/>
      <c r="TIL41" s="344"/>
      <c r="TIM41" s="344"/>
      <c r="TIN41" s="344"/>
      <c r="TIO41" s="344"/>
      <c r="TIP41" s="344"/>
      <c r="TIQ41" s="344"/>
      <c r="TIR41" s="344"/>
      <c r="TIS41" s="344"/>
      <c r="TIT41" s="344"/>
      <c r="TIU41" s="344"/>
      <c r="TIV41" s="344"/>
      <c r="TIW41" s="344"/>
      <c r="TIX41" s="344"/>
      <c r="TIY41" s="344"/>
      <c r="TIZ41" s="344"/>
      <c r="TJA41" s="344"/>
      <c r="TJB41" s="344"/>
      <c r="TJC41" s="344"/>
      <c r="TJD41" s="344"/>
      <c r="TJE41" s="344"/>
      <c r="TJF41" s="344"/>
      <c r="TJG41" s="344"/>
      <c r="TJH41" s="344"/>
      <c r="TJI41" s="344"/>
      <c r="TJJ41" s="344"/>
      <c r="TJK41" s="344"/>
      <c r="TJL41" s="344"/>
      <c r="TJM41" s="344"/>
      <c r="TJN41" s="344"/>
      <c r="TJO41" s="344"/>
      <c r="TJP41" s="344"/>
      <c r="TJQ41" s="344"/>
      <c r="TJR41" s="344"/>
      <c r="TJS41" s="344"/>
      <c r="TJT41" s="344"/>
      <c r="TJU41" s="344"/>
      <c r="TJV41" s="344"/>
      <c r="TJW41" s="344"/>
      <c r="TJX41" s="344"/>
      <c r="TJY41" s="344"/>
      <c r="TJZ41" s="344"/>
      <c r="TKA41" s="344"/>
      <c r="TKB41" s="344"/>
      <c r="TKC41" s="344"/>
      <c r="TKD41" s="344"/>
      <c r="TKE41" s="344"/>
      <c r="TKF41" s="344"/>
      <c r="TKG41" s="344"/>
      <c r="TKH41" s="344"/>
      <c r="TKI41" s="344"/>
      <c r="TKJ41" s="344"/>
      <c r="TKK41" s="344"/>
      <c r="TKL41" s="344"/>
      <c r="TKM41" s="344"/>
      <c r="TKN41" s="344"/>
      <c r="TKO41" s="344"/>
      <c r="TKP41" s="344"/>
      <c r="TKQ41" s="344"/>
      <c r="TKR41" s="344"/>
      <c r="TKS41" s="344"/>
      <c r="TKT41" s="344"/>
      <c r="TKU41" s="344"/>
      <c r="TKV41" s="344"/>
      <c r="TKW41" s="344"/>
      <c r="TKX41" s="344"/>
      <c r="TKY41" s="344"/>
      <c r="TKZ41" s="344"/>
      <c r="TLA41" s="344"/>
      <c r="TLB41" s="344"/>
      <c r="TLC41" s="344"/>
      <c r="TLD41" s="344"/>
      <c r="TLE41" s="344"/>
      <c r="TLF41" s="344"/>
      <c r="TLG41" s="344"/>
      <c r="TLH41" s="344"/>
      <c r="TLI41" s="344"/>
      <c r="TLJ41" s="344"/>
      <c r="TLK41" s="344"/>
      <c r="TLL41" s="344"/>
      <c r="TLM41" s="344"/>
      <c r="TLN41" s="344"/>
      <c r="TLO41" s="344"/>
      <c r="TLP41" s="344"/>
      <c r="TLQ41" s="344"/>
      <c r="TLR41" s="344"/>
      <c r="TLS41" s="344"/>
      <c r="TLT41" s="344"/>
      <c r="TLU41" s="344"/>
      <c r="TLV41" s="344"/>
      <c r="TLW41" s="344"/>
      <c r="TLX41" s="344"/>
      <c r="TLY41" s="344"/>
      <c r="TLZ41" s="344"/>
      <c r="TMA41" s="344"/>
      <c r="TMB41" s="344"/>
      <c r="TMC41" s="344"/>
      <c r="TMD41" s="344"/>
      <c r="TME41" s="344"/>
      <c r="TMF41" s="344"/>
      <c r="TMG41" s="344"/>
      <c r="TMH41" s="344"/>
      <c r="TMI41" s="344"/>
      <c r="TMJ41" s="344"/>
      <c r="TMK41" s="344"/>
      <c r="TML41" s="344"/>
      <c r="TMM41" s="344"/>
      <c r="TMN41" s="344"/>
      <c r="TMO41" s="344"/>
      <c r="TMP41" s="344"/>
      <c r="TMQ41" s="344"/>
      <c r="TMR41" s="344"/>
      <c r="TMS41" s="344"/>
      <c r="TMT41" s="344"/>
      <c r="TMU41" s="344"/>
      <c r="TMV41" s="344"/>
      <c r="TMW41" s="344"/>
      <c r="TMX41" s="344"/>
      <c r="TMY41" s="344"/>
      <c r="TMZ41" s="344"/>
      <c r="TNA41" s="344"/>
      <c r="TNB41" s="344"/>
      <c r="TNC41" s="344"/>
      <c r="TND41" s="344"/>
      <c r="TNE41" s="344"/>
      <c r="TNF41" s="344"/>
      <c r="TNG41" s="344"/>
      <c r="TNH41" s="344"/>
      <c r="TNI41" s="344"/>
      <c r="TNJ41" s="344"/>
      <c r="TNK41" s="344"/>
      <c r="TNL41" s="344"/>
      <c r="TNM41" s="344"/>
      <c r="TNN41" s="344"/>
      <c r="TNO41" s="344"/>
      <c r="TNP41" s="344"/>
      <c r="TNQ41" s="344"/>
      <c r="TNR41" s="344"/>
      <c r="TNS41" s="344"/>
      <c r="TNT41" s="344"/>
      <c r="TNU41" s="344"/>
      <c r="TNV41" s="344"/>
      <c r="TNW41" s="344"/>
      <c r="TNX41" s="344"/>
      <c r="TNY41" s="344"/>
      <c r="TNZ41" s="344"/>
      <c r="TOA41" s="344"/>
      <c r="TOB41" s="344"/>
      <c r="TOC41" s="344"/>
      <c r="TOD41" s="344"/>
      <c r="TOE41" s="344"/>
      <c r="TOF41" s="344"/>
      <c r="TOG41" s="344"/>
      <c r="TOH41" s="344"/>
      <c r="TOI41" s="344"/>
      <c r="TOJ41" s="344"/>
      <c r="TOK41" s="344"/>
      <c r="TOL41" s="344"/>
      <c r="TOM41" s="344"/>
      <c r="TON41" s="344"/>
      <c r="TOO41" s="344"/>
      <c r="TOP41" s="344"/>
      <c r="TOQ41" s="344"/>
      <c r="TOR41" s="344"/>
      <c r="TOS41" s="344"/>
      <c r="TOT41" s="344"/>
      <c r="TOU41" s="344"/>
      <c r="TOV41" s="344"/>
      <c r="TOW41" s="344"/>
      <c r="TOX41" s="344"/>
      <c r="TOY41" s="344"/>
      <c r="TOZ41" s="344"/>
      <c r="TPA41" s="344"/>
      <c r="TPB41" s="344"/>
      <c r="TPC41" s="344"/>
      <c r="TPD41" s="344"/>
      <c r="TPE41" s="344"/>
      <c r="TPF41" s="344"/>
      <c r="TPG41" s="344"/>
      <c r="TPH41" s="344"/>
      <c r="TPI41" s="344"/>
      <c r="TPJ41" s="344"/>
      <c r="TPK41" s="344"/>
      <c r="TPL41" s="344"/>
      <c r="TPM41" s="344"/>
      <c r="TPN41" s="344"/>
      <c r="TPO41" s="344"/>
      <c r="TPP41" s="344"/>
      <c r="TPQ41" s="344"/>
      <c r="TPR41" s="344"/>
      <c r="TPS41" s="344"/>
      <c r="TPT41" s="344"/>
      <c r="TPU41" s="344"/>
      <c r="TPV41" s="344"/>
      <c r="TPW41" s="344"/>
      <c r="TPX41" s="344"/>
      <c r="TPY41" s="344"/>
      <c r="TPZ41" s="344"/>
      <c r="TQA41" s="344"/>
      <c r="TQB41" s="344"/>
      <c r="TQC41" s="344"/>
      <c r="TQD41" s="344"/>
      <c r="TQE41" s="344"/>
      <c r="TQF41" s="344"/>
      <c r="TQG41" s="344"/>
      <c r="TQH41" s="344"/>
      <c r="TQI41" s="344"/>
      <c r="TQJ41" s="344"/>
      <c r="TQK41" s="344"/>
      <c r="TQL41" s="344"/>
      <c r="TQM41" s="344"/>
      <c r="TQN41" s="344"/>
      <c r="TQO41" s="344"/>
      <c r="TQP41" s="344"/>
      <c r="TQQ41" s="344"/>
      <c r="TQR41" s="344"/>
      <c r="TQS41" s="344"/>
      <c r="TQT41" s="344"/>
      <c r="TQU41" s="344"/>
      <c r="TQV41" s="344"/>
      <c r="TQW41" s="344"/>
      <c r="TQX41" s="344"/>
      <c r="TQY41" s="344"/>
      <c r="TQZ41" s="344"/>
      <c r="TRA41" s="344"/>
      <c r="TRB41" s="344"/>
      <c r="TRC41" s="344"/>
      <c r="TRD41" s="344"/>
      <c r="TRE41" s="344"/>
      <c r="TRF41" s="344"/>
      <c r="TRG41" s="344"/>
      <c r="TRH41" s="344"/>
      <c r="TRI41" s="344"/>
      <c r="TRJ41" s="344"/>
      <c r="TRK41" s="344"/>
      <c r="TRL41" s="344"/>
      <c r="TRM41" s="344"/>
      <c r="TRN41" s="344"/>
      <c r="TRO41" s="344"/>
      <c r="TRP41" s="344"/>
      <c r="TRQ41" s="344"/>
      <c r="TRR41" s="344"/>
      <c r="TRS41" s="344"/>
      <c r="TRT41" s="344"/>
      <c r="TRU41" s="344"/>
      <c r="TRV41" s="344"/>
      <c r="TRW41" s="344"/>
      <c r="TRX41" s="344"/>
      <c r="TRY41" s="344"/>
      <c r="TRZ41" s="344"/>
      <c r="TSA41" s="344"/>
      <c r="TSB41" s="344"/>
      <c r="TSC41" s="344"/>
      <c r="TSD41" s="344"/>
      <c r="TSE41" s="344"/>
      <c r="TSF41" s="344"/>
      <c r="TSG41" s="344"/>
      <c r="TSH41" s="344"/>
      <c r="TSI41" s="344"/>
      <c r="TSJ41" s="344"/>
      <c r="TSK41" s="344"/>
      <c r="TSL41" s="344"/>
      <c r="TSM41" s="344"/>
      <c r="TSN41" s="344"/>
      <c r="TSO41" s="344"/>
      <c r="TSP41" s="344"/>
      <c r="TSQ41" s="344"/>
      <c r="TSR41" s="344"/>
      <c r="TSS41" s="344"/>
      <c r="TST41" s="344"/>
      <c r="TSU41" s="344"/>
      <c r="TSV41" s="344"/>
      <c r="TSW41" s="344"/>
      <c r="TSX41" s="344"/>
      <c r="TSY41" s="344"/>
      <c r="TSZ41" s="344"/>
      <c r="TTA41" s="344"/>
      <c r="TTB41" s="344"/>
      <c r="TTC41" s="344"/>
      <c r="TTD41" s="344"/>
      <c r="TTE41" s="344"/>
      <c r="TTF41" s="344"/>
      <c r="TTG41" s="344"/>
      <c r="TTH41" s="344"/>
      <c r="TTI41" s="344"/>
      <c r="TTJ41" s="344"/>
      <c r="TTK41" s="344"/>
      <c r="TTL41" s="344"/>
      <c r="TTM41" s="344"/>
      <c r="TTN41" s="344"/>
      <c r="TTO41" s="344"/>
      <c r="TTP41" s="344"/>
      <c r="TTQ41" s="344"/>
      <c r="TTR41" s="344"/>
      <c r="TTS41" s="344"/>
      <c r="TTT41" s="344"/>
      <c r="TTU41" s="344"/>
      <c r="TTV41" s="344"/>
      <c r="TTW41" s="344"/>
      <c r="TTX41" s="344"/>
      <c r="TTY41" s="344"/>
      <c r="TTZ41" s="344"/>
      <c r="TUA41" s="344"/>
      <c r="TUB41" s="344"/>
      <c r="TUC41" s="344"/>
      <c r="TUD41" s="344"/>
      <c r="TUE41" s="344"/>
      <c r="TUF41" s="344"/>
      <c r="TUG41" s="344"/>
      <c r="TUH41" s="344"/>
      <c r="TUI41" s="344"/>
      <c r="TUJ41" s="344"/>
      <c r="TUK41" s="344"/>
      <c r="TUL41" s="344"/>
      <c r="TUM41" s="344"/>
      <c r="TUN41" s="344"/>
      <c r="TUO41" s="344"/>
      <c r="TUP41" s="344"/>
      <c r="TUQ41" s="344"/>
      <c r="TUR41" s="344"/>
      <c r="TUS41" s="344"/>
      <c r="TUT41" s="344"/>
      <c r="TUU41" s="344"/>
      <c r="TUV41" s="344"/>
      <c r="TUW41" s="344"/>
      <c r="TUX41" s="344"/>
      <c r="TUY41" s="344"/>
      <c r="TUZ41" s="344"/>
      <c r="TVA41" s="344"/>
      <c r="TVB41" s="344"/>
      <c r="TVC41" s="344"/>
      <c r="TVD41" s="344"/>
      <c r="TVE41" s="344"/>
      <c r="TVF41" s="344"/>
      <c r="TVG41" s="344"/>
      <c r="TVH41" s="344"/>
      <c r="TVI41" s="344"/>
      <c r="TVJ41" s="344"/>
      <c r="TVK41" s="344"/>
      <c r="TVL41" s="344"/>
      <c r="TVM41" s="344"/>
      <c r="TVN41" s="344"/>
      <c r="TVO41" s="344"/>
      <c r="TVP41" s="344"/>
      <c r="TVQ41" s="344"/>
      <c r="TVR41" s="344"/>
      <c r="TVS41" s="344"/>
      <c r="TVT41" s="344"/>
      <c r="TVU41" s="344"/>
      <c r="TVV41" s="344"/>
      <c r="TVW41" s="344"/>
      <c r="TVX41" s="344"/>
      <c r="TVY41" s="344"/>
      <c r="TVZ41" s="344"/>
      <c r="TWA41" s="344"/>
      <c r="TWB41" s="344"/>
      <c r="TWC41" s="344"/>
      <c r="TWD41" s="344"/>
      <c r="TWE41" s="344"/>
      <c r="TWF41" s="344"/>
      <c r="TWG41" s="344"/>
      <c r="TWH41" s="344"/>
      <c r="TWI41" s="344"/>
      <c r="TWJ41" s="344"/>
      <c r="TWK41" s="344"/>
      <c r="TWL41" s="344"/>
      <c r="TWM41" s="344"/>
      <c r="TWN41" s="344"/>
      <c r="TWO41" s="344"/>
      <c r="TWP41" s="344"/>
      <c r="TWQ41" s="344"/>
      <c r="TWR41" s="344"/>
      <c r="TWS41" s="344"/>
      <c r="TWT41" s="344"/>
      <c r="TWU41" s="344"/>
      <c r="TWV41" s="344"/>
      <c r="TWW41" s="344"/>
      <c r="TWX41" s="344"/>
      <c r="TWY41" s="344"/>
      <c r="TWZ41" s="344"/>
      <c r="TXA41" s="344"/>
      <c r="TXB41" s="344"/>
      <c r="TXC41" s="344"/>
      <c r="TXD41" s="344"/>
      <c r="TXE41" s="344"/>
      <c r="TXF41" s="344"/>
      <c r="TXG41" s="344"/>
      <c r="TXH41" s="344"/>
      <c r="TXI41" s="344"/>
      <c r="TXJ41" s="344"/>
      <c r="TXK41" s="344"/>
      <c r="TXL41" s="344"/>
      <c r="TXM41" s="344"/>
      <c r="TXN41" s="344"/>
      <c r="TXO41" s="344"/>
      <c r="TXP41" s="344"/>
      <c r="TXQ41" s="344"/>
      <c r="TXR41" s="344"/>
      <c r="TXS41" s="344"/>
      <c r="TXT41" s="344"/>
      <c r="TXU41" s="344"/>
      <c r="TXV41" s="344"/>
      <c r="TXW41" s="344"/>
      <c r="TXX41" s="344"/>
      <c r="TXY41" s="344"/>
      <c r="TXZ41" s="344"/>
      <c r="TYA41" s="344"/>
      <c r="TYB41" s="344"/>
      <c r="TYC41" s="344"/>
      <c r="TYD41" s="344"/>
      <c r="TYE41" s="344"/>
      <c r="TYF41" s="344"/>
      <c r="TYG41" s="344"/>
      <c r="TYH41" s="344"/>
      <c r="TYI41" s="344"/>
      <c r="TYJ41" s="344"/>
      <c r="TYK41" s="344"/>
      <c r="TYL41" s="344"/>
      <c r="TYM41" s="344"/>
      <c r="TYN41" s="344"/>
      <c r="TYO41" s="344"/>
      <c r="TYP41" s="344"/>
      <c r="TYQ41" s="344"/>
      <c r="TYR41" s="344"/>
      <c r="TYS41" s="344"/>
      <c r="TYT41" s="344"/>
      <c r="TYU41" s="344"/>
      <c r="TYV41" s="344"/>
      <c r="TYW41" s="344"/>
      <c r="TYX41" s="344"/>
      <c r="TYY41" s="344"/>
      <c r="TYZ41" s="344"/>
      <c r="TZA41" s="344"/>
      <c r="TZB41" s="344"/>
      <c r="TZC41" s="344"/>
      <c r="TZD41" s="344"/>
      <c r="TZE41" s="344"/>
      <c r="TZF41" s="344"/>
      <c r="TZG41" s="344"/>
      <c r="TZH41" s="344"/>
      <c r="TZI41" s="344"/>
      <c r="TZJ41" s="344"/>
      <c r="TZK41" s="344"/>
      <c r="TZL41" s="344"/>
      <c r="TZM41" s="344"/>
      <c r="TZN41" s="344"/>
      <c r="TZO41" s="344"/>
      <c r="TZP41" s="344"/>
      <c r="TZQ41" s="344"/>
      <c r="TZR41" s="344"/>
      <c r="TZS41" s="344"/>
      <c r="TZT41" s="344"/>
      <c r="TZU41" s="344"/>
      <c r="TZV41" s="344"/>
      <c r="TZW41" s="344"/>
      <c r="TZX41" s="344"/>
      <c r="TZY41" s="344"/>
      <c r="TZZ41" s="344"/>
      <c r="UAA41" s="344"/>
      <c r="UAB41" s="344"/>
      <c r="UAC41" s="344"/>
      <c r="UAD41" s="344"/>
      <c r="UAE41" s="344"/>
      <c r="UAF41" s="344"/>
      <c r="UAG41" s="344"/>
      <c r="UAH41" s="344"/>
      <c r="UAI41" s="344"/>
      <c r="UAJ41" s="344"/>
      <c r="UAK41" s="344"/>
      <c r="UAL41" s="344"/>
      <c r="UAM41" s="344"/>
      <c r="UAN41" s="344"/>
      <c r="UAO41" s="344"/>
      <c r="UAP41" s="344"/>
      <c r="UAQ41" s="344"/>
      <c r="UAR41" s="344"/>
      <c r="UAS41" s="344"/>
      <c r="UAT41" s="344"/>
      <c r="UAU41" s="344"/>
      <c r="UAV41" s="344"/>
      <c r="UAW41" s="344"/>
      <c r="UAX41" s="344"/>
      <c r="UAY41" s="344"/>
      <c r="UAZ41" s="344"/>
      <c r="UBA41" s="344"/>
      <c r="UBB41" s="344"/>
      <c r="UBC41" s="344"/>
      <c r="UBD41" s="344"/>
      <c r="UBE41" s="344"/>
      <c r="UBF41" s="344"/>
      <c r="UBG41" s="344"/>
      <c r="UBH41" s="344"/>
      <c r="UBI41" s="344"/>
      <c r="UBJ41" s="344"/>
      <c r="UBK41" s="344"/>
      <c r="UBL41" s="344"/>
      <c r="UBM41" s="344"/>
      <c r="UBN41" s="344"/>
      <c r="UBO41" s="344"/>
      <c r="UBP41" s="344"/>
      <c r="UBQ41" s="344"/>
      <c r="UBR41" s="344"/>
      <c r="UBS41" s="344"/>
      <c r="UBT41" s="344"/>
      <c r="UBU41" s="344"/>
      <c r="UBV41" s="344"/>
      <c r="UBW41" s="344"/>
      <c r="UBX41" s="344"/>
      <c r="UBY41" s="344"/>
      <c r="UBZ41" s="344"/>
      <c r="UCA41" s="344"/>
      <c r="UCB41" s="344"/>
      <c r="UCC41" s="344"/>
      <c r="UCD41" s="344"/>
      <c r="UCE41" s="344"/>
      <c r="UCF41" s="344"/>
      <c r="UCG41" s="344"/>
      <c r="UCH41" s="344"/>
      <c r="UCI41" s="344"/>
      <c r="UCJ41" s="344"/>
      <c r="UCK41" s="344"/>
      <c r="UCL41" s="344"/>
      <c r="UCM41" s="344"/>
      <c r="UCN41" s="344"/>
      <c r="UCO41" s="344"/>
      <c r="UCP41" s="344"/>
      <c r="UCQ41" s="344"/>
      <c r="UCR41" s="344"/>
      <c r="UCS41" s="344"/>
      <c r="UCT41" s="344"/>
      <c r="UCU41" s="344"/>
      <c r="UCV41" s="344"/>
      <c r="UCW41" s="344"/>
      <c r="UCX41" s="344"/>
      <c r="UCY41" s="344"/>
      <c r="UCZ41" s="344"/>
      <c r="UDA41" s="344"/>
      <c r="UDB41" s="344"/>
      <c r="UDC41" s="344"/>
      <c r="UDD41" s="344"/>
      <c r="UDE41" s="344"/>
      <c r="UDF41" s="344"/>
      <c r="UDG41" s="344"/>
      <c r="UDH41" s="344"/>
      <c r="UDI41" s="344"/>
      <c r="UDJ41" s="344"/>
      <c r="UDK41" s="344"/>
      <c r="UDL41" s="344"/>
      <c r="UDM41" s="344"/>
      <c r="UDN41" s="344"/>
      <c r="UDO41" s="344"/>
      <c r="UDP41" s="344"/>
      <c r="UDQ41" s="344"/>
      <c r="UDR41" s="344"/>
      <c r="UDS41" s="344"/>
      <c r="UDT41" s="344"/>
      <c r="UDU41" s="344"/>
      <c r="UDV41" s="344"/>
      <c r="UDW41" s="344"/>
      <c r="UDX41" s="344"/>
      <c r="UDY41" s="344"/>
      <c r="UDZ41" s="344"/>
      <c r="UEA41" s="344"/>
      <c r="UEB41" s="344"/>
      <c r="UEC41" s="344"/>
      <c r="UED41" s="344"/>
      <c r="UEE41" s="344"/>
      <c r="UEF41" s="344"/>
      <c r="UEG41" s="344"/>
      <c r="UEH41" s="344"/>
      <c r="UEI41" s="344"/>
      <c r="UEJ41" s="344"/>
      <c r="UEK41" s="344"/>
      <c r="UEL41" s="344"/>
      <c r="UEM41" s="344"/>
      <c r="UEN41" s="344"/>
      <c r="UEO41" s="344"/>
      <c r="UEP41" s="344"/>
      <c r="UEQ41" s="344"/>
      <c r="UER41" s="344"/>
      <c r="UES41" s="344"/>
      <c r="UET41" s="344"/>
      <c r="UEU41" s="344"/>
      <c r="UEV41" s="344"/>
      <c r="UEW41" s="344"/>
      <c r="UEX41" s="344"/>
      <c r="UEY41" s="344"/>
      <c r="UEZ41" s="344"/>
      <c r="UFA41" s="344"/>
      <c r="UFB41" s="344"/>
      <c r="UFC41" s="344"/>
      <c r="UFD41" s="344"/>
      <c r="UFE41" s="344"/>
      <c r="UFF41" s="344"/>
      <c r="UFG41" s="344"/>
      <c r="UFH41" s="344"/>
      <c r="UFI41" s="344"/>
      <c r="UFJ41" s="344"/>
      <c r="UFK41" s="344"/>
      <c r="UFL41" s="344"/>
      <c r="UFM41" s="344"/>
      <c r="UFN41" s="344"/>
      <c r="UFO41" s="344"/>
      <c r="UFP41" s="344"/>
      <c r="UFQ41" s="344"/>
      <c r="UFR41" s="344"/>
      <c r="UFS41" s="344"/>
      <c r="UFT41" s="344"/>
      <c r="UFU41" s="344"/>
      <c r="UFV41" s="344"/>
      <c r="UFW41" s="344"/>
      <c r="UFX41" s="344"/>
      <c r="UFY41" s="344"/>
      <c r="UFZ41" s="344"/>
      <c r="UGA41" s="344"/>
      <c r="UGB41" s="344"/>
      <c r="UGC41" s="344"/>
      <c r="UGD41" s="344"/>
      <c r="UGE41" s="344"/>
      <c r="UGF41" s="344"/>
      <c r="UGG41" s="344"/>
      <c r="UGH41" s="344"/>
      <c r="UGI41" s="344"/>
      <c r="UGJ41" s="344"/>
      <c r="UGK41" s="344"/>
      <c r="UGL41" s="344"/>
      <c r="UGM41" s="344"/>
      <c r="UGN41" s="344"/>
      <c r="UGO41" s="344"/>
      <c r="UGP41" s="344"/>
      <c r="UGQ41" s="344"/>
      <c r="UGR41" s="344"/>
      <c r="UGS41" s="344"/>
      <c r="UGT41" s="344"/>
      <c r="UGU41" s="344"/>
      <c r="UGV41" s="344"/>
      <c r="UGW41" s="344"/>
      <c r="UGX41" s="344"/>
      <c r="UGY41" s="344"/>
      <c r="UGZ41" s="344"/>
      <c r="UHA41" s="344"/>
      <c r="UHB41" s="344"/>
      <c r="UHC41" s="344"/>
      <c r="UHD41" s="344"/>
      <c r="UHE41" s="344"/>
      <c r="UHF41" s="344"/>
      <c r="UHG41" s="344"/>
      <c r="UHH41" s="344"/>
      <c r="UHI41" s="344"/>
      <c r="UHJ41" s="344"/>
      <c r="UHK41" s="344"/>
      <c r="UHL41" s="344"/>
      <c r="UHM41" s="344"/>
      <c r="UHN41" s="344"/>
      <c r="UHO41" s="344"/>
      <c r="UHP41" s="344"/>
      <c r="UHQ41" s="344"/>
      <c r="UHR41" s="344"/>
      <c r="UHS41" s="344"/>
      <c r="UHT41" s="344"/>
      <c r="UHU41" s="344"/>
      <c r="UHV41" s="344"/>
      <c r="UHW41" s="344"/>
      <c r="UHX41" s="344"/>
      <c r="UHY41" s="344"/>
      <c r="UHZ41" s="344"/>
      <c r="UIA41" s="344"/>
      <c r="UIB41" s="344"/>
      <c r="UIC41" s="344"/>
      <c r="UID41" s="344"/>
      <c r="UIE41" s="344"/>
      <c r="UIF41" s="344"/>
      <c r="UIG41" s="344"/>
      <c r="UIH41" s="344"/>
      <c r="UII41" s="344"/>
      <c r="UIJ41" s="344"/>
      <c r="UIK41" s="344"/>
      <c r="UIL41" s="344"/>
      <c r="UIM41" s="344"/>
      <c r="UIN41" s="344"/>
      <c r="UIO41" s="344"/>
      <c r="UIP41" s="344"/>
      <c r="UIQ41" s="344"/>
      <c r="UIR41" s="344"/>
      <c r="UIS41" s="344"/>
      <c r="UIT41" s="344"/>
      <c r="UIU41" s="344"/>
      <c r="UIV41" s="344"/>
      <c r="UIW41" s="344"/>
      <c r="UIX41" s="344"/>
      <c r="UIY41" s="344"/>
      <c r="UIZ41" s="344"/>
      <c r="UJA41" s="344"/>
      <c r="UJB41" s="344"/>
      <c r="UJC41" s="344"/>
      <c r="UJD41" s="344"/>
      <c r="UJE41" s="344"/>
      <c r="UJF41" s="344"/>
      <c r="UJG41" s="344"/>
      <c r="UJH41" s="344"/>
      <c r="UJI41" s="344"/>
      <c r="UJJ41" s="344"/>
      <c r="UJK41" s="344"/>
      <c r="UJL41" s="344"/>
      <c r="UJM41" s="344"/>
      <c r="UJN41" s="344"/>
      <c r="UJO41" s="344"/>
      <c r="UJP41" s="344"/>
      <c r="UJQ41" s="344"/>
      <c r="UJR41" s="344"/>
      <c r="UJS41" s="344"/>
      <c r="UJT41" s="344"/>
      <c r="UJU41" s="344"/>
      <c r="UJV41" s="344"/>
      <c r="UJW41" s="344"/>
      <c r="UJX41" s="344"/>
      <c r="UJY41" s="344"/>
      <c r="UJZ41" s="344"/>
      <c r="UKA41" s="344"/>
      <c r="UKB41" s="344"/>
      <c r="UKC41" s="344"/>
      <c r="UKD41" s="344"/>
      <c r="UKE41" s="344"/>
      <c r="UKF41" s="344"/>
      <c r="UKG41" s="344"/>
      <c r="UKH41" s="344"/>
      <c r="UKI41" s="344"/>
      <c r="UKJ41" s="344"/>
      <c r="UKK41" s="344"/>
      <c r="UKL41" s="344"/>
      <c r="UKM41" s="344"/>
      <c r="UKN41" s="344"/>
      <c r="UKO41" s="344"/>
      <c r="UKP41" s="344"/>
      <c r="UKQ41" s="344"/>
      <c r="UKR41" s="344"/>
      <c r="UKS41" s="344"/>
      <c r="UKT41" s="344"/>
      <c r="UKU41" s="344"/>
      <c r="UKV41" s="344"/>
      <c r="UKW41" s="344"/>
      <c r="UKX41" s="344"/>
      <c r="UKY41" s="344"/>
      <c r="UKZ41" s="344"/>
      <c r="ULA41" s="344"/>
      <c r="ULB41" s="344"/>
      <c r="ULC41" s="344"/>
      <c r="ULD41" s="344"/>
      <c r="ULE41" s="344"/>
      <c r="ULF41" s="344"/>
      <c r="ULG41" s="344"/>
      <c r="ULH41" s="344"/>
      <c r="ULI41" s="344"/>
      <c r="ULJ41" s="344"/>
      <c r="ULK41" s="344"/>
      <c r="ULL41" s="344"/>
      <c r="ULM41" s="344"/>
      <c r="ULN41" s="344"/>
      <c r="ULO41" s="344"/>
      <c r="ULP41" s="344"/>
      <c r="ULQ41" s="344"/>
      <c r="ULR41" s="344"/>
      <c r="ULS41" s="344"/>
      <c r="ULT41" s="344"/>
      <c r="ULU41" s="344"/>
      <c r="ULV41" s="344"/>
      <c r="ULW41" s="344"/>
      <c r="ULX41" s="344"/>
      <c r="ULY41" s="344"/>
      <c r="ULZ41" s="344"/>
      <c r="UMA41" s="344"/>
      <c r="UMB41" s="344"/>
      <c r="UMC41" s="344"/>
      <c r="UMD41" s="344"/>
      <c r="UME41" s="344"/>
      <c r="UMF41" s="344"/>
      <c r="UMG41" s="344"/>
      <c r="UMH41" s="344"/>
      <c r="UMI41" s="344"/>
      <c r="UMJ41" s="344"/>
      <c r="UMK41" s="344"/>
      <c r="UML41" s="344"/>
      <c r="UMM41" s="344"/>
      <c r="UMN41" s="344"/>
      <c r="UMO41" s="344"/>
      <c r="UMP41" s="344"/>
      <c r="UMQ41" s="344"/>
      <c r="UMR41" s="344"/>
      <c r="UMS41" s="344"/>
      <c r="UMT41" s="344"/>
      <c r="UMU41" s="344"/>
      <c r="UMV41" s="344"/>
      <c r="UMW41" s="344"/>
      <c r="UMX41" s="344"/>
      <c r="UMY41" s="344"/>
      <c r="UMZ41" s="344"/>
      <c r="UNA41" s="344"/>
      <c r="UNB41" s="344"/>
      <c r="UNC41" s="344"/>
      <c r="UND41" s="344"/>
      <c r="UNE41" s="344"/>
      <c r="UNF41" s="344"/>
      <c r="UNG41" s="344"/>
      <c r="UNH41" s="344"/>
      <c r="UNI41" s="344"/>
      <c r="UNJ41" s="344"/>
      <c r="UNK41" s="344"/>
      <c r="UNL41" s="344"/>
      <c r="UNM41" s="344"/>
      <c r="UNN41" s="344"/>
      <c r="UNO41" s="344"/>
      <c r="UNP41" s="344"/>
      <c r="UNQ41" s="344"/>
      <c r="UNR41" s="344"/>
      <c r="UNS41" s="344"/>
      <c r="UNT41" s="344"/>
      <c r="UNU41" s="344"/>
      <c r="UNV41" s="344"/>
      <c r="UNW41" s="344"/>
      <c r="UNX41" s="344"/>
      <c r="UNY41" s="344"/>
      <c r="UNZ41" s="344"/>
      <c r="UOA41" s="344"/>
      <c r="UOB41" s="344"/>
      <c r="UOC41" s="344"/>
      <c r="UOD41" s="344"/>
      <c r="UOE41" s="344"/>
      <c r="UOF41" s="344"/>
      <c r="UOG41" s="344"/>
      <c r="UOH41" s="344"/>
      <c r="UOI41" s="344"/>
      <c r="UOJ41" s="344"/>
      <c r="UOK41" s="344"/>
      <c r="UOL41" s="344"/>
      <c r="UOM41" s="344"/>
      <c r="UON41" s="344"/>
      <c r="UOO41" s="344"/>
      <c r="UOP41" s="344"/>
      <c r="UOQ41" s="344"/>
      <c r="UOR41" s="344"/>
      <c r="UOS41" s="344"/>
      <c r="UOT41" s="344"/>
      <c r="UOU41" s="344"/>
      <c r="UOV41" s="344"/>
      <c r="UOW41" s="344"/>
      <c r="UOX41" s="344"/>
      <c r="UOY41" s="344"/>
      <c r="UOZ41" s="344"/>
      <c r="UPA41" s="344"/>
      <c r="UPB41" s="344"/>
      <c r="UPC41" s="344"/>
      <c r="UPD41" s="344"/>
      <c r="UPE41" s="344"/>
      <c r="UPF41" s="344"/>
      <c r="UPG41" s="344"/>
      <c r="UPH41" s="344"/>
      <c r="UPI41" s="344"/>
      <c r="UPJ41" s="344"/>
      <c r="UPK41" s="344"/>
      <c r="UPL41" s="344"/>
      <c r="UPM41" s="344"/>
      <c r="UPN41" s="344"/>
      <c r="UPO41" s="344"/>
      <c r="UPP41" s="344"/>
      <c r="UPQ41" s="344"/>
      <c r="UPR41" s="344"/>
      <c r="UPS41" s="344"/>
      <c r="UPT41" s="344"/>
      <c r="UPU41" s="344"/>
      <c r="UPV41" s="344"/>
      <c r="UPW41" s="344"/>
      <c r="UPX41" s="344"/>
      <c r="UPY41" s="344"/>
      <c r="UPZ41" s="344"/>
      <c r="UQA41" s="344"/>
      <c r="UQB41" s="344"/>
      <c r="UQC41" s="344"/>
      <c r="UQD41" s="344"/>
      <c r="UQE41" s="344"/>
      <c r="UQF41" s="344"/>
      <c r="UQG41" s="344"/>
      <c r="UQH41" s="344"/>
      <c r="UQI41" s="344"/>
      <c r="UQJ41" s="344"/>
      <c r="UQK41" s="344"/>
      <c r="UQL41" s="344"/>
      <c r="UQM41" s="344"/>
      <c r="UQN41" s="344"/>
      <c r="UQO41" s="344"/>
      <c r="UQP41" s="344"/>
      <c r="UQQ41" s="344"/>
      <c r="UQR41" s="344"/>
      <c r="UQS41" s="344"/>
      <c r="UQT41" s="344"/>
      <c r="UQU41" s="344"/>
      <c r="UQV41" s="344"/>
      <c r="UQW41" s="344"/>
      <c r="UQX41" s="344"/>
      <c r="UQY41" s="344"/>
      <c r="UQZ41" s="344"/>
      <c r="URA41" s="344"/>
      <c r="URB41" s="344"/>
      <c r="URC41" s="344"/>
      <c r="URD41" s="344"/>
      <c r="URE41" s="344"/>
      <c r="URF41" s="344"/>
      <c r="URG41" s="344"/>
      <c r="URH41" s="344"/>
      <c r="URI41" s="344"/>
      <c r="URJ41" s="344"/>
      <c r="URK41" s="344"/>
      <c r="URL41" s="344"/>
      <c r="URM41" s="344"/>
      <c r="URN41" s="344"/>
      <c r="URO41" s="344"/>
      <c r="URP41" s="344"/>
      <c r="URQ41" s="344"/>
      <c r="URR41" s="344"/>
      <c r="URS41" s="344"/>
      <c r="URT41" s="344"/>
      <c r="URU41" s="344"/>
      <c r="URV41" s="344"/>
      <c r="URW41" s="344"/>
      <c r="URX41" s="344"/>
      <c r="URY41" s="344"/>
      <c r="URZ41" s="344"/>
      <c r="USA41" s="344"/>
      <c r="USB41" s="344"/>
      <c r="USC41" s="344"/>
      <c r="USD41" s="344"/>
      <c r="USE41" s="344"/>
      <c r="USF41" s="344"/>
      <c r="USG41" s="344"/>
      <c r="USH41" s="344"/>
      <c r="USI41" s="344"/>
      <c r="USJ41" s="344"/>
      <c r="USK41" s="344"/>
      <c r="USL41" s="344"/>
      <c r="USM41" s="344"/>
      <c r="USN41" s="344"/>
      <c r="USO41" s="344"/>
      <c r="USP41" s="344"/>
      <c r="USQ41" s="344"/>
      <c r="USR41" s="344"/>
      <c r="USS41" s="344"/>
      <c r="UST41" s="344"/>
      <c r="USU41" s="344"/>
      <c r="USV41" s="344"/>
      <c r="USW41" s="344"/>
      <c r="USX41" s="344"/>
      <c r="USY41" s="344"/>
      <c r="USZ41" s="344"/>
      <c r="UTA41" s="344"/>
      <c r="UTB41" s="344"/>
      <c r="UTC41" s="344"/>
      <c r="UTD41" s="344"/>
      <c r="UTE41" s="344"/>
      <c r="UTF41" s="344"/>
      <c r="UTG41" s="344"/>
      <c r="UTH41" s="344"/>
      <c r="UTI41" s="344"/>
      <c r="UTJ41" s="344"/>
      <c r="UTK41" s="344"/>
      <c r="UTL41" s="344"/>
      <c r="UTM41" s="344"/>
      <c r="UTN41" s="344"/>
      <c r="UTO41" s="344"/>
      <c r="UTP41" s="344"/>
      <c r="UTQ41" s="344"/>
      <c r="UTR41" s="344"/>
      <c r="UTS41" s="344"/>
      <c r="UTT41" s="344"/>
      <c r="UTU41" s="344"/>
      <c r="UTV41" s="344"/>
      <c r="UTW41" s="344"/>
      <c r="UTX41" s="344"/>
      <c r="UTY41" s="344"/>
      <c r="UTZ41" s="344"/>
      <c r="UUA41" s="344"/>
      <c r="UUB41" s="344"/>
      <c r="UUC41" s="344"/>
      <c r="UUD41" s="344"/>
      <c r="UUE41" s="344"/>
      <c r="UUF41" s="344"/>
      <c r="UUG41" s="344"/>
      <c r="UUH41" s="344"/>
      <c r="UUI41" s="344"/>
      <c r="UUJ41" s="344"/>
      <c r="UUK41" s="344"/>
      <c r="UUL41" s="344"/>
      <c r="UUM41" s="344"/>
      <c r="UUN41" s="344"/>
      <c r="UUO41" s="344"/>
      <c r="UUP41" s="344"/>
      <c r="UUQ41" s="344"/>
      <c r="UUR41" s="344"/>
      <c r="UUS41" s="344"/>
      <c r="UUT41" s="344"/>
      <c r="UUU41" s="344"/>
      <c r="UUV41" s="344"/>
      <c r="UUW41" s="344"/>
      <c r="UUX41" s="344"/>
      <c r="UUY41" s="344"/>
      <c r="UUZ41" s="344"/>
      <c r="UVA41" s="344"/>
      <c r="UVB41" s="344"/>
      <c r="UVC41" s="344"/>
      <c r="UVD41" s="344"/>
      <c r="UVE41" s="344"/>
      <c r="UVF41" s="344"/>
      <c r="UVG41" s="344"/>
      <c r="UVH41" s="344"/>
      <c r="UVI41" s="344"/>
      <c r="UVJ41" s="344"/>
      <c r="UVK41" s="344"/>
      <c r="UVL41" s="344"/>
      <c r="UVM41" s="344"/>
      <c r="UVN41" s="344"/>
      <c r="UVO41" s="344"/>
      <c r="UVP41" s="344"/>
      <c r="UVQ41" s="344"/>
      <c r="UVR41" s="344"/>
      <c r="UVS41" s="344"/>
      <c r="UVT41" s="344"/>
      <c r="UVU41" s="344"/>
      <c r="UVV41" s="344"/>
      <c r="UVW41" s="344"/>
      <c r="UVX41" s="344"/>
      <c r="UVY41" s="344"/>
      <c r="UVZ41" s="344"/>
      <c r="UWA41" s="344"/>
      <c r="UWB41" s="344"/>
      <c r="UWC41" s="344"/>
      <c r="UWD41" s="344"/>
      <c r="UWE41" s="344"/>
      <c r="UWF41" s="344"/>
      <c r="UWG41" s="344"/>
      <c r="UWH41" s="344"/>
      <c r="UWI41" s="344"/>
      <c r="UWJ41" s="344"/>
      <c r="UWK41" s="344"/>
      <c r="UWL41" s="344"/>
      <c r="UWM41" s="344"/>
      <c r="UWN41" s="344"/>
      <c r="UWO41" s="344"/>
      <c r="UWP41" s="344"/>
      <c r="UWQ41" s="344"/>
      <c r="UWR41" s="344"/>
      <c r="UWS41" s="344"/>
      <c r="UWT41" s="344"/>
      <c r="UWU41" s="344"/>
      <c r="UWV41" s="344"/>
      <c r="UWW41" s="344"/>
      <c r="UWX41" s="344"/>
      <c r="UWY41" s="344"/>
      <c r="UWZ41" s="344"/>
      <c r="UXA41" s="344"/>
      <c r="UXB41" s="344"/>
      <c r="UXC41" s="344"/>
      <c r="UXD41" s="344"/>
      <c r="UXE41" s="344"/>
      <c r="UXF41" s="344"/>
      <c r="UXG41" s="344"/>
      <c r="UXH41" s="344"/>
      <c r="UXI41" s="344"/>
      <c r="UXJ41" s="344"/>
      <c r="UXK41" s="344"/>
      <c r="UXL41" s="344"/>
      <c r="UXM41" s="344"/>
      <c r="UXN41" s="344"/>
      <c r="UXO41" s="344"/>
      <c r="UXP41" s="344"/>
      <c r="UXQ41" s="344"/>
      <c r="UXR41" s="344"/>
      <c r="UXS41" s="344"/>
      <c r="UXT41" s="344"/>
      <c r="UXU41" s="344"/>
      <c r="UXV41" s="344"/>
      <c r="UXW41" s="344"/>
      <c r="UXX41" s="344"/>
      <c r="UXY41" s="344"/>
      <c r="UXZ41" s="344"/>
      <c r="UYA41" s="344"/>
      <c r="UYB41" s="344"/>
      <c r="UYC41" s="344"/>
      <c r="UYD41" s="344"/>
      <c r="UYE41" s="344"/>
      <c r="UYF41" s="344"/>
      <c r="UYG41" s="344"/>
      <c r="UYH41" s="344"/>
      <c r="UYI41" s="344"/>
      <c r="UYJ41" s="344"/>
      <c r="UYK41" s="344"/>
      <c r="UYL41" s="344"/>
      <c r="UYM41" s="344"/>
      <c r="UYN41" s="344"/>
      <c r="UYO41" s="344"/>
      <c r="UYP41" s="344"/>
      <c r="UYQ41" s="344"/>
      <c r="UYR41" s="344"/>
      <c r="UYS41" s="344"/>
      <c r="UYT41" s="344"/>
      <c r="UYU41" s="344"/>
      <c r="UYV41" s="344"/>
      <c r="UYW41" s="344"/>
      <c r="UYX41" s="344"/>
      <c r="UYY41" s="344"/>
      <c r="UYZ41" s="344"/>
      <c r="UZA41" s="344"/>
      <c r="UZB41" s="344"/>
      <c r="UZC41" s="344"/>
      <c r="UZD41" s="344"/>
      <c r="UZE41" s="344"/>
      <c r="UZF41" s="344"/>
      <c r="UZG41" s="344"/>
      <c r="UZH41" s="344"/>
      <c r="UZI41" s="344"/>
      <c r="UZJ41" s="344"/>
      <c r="UZK41" s="344"/>
      <c r="UZL41" s="344"/>
      <c r="UZM41" s="344"/>
      <c r="UZN41" s="344"/>
      <c r="UZO41" s="344"/>
      <c r="UZP41" s="344"/>
      <c r="UZQ41" s="344"/>
      <c r="UZR41" s="344"/>
      <c r="UZS41" s="344"/>
      <c r="UZT41" s="344"/>
      <c r="UZU41" s="344"/>
      <c r="UZV41" s="344"/>
      <c r="UZW41" s="344"/>
      <c r="UZX41" s="344"/>
      <c r="UZY41" s="344"/>
      <c r="UZZ41" s="344"/>
      <c r="VAA41" s="344"/>
      <c r="VAB41" s="344"/>
      <c r="VAC41" s="344"/>
      <c r="VAD41" s="344"/>
      <c r="VAE41" s="344"/>
      <c r="VAF41" s="344"/>
      <c r="VAG41" s="344"/>
      <c r="VAH41" s="344"/>
      <c r="VAI41" s="344"/>
      <c r="VAJ41" s="344"/>
      <c r="VAK41" s="344"/>
      <c r="VAL41" s="344"/>
      <c r="VAM41" s="344"/>
      <c r="VAN41" s="344"/>
      <c r="VAO41" s="344"/>
      <c r="VAP41" s="344"/>
      <c r="VAQ41" s="344"/>
      <c r="VAR41" s="344"/>
      <c r="VAS41" s="344"/>
      <c r="VAT41" s="344"/>
      <c r="VAU41" s="344"/>
      <c r="VAV41" s="344"/>
      <c r="VAW41" s="344"/>
      <c r="VAX41" s="344"/>
      <c r="VAY41" s="344"/>
      <c r="VAZ41" s="344"/>
      <c r="VBA41" s="344"/>
      <c r="VBB41" s="344"/>
      <c r="VBC41" s="344"/>
      <c r="VBD41" s="344"/>
      <c r="VBE41" s="344"/>
      <c r="VBF41" s="344"/>
      <c r="VBG41" s="344"/>
      <c r="VBH41" s="344"/>
      <c r="VBI41" s="344"/>
      <c r="VBJ41" s="344"/>
      <c r="VBK41" s="344"/>
      <c r="VBL41" s="344"/>
      <c r="VBM41" s="344"/>
      <c r="VBN41" s="344"/>
      <c r="VBO41" s="344"/>
      <c r="VBP41" s="344"/>
      <c r="VBQ41" s="344"/>
      <c r="VBR41" s="344"/>
      <c r="VBS41" s="344"/>
      <c r="VBT41" s="344"/>
      <c r="VBU41" s="344"/>
      <c r="VBV41" s="344"/>
      <c r="VBW41" s="344"/>
      <c r="VBX41" s="344"/>
      <c r="VBY41" s="344"/>
      <c r="VBZ41" s="344"/>
      <c r="VCA41" s="344"/>
      <c r="VCB41" s="344"/>
      <c r="VCC41" s="344"/>
      <c r="VCD41" s="344"/>
      <c r="VCE41" s="344"/>
      <c r="VCF41" s="344"/>
      <c r="VCG41" s="344"/>
      <c r="VCH41" s="344"/>
      <c r="VCI41" s="344"/>
      <c r="VCJ41" s="344"/>
      <c r="VCK41" s="344"/>
      <c r="VCL41" s="344"/>
      <c r="VCM41" s="344"/>
      <c r="VCN41" s="344"/>
      <c r="VCO41" s="344"/>
      <c r="VCP41" s="344"/>
      <c r="VCQ41" s="344"/>
      <c r="VCR41" s="344"/>
      <c r="VCS41" s="344"/>
      <c r="VCT41" s="344"/>
      <c r="VCU41" s="344"/>
      <c r="VCV41" s="344"/>
      <c r="VCW41" s="344"/>
      <c r="VCX41" s="344"/>
      <c r="VCY41" s="344"/>
      <c r="VCZ41" s="344"/>
      <c r="VDA41" s="344"/>
      <c r="VDB41" s="344"/>
      <c r="VDC41" s="344"/>
      <c r="VDD41" s="344"/>
      <c r="VDE41" s="344"/>
      <c r="VDF41" s="344"/>
      <c r="VDG41" s="344"/>
      <c r="VDH41" s="344"/>
      <c r="VDI41" s="344"/>
      <c r="VDJ41" s="344"/>
      <c r="VDK41" s="344"/>
      <c r="VDL41" s="344"/>
      <c r="VDM41" s="344"/>
      <c r="VDN41" s="344"/>
      <c r="VDO41" s="344"/>
      <c r="VDP41" s="344"/>
      <c r="VDQ41" s="344"/>
      <c r="VDR41" s="344"/>
      <c r="VDS41" s="344"/>
      <c r="VDT41" s="344"/>
      <c r="VDU41" s="344"/>
      <c r="VDV41" s="344"/>
      <c r="VDW41" s="344"/>
      <c r="VDX41" s="344"/>
      <c r="VDY41" s="344"/>
      <c r="VDZ41" s="344"/>
      <c r="VEA41" s="344"/>
      <c r="VEB41" s="344"/>
      <c r="VEC41" s="344"/>
      <c r="VED41" s="344"/>
      <c r="VEE41" s="344"/>
      <c r="VEF41" s="344"/>
      <c r="VEG41" s="344"/>
      <c r="VEH41" s="344"/>
      <c r="VEI41" s="344"/>
      <c r="VEJ41" s="344"/>
      <c r="VEK41" s="344"/>
      <c r="VEL41" s="344"/>
      <c r="VEM41" s="344"/>
      <c r="VEN41" s="344"/>
      <c r="VEO41" s="344"/>
      <c r="VEP41" s="344"/>
      <c r="VEQ41" s="344"/>
      <c r="VER41" s="344"/>
      <c r="VES41" s="344"/>
      <c r="VET41" s="344"/>
      <c r="VEU41" s="344"/>
      <c r="VEV41" s="344"/>
      <c r="VEW41" s="344"/>
      <c r="VEX41" s="344"/>
      <c r="VEY41" s="344"/>
      <c r="VEZ41" s="344"/>
      <c r="VFA41" s="344"/>
      <c r="VFB41" s="344"/>
      <c r="VFC41" s="344"/>
      <c r="VFD41" s="344"/>
      <c r="VFE41" s="344"/>
      <c r="VFF41" s="344"/>
      <c r="VFG41" s="344"/>
      <c r="VFH41" s="344"/>
      <c r="VFI41" s="344"/>
      <c r="VFJ41" s="344"/>
      <c r="VFK41" s="344"/>
      <c r="VFL41" s="344"/>
      <c r="VFM41" s="344"/>
      <c r="VFN41" s="344"/>
      <c r="VFO41" s="344"/>
      <c r="VFP41" s="344"/>
      <c r="VFQ41" s="344"/>
      <c r="VFR41" s="344"/>
      <c r="VFS41" s="344"/>
      <c r="VFT41" s="344"/>
      <c r="VFU41" s="344"/>
      <c r="VFV41" s="344"/>
      <c r="VFW41" s="344"/>
      <c r="VFX41" s="344"/>
      <c r="VFY41" s="344"/>
      <c r="VFZ41" s="344"/>
      <c r="VGA41" s="344"/>
      <c r="VGB41" s="344"/>
      <c r="VGC41" s="344"/>
      <c r="VGD41" s="344"/>
      <c r="VGE41" s="344"/>
      <c r="VGF41" s="344"/>
      <c r="VGG41" s="344"/>
      <c r="VGH41" s="344"/>
      <c r="VGI41" s="344"/>
      <c r="VGJ41" s="344"/>
      <c r="VGK41" s="344"/>
      <c r="VGL41" s="344"/>
      <c r="VGM41" s="344"/>
      <c r="VGN41" s="344"/>
      <c r="VGO41" s="344"/>
      <c r="VGP41" s="344"/>
      <c r="VGQ41" s="344"/>
      <c r="VGR41" s="344"/>
      <c r="VGS41" s="344"/>
      <c r="VGT41" s="344"/>
      <c r="VGU41" s="344"/>
      <c r="VGV41" s="344"/>
      <c r="VGW41" s="344"/>
      <c r="VGX41" s="344"/>
      <c r="VGY41" s="344"/>
      <c r="VGZ41" s="344"/>
      <c r="VHA41" s="344"/>
      <c r="VHB41" s="344"/>
      <c r="VHC41" s="344"/>
      <c r="VHD41" s="344"/>
      <c r="VHE41" s="344"/>
      <c r="VHF41" s="344"/>
      <c r="VHG41" s="344"/>
      <c r="VHH41" s="344"/>
      <c r="VHI41" s="344"/>
      <c r="VHJ41" s="344"/>
      <c r="VHK41" s="344"/>
      <c r="VHL41" s="344"/>
      <c r="VHM41" s="344"/>
      <c r="VHN41" s="344"/>
      <c r="VHO41" s="344"/>
      <c r="VHP41" s="344"/>
      <c r="VHQ41" s="344"/>
      <c r="VHR41" s="344"/>
      <c r="VHS41" s="344"/>
      <c r="VHT41" s="344"/>
      <c r="VHU41" s="344"/>
      <c r="VHV41" s="344"/>
      <c r="VHW41" s="344"/>
      <c r="VHX41" s="344"/>
      <c r="VHY41" s="344"/>
      <c r="VHZ41" s="344"/>
      <c r="VIA41" s="344"/>
      <c r="VIB41" s="344"/>
      <c r="VIC41" s="344"/>
      <c r="VID41" s="344"/>
      <c r="VIE41" s="344"/>
      <c r="VIF41" s="344"/>
      <c r="VIG41" s="344"/>
      <c r="VIH41" s="344"/>
      <c r="VII41" s="344"/>
      <c r="VIJ41" s="344"/>
      <c r="VIK41" s="344"/>
      <c r="VIL41" s="344"/>
      <c r="VIM41" s="344"/>
      <c r="VIN41" s="344"/>
      <c r="VIO41" s="344"/>
      <c r="VIP41" s="344"/>
      <c r="VIQ41" s="344"/>
      <c r="VIR41" s="344"/>
      <c r="VIS41" s="344"/>
      <c r="VIT41" s="344"/>
      <c r="VIU41" s="344"/>
      <c r="VIV41" s="344"/>
      <c r="VIW41" s="344"/>
      <c r="VIX41" s="344"/>
      <c r="VIY41" s="344"/>
      <c r="VIZ41" s="344"/>
      <c r="VJA41" s="344"/>
      <c r="VJB41" s="344"/>
      <c r="VJC41" s="344"/>
      <c r="VJD41" s="344"/>
      <c r="VJE41" s="344"/>
      <c r="VJF41" s="344"/>
      <c r="VJG41" s="344"/>
      <c r="VJH41" s="344"/>
      <c r="VJI41" s="344"/>
      <c r="VJJ41" s="344"/>
      <c r="VJK41" s="344"/>
      <c r="VJL41" s="344"/>
      <c r="VJM41" s="344"/>
      <c r="VJN41" s="344"/>
      <c r="VJO41" s="344"/>
      <c r="VJP41" s="344"/>
      <c r="VJQ41" s="344"/>
      <c r="VJR41" s="344"/>
      <c r="VJS41" s="344"/>
      <c r="VJT41" s="344"/>
      <c r="VJU41" s="344"/>
      <c r="VJV41" s="344"/>
      <c r="VJW41" s="344"/>
      <c r="VJX41" s="344"/>
      <c r="VJY41" s="344"/>
      <c r="VJZ41" s="344"/>
      <c r="VKA41" s="344"/>
      <c r="VKB41" s="344"/>
      <c r="VKC41" s="344"/>
      <c r="VKD41" s="344"/>
      <c r="VKE41" s="344"/>
      <c r="VKF41" s="344"/>
      <c r="VKG41" s="344"/>
      <c r="VKH41" s="344"/>
      <c r="VKI41" s="344"/>
      <c r="VKJ41" s="344"/>
      <c r="VKK41" s="344"/>
      <c r="VKL41" s="344"/>
      <c r="VKM41" s="344"/>
      <c r="VKN41" s="344"/>
      <c r="VKO41" s="344"/>
      <c r="VKP41" s="344"/>
      <c r="VKQ41" s="344"/>
      <c r="VKR41" s="344"/>
      <c r="VKS41" s="344"/>
      <c r="VKT41" s="344"/>
      <c r="VKU41" s="344"/>
      <c r="VKV41" s="344"/>
      <c r="VKW41" s="344"/>
      <c r="VKX41" s="344"/>
      <c r="VKY41" s="344"/>
      <c r="VKZ41" s="344"/>
      <c r="VLA41" s="344"/>
      <c r="VLB41" s="344"/>
      <c r="VLC41" s="344"/>
      <c r="VLD41" s="344"/>
      <c r="VLE41" s="344"/>
      <c r="VLF41" s="344"/>
      <c r="VLG41" s="344"/>
      <c r="VLH41" s="344"/>
      <c r="VLI41" s="344"/>
      <c r="VLJ41" s="344"/>
      <c r="VLK41" s="344"/>
      <c r="VLL41" s="344"/>
      <c r="VLM41" s="344"/>
      <c r="VLN41" s="344"/>
      <c r="VLO41" s="344"/>
      <c r="VLP41" s="344"/>
      <c r="VLQ41" s="344"/>
      <c r="VLR41" s="344"/>
      <c r="VLS41" s="344"/>
      <c r="VLT41" s="344"/>
      <c r="VLU41" s="344"/>
      <c r="VLV41" s="344"/>
      <c r="VLW41" s="344"/>
      <c r="VLX41" s="344"/>
      <c r="VLY41" s="344"/>
      <c r="VLZ41" s="344"/>
      <c r="VMA41" s="344"/>
      <c r="VMB41" s="344"/>
      <c r="VMC41" s="344"/>
      <c r="VMD41" s="344"/>
      <c r="VME41" s="344"/>
      <c r="VMF41" s="344"/>
      <c r="VMG41" s="344"/>
      <c r="VMH41" s="344"/>
      <c r="VMI41" s="344"/>
      <c r="VMJ41" s="344"/>
      <c r="VMK41" s="344"/>
      <c r="VML41" s="344"/>
      <c r="VMM41" s="344"/>
      <c r="VMN41" s="344"/>
      <c r="VMO41" s="344"/>
      <c r="VMP41" s="344"/>
      <c r="VMQ41" s="344"/>
      <c r="VMR41" s="344"/>
      <c r="VMS41" s="344"/>
      <c r="VMT41" s="344"/>
      <c r="VMU41" s="344"/>
      <c r="VMV41" s="344"/>
      <c r="VMW41" s="344"/>
      <c r="VMX41" s="344"/>
      <c r="VMY41" s="344"/>
      <c r="VMZ41" s="344"/>
      <c r="VNA41" s="344"/>
      <c r="VNB41" s="344"/>
      <c r="VNC41" s="344"/>
      <c r="VND41" s="344"/>
      <c r="VNE41" s="344"/>
      <c r="VNF41" s="344"/>
      <c r="VNG41" s="344"/>
      <c r="VNH41" s="344"/>
      <c r="VNI41" s="344"/>
      <c r="VNJ41" s="344"/>
      <c r="VNK41" s="344"/>
      <c r="VNL41" s="344"/>
      <c r="VNM41" s="344"/>
      <c r="VNN41" s="344"/>
      <c r="VNO41" s="344"/>
      <c r="VNP41" s="344"/>
      <c r="VNQ41" s="344"/>
      <c r="VNR41" s="344"/>
      <c r="VNS41" s="344"/>
      <c r="VNT41" s="344"/>
      <c r="VNU41" s="344"/>
      <c r="VNV41" s="344"/>
      <c r="VNW41" s="344"/>
      <c r="VNX41" s="344"/>
      <c r="VNY41" s="344"/>
      <c r="VNZ41" s="344"/>
      <c r="VOA41" s="344"/>
      <c r="VOB41" s="344"/>
      <c r="VOC41" s="344"/>
      <c r="VOD41" s="344"/>
      <c r="VOE41" s="344"/>
      <c r="VOF41" s="344"/>
      <c r="VOG41" s="344"/>
      <c r="VOH41" s="344"/>
      <c r="VOI41" s="344"/>
      <c r="VOJ41" s="344"/>
      <c r="VOK41" s="344"/>
      <c r="VOL41" s="344"/>
      <c r="VOM41" s="344"/>
      <c r="VON41" s="344"/>
      <c r="VOO41" s="344"/>
      <c r="VOP41" s="344"/>
      <c r="VOQ41" s="344"/>
      <c r="VOR41" s="344"/>
      <c r="VOS41" s="344"/>
      <c r="VOT41" s="344"/>
      <c r="VOU41" s="344"/>
      <c r="VOV41" s="344"/>
      <c r="VOW41" s="344"/>
      <c r="VOX41" s="344"/>
      <c r="VOY41" s="344"/>
      <c r="VOZ41" s="344"/>
      <c r="VPA41" s="344"/>
      <c r="VPB41" s="344"/>
      <c r="VPC41" s="344"/>
      <c r="VPD41" s="344"/>
      <c r="VPE41" s="344"/>
      <c r="VPF41" s="344"/>
      <c r="VPG41" s="344"/>
      <c r="VPH41" s="344"/>
      <c r="VPI41" s="344"/>
      <c r="VPJ41" s="344"/>
      <c r="VPK41" s="344"/>
      <c r="VPL41" s="344"/>
      <c r="VPM41" s="344"/>
      <c r="VPN41" s="344"/>
      <c r="VPO41" s="344"/>
      <c r="VPP41" s="344"/>
      <c r="VPQ41" s="344"/>
      <c r="VPR41" s="344"/>
      <c r="VPS41" s="344"/>
      <c r="VPT41" s="344"/>
      <c r="VPU41" s="344"/>
      <c r="VPV41" s="344"/>
      <c r="VPW41" s="344"/>
      <c r="VPX41" s="344"/>
      <c r="VPY41" s="344"/>
      <c r="VPZ41" s="344"/>
      <c r="VQA41" s="344"/>
      <c r="VQB41" s="344"/>
      <c r="VQC41" s="344"/>
      <c r="VQD41" s="344"/>
      <c r="VQE41" s="344"/>
      <c r="VQF41" s="344"/>
      <c r="VQG41" s="344"/>
      <c r="VQH41" s="344"/>
      <c r="VQI41" s="344"/>
      <c r="VQJ41" s="344"/>
      <c r="VQK41" s="344"/>
      <c r="VQL41" s="344"/>
      <c r="VQM41" s="344"/>
      <c r="VQN41" s="344"/>
      <c r="VQO41" s="344"/>
      <c r="VQP41" s="344"/>
      <c r="VQQ41" s="344"/>
      <c r="VQR41" s="344"/>
      <c r="VQS41" s="344"/>
      <c r="VQT41" s="344"/>
      <c r="VQU41" s="344"/>
      <c r="VQV41" s="344"/>
      <c r="VQW41" s="344"/>
      <c r="VQX41" s="344"/>
      <c r="VQY41" s="344"/>
      <c r="VQZ41" s="344"/>
      <c r="VRA41" s="344"/>
      <c r="VRB41" s="344"/>
      <c r="VRC41" s="344"/>
      <c r="VRD41" s="344"/>
      <c r="VRE41" s="344"/>
      <c r="VRF41" s="344"/>
      <c r="VRG41" s="344"/>
      <c r="VRH41" s="344"/>
      <c r="VRI41" s="344"/>
      <c r="VRJ41" s="344"/>
      <c r="VRK41" s="344"/>
      <c r="VRL41" s="344"/>
      <c r="VRM41" s="344"/>
      <c r="VRN41" s="344"/>
      <c r="VRO41" s="344"/>
      <c r="VRP41" s="344"/>
      <c r="VRQ41" s="344"/>
      <c r="VRR41" s="344"/>
      <c r="VRS41" s="344"/>
      <c r="VRT41" s="344"/>
      <c r="VRU41" s="344"/>
      <c r="VRV41" s="344"/>
      <c r="VRW41" s="344"/>
      <c r="VRX41" s="344"/>
      <c r="VRY41" s="344"/>
      <c r="VRZ41" s="344"/>
      <c r="VSA41" s="344"/>
      <c r="VSB41" s="344"/>
      <c r="VSC41" s="344"/>
      <c r="VSD41" s="344"/>
      <c r="VSE41" s="344"/>
      <c r="VSF41" s="344"/>
      <c r="VSG41" s="344"/>
      <c r="VSH41" s="344"/>
      <c r="VSI41" s="344"/>
      <c r="VSJ41" s="344"/>
      <c r="VSK41" s="344"/>
      <c r="VSL41" s="344"/>
      <c r="VSM41" s="344"/>
      <c r="VSN41" s="344"/>
      <c r="VSO41" s="344"/>
      <c r="VSP41" s="344"/>
      <c r="VSQ41" s="344"/>
      <c r="VSR41" s="344"/>
      <c r="VSS41" s="344"/>
      <c r="VST41" s="344"/>
      <c r="VSU41" s="344"/>
      <c r="VSV41" s="344"/>
      <c r="VSW41" s="344"/>
      <c r="VSX41" s="344"/>
      <c r="VSY41" s="344"/>
      <c r="VSZ41" s="344"/>
      <c r="VTA41" s="344"/>
      <c r="VTB41" s="344"/>
      <c r="VTC41" s="344"/>
      <c r="VTD41" s="344"/>
      <c r="VTE41" s="344"/>
      <c r="VTF41" s="344"/>
      <c r="VTG41" s="344"/>
      <c r="VTH41" s="344"/>
      <c r="VTI41" s="344"/>
      <c r="VTJ41" s="344"/>
      <c r="VTK41" s="344"/>
      <c r="VTL41" s="344"/>
      <c r="VTM41" s="344"/>
      <c r="VTN41" s="344"/>
      <c r="VTO41" s="344"/>
      <c r="VTP41" s="344"/>
      <c r="VTQ41" s="344"/>
      <c r="VTR41" s="344"/>
      <c r="VTS41" s="344"/>
      <c r="VTT41" s="344"/>
      <c r="VTU41" s="344"/>
      <c r="VTV41" s="344"/>
      <c r="VTW41" s="344"/>
      <c r="VTX41" s="344"/>
      <c r="VTY41" s="344"/>
      <c r="VTZ41" s="344"/>
      <c r="VUA41" s="344"/>
      <c r="VUB41" s="344"/>
      <c r="VUC41" s="344"/>
      <c r="VUD41" s="344"/>
      <c r="VUE41" s="344"/>
      <c r="VUF41" s="344"/>
      <c r="VUG41" s="344"/>
      <c r="VUH41" s="344"/>
      <c r="VUI41" s="344"/>
      <c r="VUJ41" s="344"/>
      <c r="VUK41" s="344"/>
      <c r="VUL41" s="344"/>
      <c r="VUM41" s="344"/>
      <c r="VUN41" s="344"/>
      <c r="VUO41" s="344"/>
      <c r="VUP41" s="344"/>
      <c r="VUQ41" s="344"/>
      <c r="VUR41" s="344"/>
      <c r="VUS41" s="344"/>
      <c r="VUT41" s="344"/>
      <c r="VUU41" s="344"/>
      <c r="VUV41" s="344"/>
      <c r="VUW41" s="344"/>
      <c r="VUX41" s="344"/>
      <c r="VUY41" s="344"/>
      <c r="VUZ41" s="344"/>
      <c r="VVA41" s="344"/>
      <c r="VVB41" s="344"/>
      <c r="VVC41" s="344"/>
      <c r="VVD41" s="344"/>
      <c r="VVE41" s="344"/>
      <c r="VVF41" s="344"/>
      <c r="VVG41" s="344"/>
      <c r="VVH41" s="344"/>
      <c r="VVI41" s="344"/>
      <c r="VVJ41" s="344"/>
      <c r="VVK41" s="344"/>
      <c r="VVL41" s="344"/>
      <c r="VVM41" s="344"/>
      <c r="VVN41" s="344"/>
      <c r="VVO41" s="344"/>
      <c r="VVP41" s="344"/>
      <c r="VVQ41" s="344"/>
      <c r="VVR41" s="344"/>
      <c r="VVS41" s="344"/>
      <c r="VVT41" s="344"/>
      <c r="VVU41" s="344"/>
      <c r="VVV41" s="344"/>
      <c r="VVW41" s="344"/>
      <c r="VVX41" s="344"/>
      <c r="VVY41" s="344"/>
      <c r="VVZ41" s="344"/>
      <c r="VWA41" s="344"/>
      <c r="VWB41" s="344"/>
      <c r="VWC41" s="344"/>
      <c r="VWD41" s="344"/>
      <c r="VWE41" s="344"/>
      <c r="VWF41" s="344"/>
      <c r="VWG41" s="344"/>
      <c r="VWH41" s="344"/>
      <c r="VWI41" s="344"/>
      <c r="VWJ41" s="344"/>
      <c r="VWK41" s="344"/>
      <c r="VWL41" s="344"/>
      <c r="VWM41" s="344"/>
      <c r="VWN41" s="344"/>
      <c r="VWO41" s="344"/>
      <c r="VWP41" s="344"/>
      <c r="VWQ41" s="344"/>
      <c r="VWR41" s="344"/>
      <c r="VWS41" s="344"/>
      <c r="VWT41" s="344"/>
      <c r="VWU41" s="344"/>
      <c r="VWV41" s="344"/>
      <c r="VWW41" s="344"/>
      <c r="VWX41" s="344"/>
      <c r="VWY41" s="344"/>
      <c r="VWZ41" s="344"/>
      <c r="VXA41" s="344"/>
      <c r="VXB41" s="344"/>
      <c r="VXC41" s="344"/>
      <c r="VXD41" s="344"/>
      <c r="VXE41" s="344"/>
      <c r="VXF41" s="344"/>
      <c r="VXG41" s="344"/>
      <c r="VXH41" s="344"/>
      <c r="VXI41" s="344"/>
      <c r="VXJ41" s="344"/>
      <c r="VXK41" s="344"/>
      <c r="VXL41" s="344"/>
      <c r="VXM41" s="344"/>
      <c r="VXN41" s="344"/>
      <c r="VXO41" s="344"/>
      <c r="VXP41" s="344"/>
      <c r="VXQ41" s="344"/>
      <c r="VXR41" s="344"/>
      <c r="VXS41" s="344"/>
      <c r="VXT41" s="344"/>
      <c r="VXU41" s="344"/>
      <c r="VXV41" s="344"/>
      <c r="VXW41" s="344"/>
      <c r="VXX41" s="344"/>
      <c r="VXY41" s="344"/>
      <c r="VXZ41" s="344"/>
      <c r="VYA41" s="344"/>
      <c r="VYB41" s="344"/>
      <c r="VYC41" s="344"/>
      <c r="VYD41" s="344"/>
      <c r="VYE41" s="344"/>
      <c r="VYF41" s="344"/>
      <c r="VYG41" s="344"/>
      <c r="VYH41" s="344"/>
      <c r="VYI41" s="344"/>
      <c r="VYJ41" s="344"/>
      <c r="VYK41" s="344"/>
      <c r="VYL41" s="344"/>
      <c r="VYM41" s="344"/>
      <c r="VYN41" s="344"/>
      <c r="VYO41" s="344"/>
      <c r="VYP41" s="344"/>
      <c r="VYQ41" s="344"/>
      <c r="VYR41" s="344"/>
      <c r="VYS41" s="344"/>
      <c r="VYT41" s="344"/>
      <c r="VYU41" s="344"/>
      <c r="VYV41" s="344"/>
      <c r="VYW41" s="344"/>
      <c r="VYX41" s="344"/>
      <c r="VYY41" s="344"/>
      <c r="VYZ41" s="344"/>
      <c r="VZA41" s="344"/>
      <c r="VZB41" s="344"/>
      <c r="VZC41" s="344"/>
      <c r="VZD41" s="344"/>
      <c r="VZE41" s="344"/>
      <c r="VZF41" s="344"/>
      <c r="VZG41" s="344"/>
      <c r="VZH41" s="344"/>
      <c r="VZI41" s="344"/>
      <c r="VZJ41" s="344"/>
      <c r="VZK41" s="344"/>
      <c r="VZL41" s="344"/>
      <c r="VZM41" s="344"/>
      <c r="VZN41" s="344"/>
      <c r="VZO41" s="344"/>
      <c r="VZP41" s="344"/>
      <c r="VZQ41" s="344"/>
      <c r="VZR41" s="344"/>
      <c r="VZS41" s="344"/>
      <c r="VZT41" s="344"/>
      <c r="VZU41" s="344"/>
      <c r="VZV41" s="344"/>
      <c r="VZW41" s="344"/>
      <c r="VZX41" s="344"/>
      <c r="VZY41" s="344"/>
      <c r="VZZ41" s="344"/>
      <c r="WAA41" s="344"/>
      <c r="WAB41" s="344"/>
      <c r="WAC41" s="344"/>
      <c r="WAD41" s="344"/>
      <c r="WAE41" s="344"/>
      <c r="WAF41" s="344"/>
      <c r="WAG41" s="344"/>
      <c r="WAH41" s="344"/>
      <c r="WAI41" s="344"/>
      <c r="WAJ41" s="344"/>
      <c r="WAK41" s="344"/>
      <c r="WAL41" s="344"/>
      <c r="WAM41" s="344"/>
      <c r="WAN41" s="344"/>
      <c r="WAO41" s="344"/>
      <c r="WAP41" s="344"/>
      <c r="WAQ41" s="344"/>
      <c r="WAR41" s="344"/>
      <c r="WAS41" s="344"/>
      <c r="WAT41" s="344"/>
      <c r="WAU41" s="344"/>
      <c r="WAV41" s="344"/>
      <c r="WAW41" s="344"/>
      <c r="WAX41" s="344"/>
      <c r="WAY41" s="344"/>
      <c r="WAZ41" s="344"/>
      <c r="WBA41" s="344"/>
      <c r="WBB41" s="344"/>
      <c r="WBC41" s="344"/>
      <c r="WBD41" s="344"/>
      <c r="WBE41" s="344"/>
      <c r="WBF41" s="344"/>
      <c r="WBG41" s="344"/>
      <c r="WBH41" s="344"/>
      <c r="WBI41" s="344"/>
      <c r="WBJ41" s="344"/>
      <c r="WBK41" s="344"/>
      <c r="WBL41" s="344"/>
      <c r="WBM41" s="344"/>
      <c r="WBN41" s="344"/>
      <c r="WBO41" s="344"/>
      <c r="WBP41" s="344"/>
      <c r="WBQ41" s="344"/>
      <c r="WBR41" s="344"/>
      <c r="WBS41" s="344"/>
      <c r="WBT41" s="344"/>
      <c r="WBU41" s="344"/>
      <c r="WBV41" s="344"/>
      <c r="WBW41" s="344"/>
      <c r="WBX41" s="344"/>
      <c r="WBY41" s="344"/>
      <c r="WBZ41" s="344"/>
      <c r="WCA41" s="344"/>
      <c r="WCB41" s="344"/>
      <c r="WCC41" s="344"/>
      <c r="WCD41" s="344"/>
      <c r="WCE41" s="344"/>
      <c r="WCF41" s="344"/>
      <c r="WCG41" s="344"/>
      <c r="WCH41" s="344"/>
      <c r="WCI41" s="344"/>
      <c r="WCJ41" s="344"/>
      <c r="WCK41" s="344"/>
      <c r="WCL41" s="344"/>
      <c r="WCM41" s="344"/>
      <c r="WCN41" s="344"/>
      <c r="WCO41" s="344"/>
      <c r="WCP41" s="344"/>
      <c r="WCQ41" s="344"/>
      <c r="WCR41" s="344"/>
      <c r="WCS41" s="344"/>
      <c r="WCT41" s="344"/>
      <c r="WCU41" s="344"/>
      <c r="WCV41" s="344"/>
      <c r="WCW41" s="344"/>
      <c r="WCX41" s="344"/>
      <c r="WCY41" s="344"/>
      <c r="WCZ41" s="344"/>
      <c r="WDA41" s="344"/>
      <c r="WDB41" s="344"/>
      <c r="WDC41" s="344"/>
      <c r="WDD41" s="344"/>
      <c r="WDE41" s="344"/>
      <c r="WDF41" s="344"/>
      <c r="WDG41" s="344"/>
      <c r="WDH41" s="344"/>
      <c r="WDI41" s="344"/>
      <c r="WDJ41" s="344"/>
      <c r="WDK41" s="344"/>
      <c r="WDL41" s="344"/>
      <c r="WDM41" s="344"/>
      <c r="WDN41" s="344"/>
      <c r="WDO41" s="344"/>
      <c r="WDP41" s="344"/>
      <c r="WDQ41" s="344"/>
      <c r="WDR41" s="344"/>
      <c r="WDS41" s="344"/>
      <c r="WDT41" s="344"/>
      <c r="WDU41" s="344"/>
      <c r="WDV41" s="344"/>
      <c r="WDW41" s="344"/>
      <c r="WDX41" s="344"/>
      <c r="WDY41" s="344"/>
      <c r="WDZ41" s="344"/>
      <c r="WEA41" s="344"/>
      <c r="WEB41" s="344"/>
      <c r="WEC41" s="344"/>
      <c r="WED41" s="344"/>
      <c r="WEE41" s="344"/>
      <c r="WEF41" s="344"/>
      <c r="WEG41" s="344"/>
      <c r="WEH41" s="344"/>
      <c r="WEI41" s="344"/>
      <c r="WEJ41" s="344"/>
      <c r="WEK41" s="344"/>
      <c r="WEL41" s="344"/>
      <c r="WEM41" s="344"/>
      <c r="WEN41" s="344"/>
      <c r="WEO41" s="344"/>
      <c r="WEP41" s="344"/>
      <c r="WEQ41" s="344"/>
      <c r="WER41" s="344"/>
      <c r="WES41" s="344"/>
      <c r="WET41" s="344"/>
      <c r="WEU41" s="344"/>
      <c r="WEV41" s="344"/>
      <c r="WEW41" s="344"/>
      <c r="WEX41" s="344"/>
      <c r="WEY41" s="344"/>
      <c r="WEZ41" s="344"/>
      <c r="WFA41" s="344"/>
      <c r="WFB41" s="344"/>
      <c r="WFC41" s="344"/>
      <c r="WFD41" s="344"/>
      <c r="WFE41" s="344"/>
      <c r="WFF41" s="344"/>
      <c r="WFG41" s="344"/>
      <c r="WFH41" s="344"/>
      <c r="WFI41" s="344"/>
      <c r="WFJ41" s="344"/>
      <c r="WFK41" s="344"/>
      <c r="WFL41" s="344"/>
      <c r="WFM41" s="344"/>
      <c r="WFN41" s="344"/>
      <c r="WFO41" s="344"/>
      <c r="WFP41" s="344"/>
      <c r="WFQ41" s="344"/>
      <c r="WFR41" s="344"/>
      <c r="WFS41" s="344"/>
      <c r="WFT41" s="344"/>
      <c r="WFU41" s="344"/>
      <c r="WFV41" s="344"/>
      <c r="WFW41" s="344"/>
      <c r="WFX41" s="344"/>
      <c r="WFY41" s="344"/>
      <c r="WFZ41" s="344"/>
      <c r="WGA41" s="344"/>
      <c r="WGB41" s="344"/>
      <c r="WGC41" s="344"/>
      <c r="WGD41" s="344"/>
      <c r="WGE41" s="344"/>
      <c r="WGF41" s="344"/>
      <c r="WGG41" s="344"/>
      <c r="WGH41" s="344"/>
      <c r="WGI41" s="344"/>
      <c r="WGJ41" s="344"/>
      <c r="WGK41" s="344"/>
      <c r="WGL41" s="344"/>
      <c r="WGM41" s="344"/>
      <c r="WGN41" s="344"/>
      <c r="WGO41" s="344"/>
      <c r="WGP41" s="344"/>
      <c r="WGQ41" s="344"/>
      <c r="WGR41" s="344"/>
      <c r="WGS41" s="344"/>
      <c r="WGT41" s="344"/>
      <c r="WGU41" s="344"/>
      <c r="WGV41" s="344"/>
      <c r="WGW41" s="344"/>
      <c r="WGX41" s="344"/>
      <c r="WGY41" s="344"/>
      <c r="WGZ41" s="344"/>
      <c r="WHA41" s="344"/>
      <c r="WHB41" s="344"/>
      <c r="WHC41" s="344"/>
      <c r="WHD41" s="344"/>
      <c r="WHE41" s="344"/>
      <c r="WHF41" s="344"/>
      <c r="WHG41" s="344"/>
      <c r="WHH41" s="344"/>
      <c r="WHI41" s="344"/>
      <c r="WHJ41" s="344"/>
      <c r="WHK41" s="344"/>
      <c r="WHL41" s="344"/>
      <c r="WHM41" s="344"/>
      <c r="WHN41" s="344"/>
      <c r="WHO41" s="344"/>
      <c r="WHP41" s="344"/>
      <c r="WHQ41" s="344"/>
      <c r="WHR41" s="344"/>
      <c r="WHS41" s="344"/>
      <c r="WHT41" s="344"/>
      <c r="WHU41" s="344"/>
      <c r="WHV41" s="344"/>
      <c r="WHW41" s="344"/>
      <c r="WHX41" s="344"/>
      <c r="WHY41" s="344"/>
      <c r="WHZ41" s="344"/>
      <c r="WIA41" s="344"/>
      <c r="WIB41" s="344"/>
      <c r="WIC41" s="344"/>
      <c r="WID41" s="344"/>
      <c r="WIE41" s="344"/>
      <c r="WIF41" s="344"/>
      <c r="WIG41" s="344"/>
      <c r="WIH41" s="344"/>
      <c r="WII41" s="344"/>
      <c r="WIJ41" s="344"/>
      <c r="WIK41" s="344"/>
      <c r="WIL41" s="344"/>
      <c r="WIM41" s="344"/>
      <c r="WIN41" s="344"/>
      <c r="WIO41" s="344"/>
      <c r="WIP41" s="344"/>
      <c r="WIQ41" s="344"/>
      <c r="WIR41" s="344"/>
      <c r="WIS41" s="344"/>
      <c r="WIT41" s="344"/>
      <c r="WIU41" s="344"/>
      <c r="WIV41" s="344"/>
      <c r="WIW41" s="344"/>
      <c r="WIX41" s="344"/>
      <c r="WIY41" s="344"/>
      <c r="WIZ41" s="344"/>
      <c r="WJA41" s="344"/>
      <c r="WJB41" s="344"/>
      <c r="WJC41" s="344"/>
      <c r="WJD41" s="344"/>
      <c r="WJE41" s="344"/>
      <c r="WJF41" s="344"/>
      <c r="WJG41" s="344"/>
      <c r="WJH41" s="344"/>
      <c r="WJI41" s="344"/>
      <c r="WJJ41" s="344"/>
      <c r="WJK41" s="344"/>
      <c r="WJL41" s="344"/>
      <c r="WJM41" s="344"/>
      <c r="WJN41" s="344"/>
      <c r="WJO41" s="344"/>
      <c r="WJP41" s="344"/>
      <c r="WJQ41" s="344"/>
      <c r="WJR41" s="344"/>
      <c r="WJS41" s="344"/>
      <c r="WJT41" s="344"/>
      <c r="WJU41" s="344"/>
      <c r="WJV41" s="344"/>
      <c r="WJW41" s="344"/>
      <c r="WJX41" s="344"/>
      <c r="WJY41" s="344"/>
      <c r="WJZ41" s="344"/>
      <c r="WKA41" s="344"/>
      <c r="WKB41" s="344"/>
      <c r="WKC41" s="344"/>
      <c r="WKD41" s="344"/>
      <c r="WKE41" s="344"/>
      <c r="WKF41" s="344"/>
      <c r="WKG41" s="344"/>
      <c r="WKH41" s="344"/>
      <c r="WKI41" s="344"/>
      <c r="WKJ41" s="344"/>
      <c r="WKK41" s="344"/>
      <c r="WKL41" s="344"/>
      <c r="WKM41" s="344"/>
      <c r="WKN41" s="344"/>
      <c r="WKO41" s="344"/>
      <c r="WKP41" s="344"/>
      <c r="WKQ41" s="344"/>
      <c r="WKR41" s="344"/>
      <c r="WKS41" s="344"/>
      <c r="WKT41" s="344"/>
      <c r="WKU41" s="344"/>
      <c r="WKV41" s="344"/>
      <c r="WKW41" s="344"/>
      <c r="WKX41" s="344"/>
      <c r="WKY41" s="344"/>
      <c r="WKZ41" s="344"/>
      <c r="WLA41" s="344"/>
      <c r="WLB41" s="344"/>
      <c r="WLC41" s="344"/>
      <c r="WLD41" s="344"/>
      <c r="WLE41" s="344"/>
      <c r="WLF41" s="344"/>
      <c r="WLG41" s="344"/>
      <c r="WLH41" s="344"/>
      <c r="WLI41" s="344"/>
      <c r="WLJ41" s="344"/>
      <c r="WLK41" s="344"/>
      <c r="WLL41" s="344"/>
      <c r="WLM41" s="344"/>
      <c r="WLN41" s="344"/>
      <c r="WLO41" s="344"/>
      <c r="WLP41" s="344"/>
      <c r="WLQ41" s="344"/>
      <c r="WLR41" s="344"/>
      <c r="WLS41" s="344"/>
      <c r="WLT41" s="344"/>
      <c r="WLU41" s="344"/>
      <c r="WLV41" s="344"/>
      <c r="WLW41" s="344"/>
      <c r="WLX41" s="344"/>
      <c r="WLY41" s="344"/>
      <c r="WLZ41" s="344"/>
      <c r="WMA41" s="344"/>
      <c r="WMB41" s="344"/>
      <c r="WMC41" s="344"/>
      <c r="WMD41" s="344"/>
      <c r="WME41" s="344"/>
      <c r="WMF41" s="344"/>
      <c r="WMG41" s="344"/>
      <c r="WMH41" s="344"/>
      <c r="WMI41" s="344"/>
      <c r="WMJ41" s="344"/>
      <c r="WMK41" s="344"/>
      <c r="WML41" s="344"/>
      <c r="WMM41" s="344"/>
      <c r="WMN41" s="344"/>
      <c r="WMO41" s="344"/>
      <c r="WMP41" s="344"/>
      <c r="WMQ41" s="344"/>
      <c r="WMR41" s="344"/>
      <c r="WMS41" s="344"/>
      <c r="WMT41" s="344"/>
      <c r="WMU41" s="344"/>
      <c r="WMV41" s="344"/>
      <c r="WMW41" s="344"/>
      <c r="WMX41" s="344"/>
      <c r="WMY41" s="344"/>
      <c r="WMZ41" s="344"/>
      <c r="WNA41" s="344"/>
      <c r="WNB41" s="344"/>
      <c r="WNC41" s="344"/>
      <c r="WND41" s="344"/>
      <c r="WNE41" s="344"/>
      <c r="WNF41" s="344"/>
      <c r="WNG41" s="344"/>
      <c r="WNH41" s="344"/>
      <c r="WNI41" s="344"/>
      <c r="WNJ41" s="344"/>
      <c r="WNK41" s="344"/>
      <c r="WNL41" s="344"/>
      <c r="WNM41" s="344"/>
      <c r="WNN41" s="344"/>
      <c r="WNO41" s="344"/>
      <c r="WNP41" s="344"/>
      <c r="WNQ41" s="344"/>
      <c r="WNR41" s="344"/>
      <c r="WNS41" s="344"/>
      <c r="WNT41" s="344"/>
      <c r="WNU41" s="344"/>
      <c r="WNV41" s="344"/>
      <c r="WNW41" s="344"/>
      <c r="WNX41" s="344"/>
      <c r="WNY41" s="344"/>
      <c r="WNZ41" s="344"/>
      <c r="WOA41" s="344"/>
      <c r="WOB41" s="344"/>
      <c r="WOC41" s="344"/>
      <c r="WOD41" s="344"/>
      <c r="WOE41" s="344"/>
      <c r="WOF41" s="344"/>
      <c r="WOG41" s="344"/>
      <c r="WOH41" s="344"/>
      <c r="WOI41" s="344"/>
      <c r="WOJ41" s="344"/>
      <c r="WOK41" s="344"/>
      <c r="WOL41" s="344"/>
      <c r="WOM41" s="344"/>
      <c r="WON41" s="344"/>
      <c r="WOO41" s="344"/>
      <c r="WOP41" s="344"/>
      <c r="WOQ41" s="344"/>
      <c r="WOR41" s="344"/>
      <c r="WOS41" s="344"/>
      <c r="WOT41" s="344"/>
      <c r="WOU41" s="344"/>
      <c r="WOV41" s="344"/>
      <c r="WOW41" s="344"/>
      <c r="WOX41" s="344"/>
      <c r="WOY41" s="344"/>
      <c r="WOZ41" s="344"/>
      <c r="WPA41" s="344"/>
      <c r="WPB41" s="344"/>
      <c r="WPC41" s="344"/>
      <c r="WPD41" s="344"/>
      <c r="WPE41" s="344"/>
      <c r="WPF41" s="344"/>
      <c r="WPG41" s="344"/>
      <c r="WPH41" s="344"/>
      <c r="WPI41" s="344"/>
      <c r="WPJ41" s="344"/>
      <c r="WPK41" s="344"/>
      <c r="WPL41" s="344"/>
      <c r="WPM41" s="344"/>
      <c r="WPN41" s="344"/>
      <c r="WPO41" s="344"/>
      <c r="WPP41" s="344"/>
      <c r="WPQ41" s="344"/>
      <c r="WPR41" s="344"/>
      <c r="WPS41" s="344"/>
      <c r="WPT41" s="344"/>
      <c r="WPU41" s="344"/>
      <c r="WPV41" s="344"/>
      <c r="WPW41" s="344"/>
      <c r="WPX41" s="344"/>
      <c r="WPY41" s="344"/>
      <c r="WPZ41" s="344"/>
      <c r="WQA41" s="344"/>
      <c r="WQB41" s="344"/>
      <c r="WQC41" s="344"/>
      <c r="WQD41" s="344"/>
      <c r="WQE41" s="344"/>
      <c r="WQF41" s="344"/>
      <c r="WQG41" s="344"/>
      <c r="WQH41" s="344"/>
      <c r="WQI41" s="344"/>
      <c r="WQJ41" s="344"/>
      <c r="WQK41" s="344"/>
      <c r="WQL41" s="344"/>
      <c r="WQM41" s="344"/>
      <c r="WQN41" s="344"/>
      <c r="WQO41" s="344"/>
      <c r="WQP41" s="344"/>
      <c r="WQQ41" s="344"/>
      <c r="WQR41" s="344"/>
      <c r="WQS41" s="344"/>
      <c r="WQT41" s="344"/>
      <c r="WQU41" s="344"/>
      <c r="WQV41" s="344"/>
      <c r="WQW41" s="344"/>
      <c r="WQX41" s="344"/>
      <c r="WQY41" s="344"/>
      <c r="WQZ41" s="344"/>
      <c r="WRA41" s="344"/>
      <c r="WRB41" s="344"/>
      <c r="WRC41" s="344"/>
      <c r="WRD41" s="344"/>
      <c r="WRE41" s="344"/>
      <c r="WRF41" s="344"/>
      <c r="WRG41" s="344"/>
      <c r="WRH41" s="344"/>
      <c r="WRI41" s="344"/>
      <c r="WRJ41" s="344"/>
      <c r="WRK41" s="344"/>
      <c r="WRL41" s="344"/>
      <c r="WRM41" s="344"/>
      <c r="WRN41" s="344"/>
      <c r="WRO41" s="344"/>
      <c r="WRP41" s="344"/>
      <c r="WRQ41" s="344"/>
      <c r="WRR41" s="344"/>
      <c r="WRS41" s="344"/>
      <c r="WRT41" s="344"/>
      <c r="WRU41" s="344"/>
      <c r="WRV41" s="344"/>
      <c r="WRW41" s="344"/>
      <c r="WRX41" s="344"/>
      <c r="WRY41" s="344"/>
      <c r="WRZ41" s="344"/>
      <c r="WSA41" s="344"/>
      <c r="WSB41" s="344"/>
      <c r="WSC41" s="344"/>
      <c r="WSD41" s="344"/>
      <c r="WSE41" s="344"/>
      <c r="WSF41" s="344"/>
      <c r="WSG41" s="344"/>
      <c r="WSH41" s="344"/>
      <c r="WSI41" s="344"/>
      <c r="WSJ41" s="344"/>
      <c r="WSK41" s="344"/>
      <c r="WSL41" s="344"/>
      <c r="WSM41" s="344"/>
      <c r="WSN41" s="344"/>
      <c r="WSO41" s="344"/>
      <c r="WSP41" s="344"/>
      <c r="WSQ41" s="344"/>
      <c r="WSR41" s="344"/>
      <c r="WSS41" s="344"/>
      <c r="WST41" s="344"/>
      <c r="WSU41" s="344"/>
      <c r="WSV41" s="344"/>
      <c r="WSW41" s="344"/>
      <c r="WSX41" s="344"/>
      <c r="WSY41" s="344"/>
      <c r="WSZ41" s="344"/>
      <c r="WTA41" s="344"/>
      <c r="WTB41" s="344"/>
      <c r="WTC41" s="344"/>
      <c r="WTD41" s="344"/>
      <c r="WTE41" s="344"/>
      <c r="WTF41" s="344"/>
      <c r="WTG41" s="344"/>
      <c r="WTH41" s="344"/>
      <c r="WTI41" s="344"/>
      <c r="WTJ41" s="344"/>
      <c r="WTK41" s="344"/>
      <c r="WTL41" s="344"/>
      <c r="WTM41" s="344"/>
      <c r="WTN41" s="344"/>
      <c r="WTO41" s="344"/>
      <c r="WTP41" s="344"/>
      <c r="WTQ41" s="344"/>
      <c r="WTR41" s="344"/>
      <c r="WTS41" s="344"/>
      <c r="WTT41" s="344"/>
      <c r="WTU41" s="344"/>
      <c r="WTV41" s="344"/>
      <c r="WTW41" s="344"/>
      <c r="WTX41" s="344"/>
      <c r="WTY41" s="344"/>
      <c r="WTZ41" s="344"/>
      <c r="WUA41" s="344"/>
      <c r="WUB41" s="344"/>
      <c r="WUC41" s="344"/>
      <c r="WUD41" s="344"/>
      <c r="WUE41" s="344"/>
      <c r="WUF41" s="344"/>
      <c r="WUG41" s="344"/>
      <c r="WUH41" s="344"/>
      <c r="WUI41" s="344"/>
      <c r="WUJ41" s="344"/>
      <c r="WUK41" s="344"/>
      <c r="WUL41" s="344"/>
      <c r="WUM41" s="344"/>
      <c r="WUN41" s="344"/>
      <c r="WUO41" s="344"/>
      <c r="WUP41" s="344"/>
      <c r="WUQ41" s="344"/>
      <c r="WUR41" s="344"/>
      <c r="WUS41" s="344"/>
      <c r="WUT41" s="344"/>
      <c r="WUU41" s="344"/>
      <c r="WUV41" s="344"/>
      <c r="WUW41" s="344"/>
      <c r="WUX41" s="344"/>
      <c r="WUY41" s="344"/>
      <c r="WUZ41" s="344"/>
      <c r="WVA41" s="344"/>
      <c r="WVB41" s="344"/>
      <c r="WVC41" s="344"/>
      <c r="WVD41" s="344"/>
      <c r="WVE41" s="344"/>
      <c r="WVF41" s="344"/>
      <c r="WVG41" s="344"/>
      <c r="WVH41" s="344"/>
      <c r="WVI41" s="344"/>
      <c r="WVJ41" s="344"/>
      <c r="WVK41" s="344"/>
      <c r="WVL41" s="344"/>
      <c r="WVM41" s="344"/>
      <c r="WVN41" s="344"/>
      <c r="WVO41" s="344"/>
      <c r="WVP41" s="344"/>
      <c r="WVQ41" s="344"/>
      <c r="WVR41" s="344"/>
      <c r="WVS41" s="344"/>
      <c r="WVT41" s="344"/>
      <c r="WVU41" s="344"/>
      <c r="WVV41" s="344"/>
      <c r="WVW41" s="344"/>
      <c r="WVX41" s="344"/>
      <c r="WVY41" s="344"/>
      <c r="WVZ41" s="344"/>
      <c r="WWA41" s="344"/>
      <c r="WWB41" s="344"/>
      <c r="WWC41" s="344"/>
      <c r="WWD41" s="344"/>
      <c r="WWE41" s="344"/>
      <c r="WWF41" s="344"/>
      <c r="WWG41" s="344"/>
      <c r="WWH41" s="344"/>
      <c r="WWI41" s="344"/>
      <c r="WWJ41" s="344"/>
      <c r="WWK41" s="344"/>
      <c r="WWL41" s="344"/>
      <c r="WWM41" s="344"/>
      <c r="WWN41" s="344"/>
      <c r="WWO41" s="344"/>
      <c r="WWP41" s="344"/>
      <c r="WWQ41" s="344"/>
      <c r="WWR41" s="344"/>
      <c r="WWS41" s="344"/>
      <c r="WWT41" s="344"/>
      <c r="WWU41" s="344"/>
      <c r="WWV41" s="344"/>
      <c r="WWW41" s="344"/>
      <c r="WWX41" s="344"/>
      <c r="WWY41" s="344"/>
      <c r="WWZ41" s="344"/>
      <c r="WXA41" s="344"/>
      <c r="WXB41" s="344"/>
      <c r="WXC41" s="344"/>
      <c r="WXD41" s="344"/>
      <c r="WXE41" s="344"/>
      <c r="WXF41" s="344"/>
      <c r="WXG41" s="344"/>
      <c r="WXH41" s="344"/>
      <c r="WXI41" s="344"/>
      <c r="WXJ41" s="344"/>
      <c r="WXK41" s="344"/>
      <c r="WXL41" s="344"/>
      <c r="WXM41" s="344"/>
      <c r="WXN41" s="344"/>
      <c r="WXO41" s="344"/>
      <c r="WXP41" s="344"/>
      <c r="WXQ41" s="344"/>
      <c r="WXR41" s="344"/>
      <c r="WXS41" s="344"/>
      <c r="WXT41" s="344"/>
      <c r="WXU41" s="344"/>
      <c r="WXV41" s="344"/>
      <c r="WXW41" s="344"/>
      <c r="WXX41" s="344"/>
      <c r="WXY41" s="344"/>
      <c r="WXZ41" s="344"/>
      <c r="WYA41" s="344"/>
      <c r="WYB41" s="344"/>
      <c r="WYC41" s="344"/>
      <c r="WYD41" s="344"/>
      <c r="WYE41" s="344"/>
      <c r="WYF41" s="344"/>
      <c r="WYG41" s="344"/>
      <c r="WYH41" s="344"/>
      <c r="WYI41" s="344"/>
      <c r="WYJ41" s="344"/>
      <c r="WYK41" s="344"/>
      <c r="WYL41" s="344"/>
      <c r="WYM41" s="344"/>
      <c r="WYN41" s="344"/>
      <c r="WYO41" s="344"/>
      <c r="WYP41" s="344"/>
      <c r="WYQ41" s="344"/>
      <c r="WYR41" s="344"/>
      <c r="WYS41" s="344"/>
      <c r="WYT41" s="344"/>
      <c r="WYU41" s="344"/>
      <c r="WYV41" s="344"/>
      <c r="WYW41" s="344"/>
      <c r="WYX41" s="344"/>
      <c r="WYY41" s="344"/>
      <c r="WYZ41" s="344"/>
      <c r="WZA41" s="344"/>
      <c r="WZB41" s="344"/>
      <c r="WZC41" s="344"/>
      <c r="WZD41" s="344"/>
      <c r="WZE41" s="344"/>
      <c r="WZF41" s="344"/>
      <c r="WZG41" s="344"/>
      <c r="WZH41" s="344"/>
      <c r="WZI41" s="344"/>
      <c r="WZJ41" s="344"/>
      <c r="WZK41" s="344"/>
      <c r="WZL41" s="344"/>
      <c r="WZM41" s="344"/>
      <c r="WZN41" s="344"/>
      <c r="WZO41" s="344"/>
      <c r="WZP41" s="344"/>
      <c r="WZQ41" s="344"/>
      <c r="WZR41" s="344"/>
      <c r="WZS41" s="344"/>
      <c r="WZT41" s="344"/>
      <c r="WZU41" s="344"/>
      <c r="WZV41" s="344"/>
      <c r="WZW41" s="344"/>
      <c r="WZX41" s="344"/>
      <c r="WZY41" s="344"/>
      <c r="WZZ41" s="344"/>
      <c r="XAA41" s="344"/>
      <c r="XAB41" s="344"/>
      <c r="XAC41" s="344"/>
      <c r="XAD41" s="344"/>
      <c r="XAE41" s="344"/>
      <c r="XAF41" s="344"/>
      <c r="XAG41" s="344"/>
      <c r="XAH41" s="344"/>
      <c r="XAI41" s="344"/>
      <c r="XAJ41" s="344"/>
      <c r="XAK41" s="344"/>
      <c r="XAL41" s="344"/>
      <c r="XAM41" s="344"/>
      <c r="XAN41" s="344"/>
      <c r="XAO41" s="344"/>
      <c r="XAP41" s="344"/>
      <c r="XAQ41" s="344"/>
      <c r="XAR41" s="344"/>
      <c r="XAS41" s="344"/>
      <c r="XAT41" s="344"/>
      <c r="XAU41" s="344"/>
      <c r="XAV41" s="344"/>
      <c r="XAW41" s="344"/>
      <c r="XAX41" s="344"/>
      <c r="XAY41" s="344"/>
      <c r="XAZ41" s="344"/>
      <c r="XBA41" s="344"/>
      <c r="XBB41" s="344"/>
      <c r="XBC41" s="344"/>
      <c r="XBD41" s="344"/>
      <c r="XBE41" s="344"/>
      <c r="XBF41" s="344"/>
      <c r="XBG41" s="344"/>
      <c r="XBH41" s="344"/>
      <c r="XBI41" s="344"/>
      <c r="XBJ41" s="344"/>
      <c r="XBK41" s="344"/>
      <c r="XBL41" s="344"/>
      <c r="XBM41" s="344"/>
      <c r="XBN41" s="344"/>
      <c r="XBO41" s="344"/>
      <c r="XBP41" s="344"/>
      <c r="XBQ41" s="344"/>
      <c r="XBR41" s="344"/>
      <c r="XBS41" s="344"/>
      <c r="XBT41" s="344"/>
      <c r="XBU41" s="344"/>
      <c r="XBV41" s="344"/>
      <c r="XBW41" s="344"/>
      <c r="XBX41" s="344"/>
      <c r="XBY41" s="344"/>
      <c r="XBZ41" s="344"/>
      <c r="XCA41" s="344"/>
      <c r="XCB41" s="344"/>
      <c r="XCC41" s="344"/>
      <c r="XCD41" s="344"/>
      <c r="XCE41" s="344"/>
      <c r="XCF41" s="344"/>
      <c r="XCG41" s="344"/>
      <c r="XCH41" s="344"/>
      <c r="XCI41" s="344"/>
      <c r="XCJ41" s="344"/>
      <c r="XCK41" s="344"/>
      <c r="XCL41" s="344"/>
      <c r="XCM41" s="344"/>
      <c r="XCN41" s="344"/>
      <c r="XCO41" s="344"/>
      <c r="XCP41" s="344"/>
      <c r="XCQ41" s="344"/>
      <c r="XCR41" s="344"/>
      <c r="XCS41" s="344"/>
      <c r="XCT41" s="344"/>
      <c r="XCU41" s="344"/>
      <c r="XCV41" s="344"/>
      <c r="XCW41" s="344"/>
      <c r="XCX41" s="344"/>
      <c r="XCY41" s="344"/>
      <c r="XCZ41" s="344"/>
      <c r="XDA41" s="344"/>
      <c r="XDB41" s="344"/>
      <c r="XDC41" s="344"/>
      <c r="XDD41" s="344"/>
      <c r="XDE41" s="344"/>
      <c r="XDF41" s="344"/>
      <c r="XDG41" s="344"/>
      <c r="XDH41" s="344"/>
      <c r="XDI41" s="344"/>
      <c r="XDJ41" s="344"/>
      <c r="XDK41" s="344"/>
      <c r="XDL41" s="344"/>
      <c r="XDM41" s="344"/>
      <c r="XDN41" s="344"/>
      <c r="XDO41" s="344"/>
      <c r="XDP41" s="344"/>
      <c r="XDQ41" s="344"/>
      <c r="XDR41" s="344"/>
      <c r="XDS41" s="344"/>
      <c r="XDT41" s="344"/>
      <c r="XDU41" s="344"/>
      <c r="XDV41" s="344"/>
      <c r="XDW41" s="344"/>
      <c r="XDX41" s="344"/>
      <c r="XDY41" s="344"/>
      <c r="XDZ41" s="344"/>
      <c r="XEA41" s="344"/>
      <c r="XEB41" s="344"/>
      <c r="XEC41" s="344"/>
      <c r="XED41" s="344"/>
      <c r="XEE41" s="344"/>
      <c r="XEF41" s="344"/>
      <c r="XEG41" s="344"/>
      <c r="XEH41" s="344"/>
      <c r="XEI41" s="344"/>
      <c r="XEJ41" s="344"/>
      <c r="XEK41" s="344"/>
      <c r="XEL41" s="344"/>
      <c r="XEM41" s="344"/>
      <c r="XEN41" s="344"/>
      <c r="XEO41" s="344"/>
      <c r="XEP41" s="344"/>
      <c r="XEQ41" s="344"/>
      <c r="XER41" s="344"/>
      <c r="XES41" s="344"/>
      <c r="XET41" s="344"/>
      <c r="XEU41" s="344"/>
      <c r="XEV41" s="344"/>
      <c r="XEW41" s="344"/>
      <c r="XEX41" s="344"/>
      <c r="XEY41" s="344"/>
      <c r="XEZ41" s="344"/>
      <c r="XFA41" s="344"/>
    </row>
    <row r="42" s="338" customFormat="1" ht="29.25" customHeight="1" spans="1:1024 1025:16381">
      <c r="A42" s="344"/>
      <c r="B42" s="382">
        <v>32</v>
      </c>
      <c r="C42" s="380" t="e">
        <f>_xlfn.XLOOKUP(D42,商品汇总表!$B:$B,商品汇总表!$A:$A,"")</f>
        <v>#N/A</v>
      </c>
      <c r="D42" s="362" t="e" cm="1">
        <f t="array" ref="D42">LOOKUP(1,0/(('5.21出货明细'!AR:AR=$D$52)*('5.21出货明细'!A:A=B42)),'5.21出货明细'!E:E)</f>
        <v>#N/A</v>
      </c>
      <c r="E42" s="358" t="e">
        <f>_xlfn.XLOOKUP(D42,商品汇总表!$B:$B,商品汇总表!$D:$D,"")</f>
        <v>#N/A</v>
      </c>
      <c r="F42" s="363" t="e" cm="1">
        <f t="array" ref="F42">_xlfn.LET(_xlpm.数组,B42&amp;D42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2" s="373"/>
      <c r="H42" s="364"/>
      <c r="I42" s="365"/>
      <c r="J42" s="366"/>
      <c r="K42" s="367"/>
      <c r="L42" s="368"/>
      <c r="M42" s="369" t="s">
        <v>2953</v>
      </c>
      <c r="N42" s="370"/>
      <c r="O42" s="370"/>
      <c r="P42" s="383"/>
      <c r="Q42" s="372"/>
      <c r="R42" s="372"/>
      <c r="S42" s="372"/>
      <c r="T42" s="372"/>
      <c r="U42" s="344"/>
      <c r="V42" s="344"/>
      <c r="W42" s="344"/>
      <c r="X42" s="344"/>
      <c r="Y42" s="344"/>
      <c r="Z42" s="344"/>
      <c r="AA42" s="344"/>
      <c r="AB42" s="344"/>
      <c r="AC42" s="344"/>
      <c r="AD42" s="344"/>
      <c r="AE42" s="344"/>
      <c r="AF42" s="344"/>
      <c r="AG42" s="344"/>
      <c r="AH42" s="344"/>
      <c r="AI42" s="344"/>
      <c r="AJ42" s="344"/>
      <c r="AK42" s="344"/>
      <c r="AL42" s="344"/>
      <c r="AM42" s="344"/>
      <c r="AN42" s="344"/>
      <c r="AO42" s="344"/>
      <c r="AP42" s="344"/>
      <c r="AQ42" s="344"/>
      <c r="AR42" s="344"/>
      <c r="AS42" s="344"/>
      <c r="AT42" s="344"/>
      <c r="AU42" s="344"/>
      <c r="AV42" s="344"/>
      <c r="AW42" s="344"/>
      <c r="AX42" s="344"/>
      <c r="AY42" s="344"/>
      <c r="AZ42" s="344"/>
      <c r="BA42" s="344"/>
      <c r="BB42" s="344"/>
      <c r="BC42" s="344"/>
      <c r="BD42" s="344"/>
      <c r="BE42" s="344"/>
      <c r="BF42" s="344"/>
      <c r="BG42" s="344"/>
      <c r="BH42" s="344"/>
      <c r="BI42" s="344"/>
      <c r="BJ42" s="344"/>
      <c r="BK42" s="344"/>
      <c r="BL42" s="344"/>
      <c r="BM42" s="344"/>
      <c r="BN42" s="344"/>
      <c r="BO42" s="344"/>
      <c r="BP42" s="344"/>
      <c r="BQ42" s="344"/>
      <c r="BR42" s="344"/>
      <c r="BS42" s="344"/>
      <c r="BT42" s="344"/>
      <c r="BU42" s="344"/>
      <c r="BV42" s="344"/>
      <c r="BW42" s="344"/>
      <c r="BX42" s="344"/>
      <c r="BY42" s="344"/>
      <c r="BZ42" s="344"/>
      <c r="CA42" s="344"/>
      <c r="CB42" s="344"/>
      <c r="CC42" s="344"/>
      <c r="CD42" s="344"/>
      <c r="CE42" s="344"/>
      <c r="CF42" s="344"/>
      <c r="CG42" s="344"/>
      <c r="CH42" s="344"/>
      <c r="CI42" s="344"/>
      <c r="CJ42" s="344"/>
      <c r="CK42" s="344"/>
      <c r="CL42" s="344"/>
      <c r="CM42" s="344"/>
      <c r="CN42" s="344"/>
      <c r="CO42" s="344"/>
      <c r="CP42" s="344"/>
      <c r="CQ42" s="344"/>
      <c r="CR42" s="344"/>
      <c r="CS42" s="344"/>
      <c r="CT42" s="344"/>
      <c r="CU42" s="344"/>
      <c r="CV42" s="344"/>
      <c r="CW42" s="344"/>
      <c r="CX42" s="344"/>
      <c r="CY42" s="344"/>
      <c r="CZ42" s="344"/>
      <c r="DA42" s="344"/>
      <c r="DB42" s="344"/>
      <c r="DC42" s="344"/>
      <c r="DD42" s="344"/>
      <c r="DE42" s="344"/>
      <c r="DF42" s="344"/>
      <c r="DG42" s="344"/>
      <c r="DH42" s="344"/>
      <c r="DI42" s="344"/>
      <c r="DJ42" s="344"/>
      <c r="DK42" s="344"/>
      <c r="DL42" s="344"/>
      <c r="DM42" s="344"/>
      <c r="DN42" s="344"/>
      <c r="DO42" s="344"/>
      <c r="DP42" s="344"/>
      <c r="DQ42" s="344"/>
      <c r="DR42" s="344"/>
      <c r="DS42" s="344"/>
      <c r="DT42" s="344"/>
      <c r="DU42" s="344"/>
      <c r="DV42" s="344"/>
      <c r="DW42" s="344"/>
      <c r="DX42" s="344"/>
      <c r="DY42" s="344"/>
      <c r="DZ42" s="344"/>
      <c r="EA42" s="344"/>
      <c r="EB42" s="344"/>
      <c r="EC42" s="344"/>
      <c r="ED42" s="344"/>
      <c r="EE42" s="344"/>
      <c r="EF42" s="344"/>
      <c r="EG42" s="344"/>
      <c r="EH42" s="344"/>
      <c r="EI42" s="344"/>
      <c r="EJ42" s="344"/>
      <c r="EK42" s="344"/>
      <c r="EL42" s="344"/>
      <c r="EM42" s="344"/>
      <c r="EN42" s="344"/>
      <c r="EO42" s="344"/>
      <c r="EP42" s="344"/>
      <c r="EQ42" s="344"/>
      <c r="ER42" s="344"/>
      <c r="ES42" s="344"/>
      <c r="ET42" s="344"/>
      <c r="EU42" s="344"/>
      <c r="EV42" s="344"/>
      <c r="EW42" s="344"/>
      <c r="EX42" s="344"/>
      <c r="EY42" s="344"/>
      <c r="EZ42" s="344"/>
      <c r="FA42" s="344"/>
      <c r="FB42" s="344"/>
      <c r="FC42" s="344"/>
      <c r="FD42" s="344"/>
      <c r="FE42" s="344"/>
      <c r="FF42" s="344"/>
      <c r="FG42" s="344"/>
      <c r="FH42" s="344"/>
      <c r="FI42" s="344"/>
      <c r="FJ42" s="344"/>
      <c r="FK42" s="344"/>
      <c r="FL42" s="344"/>
      <c r="FM42" s="344"/>
      <c r="FN42" s="344"/>
      <c r="FO42" s="344"/>
      <c r="FP42" s="344"/>
      <c r="FQ42" s="344"/>
      <c r="FR42" s="344"/>
      <c r="FS42" s="344"/>
      <c r="FT42" s="344"/>
      <c r="FU42" s="344"/>
      <c r="FV42" s="344"/>
      <c r="FW42" s="344"/>
      <c r="FX42" s="344"/>
      <c r="FY42" s="344"/>
      <c r="FZ42" s="344"/>
      <c r="GA42" s="344"/>
      <c r="GB42" s="344"/>
      <c r="GC42" s="344"/>
      <c r="GD42" s="344"/>
      <c r="GE42" s="344"/>
      <c r="GF42" s="344"/>
      <c r="GG42" s="344"/>
      <c r="GH42" s="344"/>
      <c r="GI42" s="344"/>
      <c r="GJ42" s="344"/>
      <c r="GK42" s="344"/>
      <c r="GL42" s="344"/>
      <c r="GM42" s="344"/>
      <c r="GN42" s="344"/>
      <c r="GO42" s="344"/>
      <c r="GP42" s="344"/>
      <c r="GQ42" s="344"/>
      <c r="GR42" s="344"/>
      <c r="GS42" s="344"/>
      <c r="GT42" s="344"/>
      <c r="GU42" s="344"/>
      <c r="GV42" s="344"/>
      <c r="GW42" s="344"/>
      <c r="GX42" s="344"/>
      <c r="GY42" s="344"/>
      <c r="GZ42" s="344"/>
      <c r="HA42" s="344"/>
      <c r="HB42" s="344"/>
      <c r="HC42" s="344"/>
      <c r="HD42" s="344"/>
      <c r="HE42" s="344"/>
      <c r="HF42" s="344"/>
      <c r="HG42" s="344"/>
      <c r="HH42" s="344"/>
      <c r="HI42" s="344"/>
      <c r="HJ42" s="344"/>
      <c r="HK42" s="344"/>
      <c r="HL42" s="344"/>
      <c r="HM42" s="344"/>
      <c r="HN42" s="344"/>
      <c r="HO42" s="344"/>
      <c r="HP42" s="344"/>
      <c r="HQ42" s="344"/>
      <c r="HR42" s="344"/>
      <c r="HS42" s="344"/>
      <c r="HT42" s="344"/>
      <c r="HU42" s="344"/>
      <c r="HV42" s="344"/>
      <c r="HW42" s="344"/>
      <c r="HX42" s="344"/>
      <c r="HY42" s="344"/>
      <c r="HZ42" s="344"/>
      <c r="IA42" s="344"/>
      <c r="IB42" s="344"/>
      <c r="IC42" s="344"/>
      <c r="ID42" s="344"/>
      <c r="IE42" s="344"/>
      <c r="IF42" s="344"/>
      <c r="IG42" s="344"/>
      <c r="IH42" s="344"/>
      <c r="II42" s="344"/>
      <c r="IJ42" s="344"/>
      <c r="IK42" s="344"/>
      <c r="IL42" s="344"/>
      <c r="IM42" s="344"/>
      <c r="IN42" s="344"/>
      <c r="IO42" s="344"/>
      <c r="IP42" s="344"/>
      <c r="IQ42" s="344"/>
      <c r="IR42" s="344"/>
      <c r="IS42" s="344"/>
      <c r="IT42" s="344"/>
      <c r="IU42" s="344"/>
      <c r="IV42" s="344"/>
      <c r="IW42" s="344"/>
      <c r="IX42" s="344"/>
      <c r="IY42" s="344"/>
      <c r="IZ42" s="344"/>
      <c r="JA42" s="344"/>
      <c r="JB42" s="344"/>
      <c r="JC42" s="344"/>
      <c r="JD42" s="344"/>
      <c r="JE42" s="344"/>
      <c r="JF42" s="344"/>
      <c r="JG42" s="344"/>
      <c r="JH42" s="344"/>
      <c r="JI42" s="344"/>
      <c r="JJ42" s="344"/>
      <c r="JK42" s="344"/>
      <c r="JL42" s="344"/>
      <c r="JM42" s="344"/>
      <c r="JN42" s="344"/>
      <c r="JO42" s="344"/>
      <c r="JP42" s="344"/>
      <c r="JQ42" s="344"/>
      <c r="JR42" s="344"/>
      <c r="JS42" s="344"/>
      <c r="JT42" s="344"/>
      <c r="JU42" s="344"/>
      <c r="JV42" s="344"/>
      <c r="JW42" s="344"/>
      <c r="JX42" s="344"/>
      <c r="JY42" s="344"/>
      <c r="JZ42" s="344"/>
      <c r="KA42" s="344"/>
      <c r="KB42" s="344"/>
      <c r="KC42" s="344"/>
      <c r="KD42" s="344"/>
      <c r="KE42" s="344"/>
      <c r="KF42" s="344"/>
      <c r="KG42" s="344"/>
      <c r="KH42" s="344"/>
      <c r="KI42" s="344"/>
      <c r="KJ42" s="344"/>
      <c r="KK42" s="344"/>
      <c r="KL42" s="344"/>
      <c r="KM42" s="344"/>
      <c r="KN42" s="344"/>
      <c r="KO42" s="344"/>
      <c r="KP42" s="344"/>
      <c r="KQ42" s="344"/>
      <c r="KR42" s="344"/>
      <c r="KS42" s="344"/>
      <c r="KT42" s="344"/>
      <c r="KU42" s="344"/>
      <c r="KV42" s="344"/>
      <c r="KW42" s="344"/>
      <c r="KX42" s="344"/>
      <c r="KY42" s="344"/>
      <c r="KZ42" s="344"/>
      <c r="LA42" s="344"/>
      <c r="LB42" s="344"/>
      <c r="LC42" s="344"/>
      <c r="LD42" s="344"/>
      <c r="LE42" s="344"/>
      <c r="LF42" s="344"/>
      <c r="LG42" s="344"/>
      <c r="LH42" s="344"/>
      <c r="LI42" s="344"/>
      <c r="LJ42" s="344"/>
      <c r="LK42" s="344"/>
      <c r="LL42" s="344"/>
      <c r="LM42" s="344"/>
      <c r="LN42" s="344"/>
      <c r="LO42" s="344"/>
      <c r="LP42" s="344"/>
      <c r="LQ42" s="344"/>
      <c r="LR42" s="344"/>
      <c r="LS42" s="344"/>
      <c r="LT42" s="344"/>
      <c r="LU42" s="344"/>
      <c r="LV42" s="344"/>
      <c r="LW42" s="344"/>
      <c r="LX42" s="344"/>
      <c r="LY42" s="344"/>
      <c r="LZ42" s="344"/>
      <c r="MA42" s="344"/>
      <c r="MB42" s="344"/>
      <c r="MC42" s="344"/>
      <c r="MD42" s="344"/>
      <c r="ME42" s="344"/>
      <c r="MF42" s="344"/>
      <c r="MG42" s="344"/>
      <c r="MH42" s="344"/>
      <c r="MI42" s="344"/>
      <c r="MJ42" s="344"/>
      <c r="MK42" s="344"/>
      <c r="ML42" s="344"/>
      <c r="MM42" s="344"/>
      <c r="MN42" s="344"/>
      <c r="MO42" s="344"/>
      <c r="MP42" s="344"/>
      <c r="MQ42" s="344"/>
      <c r="MR42" s="344"/>
      <c r="MS42" s="344"/>
      <c r="MT42" s="344"/>
      <c r="MU42" s="344"/>
      <c r="MV42" s="344"/>
      <c r="MW42" s="344"/>
      <c r="MX42" s="344"/>
      <c r="MY42" s="344"/>
      <c r="MZ42" s="344"/>
      <c r="NA42" s="344"/>
      <c r="NB42" s="344"/>
      <c r="NC42" s="344"/>
      <c r="ND42" s="344"/>
      <c r="NE42" s="344"/>
      <c r="NF42" s="344"/>
      <c r="NG42" s="344"/>
      <c r="NH42" s="344"/>
      <c r="NI42" s="344"/>
      <c r="NJ42" s="344"/>
      <c r="NK42" s="344"/>
      <c r="NL42" s="344"/>
      <c r="NM42" s="344"/>
      <c r="NN42" s="344"/>
      <c r="NO42" s="344"/>
      <c r="NP42" s="344"/>
      <c r="NQ42" s="344"/>
      <c r="NR42" s="344"/>
      <c r="NS42" s="344"/>
      <c r="NT42" s="344"/>
      <c r="NU42" s="344"/>
      <c r="NV42" s="344"/>
      <c r="NW42" s="344"/>
      <c r="NX42" s="344"/>
      <c r="NY42" s="344"/>
      <c r="NZ42" s="344"/>
      <c r="OA42" s="344"/>
      <c r="OB42" s="344"/>
      <c r="OC42" s="344"/>
      <c r="OD42" s="344"/>
      <c r="OE42" s="344"/>
      <c r="OF42" s="344"/>
      <c r="OG42" s="344"/>
      <c r="OH42" s="344"/>
      <c r="OI42" s="344"/>
      <c r="OJ42" s="344"/>
      <c r="OK42" s="344"/>
      <c r="OL42" s="344"/>
      <c r="OM42" s="344"/>
      <c r="ON42" s="344"/>
      <c r="OO42" s="344"/>
      <c r="OP42" s="344"/>
      <c r="OQ42" s="344"/>
      <c r="OR42" s="344"/>
      <c r="OS42" s="344"/>
      <c r="OT42" s="344"/>
      <c r="OU42" s="344"/>
      <c r="OV42" s="344"/>
      <c r="OW42" s="344"/>
      <c r="OX42" s="344"/>
      <c r="OY42" s="344"/>
      <c r="OZ42" s="344"/>
      <c r="PA42" s="344"/>
      <c r="PB42" s="344"/>
      <c r="PC42" s="344"/>
      <c r="PD42" s="344"/>
      <c r="PE42" s="344"/>
      <c r="PF42" s="344"/>
      <c r="PG42" s="344"/>
      <c r="PH42" s="344"/>
      <c r="PI42" s="344"/>
      <c r="PJ42" s="344"/>
      <c r="PK42" s="344"/>
      <c r="PL42" s="344"/>
      <c r="PM42" s="344"/>
      <c r="PN42" s="344"/>
      <c r="PO42" s="344"/>
      <c r="PP42" s="344"/>
      <c r="PQ42" s="344"/>
      <c r="PR42" s="344"/>
      <c r="PS42" s="344"/>
      <c r="PT42" s="344"/>
      <c r="PU42" s="344"/>
      <c r="PV42" s="344"/>
      <c r="PW42" s="344"/>
      <c r="PX42" s="344"/>
      <c r="PY42" s="344"/>
      <c r="PZ42" s="344"/>
      <c r="QA42" s="344"/>
      <c r="QB42" s="344"/>
      <c r="QC42" s="344"/>
      <c r="QD42" s="344"/>
      <c r="QE42" s="344"/>
      <c r="QF42" s="344"/>
      <c r="QG42" s="344"/>
      <c r="QH42" s="344"/>
      <c r="QI42" s="344"/>
      <c r="QJ42" s="344"/>
      <c r="QK42" s="344"/>
      <c r="QL42" s="344"/>
      <c r="QM42" s="344"/>
      <c r="QN42" s="344"/>
      <c r="QO42" s="344"/>
      <c r="QP42" s="344"/>
      <c r="QQ42" s="344"/>
      <c r="QR42" s="344"/>
      <c r="QS42" s="344"/>
      <c r="QT42" s="344"/>
      <c r="QU42" s="344"/>
      <c r="QV42" s="344"/>
      <c r="QW42" s="344"/>
      <c r="QX42" s="344"/>
      <c r="QY42" s="344"/>
      <c r="QZ42" s="344"/>
      <c r="RA42" s="344"/>
      <c r="RB42" s="344"/>
      <c r="RC42" s="344"/>
      <c r="RD42" s="344"/>
      <c r="RE42" s="344"/>
      <c r="RF42" s="344"/>
      <c r="RG42" s="344"/>
      <c r="RH42" s="344"/>
      <c r="RI42" s="344"/>
      <c r="RJ42" s="344"/>
      <c r="RK42" s="344"/>
      <c r="RL42" s="344"/>
      <c r="RM42" s="344"/>
      <c r="RN42" s="344"/>
      <c r="RO42" s="344"/>
      <c r="RP42" s="344"/>
      <c r="RQ42" s="344"/>
      <c r="RR42" s="344"/>
      <c r="RS42" s="344"/>
      <c r="RT42" s="344"/>
      <c r="RU42" s="344"/>
      <c r="RV42" s="344"/>
      <c r="RW42" s="344"/>
      <c r="RX42" s="344"/>
      <c r="RY42" s="344"/>
      <c r="RZ42" s="344"/>
      <c r="SA42" s="344"/>
      <c r="SB42" s="344"/>
      <c r="SC42" s="344"/>
      <c r="SD42" s="344"/>
      <c r="SE42" s="344"/>
      <c r="SF42" s="344"/>
      <c r="SG42" s="344"/>
      <c r="SH42" s="344"/>
      <c r="SI42" s="344"/>
      <c r="SJ42" s="344"/>
      <c r="SK42" s="344"/>
      <c r="SL42" s="344"/>
      <c r="SM42" s="344"/>
      <c r="SN42" s="344"/>
      <c r="SO42" s="344"/>
      <c r="SP42" s="344"/>
      <c r="SQ42" s="344"/>
      <c r="SR42" s="344"/>
      <c r="SS42" s="344"/>
      <c r="ST42" s="344"/>
      <c r="SU42" s="344"/>
      <c r="SV42" s="344"/>
      <c r="SW42" s="344"/>
      <c r="SX42" s="344"/>
      <c r="SY42" s="344"/>
      <c r="SZ42" s="344"/>
      <c r="TA42" s="344"/>
      <c r="TB42" s="344"/>
      <c r="TC42" s="344"/>
      <c r="TD42" s="344"/>
      <c r="TE42" s="344"/>
      <c r="TF42" s="344"/>
      <c r="TG42" s="344"/>
      <c r="TH42" s="344"/>
      <c r="TI42" s="344"/>
      <c r="TJ42" s="344"/>
      <c r="TK42" s="344"/>
      <c r="TL42" s="344"/>
      <c r="TM42" s="344"/>
      <c r="TN42" s="344"/>
      <c r="TO42" s="344"/>
      <c r="TP42" s="344"/>
      <c r="TQ42" s="344"/>
      <c r="TR42" s="344"/>
      <c r="TS42" s="344"/>
      <c r="TT42" s="344"/>
      <c r="TU42" s="344"/>
      <c r="TV42" s="344"/>
      <c r="TW42" s="344"/>
      <c r="TX42" s="344"/>
      <c r="TY42" s="344"/>
      <c r="TZ42" s="344"/>
      <c r="UA42" s="344"/>
      <c r="UB42" s="344"/>
      <c r="UC42" s="344"/>
      <c r="UD42" s="344"/>
      <c r="UE42" s="344"/>
      <c r="UF42" s="344"/>
      <c r="UG42" s="344"/>
      <c r="UH42" s="344"/>
      <c r="UI42" s="344"/>
      <c r="UJ42" s="344"/>
      <c r="UK42" s="344"/>
      <c r="UL42" s="344"/>
      <c r="UM42" s="344"/>
      <c r="UN42" s="344"/>
      <c r="UO42" s="344"/>
      <c r="UP42" s="344"/>
      <c r="UQ42" s="344"/>
      <c r="UR42" s="344"/>
      <c r="US42" s="344"/>
      <c r="UT42" s="344"/>
      <c r="UU42" s="344"/>
      <c r="UV42" s="344"/>
      <c r="UW42" s="344"/>
      <c r="UX42" s="344"/>
      <c r="UY42" s="344"/>
      <c r="UZ42" s="344"/>
      <c r="VA42" s="344"/>
      <c r="VB42" s="344"/>
      <c r="VC42" s="344"/>
      <c r="VD42" s="344"/>
      <c r="VE42" s="344"/>
      <c r="VF42" s="344"/>
      <c r="VG42" s="344"/>
      <c r="VH42" s="344"/>
      <c r="VI42" s="344"/>
      <c r="VJ42" s="344"/>
      <c r="VK42" s="344"/>
      <c r="VL42" s="344"/>
      <c r="VM42" s="344"/>
      <c r="VN42" s="344"/>
      <c r="VO42" s="344"/>
      <c r="VP42" s="344"/>
      <c r="VQ42" s="344"/>
      <c r="VR42" s="344"/>
      <c r="VS42" s="344"/>
      <c r="VT42" s="344"/>
      <c r="VU42" s="344"/>
      <c r="VV42" s="344"/>
      <c r="VW42" s="344"/>
      <c r="VX42" s="344"/>
      <c r="VY42" s="344"/>
      <c r="VZ42" s="344"/>
      <c r="WA42" s="344"/>
      <c r="WB42" s="344"/>
      <c r="WC42" s="344"/>
      <c r="WD42" s="344"/>
      <c r="WE42" s="344"/>
      <c r="WF42" s="344"/>
      <c r="WG42" s="344"/>
      <c r="WH42" s="344"/>
      <c r="WI42" s="344"/>
      <c r="WJ42" s="344"/>
      <c r="WK42" s="344"/>
      <c r="WL42" s="344"/>
      <c r="WM42" s="344"/>
      <c r="WN42" s="344"/>
      <c r="WO42" s="344"/>
      <c r="WP42" s="344"/>
      <c r="WQ42" s="344"/>
      <c r="WR42" s="344"/>
      <c r="WS42" s="344"/>
      <c r="WT42" s="344"/>
      <c r="WU42" s="344"/>
      <c r="WV42" s="344"/>
      <c r="WW42" s="344"/>
      <c r="WX42" s="344"/>
      <c r="WY42" s="344"/>
      <c r="WZ42" s="344"/>
      <c r="XA42" s="344"/>
      <c r="XB42" s="344"/>
      <c r="XC42" s="344"/>
      <c r="XD42" s="344"/>
      <c r="XE42" s="344"/>
      <c r="XF42" s="344"/>
      <c r="XG42" s="344"/>
      <c r="XH42" s="344"/>
      <c r="XI42" s="344"/>
      <c r="XJ42" s="344"/>
      <c r="XK42" s="344"/>
      <c r="XL42" s="344"/>
      <c r="XM42" s="344"/>
      <c r="XN42" s="344"/>
      <c r="XO42" s="344"/>
      <c r="XP42" s="344"/>
      <c r="XQ42" s="344"/>
      <c r="XR42" s="344"/>
      <c r="XS42" s="344"/>
      <c r="XT42" s="344"/>
      <c r="XU42" s="344"/>
      <c r="XV42" s="344"/>
      <c r="XW42" s="344"/>
      <c r="XX42" s="344"/>
      <c r="XY42" s="344"/>
      <c r="XZ42" s="344"/>
      <c r="YA42" s="344"/>
      <c r="YB42" s="344"/>
      <c r="YC42" s="344"/>
      <c r="YD42" s="344"/>
      <c r="YE42" s="344"/>
      <c r="YF42" s="344"/>
      <c r="YG42" s="344"/>
      <c r="YH42" s="344"/>
      <c r="YI42" s="344"/>
      <c r="YJ42" s="344"/>
      <c r="YK42" s="344"/>
      <c r="YL42" s="344"/>
      <c r="YM42" s="344"/>
      <c r="YN42" s="344"/>
      <c r="YO42" s="344"/>
      <c r="YP42" s="344"/>
      <c r="YQ42" s="344"/>
      <c r="YR42" s="344"/>
      <c r="YS42" s="344"/>
      <c r="YT42" s="344"/>
      <c r="YU42" s="344"/>
      <c r="YV42" s="344"/>
      <c r="YW42" s="344"/>
      <c r="YX42" s="344"/>
      <c r="YY42" s="344"/>
      <c r="YZ42" s="344"/>
      <c r="ZA42" s="344"/>
      <c r="ZB42" s="344"/>
      <c r="ZC42" s="344"/>
      <c r="ZD42" s="344"/>
      <c r="ZE42" s="344"/>
      <c r="ZF42" s="344"/>
      <c r="ZG42" s="344"/>
      <c r="ZH42" s="344"/>
      <c r="ZI42" s="344"/>
      <c r="ZJ42" s="344"/>
      <c r="ZK42" s="344"/>
      <c r="ZL42" s="344"/>
      <c r="ZM42" s="344"/>
      <c r="ZN42" s="344"/>
      <c r="ZO42" s="344"/>
      <c r="ZP42" s="344"/>
      <c r="ZQ42" s="344"/>
      <c r="ZR42" s="344"/>
      <c r="ZS42" s="344"/>
      <c r="ZT42" s="344"/>
      <c r="ZU42" s="344"/>
      <c r="ZV42" s="344"/>
      <c r="ZW42" s="344"/>
      <c r="ZX42" s="344"/>
      <c r="ZY42" s="344"/>
      <c r="ZZ42" s="344"/>
      <c r="AAA42" s="344"/>
      <c r="AAB42" s="344"/>
      <c r="AAC42" s="344"/>
      <c r="AAD42" s="344"/>
      <c r="AAE42" s="344"/>
      <c r="AAF42" s="344"/>
      <c r="AAG42" s="344"/>
      <c r="AAH42" s="344"/>
      <c r="AAI42" s="344"/>
      <c r="AAJ42" s="344"/>
      <c r="AAK42" s="344"/>
      <c r="AAL42" s="344"/>
      <c r="AAM42" s="344"/>
      <c r="AAN42" s="344"/>
      <c r="AAO42" s="344"/>
      <c r="AAP42" s="344"/>
      <c r="AAQ42" s="344"/>
      <c r="AAR42" s="344"/>
      <c r="AAS42" s="344"/>
      <c r="AAT42" s="344"/>
      <c r="AAU42" s="344"/>
      <c r="AAV42" s="344"/>
      <c r="AAW42" s="344"/>
      <c r="AAX42" s="344"/>
      <c r="AAY42" s="344"/>
      <c r="AAZ42" s="344"/>
      <c r="ABA42" s="344"/>
      <c r="ABB42" s="344"/>
      <c r="ABC42" s="344"/>
      <c r="ABD42" s="344"/>
      <c r="ABE42" s="344"/>
      <c r="ABF42" s="344"/>
      <c r="ABG42" s="344"/>
      <c r="ABH42" s="344"/>
      <c r="ABI42" s="344"/>
      <c r="ABJ42" s="344"/>
      <c r="ABK42" s="344"/>
      <c r="ABL42" s="344"/>
      <c r="ABM42" s="344"/>
      <c r="ABN42" s="344"/>
      <c r="ABO42" s="344"/>
      <c r="ABP42" s="344"/>
      <c r="ABQ42" s="344"/>
      <c r="ABR42" s="344"/>
      <c r="ABS42" s="344"/>
      <c r="ABT42" s="344"/>
      <c r="ABU42" s="344"/>
      <c r="ABV42" s="344"/>
      <c r="ABW42" s="344"/>
      <c r="ABX42" s="344"/>
      <c r="ABY42" s="344"/>
      <c r="ABZ42" s="344"/>
      <c r="ACA42" s="344"/>
      <c r="ACB42" s="344"/>
      <c r="ACC42" s="344"/>
      <c r="ACD42" s="344"/>
      <c r="ACE42" s="344"/>
      <c r="ACF42" s="344"/>
      <c r="ACG42" s="344"/>
      <c r="ACH42" s="344"/>
      <c r="ACI42" s="344"/>
      <c r="ACJ42" s="344"/>
      <c r="ACK42" s="344"/>
      <c r="ACL42" s="344"/>
      <c r="ACM42" s="344"/>
      <c r="ACN42" s="344"/>
      <c r="ACO42" s="344"/>
      <c r="ACP42" s="344"/>
      <c r="ACQ42" s="344"/>
      <c r="ACR42" s="344"/>
      <c r="ACS42" s="344"/>
      <c r="ACT42" s="344"/>
      <c r="ACU42" s="344"/>
      <c r="ACV42" s="344"/>
      <c r="ACW42" s="344"/>
      <c r="ACX42" s="344"/>
      <c r="ACY42" s="344"/>
      <c r="ACZ42" s="344"/>
      <c r="ADA42" s="344"/>
      <c r="ADB42" s="344"/>
      <c r="ADC42" s="344"/>
      <c r="ADD42" s="344"/>
      <c r="ADE42" s="344"/>
      <c r="ADF42" s="344"/>
      <c r="ADG42" s="344"/>
      <c r="ADH42" s="344"/>
      <c r="ADI42" s="344"/>
      <c r="ADJ42" s="344"/>
      <c r="ADK42" s="344"/>
      <c r="ADL42" s="344"/>
      <c r="ADM42" s="344"/>
      <c r="ADN42" s="344"/>
      <c r="ADO42" s="344"/>
      <c r="ADP42" s="344"/>
      <c r="ADQ42" s="344"/>
      <c r="ADR42" s="344"/>
      <c r="ADS42" s="344"/>
      <c r="ADT42" s="344"/>
      <c r="ADU42" s="344"/>
      <c r="ADV42" s="344"/>
      <c r="ADW42" s="344"/>
      <c r="ADX42" s="344"/>
      <c r="ADY42" s="344"/>
      <c r="ADZ42" s="344"/>
      <c r="AEA42" s="344"/>
      <c r="AEB42" s="344"/>
      <c r="AEC42" s="344"/>
      <c r="AED42" s="344"/>
      <c r="AEE42" s="344"/>
      <c r="AEF42" s="344"/>
      <c r="AEG42" s="344"/>
      <c r="AEH42" s="344"/>
      <c r="AEI42" s="344"/>
      <c r="AEJ42" s="344"/>
      <c r="AEK42" s="344"/>
      <c r="AEL42" s="344"/>
      <c r="AEM42" s="344"/>
      <c r="AEN42" s="344"/>
      <c r="AEO42" s="344"/>
      <c r="AEP42" s="344"/>
      <c r="AEQ42" s="344"/>
      <c r="AER42" s="344"/>
      <c r="AES42" s="344"/>
      <c r="AET42" s="344"/>
      <c r="AEU42" s="344"/>
      <c r="AEV42" s="344"/>
      <c r="AEW42" s="344"/>
      <c r="AEX42" s="344"/>
      <c r="AEY42" s="344"/>
      <c r="AEZ42" s="344"/>
      <c r="AFA42" s="344"/>
      <c r="AFB42" s="344"/>
      <c r="AFC42" s="344"/>
      <c r="AFD42" s="344"/>
      <c r="AFE42" s="344"/>
      <c r="AFF42" s="344"/>
      <c r="AFG42" s="344"/>
      <c r="AFH42" s="344"/>
      <c r="AFI42" s="344"/>
      <c r="AFJ42" s="344"/>
      <c r="AFK42" s="344"/>
      <c r="AFL42" s="344"/>
      <c r="AFM42" s="344"/>
      <c r="AFN42" s="344"/>
      <c r="AFO42" s="344"/>
      <c r="AFP42" s="344"/>
      <c r="AFQ42" s="344"/>
      <c r="AFR42" s="344"/>
      <c r="AFS42" s="344"/>
      <c r="AFT42" s="344"/>
      <c r="AFU42" s="344"/>
      <c r="AFV42" s="344"/>
      <c r="AFW42" s="344"/>
      <c r="AFX42" s="344"/>
      <c r="AFY42" s="344"/>
      <c r="AFZ42" s="344"/>
      <c r="AGA42" s="344"/>
      <c r="AGB42" s="344"/>
      <c r="AGC42" s="344"/>
      <c r="AGD42" s="344"/>
      <c r="AGE42" s="344"/>
      <c r="AGF42" s="344"/>
      <c r="AGG42" s="344"/>
      <c r="AGH42" s="344"/>
      <c r="AGI42" s="344"/>
      <c r="AGJ42" s="344"/>
      <c r="AGK42" s="344"/>
      <c r="AGL42" s="344"/>
      <c r="AGM42" s="344"/>
      <c r="AGN42" s="344"/>
      <c r="AGO42" s="344"/>
      <c r="AGP42" s="344"/>
      <c r="AGQ42" s="344"/>
      <c r="AGR42" s="344"/>
      <c r="AGS42" s="344"/>
      <c r="AGT42" s="344"/>
      <c r="AGU42" s="344"/>
      <c r="AGV42" s="344"/>
      <c r="AGW42" s="344"/>
      <c r="AGX42" s="344"/>
      <c r="AGY42" s="344"/>
      <c r="AGZ42" s="344"/>
      <c r="AHA42" s="344"/>
      <c r="AHB42" s="344"/>
      <c r="AHC42" s="344"/>
      <c r="AHD42" s="344"/>
      <c r="AHE42" s="344"/>
      <c r="AHF42" s="344"/>
      <c r="AHG42" s="344"/>
      <c r="AHH42" s="344"/>
      <c r="AHI42" s="344"/>
      <c r="AHJ42" s="344"/>
      <c r="AHK42" s="344"/>
      <c r="AHL42" s="344"/>
      <c r="AHM42" s="344"/>
      <c r="AHN42" s="344"/>
      <c r="AHO42" s="344"/>
      <c r="AHP42" s="344"/>
      <c r="AHQ42" s="344"/>
      <c r="AHR42" s="344"/>
      <c r="AHS42" s="344"/>
      <c r="AHT42" s="344"/>
      <c r="AHU42" s="344"/>
      <c r="AHV42" s="344"/>
      <c r="AHW42" s="344"/>
      <c r="AHX42" s="344"/>
      <c r="AHY42" s="344"/>
      <c r="AHZ42" s="344"/>
      <c r="AIA42" s="344"/>
      <c r="AIB42" s="344"/>
      <c r="AIC42" s="344"/>
      <c r="AID42" s="344"/>
      <c r="AIE42" s="344"/>
      <c r="AIF42" s="344"/>
      <c r="AIG42" s="344"/>
      <c r="AIH42" s="344"/>
      <c r="AII42" s="344"/>
      <c r="AIJ42" s="344"/>
      <c r="AIK42" s="344"/>
      <c r="AIL42" s="344"/>
      <c r="AIM42" s="344"/>
      <c r="AIN42" s="344"/>
      <c r="AIO42" s="344"/>
      <c r="AIP42" s="344"/>
      <c r="AIQ42" s="344"/>
      <c r="AIR42" s="344"/>
      <c r="AIS42" s="344"/>
      <c r="AIT42" s="344"/>
      <c r="AIU42" s="344"/>
      <c r="AIV42" s="344"/>
      <c r="AIW42" s="344"/>
      <c r="AIX42" s="344"/>
      <c r="AIY42" s="344"/>
      <c r="AIZ42" s="344"/>
      <c r="AJA42" s="344"/>
      <c r="AJB42" s="344"/>
      <c r="AJC42" s="344"/>
      <c r="AJD42" s="344"/>
      <c r="AJE42" s="344"/>
      <c r="AJF42" s="344"/>
      <c r="AJG42" s="344"/>
      <c r="AJH42" s="344"/>
      <c r="AJI42" s="344"/>
      <c r="AJJ42" s="344"/>
      <c r="AJK42" s="344"/>
      <c r="AJL42" s="344"/>
      <c r="AJM42" s="344"/>
      <c r="AJN42" s="344"/>
      <c r="AJO42" s="344"/>
      <c r="AJP42" s="344"/>
      <c r="AJQ42" s="344"/>
      <c r="AJR42" s="344"/>
      <c r="AJS42" s="344"/>
      <c r="AJT42" s="344"/>
      <c r="AJU42" s="344"/>
      <c r="AJV42" s="344"/>
      <c r="AJW42" s="344"/>
      <c r="AJX42" s="344"/>
      <c r="AJY42" s="344"/>
      <c r="AJZ42" s="344"/>
      <c r="AKA42" s="344"/>
      <c r="AKB42" s="344"/>
      <c r="AKC42" s="344"/>
      <c r="AKD42" s="344"/>
      <c r="AKE42" s="344"/>
      <c r="AKF42" s="344"/>
      <c r="AKG42" s="344"/>
      <c r="AKH42" s="344"/>
      <c r="AKI42" s="344"/>
      <c r="AKJ42" s="344"/>
      <c r="AKK42" s="344"/>
      <c r="AKL42" s="344"/>
      <c r="AKM42" s="344"/>
      <c r="AKN42" s="344"/>
      <c r="AKO42" s="344"/>
      <c r="AKP42" s="344"/>
      <c r="AKQ42" s="344"/>
      <c r="AKR42" s="344"/>
      <c r="AKS42" s="344"/>
      <c r="AKT42" s="344"/>
      <c r="AKU42" s="344"/>
      <c r="AKV42" s="344"/>
      <c r="AKW42" s="344"/>
      <c r="AKX42" s="344"/>
      <c r="AKY42" s="344"/>
      <c r="AKZ42" s="344"/>
      <c r="ALA42" s="344"/>
      <c r="ALB42" s="344"/>
      <c r="ALC42" s="344"/>
      <c r="ALD42" s="344"/>
      <c r="ALE42" s="344"/>
      <c r="ALF42" s="344"/>
      <c r="ALG42" s="344"/>
      <c r="ALH42" s="344"/>
      <c r="ALI42" s="344"/>
      <c r="ALJ42" s="344"/>
      <c r="ALK42" s="344"/>
      <c r="ALL42" s="344"/>
      <c r="ALM42" s="344"/>
      <c r="ALN42" s="344"/>
      <c r="ALO42" s="344"/>
      <c r="ALP42" s="344"/>
      <c r="ALQ42" s="344"/>
      <c r="ALR42" s="344"/>
      <c r="ALS42" s="344"/>
      <c r="ALT42" s="344"/>
      <c r="ALU42" s="344"/>
      <c r="ALV42" s="344"/>
      <c r="ALW42" s="344"/>
      <c r="ALX42" s="344"/>
      <c r="ALY42" s="344"/>
      <c r="ALZ42" s="344"/>
      <c r="AMA42" s="344"/>
      <c r="AMB42" s="344"/>
      <c r="AMC42" s="344"/>
      <c r="AMD42" s="344"/>
      <c r="AME42" s="344"/>
      <c r="AMF42" s="344"/>
      <c r="AMG42" s="344"/>
      <c r="AMH42" s="344"/>
      <c r="AMI42" s="344"/>
      <c r="AMJ42" s="344"/>
      <c r="AMK42" s="344"/>
      <c r="AML42" s="344"/>
      <c r="AMM42" s="344"/>
      <c r="AMN42" s="344"/>
      <c r="AMO42" s="344"/>
      <c r="AMP42" s="344"/>
      <c r="AMQ42" s="344"/>
      <c r="AMR42" s="344"/>
      <c r="AMS42" s="344"/>
      <c r="AMT42" s="344"/>
      <c r="AMU42" s="344"/>
      <c r="AMV42" s="344"/>
      <c r="AMW42" s="344"/>
      <c r="AMX42" s="344"/>
      <c r="AMY42" s="344"/>
      <c r="AMZ42" s="344"/>
      <c r="ANA42" s="344"/>
      <c r="ANB42" s="344"/>
      <c r="ANC42" s="344"/>
      <c r="AND42" s="344"/>
      <c r="ANE42" s="344"/>
      <c r="ANF42" s="344"/>
      <c r="ANG42" s="344"/>
      <c r="ANH42" s="344"/>
      <c r="ANI42" s="344"/>
      <c r="ANJ42" s="344"/>
      <c r="ANK42" s="344"/>
      <c r="ANL42" s="344"/>
      <c r="ANM42" s="344"/>
      <c r="ANN42" s="344"/>
      <c r="ANO42" s="344"/>
      <c r="ANP42" s="344"/>
      <c r="ANQ42" s="344"/>
      <c r="ANR42" s="344"/>
      <c r="ANS42" s="344"/>
      <c r="ANT42" s="344"/>
      <c r="ANU42" s="344"/>
      <c r="ANV42" s="344"/>
      <c r="ANW42" s="344"/>
      <c r="ANX42" s="344"/>
      <c r="ANY42" s="344"/>
      <c r="ANZ42" s="344"/>
      <c r="AOA42" s="344"/>
      <c r="AOB42" s="344"/>
      <c r="AOC42" s="344"/>
      <c r="AOD42" s="344"/>
      <c r="AOE42" s="344"/>
      <c r="AOF42" s="344"/>
      <c r="AOG42" s="344"/>
      <c r="AOH42" s="344"/>
      <c r="AOI42" s="344"/>
      <c r="AOJ42" s="344"/>
      <c r="AOK42" s="344"/>
      <c r="AOL42" s="344"/>
      <c r="AOM42" s="344"/>
      <c r="AON42" s="344"/>
      <c r="AOO42" s="344"/>
      <c r="AOP42" s="344"/>
      <c r="AOQ42" s="344"/>
      <c r="AOR42" s="344"/>
      <c r="AOS42" s="344"/>
      <c r="AOT42" s="344"/>
      <c r="AOU42" s="344"/>
      <c r="AOV42" s="344"/>
      <c r="AOW42" s="344"/>
      <c r="AOX42" s="344"/>
      <c r="AOY42" s="344"/>
      <c r="AOZ42" s="344"/>
      <c r="APA42" s="344"/>
      <c r="APB42" s="344"/>
      <c r="APC42" s="344"/>
      <c r="APD42" s="344"/>
      <c r="APE42" s="344"/>
      <c r="APF42" s="344"/>
      <c r="APG42" s="344"/>
      <c r="APH42" s="344"/>
      <c r="API42" s="344"/>
      <c r="APJ42" s="344"/>
      <c r="APK42" s="344"/>
      <c r="APL42" s="344"/>
      <c r="APM42" s="344"/>
      <c r="APN42" s="344"/>
      <c r="APO42" s="344"/>
      <c r="APP42" s="344"/>
      <c r="APQ42" s="344"/>
      <c r="APR42" s="344"/>
      <c r="APS42" s="344"/>
      <c r="APT42" s="344"/>
      <c r="APU42" s="344"/>
      <c r="APV42" s="344"/>
      <c r="APW42" s="344"/>
      <c r="APX42" s="344"/>
      <c r="APY42" s="344"/>
      <c r="APZ42" s="344"/>
      <c r="AQA42" s="344"/>
      <c r="AQB42" s="344"/>
      <c r="AQC42" s="344"/>
      <c r="AQD42" s="344"/>
      <c r="AQE42" s="344"/>
      <c r="AQF42" s="344"/>
      <c r="AQG42" s="344"/>
      <c r="AQH42" s="344"/>
      <c r="AQI42" s="344"/>
      <c r="AQJ42" s="344"/>
      <c r="AQK42" s="344"/>
      <c r="AQL42" s="344"/>
      <c r="AQM42" s="344"/>
      <c r="AQN42" s="344"/>
      <c r="AQO42" s="344"/>
      <c r="AQP42" s="344"/>
      <c r="AQQ42" s="344"/>
      <c r="AQR42" s="344"/>
      <c r="AQS42" s="344"/>
      <c r="AQT42" s="344"/>
      <c r="AQU42" s="344"/>
      <c r="AQV42" s="344"/>
      <c r="AQW42" s="344"/>
      <c r="AQX42" s="344"/>
      <c r="AQY42" s="344"/>
      <c r="AQZ42" s="344"/>
      <c r="ARA42" s="344"/>
      <c r="ARB42" s="344"/>
      <c r="ARC42" s="344"/>
      <c r="ARD42" s="344"/>
      <c r="ARE42" s="344"/>
      <c r="ARF42" s="344"/>
      <c r="ARG42" s="344"/>
      <c r="ARH42" s="344"/>
      <c r="ARI42" s="344"/>
      <c r="ARJ42" s="344"/>
      <c r="ARK42" s="344"/>
      <c r="ARL42" s="344"/>
      <c r="ARM42" s="344"/>
      <c r="ARN42" s="344"/>
      <c r="ARO42" s="344"/>
      <c r="ARP42" s="344"/>
      <c r="ARQ42" s="344"/>
      <c r="ARR42" s="344"/>
      <c r="ARS42" s="344"/>
      <c r="ART42" s="344"/>
      <c r="ARU42" s="344"/>
      <c r="ARV42" s="344"/>
      <c r="ARW42" s="344"/>
      <c r="ARX42" s="344"/>
      <c r="ARY42" s="344"/>
      <c r="ARZ42" s="344"/>
      <c r="ASA42" s="344"/>
      <c r="ASB42" s="344"/>
      <c r="ASC42" s="344"/>
      <c r="ASD42" s="344"/>
      <c r="ASE42" s="344"/>
      <c r="ASF42" s="344"/>
      <c r="ASG42" s="344"/>
      <c r="ASH42" s="344"/>
      <c r="ASI42" s="344"/>
      <c r="ASJ42" s="344"/>
      <c r="ASK42" s="344"/>
      <c r="ASL42" s="344"/>
      <c r="ASM42" s="344"/>
      <c r="ASN42" s="344"/>
      <c r="ASO42" s="344"/>
      <c r="ASP42" s="344"/>
      <c r="ASQ42" s="344"/>
      <c r="ASR42" s="344"/>
      <c r="ASS42" s="344"/>
      <c r="AST42" s="344"/>
      <c r="ASU42" s="344"/>
      <c r="ASV42" s="344"/>
      <c r="ASW42" s="344"/>
      <c r="ASX42" s="344"/>
      <c r="ASY42" s="344"/>
      <c r="ASZ42" s="344"/>
      <c r="ATA42" s="344"/>
      <c r="ATB42" s="344"/>
      <c r="ATC42" s="344"/>
      <c r="ATD42" s="344"/>
      <c r="ATE42" s="344"/>
      <c r="ATF42" s="344"/>
      <c r="ATG42" s="344"/>
      <c r="ATH42" s="344"/>
      <c r="ATI42" s="344"/>
      <c r="ATJ42" s="344"/>
      <c r="ATK42" s="344"/>
      <c r="ATL42" s="344"/>
      <c r="ATM42" s="344"/>
      <c r="ATN42" s="344"/>
      <c r="ATO42" s="344"/>
      <c r="ATP42" s="344"/>
      <c r="ATQ42" s="344"/>
      <c r="ATR42" s="344"/>
      <c r="ATS42" s="344"/>
      <c r="ATT42" s="344"/>
      <c r="ATU42" s="344"/>
      <c r="ATV42" s="344"/>
      <c r="ATW42" s="344"/>
      <c r="ATX42" s="344"/>
      <c r="ATY42" s="344"/>
      <c r="ATZ42" s="344"/>
      <c r="AUA42" s="344"/>
      <c r="AUB42" s="344"/>
      <c r="AUC42" s="344"/>
      <c r="AUD42" s="344"/>
      <c r="AUE42" s="344"/>
      <c r="AUF42" s="344"/>
      <c r="AUG42" s="344"/>
      <c r="AUH42" s="344"/>
      <c r="AUI42" s="344"/>
      <c r="AUJ42" s="344"/>
      <c r="AUK42" s="344"/>
      <c r="AUL42" s="344"/>
      <c r="AUM42" s="344"/>
      <c r="AUN42" s="344"/>
      <c r="AUO42" s="344"/>
      <c r="AUP42" s="344"/>
      <c r="AUQ42" s="344"/>
      <c r="AUR42" s="344"/>
      <c r="AUS42" s="344"/>
      <c r="AUT42" s="344"/>
      <c r="AUU42" s="344"/>
      <c r="AUV42" s="344"/>
      <c r="AUW42" s="344"/>
      <c r="AUX42" s="344"/>
      <c r="AUY42" s="344"/>
      <c r="AUZ42" s="344"/>
      <c r="AVA42" s="344"/>
      <c r="AVB42" s="344"/>
      <c r="AVC42" s="344"/>
      <c r="AVD42" s="344"/>
      <c r="AVE42" s="344"/>
      <c r="AVF42" s="344"/>
      <c r="AVG42" s="344"/>
      <c r="AVH42" s="344"/>
      <c r="AVI42" s="344"/>
      <c r="AVJ42" s="344"/>
      <c r="AVK42" s="344"/>
      <c r="AVL42" s="344"/>
      <c r="AVM42" s="344"/>
      <c r="AVN42" s="344"/>
      <c r="AVO42" s="344"/>
      <c r="AVP42" s="344"/>
      <c r="AVQ42" s="344"/>
      <c r="AVR42" s="344"/>
      <c r="AVS42" s="344"/>
      <c r="AVT42" s="344"/>
      <c r="AVU42" s="344"/>
      <c r="AVV42" s="344"/>
      <c r="AVW42" s="344"/>
      <c r="AVX42" s="344"/>
      <c r="AVY42" s="344"/>
      <c r="AVZ42" s="344"/>
      <c r="AWA42" s="344"/>
      <c r="AWB42" s="344"/>
      <c r="AWC42" s="344"/>
      <c r="AWD42" s="344"/>
      <c r="AWE42" s="344"/>
      <c r="AWF42" s="344"/>
      <c r="AWG42" s="344"/>
      <c r="AWH42" s="344"/>
      <c r="AWI42" s="344"/>
      <c r="AWJ42" s="344"/>
      <c r="AWK42" s="344"/>
      <c r="AWL42" s="344"/>
      <c r="AWM42" s="344"/>
      <c r="AWN42" s="344"/>
      <c r="AWO42" s="344"/>
      <c r="AWP42" s="344"/>
      <c r="AWQ42" s="344"/>
      <c r="AWR42" s="344"/>
      <c r="AWS42" s="344"/>
      <c r="AWT42" s="344"/>
      <c r="AWU42" s="344"/>
      <c r="AWV42" s="344"/>
      <c r="AWW42" s="344"/>
      <c r="AWX42" s="344"/>
      <c r="AWY42" s="344"/>
      <c r="AWZ42" s="344"/>
      <c r="AXA42" s="344"/>
      <c r="AXB42" s="344"/>
      <c r="AXC42" s="344"/>
      <c r="AXD42" s="344"/>
      <c r="AXE42" s="344"/>
      <c r="AXF42" s="344"/>
      <c r="AXG42" s="344"/>
      <c r="AXH42" s="344"/>
      <c r="AXI42" s="344"/>
      <c r="AXJ42" s="344"/>
      <c r="AXK42" s="344"/>
      <c r="AXL42" s="344"/>
      <c r="AXM42" s="344"/>
      <c r="AXN42" s="344"/>
      <c r="AXO42" s="344"/>
      <c r="AXP42" s="344"/>
      <c r="AXQ42" s="344"/>
      <c r="AXR42" s="344"/>
      <c r="AXS42" s="344"/>
      <c r="AXT42" s="344"/>
      <c r="AXU42" s="344"/>
      <c r="AXV42" s="344"/>
      <c r="AXW42" s="344"/>
      <c r="AXX42" s="344"/>
      <c r="AXY42" s="344"/>
      <c r="AXZ42" s="344"/>
      <c r="AYA42" s="344"/>
      <c r="AYB42" s="344"/>
      <c r="AYC42" s="344"/>
      <c r="AYD42" s="344"/>
      <c r="AYE42" s="344"/>
      <c r="AYF42" s="344"/>
      <c r="AYG42" s="344"/>
      <c r="AYH42" s="344"/>
      <c r="AYI42" s="344"/>
      <c r="AYJ42" s="344"/>
      <c r="AYK42" s="344"/>
      <c r="AYL42" s="344"/>
      <c r="AYM42" s="344"/>
      <c r="AYN42" s="344"/>
      <c r="AYO42" s="344"/>
      <c r="AYP42" s="344"/>
      <c r="AYQ42" s="344"/>
      <c r="AYR42" s="344"/>
      <c r="AYS42" s="344"/>
      <c r="AYT42" s="344"/>
      <c r="AYU42" s="344"/>
      <c r="AYV42" s="344"/>
      <c r="AYW42" s="344"/>
      <c r="AYX42" s="344"/>
      <c r="AYY42" s="344"/>
      <c r="AYZ42" s="344"/>
      <c r="AZA42" s="344"/>
      <c r="AZB42" s="344"/>
      <c r="AZC42" s="344"/>
      <c r="AZD42" s="344"/>
      <c r="AZE42" s="344"/>
      <c r="AZF42" s="344"/>
      <c r="AZG42" s="344"/>
      <c r="AZH42" s="344"/>
      <c r="AZI42" s="344"/>
      <c r="AZJ42" s="344"/>
      <c r="AZK42" s="344"/>
      <c r="AZL42" s="344"/>
      <c r="AZM42" s="344"/>
      <c r="AZN42" s="344"/>
      <c r="AZO42" s="344"/>
      <c r="AZP42" s="344"/>
      <c r="AZQ42" s="344"/>
      <c r="AZR42" s="344"/>
      <c r="AZS42" s="344"/>
      <c r="AZT42" s="344"/>
      <c r="AZU42" s="344"/>
      <c r="AZV42" s="344"/>
      <c r="AZW42" s="344"/>
      <c r="AZX42" s="344"/>
      <c r="AZY42" s="344"/>
      <c r="AZZ42" s="344"/>
      <c r="BAA42" s="344"/>
      <c r="BAB42" s="344"/>
      <c r="BAC42" s="344"/>
      <c r="BAD42" s="344"/>
      <c r="BAE42" s="344"/>
      <c r="BAF42" s="344"/>
      <c r="BAG42" s="344"/>
      <c r="BAH42" s="344"/>
      <c r="BAI42" s="344"/>
      <c r="BAJ42" s="344"/>
      <c r="BAK42" s="344"/>
      <c r="BAL42" s="344"/>
      <c r="BAM42" s="344"/>
      <c r="BAN42" s="344"/>
      <c r="BAO42" s="344"/>
      <c r="BAP42" s="344"/>
      <c r="BAQ42" s="344"/>
      <c r="BAR42" s="344"/>
      <c r="BAS42" s="344"/>
      <c r="BAT42" s="344"/>
      <c r="BAU42" s="344"/>
      <c r="BAV42" s="344"/>
      <c r="BAW42" s="344"/>
      <c r="BAX42" s="344"/>
      <c r="BAY42" s="344"/>
      <c r="BAZ42" s="344"/>
      <c r="BBA42" s="344"/>
      <c r="BBB42" s="344"/>
      <c r="BBC42" s="344"/>
      <c r="BBD42" s="344"/>
      <c r="BBE42" s="344"/>
      <c r="BBF42" s="344"/>
      <c r="BBG42" s="344"/>
      <c r="BBH42" s="344"/>
      <c r="BBI42" s="344"/>
      <c r="BBJ42" s="344"/>
      <c r="BBK42" s="344"/>
      <c r="BBL42" s="344"/>
      <c r="BBM42" s="344"/>
      <c r="BBN42" s="344"/>
      <c r="BBO42" s="344"/>
      <c r="BBP42" s="344"/>
      <c r="BBQ42" s="344"/>
      <c r="BBR42" s="344"/>
      <c r="BBS42" s="344"/>
      <c r="BBT42" s="344"/>
      <c r="BBU42" s="344"/>
      <c r="BBV42" s="344"/>
      <c r="BBW42" s="344"/>
      <c r="BBX42" s="344"/>
      <c r="BBY42" s="344"/>
      <c r="BBZ42" s="344"/>
      <c r="BCA42" s="344"/>
      <c r="BCB42" s="344"/>
      <c r="BCC42" s="344"/>
      <c r="BCD42" s="344"/>
      <c r="BCE42" s="344"/>
      <c r="BCF42" s="344"/>
      <c r="BCG42" s="344"/>
      <c r="BCH42" s="344"/>
      <c r="BCI42" s="344"/>
      <c r="BCJ42" s="344"/>
      <c r="BCK42" s="344"/>
      <c r="BCL42" s="344"/>
      <c r="BCM42" s="344"/>
      <c r="BCN42" s="344"/>
      <c r="BCO42" s="344"/>
      <c r="BCP42" s="344"/>
      <c r="BCQ42" s="344"/>
      <c r="BCR42" s="344"/>
      <c r="BCS42" s="344"/>
      <c r="BCT42" s="344"/>
      <c r="BCU42" s="344"/>
      <c r="BCV42" s="344"/>
      <c r="BCW42" s="344"/>
      <c r="BCX42" s="344"/>
      <c r="BCY42" s="344"/>
      <c r="BCZ42" s="344"/>
      <c r="BDA42" s="344"/>
      <c r="BDB42" s="344"/>
      <c r="BDC42" s="344"/>
      <c r="BDD42" s="344"/>
      <c r="BDE42" s="344"/>
      <c r="BDF42" s="344"/>
      <c r="BDG42" s="344"/>
      <c r="BDH42" s="344"/>
      <c r="BDI42" s="344"/>
      <c r="BDJ42" s="344"/>
      <c r="BDK42" s="344"/>
      <c r="BDL42" s="344"/>
      <c r="BDM42" s="344"/>
      <c r="BDN42" s="344"/>
      <c r="BDO42" s="344"/>
      <c r="BDP42" s="344"/>
      <c r="BDQ42" s="344"/>
      <c r="BDR42" s="344"/>
      <c r="BDS42" s="344"/>
      <c r="BDT42" s="344"/>
      <c r="BDU42" s="344"/>
      <c r="BDV42" s="344"/>
      <c r="BDW42" s="344"/>
      <c r="BDX42" s="344"/>
      <c r="BDY42" s="344"/>
      <c r="BDZ42" s="344"/>
      <c r="BEA42" s="344"/>
      <c r="BEB42" s="344"/>
      <c r="BEC42" s="344"/>
      <c r="BED42" s="344"/>
      <c r="BEE42" s="344"/>
      <c r="BEF42" s="344"/>
      <c r="BEG42" s="344"/>
      <c r="BEH42" s="344"/>
      <c r="BEI42" s="344"/>
      <c r="BEJ42" s="344"/>
      <c r="BEK42" s="344"/>
      <c r="BEL42" s="344"/>
      <c r="BEM42" s="344"/>
      <c r="BEN42" s="344"/>
      <c r="BEO42" s="344"/>
      <c r="BEP42" s="344"/>
      <c r="BEQ42" s="344"/>
      <c r="BER42" s="344"/>
      <c r="BES42" s="344"/>
      <c r="BET42" s="344"/>
      <c r="BEU42" s="344"/>
      <c r="BEV42" s="344"/>
      <c r="BEW42" s="344"/>
      <c r="BEX42" s="344"/>
      <c r="BEY42" s="344"/>
      <c r="BEZ42" s="344"/>
      <c r="BFA42" s="344"/>
      <c r="BFB42" s="344"/>
      <c r="BFC42" s="344"/>
      <c r="BFD42" s="344"/>
      <c r="BFE42" s="344"/>
      <c r="BFF42" s="344"/>
      <c r="BFG42" s="344"/>
      <c r="BFH42" s="344"/>
      <c r="BFI42" s="344"/>
      <c r="BFJ42" s="344"/>
      <c r="BFK42" s="344"/>
      <c r="BFL42" s="344"/>
      <c r="BFM42" s="344"/>
      <c r="BFN42" s="344"/>
      <c r="BFO42" s="344"/>
      <c r="BFP42" s="344"/>
      <c r="BFQ42" s="344"/>
      <c r="BFR42" s="344"/>
      <c r="BFS42" s="344"/>
      <c r="BFT42" s="344"/>
      <c r="BFU42" s="344"/>
      <c r="BFV42" s="344"/>
      <c r="BFW42" s="344"/>
      <c r="BFX42" s="344"/>
      <c r="BFY42" s="344"/>
      <c r="BFZ42" s="344"/>
      <c r="BGA42" s="344"/>
      <c r="BGB42" s="344"/>
      <c r="BGC42" s="344"/>
      <c r="BGD42" s="344"/>
      <c r="BGE42" s="344"/>
      <c r="BGF42" s="344"/>
      <c r="BGG42" s="344"/>
      <c r="BGH42" s="344"/>
      <c r="BGI42" s="344"/>
      <c r="BGJ42" s="344"/>
      <c r="BGK42" s="344"/>
      <c r="BGL42" s="344"/>
      <c r="BGM42" s="344"/>
      <c r="BGN42" s="344"/>
      <c r="BGO42" s="344"/>
      <c r="BGP42" s="344"/>
      <c r="BGQ42" s="344"/>
      <c r="BGR42" s="344"/>
      <c r="BGS42" s="344"/>
      <c r="BGT42" s="344"/>
      <c r="BGU42" s="344"/>
      <c r="BGV42" s="344"/>
      <c r="BGW42" s="344"/>
      <c r="BGX42" s="344"/>
      <c r="BGY42" s="344"/>
      <c r="BGZ42" s="344"/>
      <c r="BHA42" s="344"/>
      <c r="BHB42" s="344"/>
      <c r="BHC42" s="344"/>
      <c r="BHD42" s="344"/>
      <c r="BHE42" s="344"/>
      <c r="BHF42" s="344"/>
      <c r="BHG42" s="344"/>
      <c r="BHH42" s="344"/>
      <c r="BHI42" s="344"/>
      <c r="BHJ42" s="344"/>
      <c r="BHK42" s="344"/>
      <c r="BHL42" s="344"/>
      <c r="BHM42" s="344"/>
      <c r="BHN42" s="344"/>
      <c r="BHO42" s="344"/>
      <c r="BHP42" s="344"/>
      <c r="BHQ42" s="344"/>
      <c r="BHR42" s="344"/>
      <c r="BHS42" s="344"/>
      <c r="BHT42" s="344"/>
      <c r="BHU42" s="344"/>
      <c r="BHV42" s="344"/>
      <c r="BHW42" s="344"/>
      <c r="BHX42" s="344"/>
      <c r="BHY42" s="344"/>
      <c r="BHZ42" s="344"/>
      <c r="BIA42" s="344"/>
      <c r="BIB42" s="344"/>
      <c r="BIC42" s="344"/>
      <c r="BID42" s="344"/>
      <c r="BIE42" s="344"/>
      <c r="BIF42" s="344"/>
      <c r="BIG42" s="344"/>
      <c r="BIH42" s="344"/>
      <c r="BII42" s="344"/>
      <c r="BIJ42" s="344"/>
      <c r="BIK42" s="344"/>
      <c r="BIL42" s="344"/>
      <c r="BIM42" s="344"/>
      <c r="BIN42" s="344"/>
      <c r="BIO42" s="344"/>
      <c r="BIP42" s="344"/>
      <c r="BIQ42" s="344"/>
      <c r="BIR42" s="344"/>
      <c r="BIS42" s="344"/>
      <c r="BIT42" s="344"/>
      <c r="BIU42" s="344"/>
      <c r="BIV42" s="344"/>
      <c r="BIW42" s="344"/>
      <c r="BIX42" s="344"/>
      <c r="BIY42" s="344"/>
      <c r="BIZ42" s="344"/>
      <c r="BJA42" s="344"/>
      <c r="BJB42" s="344"/>
      <c r="BJC42" s="344"/>
      <c r="BJD42" s="344"/>
      <c r="BJE42" s="344"/>
      <c r="BJF42" s="344"/>
      <c r="BJG42" s="344"/>
      <c r="BJH42" s="344"/>
      <c r="BJI42" s="344"/>
      <c r="BJJ42" s="344"/>
      <c r="BJK42" s="344"/>
      <c r="BJL42" s="344"/>
      <c r="BJM42" s="344"/>
      <c r="BJN42" s="344"/>
      <c r="BJO42" s="344"/>
      <c r="BJP42" s="344"/>
      <c r="BJQ42" s="344"/>
      <c r="BJR42" s="344"/>
      <c r="BJS42" s="344"/>
      <c r="BJT42" s="344"/>
      <c r="BJU42" s="344"/>
      <c r="BJV42" s="344"/>
      <c r="BJW42" s="344"/>
      <c r="BJX42" s="344"/>
      <c r="BJY42" s="344"/>
      <c r="BJZ42" s="344"/>
      <c r="BKA42" s="344"/>
      <c r="BKB42" s="344"/>
      <c r="BKC42" s="344"/>
      <c r="BKD42" s="344"/>
      <c r="BKE42" s="344"/>
      <c r="BKF42" s="344"/>
      <c r="BKG42" s="344"/>
      <c r="BKH42" s="344"/>
      <c r="BKI42" s="344"/>
      <c r="BKJ42" s="344"/>
      <c r="BKK42" s="344"/>
      <c r="BKL42" s="344"/>
      <c r="BKM42" s="344"/>
      <c r="BKN42" s="344"/>
      <c r="BKO42" s="344"/>
      <c r="BKP42" s="344"/>
      <c r="BKQ42" s="344"/>
      <c r="BKR42" s="344"/>
      <c r="BKS42" s="344"/>
      <c r="BKT42" s="344"/>
      <c r="BKU42" s="344"/>
      <c r="BKV42" s="344"/>
      <c r="BKW42" s="344"/>
      <c r="BKX42" s="344"/>
      <c r="BKY42" s="344"/>
      <c r="BKZ42" s="344"/>
      <c r="BLA42" s="344"/>
      <c r="BLB42" s="344"/>
      <c r="BLC42" s="344"/>
      <c r="BLD42" s="344"/>
      <c r="BLE42" s="344"/>
      <c r="BLF42" s="344"/>
      <c r="BLG42" s="344"/>
      <c r="BLH42" s="344"/>
      <c r="BLI42" s="344"/>
      <c r="BLJ42" s="344"/>
      <c r="BLK42" s="344"/>
      <c r="BLL42" s="344"/>
      <c r="BLM42" s="344"/>
      <c r="BLN42" s="344"/>
      <c r="BLO42" s="344"/>
      <c r="BLP42" s="344"/>
      <c r="BLQ42" s="344"/>
      <c r="BLR42" s="344"/>
      <c r="BLS42" s="344"/>
      <c r="BLT42" s="344"/>
      <c r="BLU42" s="344"/>
      <c r="BLV42" s="344"/>
      <c r="BLW42" s="344"/>
      <c r="BLX42" s="344"/>
      <c r="BLY42" s="344"/>
      <c r="BLZ42" s="344"/>
      <c r="BMA42" s="344"/>
      <c r="BMB42" s="344"/>
      <c r="BMC42" s="344"/>
      <c r="BMD42" s="344"/>
      <c r="BME42" s="344"/>
      <c r="BMF42" s="344"/>
      <c r="BMG42" s="344"/>
      <c r="BMH42" s="344"/>
      <c r="BMI42" s="344"/>
      <c r="BMJ42" s="344"/>
      <c r="BMK42" s="344"/>
      <c r="BML42" s="344"/>
      <c r="BMM42" s="344"/>
      <c r="BMN42" s="344"/>
      <c r="BMO42" s="344"/>
      <c r="BMP42" s="344"/>
      <c r="BMQ42" s="344"/>
      <c r="BMR42" s="344"/>
      <c r="BMS42" s="344"/>
      <c r="BMT42" s="344"/>
      <c r="BMU42" s="344"/>
      <c r="BMV42" s="344"/>
      <c r="BMW42" s="344"/>
      <c r="BMX42" s="344"/>
      <c r="BMY42" s="344"/>
      <c r="BMZ42" s="344"/>
      <c r="BNA42" s="344"/>
      <c r="BNB42" s="344"/>
      <c r="BNC42" s="344"/>
      <c r="BND42" s="344"/>
      <c r="BNE42" s="344"/>
      <c r="BNF42" s="344"/>
      <c r="BNG42" s="344"/>
      <c r="BNH42" s="344"/>
      <c r="BNI42" s="344"/>
      <c r="BNJ42" s="344"/>
      <c r="BNK42" s="344"/>
      <c r="BNL42" s="344"/>
      <c r="BNM42" s="344"/>
      <c r="BNN42" s="344"/>
      <c r="BNO42" s="344"/>
      <c r="BNP42" s="344"/>
      <c r="BNQ42" s="344"/>
      <c r="BNR42" s="344"/>
      <c r="BNS42" s="344"/>
      <c r="BNT42" s="344"/>
      <c r="BNU42" s="344"/>
      <c r="BNV42" s="344"/>
      <c r="BNW42" s="344"/>
      <c r="BNX42" s="344"/>
      <c r="BNY42" s="344"/>
      <c r="BNZ42" s="344"/>
      <c r="BOA42" s="344"/>
      <c r="BOB42" s="344"/>
      <c r="BOC42" s="344"/>
      <c r="BOD42" s="344"/>
      <c r="BOE42" s="344"/>
      <c r="BOF42" s="344"/>
      <c r="BOG42" s="344"/>
      <c r="BOH42" s="344"/>
      <c r="BOI42" s="344"/>
      <c r="BOJ42" s="344"/>
      <c r="BOK42" s="344"/>
      <c r="BOL42" s="344"/>
      <c r="BOM42" s="344"/>
      <c r="BON42" s="344"/>
      <c r="BOO42" s="344"/>
      <c r="BOP42" s="344"/>
      <c r="BOQ42" s="344"/>
      <c r="BOR42" s="344"/>
      <c r="BOS42" s="344"/>
      <c r="BOT42" s="344"/>
      <c r="BOU42" s="344"/>
      <c r="BOV42" s="344"/>
      <c r="BOW42" s="344"/>
      <c r="BOX42" s="344"/>
      <c r="BOY42" s="344"/>
      <c r="BOZ42" s="344"/>
      <c r="BPA42" s="344"/>
      <c r="BPB42" s="344"/>
      <c r="BPC42" s="344"/>
      <c r="BPD42" s="344"/>
      <c r="BPE42" s="344"/>
      <c r="BPF42" s="344"/>
      <c r="BPG42" s="344"/>
      <c r="BPH42" s="344"/>
      <c r="BPI42" s="344"/>
      <c r="BPJ42" s="344"/>
      <c r="BPK42" s="344"/>
      <c r="BPL42" s="344"/>
      <c r="BPM42" s="344"/>
      <c r="BPN42" s="344"/>
      <c r="BPO42" s="344"/>
      <c r="BPP42" s="344"/>
      <c r="BPQ42" s="344"/>
      <c r="BPR42" s="344"/>
      <c r="BPS42" s="344"/>
      <c r="BPT42" s="344"/>
      <c r="BPU42" s="344"/>
      <c r="BPV42" s="344"/>
      <c r="BPW42" s="344"/>
      <c r="BPX42" s="344"/>
      <c r="BPY42" s="344"/>
      <c r="BPZ42" s="344"/>
      <c r="BQA42" s="344"/>
      <c r="BQB42" s="344"/>
      <c r="BQC42" s="344"/>
      <c r="BQD42" s="344"/>
      <c r="BQE42" s="344"/>
      <c r="BQF42" s="344"/>
      <c r="BQG42" s="344"/>
      <c r="BQH42" s="344"/>
      <c r="BQI42" s="344"/>
      <c r="BQJ42" s="344"/>
      <c r="BQK42" s="344"/>
      <c r="BQL42" s="344"/>
      <c r="BQM42" s="344"/>
      <c r="BQN42" s="344"/>
      <c r="BQO42" s="344"/>
      <c r="BQP42" s="344"/>
      <c r="BQQ42" s="344"/>
      <c r="BQR42" s="344"/>
      <c r="BQS42" s="344"/>
      <c r="BQT42" s="344"/>
      <c r="BQU42" s="344"/>
      <c r="BQV42" s="344"/>
      <c r="BQW42" s="344"/>
      <c r="BQX42" s="344"/>
      <c r="BQY42" s="344"/>
      <c r="BQZ42" s="344"/>
      <c r="BRA42" s="344"/>
      <c r="BRB42" s="344"/>
      <c r="BRC42" s="344"/>
      <c r="BRD42" s="344"/>
      <c r="BRE42" s="344"/>
      <c r="BRF42" s="344"/>
      <c r="BRG42" s="344"/>
      <c r="BRH42" s="344"/>
      <c r="BRI42" s="344"/>
      <c r="BRJ42" s="344"/>
      <c r="BRK42" s="344"/>
      <c r="BRL42" s="344"/>
      <c r="BRM42" s="344"/>
      <c r="BRN42" s="344"/>
      <c r="BRO42" s="344"/>
      <c r="BRP42" s="344"/>
      <c r="BRQ42" s="344"/>
      <c r="BRR42" s="344"/>
      <c r="BRS42" s="344"/>
      <c r="BRT42" s="344"/>
      <c r="BRU42" s="344"/>
      <c r="BRV42" s="344"/>
      <c r="BRW42" s="344"/>
      <c r="BRX42" s="344"/>
      <c r="BRY42" s="344"/>
      <c r="BRZ42" s="344"/>
      <c r="BSA42" s="344"/>
      <c r="BSB42" s="344"/>
      <c r="BSC42" s="344"/>
      <c r="BSD42" s="344"/>
      <c r="BSE42" s="344"/>
      <c r="BSF42" s="344"/>
      <c r="BSG42" s="344"/>
      <c r="BSH42" s="344"/>
      <c r="BSI42" s="344"/>
      <c r="BSJ42" s="344"/>
      <c r="BSK42" s="344"/>
      <c r="BSL42" s="344"/>
      <c r="BSM42" s="344"/>
      <c r="BSN42" s="344"/>
      <c r="BSO42" s="344"/>
      <c r="BSP42" s="344"/>
      <c r="BSQ42" s="344"/>
      <c r="BSR42" s="344"/>
      <c r="BSS42" s="344"/>
      <c r="BST42" s="344"/>
      <c r="BSU42" s="344"/>
      <c r="BSV42" s="344"/>
      <c r="BSW42" s="344"/>
      <c r="BSX42" s="344"/>
      <c r="BSY42" s="344"/>
      <c r="BSZ42" s="344"/>
      <c r="BTA42" s="344"/>
      <c r="BTB42" s="344"/>
      <c r="BTC42" s="344"/>
      <c r="BTD42" s="344"/>
      <c r="BTE42" s="344"/>
      <c r="BTF42" s="344"/>
      <c r="BTG42" s="344"/>
      <c r="BTH42" s="344"/>
      <c r="BTI42" s="344"/>
      <c r="BTJ42" s="344"/>
      <c r="BTK42" s="344"/>
      <c r="BTL42" s="344"/>
      <c r="BTM42" s="344"/>
      <c r="BTN42" s="344"/>
      <c r="BTO42" s="344"/>
      <c r="BTP42" s="344"/>
      <c r="BTQ42" s="344"/>
      <c r="BTR42" s="344"/>
      <c r="BTS42" s="344"/>
      <c r="BTT42" s="344"/>
      <c r="BTU42" s="344"/>
      <c r="BTV42" s="344"/>
      <c r="BTW42" s="344"/>
      <c r="BTX42" s="344"/>
      <c r="BTY42" s="344"/>
      <c r="BTZ42" s="344"/>
      <c r="BUA42" s="344"/>
      <c r="BUB42" s="344"/>
      <c r="BUC42" s="344"/>
      <c r="BUD42" s="344"/>
      <c r="BUE42" s="344"/>
      <c r="BUF42" s="344"/>
      <c r="BUG42" s="344"/>
      <c r="BUH42" s="344"/>
      <c r="BUI42" s="344"/>
      <c r="BUJ42" s="344"/>
      <c r="BUK42" s="344"/>
      <c r="BUL42" s="344"/>
      <c r="BUM42" s="344"/>
      <c r="BUN42" s="344"/>
      <c r="BUO42" s="344"/>
      <c r="BUP42" s="344"/>
      <c r="BUQ42" s="344"/>
      <c r="BUR42" s="344"/>
      <c r="BUS42" s="344"/>
      <c r="BUT42" s="344"/>
      <c r="BUU42" s="344"/>
      <c r="BUV42" s="344"/>
      <c r="BUW42" s="344"/>
      <c r="BUX42" s="344"/>
      <c r="BUY42" s="344"/>
      <c r="BUZ42" s="344"/>
      <c r="BVA42" s="344"/>
      <c r="BVB42" s="344"/>
      <c r="BVC42" s="344"/>
      <c r="BVD42" s="344"/>
      <c r="BVE42" s="344"/>
      <c r="BVF42" s="344"/>
      <c r="BVG42" s="344"/>
      <c r="BVH42" s="344"/>
      <c r="BVI42" s="344"/>
      <c r="BVJ42" s="344"/>
      <c r="BVK42" s="344"/>
      <c r="BVL42" s="344"/>
      <c r="BVM42" s="344"/>
      <c r="BVN42" s="344"/>
      <c r="BVO42" s="344"/>
      <c r="BVP42" s="344"/>
      <c r="BVQ42" s="344"/>
      <c r="BVR42" s="344"/>
      <c r="BVS42" s="344"/>
      <c r="BVT42" s="344"/>
      <c r="BVU42" s="344"/>
      <c r="BVV42" s="344"/>
      <c r="BVW42" s="344"/>
      <c r="BVX42" s="344"/>
      <c r="BVY42" s="344"/>
      <c r="BVZ42" s="344"/>
      <c r="BWA42" s="344"/>
      <c r="BWB42" s="344"/>
      <c r="BWC42" s="344"/>
      <c r="BWD42" s="344"/>
      <c r="BWE42" s="344"/>
      <c r="BWF42" s="344"/>
      <c r="BWG42" s="344"/>
      <c r="BWH42" s="344"/>
      <c r="BWI42" s="344"/>
      <c r="BWJ42" s="344"/>
      <c r="BWK42" s="344"/>
      <c r="BWL42" s="344"/>
      <c r="BWM42" s="344"/>
      <c r="BWN42" s="344"/>
      <c r="BWO42" s="344"/>
      <c r="BWP42" s="344"/>
      <c r="BWQ42" s="344"/>
      <c r="BWR42" s="344"/>
      <c r="BWS42" s="344"/>
      <c r="BWT42" s="344"/>
      <c r="BWU42" s="344"/>
      <c r="BWV42" s="344"/>
      <c r="BWW42" s="344"/>
      <c r="BWX42" s="344"/>
      <c r="BWY42" s="344"/>
      <c r="BWZ42" s="344"/>
      <c r="BXA42" s="344"/>
      <c r="BXB42" s="344"/>
      <c r="BXC42" s="344"/>
      <c r="BXD42" s="344"/>
      <c r="BXE42" s="344"/>
      <c r="BXF42" s="344"/>
      <c r="BXG42" s="344"/>
      <c r="BXH42" s="344"/>
      <c r="BXI42" s="344"/>
      <c r="BXJ42" s="344"/>
      <c r="BXK42" s="344"/>
      <c r="BXL42" s="344"/>
      <c r="BXM42" s="344"/>
      <c r="BXN42" s="344"/>
      <c r="BXO42" s="344"/>
      <c r="BXP42" s="344"/>
      <c r="BXQ42" s="344"/>
      <c r="BXR42" s="344"/>
      <c r="BXS42" s="344"/>
      <c r="BXT42" s="344"/>
      <c r="BXU42" s="344"/>
      <c r="BXV42" s="344"/>
      <c r="BXW42" s="344"/>
      <c r="BXX42" s="344"/>
      <c r="BXY42" s="344"/>
      <c r="BXZ42" s="344"/>
      <c r="BYA42" s="344"/>
      <c r="BYB42" s="344"/>
      <c r="BYC42" s="344"/>
      <c r="BYD42" s="344"/>
      <c r="BYE42" s="344"/>
      <c r="BYF42" s="344"/>
      <c r="BYG42" s="344"/>
      <c r="BYH42" s="344"/>
      <c r="BYI42" s="344"/>
      <c r="BYJ42" s="344"/>
      <c r="BYK42" s="344"/>
      <c r="BYL42" s="344"/>
      <c r="BYM42" s="344"/>
      <c r="BYN42" s="344"/>
      <c r="BYO42" s="344"/>
      <c r="BYP42" s="344"/>
      <c r="BYQ42" s="344"/>
      <c r="BYR42" s="344"/>
      <c r="BYS42" s="344"/>
      <c r="BYT42" s="344"/>
      <c r="BYU42" s="344"/>
      <c r="BYV42" s="344"/>
      <c r="BYW42" s="344"/>
      <c r="BYX42" s="344"/>
      <c r="BYY42" s="344"/>
      <c r="BYZ42" s="344"/>
      <c r="BZA42" s="344"/>
      <c r="BZB42" s="344"/>
      <c r="BZC42" s="344"/>
      <c r="BZD42" s="344"/>
      <c r="BZE42" s="344"/>
      <c r="BZF42" s="344"/>
      <c r="BZG42" s="344"/>
      <c r="BZH42" s="344"/>
      <c r="BZI42" s="344"/>
      <c r="BZJ42" s="344"/>
      <c r="BZK42" s="344"/>
      <c r="BZL42" s="344"/>
      <c r="BZM42" s="344"/>
      <c r="BZN42" s="344"/>
      <c r="BZO42" s="344"/>
      <c r="BZP42" s="344"/>
      <c r="BZQ42" s="344"/>
      <c r="BZR42" s="344"/>
      <c r="BZS42" s="344"/>
      <c r="BZT42" s="344"/>
      <c r="BZU42" s="344"/>
      <c r="BZV42" s="344"/>
      <c r="BZW42" s="344"/>
      <c r="BZX42" s="344"/>
      <c r="BZY42" s="344"/>
      <c r="BZZ42" s="344"/>
      <c r="CAA42" s="344"/>
      <c r="CAB42" s="344"/>
      <c r="CAC42" s="344"/>
      <c r="CAD42" s="344"/>
      <c r="CAE42" s="344"/>
      <c r="CAF42" s="344"/>
      <c r="CAG42" s="344"/>
      <c r="CAH42" s="344"/>
      <c r="CAI42" s="344"/>
      <c r="CAJ42" s="344"/>
      <c r="CAK42" s="344"/>
      <c r="CAL42" s="344"/>
      <c r="CAM42" s="344"/>
      <c r="CAN42" s="344"/>
      <c r="CAO42" s="344"/>
      <c r="CAP42" s="344"/>
      <c r="CAQ42" s="344"/>
      <c r="CAR42" s="344"/>
      <c r="CAS42" s="344"/>
      <c r="CAT42" s="344"/>
      <c r="CAU42" s="344"/>
      <c r="CAV42" s="344"/>
      <c r="CAW42" s="344"/>
      <c r="CAX42" s="344"/>
      <c r="CAY42" s="344"/>
      <c r="CAZ42" s="344"/>
      <c r="CBA42" s="344"/>
      <c r="CBB42" s="344"/>
      <c r="CBC42" s="344"/>
      <c r="CBD42" s="344"/>
      <c r="CBE42" s="344"/>
      <c r="CBF42" s="344"/>
      <c r="CBG42" s="344"/>
      <c r="CBH42" s="344"/>
      <c r="CBI42" s="344"/>
      <c r="CBJ42" s="344"/>
      <c r="CBK42" s="344"/>
      <c r="CBL42" s="344"/>
      <c r="CBM42" s="344"/>
      <c r="CBN42" s="344"/>
      <c r="CBO42" s="344"/>
      <c r="CBP42" s="344"/>
      <c r="CBQ42" s="344"/>
      <c r="CBR42" s="344"/>
      <c r="CBS42" s="344"/>
      <c r="CBT42" s="344"/>
      <c r="CBU42" s="344"/>
      <c r="CBV42" s="344"/>
      <c r="CBW42" s="344"/>
      <c r="CBX42" s="344"/>
      <c r="CBY42" s="344"/>
      <c r="CBZ42" s="344"/>
      <c r="CCA42" s="344"/>
      <c r="CCB42" s="344"/>
      <c r="CCC42" s="344"/>
      <c r="CCD42" s="344"/>
      <c r="CCE42" s="344"/>
      <c r="CCF42" s="344"/>
      <c r="CCG42" s="344"/>
      <c r="CCH42" s="344"/>
      <c r="CCI42" s="344"/>
      <c r="CCJ42" s="344"/>
      <c r="CCK42" s="344"/>
      <c r="CCL42" s="344"/>
      <c r="CCM42" s="344"/>
      <c r="CCN42" s="344"/>
      <c r="CCO42" s="344"/>
      <c r="CCP42" s="344"/>
      <c r="CCQ42" s="344"/>
      <c r="CCR42" s="344"/>
      <c r="CCS42" s="344"/>
      <c r="CCT42" s="344"/>
      <c r="CCU42" s="344"/>
      <c r="CCV42" s="344"/>
      <c r="CCW42" s="344"/>
      <c r="CCX42" s="344"/>
      <c r="CCY42" s="344"/>
      <c r="CCZ42" s="344"/>
      <c r="CDA42" s="344"/>
      <c r="CDB42" s="344"/>
      <c r="CDC42" s="344"/>
      <c r="CDD42" s="344"/>
      <c r="CDE42" s="344"/>
      <c r="CDF42" s="344"/>
      <c r="CDG42" s="344"/>
      <c r="CDH42" s="344"/>
      <c r="CDI42" s="344"/>
      <c r="CDJ42" s="344"/>
      <c r="CDK42" s="344"/>
      <c r="CDL42" s="344"/>
      <c r="CDM42" s="344"/>
      <c r="CDN42" s="344"/>
      <c r="CDO42" s="344"/>
      <c r="CDP42" s="344"/>
      <c r="CDQ42" s="344"/>
      <c r="CDR42" s="344"/>
      <c r="CDS42" s="344"/>
      <c r="CDT42" s="344"/>
      <c r="CDU42" s="344"/>
      <c r="CDV42" s="344"/>
      <c r="CDW42" s="344"/>
      <c r="CDX42" s="344"/>
      <c r="CDY42" s="344"/>
      <c r="CDZ42" s="344"/>
      <c r="CEA42" s="344"/>
      <c r="CEB42" s="344"/>
      <c r="CEC42" s="344"/>
      <c r="CED42" s="344"/>
      <c r="CEE42" s="344"/>
      <c r="CEF42" s="344"/>
      <c r="CEG42" s="344"/>
      <c r="CEH42" s="344"/>
      <c r="CEI42" s="344"/>
      <c r="CEJ42" s="344"/>
      <c r="CEK42" s="344"/>
      <c r="CEL42" s="344"/>
      <c r="CEM42" s="344"/>
      <c r="CEN42" s="344"/>
      <c r="CEO42" s="344"/>
      <c r="CEP42" s="344"/>
      <c r="CEQ42" s="344"/>
      <c r="CER42" s="344"/>
      <c r="CES42" s="344"/>
      <c r="CET42" s="344"/>
      <c r="CEU42" s="344"/>
      <c r="CEV42" s="344"/>
      <c r="CEW42" s="344"/>
      <c r="CEX42" s="344"/>
      <c r="CEY42" s="344"/>
      <c r="CEZ42" s="344"/>
      <c r="CFA42" s="344"/>
      <c r="CFB42" s="344"/>
      <c r="CFC42" s="344"/>
      <c r="CFD42" s="344"/>
      <c r="CFE42" s="344"/>
      <c r="CFF42" s="344"/>
      <c r="CFG42" s="344"/>
      <c r="CFH42" s="344"/>
      <c r="CFI42" s="344"/>
      <c r="CFJ42" s="344"/>
      <c r="CFK42" s="344"/>
      <c r="CFL42" s="344"/>
      <c r="CFM42" s="344"/>
      <c r="CFN42" s="344"/>
      <c r="CFO42" s="344"/>
      <c r="CFP42" s="344"/>
      <c r="CFQ42" s="344"/>
      <c r="CFR42" s="344"/>
      <c r="CFS42" s="344"/>
      <c r="CFT42" s="344"/>
      <c r="CFU42" s="344"/>
      <c r="CFV42" s="344"/>
      <c r="CFW42" s="344"/>
      <c r="CFX42" s="344"/>
      <c r="CFY42" s="344"/>
      <c r="CFZ42" s="344"/>
      <c r="CGA42" s="344"/>
      <c r="CGB42" s="344"/>
      <c r="CGC42" s="344"/>
      <c r="CGD42" s="344"/>
      <c r="CGE42" s="344"/>
      <c r="CGF42" s="344"/>
      <c r="CGG42" s="344"/>
      <c r="CGH42" s="344"/>
      <c r="CGI42" s="344"/>
      <c r="CGJ42" s="344"/>
      <c r="CGK42" s="344"/>
      <c r="CGL42" s="344"/>
      <c r="CGM42" s="344"/>
      <c r="CGN42" s="344"/>
      <c r="CGO42" s="344"/>
      <c r="CGP42" s="344"/>
      <c r="CGQ42" s="344"/>
      <c r="CGR42" s="344"/>
      <c r="CGS42" s="344"/>
      <c r="CGT42" s="344"/>
      <c r="CGU42" s="344"/>
      <c r="CGV42" s="344"/>
      <c r="CGW42" s="344"/>
      <c r="CGX42" s="344"/>
      <c r="CGY42" s="344"/>
      <c r="CGZ42" s="344"/>
      <c r="CHA42" s="344"/>
      <c r="CHB42" s="344"/>
      <c r="CHC42" s="344"/>
      <c r="CHD42" s="344"/>
      <c r="CHE42" s="344"/>
      <c r="CHF42" s="344"/>
      <c r="CHG42" s="344"/>
      <c r="CHH42" s="344"/>
      <c r="CHI42" s="344"/>
      <c r="CHJ42" s="344"/>
      <c r="CHK42" s="344"/>
      <c r="CHL42" s="344"/>
      <c r="CHM42" s="344"/>
      <c r="CHN42" s="344"/>
      <c r="CHO42" s="344"/>
      <c r="CHP42" s="344"/>
      <c r="CHQ42" s="344"/>
      <c r="CHR42" s="344"/>
      <c r="CHS42" s="344"/>
      <c r="CHT42" s="344"/>
      <c r="CHU42" s="344"/>
      <c r="CHV42" s="344"/>
      <c r="CHW42" s="344"/>
      <c r="CHX42" s="344"/>
      <c r="CHY42" s="344"/>
      <c r="CHZ42" s="344"/>
      <c r="CIA42" s="344"/>
      <c r="CIB42" s="344"/>
      <c r="CIC42" s="344"/>
      <c r="CID42" s="344"/>
      <c r="CIE42" s="344"/>
      <c r="CIF42" s="344"/>
      <c r="CIG42" s="344"/>
      <c r="CIH42" s="344"/>
      <c r="CII42" s="344"/>
      <c r="CIJ42" s="344"/>
      <c r="CIK42" s="344"/>
      <c r="CIL42" s="344"/>
      <c r="CIM42" s="344"/>
      <c r="CIN42" s="344"/>
      <c r="CIO42" s="344"/>
      <c r="CIP42" s="344"/>
      <c r="CIQ42" s="344"/>
      <c r="CIR42" s="344"/>
      <c r="CIS42" s="344"/>
      <c r="CIT42" s="344"/>
      <c r="CIU42" s="344"/>
      <c r="CIV42" s="344"/>
      <c r="CIW42" s="344"/>
      <c r="CIX42" s="344"/>
      <c r="CIY42" s="344"/>
      <c r="CIZ42" s="344"/>
      <c r="CJA42" s="344"/>
      <c r="CJB42" s="344"/>
      <c r="CJC42" s="344"/>
      <c r="CJD42" s="344"/>
      <c r="CJE42" s="344"/>
      <c r="CJF42" s="344"/>
      <c r="CJG42" s="344"/>
      <c r="CJH42" s="344"/>
      <c r="CJI42" s="344"/>
      <c r="CJJ42" s="344"/>
      <c r="CJK42" s="344"/>
      <c r="CJL42" s="344"/>
      <c r="CJM42" s="344"/>
      <c r="CJN42" s="344"/>
      <c r="CJO42" s="344"/>
      <c r="CJP42" s="344"/>
      <c r="CJQ42" s="344"/>
      <c r="CJR42" s="344"/>
      <c r="CJS42" s="344"/>
      <c r="CJT42" s="344"/>
      <c r="CJU42" s="344"/>
      <c r="CJV42" s="344"/>
      <c r="CJW42" s="344"/>
      <c r="CJX42" s="344"/>
      <c r="CJY42" s="344"/>
      <c r="CJZ42" s="344"/>
      <c r="CKA42" s="344"/>
      <c r="CKB42" s="344"/>
      <c r="CKC42" s="344"/>
      <c r="CKD42" s="344"/>
      <c r="CKE42" s="344"/>
      <c r="CKF42" s="344"/>
      <c r="CKG42" s="344"/>
      <c r="CKH42" s="344"/>
      <c r="CKI42" s="344"/>
      <c r="CKJ42" s="344"/>
      <c r="CKK42" s="344"/>
      <c r="CKL42" s="344"/>
      <c r="CKM42" s="344"/>
      <c r="CKN42" s="344"/>
      <c r="CKO42" s="344"/>
      <c r="CKP42" s="344"/>
      <c r="CKQ42" s="344"/>
      <c r="CKR42" s="344"/>
      <c r="CKS42" s="344"/>
      <c r="CKT42" s="344"/>
      <c r="CKU42" s="344"/>
      <c r="CKV42" s="344"/>
      <c r="CKW42" s="344"/>
      <c r="CKX42" s="344"/>
      <c r="CKY42" s="344"/>
      <c r="CKZ42" s="344"/>
      <c r="CLA42" s="344"/>
      <c r="CLB42" s="344"/>
      <c r="CLC42" s="344"/>
      <c r="CLD42" s="344"/>
      <c r="CLE42" s="344"/>
      <c r="CLF42" s="344"/>
      <c r="CLG42" s="344"/>
      <c r="CLH42" s="344"/>
      <c r="CLI42" s="344"/>
      <c r="CLJ42" s="344"/>
      <c r="CLK42" s="344"/>
      <c r="CLL42" s="344"/>
      <c r="CLM42" s="344"/>
      <c r="CLN42" s="344"/>
      <c r="CLO42" s="344"/>
      <c r="CLP42" s="344"/>
      <c r="CLQ42" s="344"/>
      <c r="CLR42" s="344"/>
      <c r="CLS42" s="344"/>
      <c r="CLT42" s="344"/>
      <c r="CLU42" s="344"/>
      <c r="CLV42" s="344"/>
      <c r="CLW42" s="344"/>
      <c r="CLX42" s="344"/>
      <c r="CLY42" s="344"/>
      <c r="CLZ42" s="344"/>
      <c r="CMA42" s="344"/>
      <c r="CMB42" s="344"/>
      <c r="CMC42" s="344"/>
      <c r="CMD42" s="344"/>
      <c r="CME42" s="344"/>
      <c r="CMF42" s="344"/>
      <c r="CMG42" s="344"/>
      <c r="CMH42" s="344"/>
      <c r="CMI42" s="344"/>
      <c r="CMJ42" s="344"/>
      <c r="CMK42" s="344"/>
      <c r="CML42" s="344"/>
      <c r="CMM42" s="344"/>
      <c r="CMN42" s="344"/>
      <c r="CMO42" s="344"/>
      <c r="CMP42" s="344"/>
      <c r="CMQ42" s="344"/>
      <c r="CMR42" s="344"/>
      <c r="CMS42" s="344"/>
      <c r="CMT42" s="344"/>
      <c r="CMU42" s="344"/>
      <c r="CMV42" s="344"/>
      <c r="CMW42" s="344"/>
      <c r="CMX42" s="344"/>
      <c r="CMY42" s="344"/>
      <c r="CMZ42" s="344"/>
      <c r="CNA42" s="344"/>
      <c r="CNB42" s="344"/>
      <c r="CNC42" s="344"/>
      <c r="CND42" s="344"/>
      <c r="CNE42" s="344"/>
      <c r="CNF42" s="344"/>
      <c r="CNG42" s="344"/>
      <c r="CNH42" s="344"/>
      <c r="CNI42" s="344"/>
      <c r="CNJ42" s="344"/>
      <c r="CNK42" s="344"/>
      <c r="CNL42" s="344"/>
      <c r="CNM42" s="344"/>
      <c r="CNN42" s="344"/>
      <c r="CNO42" s="344"/>
      <c r="CNP42" s="344"/>
      <c r="CNQ42" s="344"/>
      <c r="CNR42" s="344"/>
      <c r="CNS42" s="344"/>
      <c r="CNT42" s="344"/>
      <c r="CNU42" s="344"/>
      <c r="CNV42" s="344"/>
      <c r="CNW42" s="344"/>
      <c r="CNX42" s="344"/>
      <c r="CNY42" s="344"/>
      <c r="CNZ42" s="344"/>
      <c r="COA42" s="344"/>
      <c r="COB42" s="344"/>
      <c r="COC42" s="344"/>
      <c r="COD42" s="344"/>
      <c r="COE42" s="344"/>
      <c r="COF42" s="344"/>
      <c r="COG42" s="344"/>
      <c r="COH42" s="344"/>
      <c r="COI42" s="344"/>
      <c r="COJ42" s="344"/>
      <c r="COK42" s="344"/>
      <c r="COL42" s="344"/>
      <c r="COM42" s="344"/>
      <c r="CON42" s="344"/>
      <c r="COO42" s="344"/>
      <c r="COP42" s="344"/>
      <c r="COQ42" s="344"/>
      <c r="COR42" s="344"/>
      <c r="COS42" s="344"/>
      <c r="COT42" s="344"/>
      <c r="COU42" s="344"/>
      <c r="COV42" s="344"/>
      <c r="COW42" s="344"/>
      <c r="COX42" s="344"/>
      <c r="COY42" s="344"/>
      <c r="COZ42" s="344"/>
      <c r="CPA42" s="344"/>
      <c r="CPB42" s="344"/>
      <c r="CPC42" s="344"/>
      <c r="CPD42" s="344"/>
      <c r="CPE42" s="344"/>
      <c r="CPF42" s="344"/>
      <c r="CPG42" s="344"/>
      <c r="CPH42" s="344"/>
      <c r="CPI42" s="344"/>
      <c r="CPJ42" s="344"/>
      <c r="CPK42" s="344"/>
      <c r="CPL42" s="344"/>
      <c r="CPM42" s="344"/>
      <c r="CPN42" s="344"/>
      <c r="CPO42" s="344"/>
      <c r="CPP42" s="344"/>
      <c r="CPQ42" s="344"/>
      <c r="CPR42" s="344"/>
      <c r="CPS42" s="344"/>
      <c r="CPT42" s="344"/>
      <c r="CPU42" s="344"/>
      <c r="CPV42" s="344"/>
      <c r="CPW42" s="344"/>
      <c r="CPX42" s="344"/>
      <c r="CPY42" s="344"/>
      <c r="CPZ42" s="344"/>
      <c r="CQA42" s="344"/>
      <c r="CQB42" s="344"/>
      <c r="CQC42" s="344"/>
      <c r="CQD42" s="344"/>
      <c r="CQE42" s="344"/>
      <c r="CQF42" s="344"/>
      <c r="CQG42" s="344"/>
      <c r="CQH42" s="344"/>
      <c r="CQI42" s="344"/>
      <c r="CQJ42" s="344"/>
      <c r="CQK42" s="344"/>
      <c r="CQL42" s="344"/>
      <c r="CQM42" s="344"/>
      <c r="CQN42" s="344"/>
      <c r="CQO42" s="344"/>
      <c r="CQP42" s="344"/>
      <c r="CQQ42" s="344"/>
      <c r="CQR42" s="344"/>
      <c r="CQS42" s="344"/>
      <c r="CQT42" s="344"/>
      <c r="CQU42" s="344"/>
      <c r="CQV42" s="344"/>
      <c r="CQW42" s="344"/>
      <c r="CQX42" s="344"/>
      <c r="CQY42" s="344"/>
      <c r="CQZ42" s="344"/>
      <c r="CRA42" s="344"/>
      <c r="CRB42" s="344"/>
      <c r="CRC42" s="344"/>
      <c r="CRD42" s="344"/>
      <c r="CRE42" s="344"/>
      <c r="CRF42" s="344"/>
      <c r="CRG42" s="344"/>
      <c r="CRH42" s="344"/>
      <c r="CRI42" s="344"/>
      <c r="CRJ42" s="344"/>
      <c r="CRK42" s="344"/>
      <c r="CRL42" s="344"/>
      <c r="CRM42" s="344"/>
      <c r="CRN42" s="344"/>
      <c r="CRO42" s="344"/>
      <c r="CRP42" s="344"/>
      <c r="CRQ42" s="344"/>
      <c r="CRR42" s="344"/>
      <c r="CRS42" s="344"/>
      <c r="CRT42" s="344"/>
      <c r="CRU42" s="344"/>
      <c r="CRV42" s="344"/>
      <c r="CRW42" s="344"/>
      <c r="CRX42" s="344"/>
      <c r="CRY42" s="344"/>
      <c r="CRZ42" s="344"/>
      <c r="CSA42" s="344"/>
      <c r="CSB42" s="344"/>
      <c r="CSC42" s="344"/>
      <c r="CSD42" s="344"/>
      <c r="CSE42" s="344"/>
      <c r="CSF42" s="344"/>
      <c r="CSG42" s="344"/>
      <c r="CSH42" s="344"/>
      <c r="CSI42" s="344"/>
      <c r="CSJ42" s="344"/>
      <c r="CSK42" s="344"/>
      <c r="CSL42" s="344"/>
      <c r="CSM42" s="344"/>
      <c r="CSN42" s="344"/>
      <c r="CSO42" s="344"/>
      <c r="CSP42" s="344"/>
      <c r="CSQ42" s="344"/>
      <c r="CSR42" s="344"/>
      <c r="CSS42" s="344"/>
      <c r="CST42" s="344"/>
      <c r="CSU42" s="344"/>
      <c r="CSV42" s="344"/>
      <c r="CSW42" s="344"/>
      <c r="CSX42" s="344"/>
      <c r="CSY42" s="344"/>
      <c r="CSZ42" s="344"/>
      <c r="CTA42" s="344"/>
      <c r="CTB42" s="344"/>
      <c r="CTC42" s="344"/>
      <c r="CTD42" s="344"/>
      <c r="CTE42" s="344"/>
      <c r="CTF42" s="344"/>
      <c r="CTG42" s="344"/>
      <c r="CTH42" s="344"/>
      <c r="CTI42" s="344"/>
      <c r="CTJ42" s="344"/>
      <c r="CTK42" s="344"/>
      <c r="CTL42" s="344"/>
      <c r="CTM42" s="344"/>
      <c r="CTN42" s="344"/>
      <c r="CTO42" s="344"/>
      <c r="CTP42" s="344"/>
      <c r="CTQ42" s="344"/>
      <c r="CTR42" s="344"/>
      <c r="CTS42" s="344"/>
      <c r="CTT42" s="344"/>
      <c r="CTU42" s="344"/>
      <c r="CTV42" s="344"/>
      <c r="CTW42" s="344"/>
      <c r="CTX42" s="344"/>
      <c r="CTY42" s="344"/>
      <c r="CTZ42" s="344"/>
      <c r="CUA42" s="344"/>
      <c r="CUB42" s="344"/>
      <c r="CUC42" s="344"/>
      <c r="CUD42" s="344"/>
      <c r="CUE42" s="344"/>
      <c r="CUF42" s="344"/>
      <c r="CUG42" s="344"/>
      <c r="CUH42" s="344"/>
      <c r="CUI42" s="344"/>
      <c r="CUJ42" s="344"/>
      <c r="CUK42" s="344"/>
      <c r="CUL42" s="344"/>
      <c r="CUM42" s="344"/>
      <c r="CUN42" s="344"/>
      <c r="CUO42" s="344"/>
      <c r="CUP42" s="344"/>
      <c r="CUQ42" s="344"/>
      <c r="CUR42" s="344"/>
      <c r="CUS42" s="344"/>
      <c r="CUT42" s="344"/>
      <c r="CUU42" s="344"/>
      <c r="CUV42" s="344"/>
      <c r="CUW42" s="344"/>
      <c r="CUX42" s="344"/>
      <c r="CUY42" s="344"/>
      <c r="CUZ42" s="344"/>
      <c r="CVA42" s="344"/>
      <c r="CVB42" s="344"/>
      <c r="CVC42" s="344"/>
      <c r="CVD42" s="344"/>
      <c r="CVE42" s="344"/>
      <c r="CVF42" s="344"/>
      <c r="CVG42" s="344"/>
      <c r="CVH42" s="344"/>
      <c r="CVI42" s="344"/>
      <c r="CVJ42" s="344"/>
      <c r="CVK42" s="344"/>
      <c r="CVL42" s="344"/>
      <c r="CVM42" s="344"/>
      <c r="CVN42" s="344"/>
      <c r="CVO42" s="344"/>
      <c r="CVP42" s="344"/>
      <c r="CVQ42" s="344"/>
      <c r="CVR42" s="344"/>
      <c r="CVS42" s="344"/>
      <c r="CVT42" s="344"/>
      <c r="CVU42" s="344"/>
      <c r="CVV42" s="344"/>
      <c r="CVW42" s="344"/>
      <c r="CVX42" s="344"/>
      <c r="CVY42" s="344"/>
      <c r="CVZ42" s="344"/>
      <c r="CWA42" s="344"/>
      <c r="CWB42" s="344"/>
      <c r="CWC42" s="344"/>
      <c r="CWD42" s="344"/>
      <c r="CWE42" s="344"/>
      <c r="CWF42" s="344"/>
      <c r="CWG42" s="344"/>
      <c r="CWH42" s="344"/>
      <c r="CWI42" s="344"/>
      <c r="CWJ42" s="344"/>
      <c r="CWK42" s="344"/>
      <c r="CWL42" s="344"/>
      <c r="CWM42" s="344"/>
      <c r="CWN42" s="344"/>
      <c r="CWO42" s="344"/>
      <c r="CWP42" s="344"/>
      <c r="CWQ42" s="344"/>
      <c r="CWR42" s="344"/>
      <c r="CWS42" s="344"/>
      <c r="CWT42" s="344"/>
      <c r="CWU42" s="344"/>
      <c r="CWV42" s="344"/>
      <c r="CWW42" s="344"/>
      <c r="CWX42" s="344"/>
      <c r="CWY42" s="344"/>
      <c r="CWZ42" s="344"/>
      <c r="CXA42" s="344"/>
      <c r="CXB42" s="344"/>
      <c r="CXC42" s="344"/>
      <c r="CXD42" s="344"/>
      <c r="CXE42" s="344"/>
      <c r="CXF42" s="344"/>
      <c r="CXG42" s="344"/>
      <c r="CXH42" s="344"/>
      <c r="CXI42" s="344"/>
      <c r="CXJ42" s="344"/>
      <c r="CXK42" s="344"/>
      <c r="CXL42" s="344"/>
      <c r="CXM42" s="344"/>
      <c r="CXN42" s="344"/>
      <c r="CXO42" s="344"/>
      <c r="CXP42" s="344"/>
      <c r="CXQ42" s="344"/>
      <c r="CXR42" s="344"/>
      <c r="CXS42" s="344"/>
      <c r="CXT42" s="344"/>
      <c r="CXU42" s="344"/>
      <c r="CXV42" s="344"/>
      <c r="CXW42" s="344"/>
      <c r="CXX42" s="344"/>
      <c r="CXY42" s="344"/>
      <c r="CXZ42" s="344"/>
      <c r="CYA42" s="344"/>
      <c r="CYB42" s="344"/>
      <c r="CYC42" s="344"/>
      <c r="CYD42" s="344"/>
      <c r="CYE42" s="344"/>
      <c r="CYF42" s="344"/>
      <c r="CYG42" s="344"/>
      <c r="CYH42" s="344"/>
      <c r="CYI42" s="344"/>
      <c r="CYJ42" s="344"/>
      <c r="CYK42" s="344"/>
      <c r="CYL42" s="344"/>
      <c r="CYM42" s="344"/>
      <c r="CYN42" s="344"/>
      <c r="CYO42" s="344"/>
      <c r="CYP42" s="344"/>
      <c r="CYQ42" s="344"/>
      <c r="CYR42" s="344"/>
      <c r="CYS42" s="344"/>
      <c r="CYT42" s="344"/>
      <c r="CYU42" s="344"/>
      <c r="CYV42" s="344"/>
      <c r="CYW42" s="344"/>
      <c r="CYX42" s="344"/>
      <c r="CYY42" s="344"/>
      <c r="CYZ42" s="344"/>
      <c r="CZA42" s="344"/>
      <c r="CZB42" s="344"/>
      <c r="CZC42" s="344"/>
      <c r="CZD42" s="344"/>
      <c r="CZE42" s="344"/>
      <c r="CZF42" s="344"/>
      <c r="CZG42" s="344"/>
      <c r="CZH42" s="344"/>
      <c r="CZI42" s="344"/>
      <c r="CZJ42" s="344"/>
      <c r="CZK42" s="344"/>
      <c r="CZL42" s="344"/>
      <c r="CZM42" s="344"/>
      <c r="CZN42" s="344"/>
      <c r="CZO42" s="344"/>
      <c r="CZP42" s="344"/>
      <c r="CZQ42" s="344"/>
      <c r="CZR42" s="344"/>
      <c r="CZS42" s="344"/>
      <c r="CZT42" s="344"/>
      <c r="CZU42" s="344"/>
      <c r="CZV42" s="344"/>
      <c r="CZW42" s="344"/>
      <c r="CZX42" s="344"/>
      <c r="CZY42" s="344"/>
      <c r="CZZ42" s="344"/>
      <c r="DAA42" s="344"/>
      <c r="DAB42" s="344"/>
      <c r="DAC42" s="344"/>
      <c r="DAD42" s="344"/>
      <c r="DAE42" s="344"/>
      <c r="DAF42" s="344"/>
      <c r="DAG42" s="344"/>
      <c r="DAH42" s="344"/>
      <c r="DAI42" s="344"/>
      <c r="DAJ42" s="344"/>
      <c r="DAK42" s="344"/>
      <c r="DAL42" s="344"/>
      <c r="DAM42" s="344"/>
      <c r="DAN42" s="344"/>
      <c r="DAO42" s="344"/>
      <c r="DAP42" s="344"/>
      <c r="DAQ42" s="344"/>
      <c r="DAR42" s="344"/>
      <c r="DAS42" s="344"/>
      <c r="DAT42" s="344"/>
      <c r="DAU42" s="344"/>
      <c r="DAV42" s="344"/>
      <c r="DAW42" s="344"/>
      <c r="DAX42" s="344"/>
      <c r="DAY42" s="344"/>
      <c r="DAZ42" s="344"/>
      <c r="DBA42" s="344"/>
      <c r="DBB42" s="344"/>
      <c r="DBC42" s="344"/>
      <c r="DBD42" s="344"/>
      <c r="DBE42" s="344"/>
      <c r="DBF42" s="344"/>
      <c r="DBG42" s="344"/>
      <c r="DBH42" s="344"/>
      <c r="DBI42" s="344"/>
      <c r="DBJ42" s="344"/>
      <c r="DBK42" s="344"/>
      <c r="DBL42" s="344"/>
      <c r="DBM42" s="344"/>
      <c r="DBN42" s="344"/>
      <c r="DBO42" s="344"/>
      <c r="DBP42" s="344"/>
      <c r="DBQ42" s="344"/>
      <c r="DBR42" s="344"/>
      <c r="DBS42" s="344"/>
      <c r="DBT42" s="344"/>
      <c r="DBU42" s="344"/>
      <c r="DBV42" s="344"/>
      <c r="DBW42" s="344"/>
      <c r="DBX42" s="344"/>
      <c r="DBY42" s="344"/>
      <c r="DBZ42" s="344"/>
      <c r="DCA42" s="344"/>
      <c r="DCB42" s="344"/>
      <c r="DCC42" s="344"/>
      <c r="DCD42" s="344"/>
      <c r="DCE42" s="344"/>
      <c r="DCF42" s="344"/>
      <c r="DCG42" s="344"/>
      <c r="DCH42" s="344"/>
      <c r="DCI42" s="344"/>
      <c r="DCJ42" s="344"/>
      <c r="DCK42" s="344"/>
      <c r="DCL42" s="344"/>
      <c r="DCM42" s="344"/>
      <c r="DCN42" s="344"/>
      <c r="DCO42" s="344"/>
      <c r="DCP42" s="344"/>
      <c r="DCQ42" s="344"/>
      <c r="DCR42" s="344"/>
      <c r="DCS42" s="344"/>
      <c r="DCT42" s="344"/>
      <c r="DCU42" s="344"/>
      <c r="DCV42" s="344"/>
      <c r="DCW42" s="344"/>
      <c r="DCX42" s="344"/>
      <c r="DCY42" s="344"/>
      <c r="DCZ42" s="344"/>
      <c r="DDA42" s="344"/>
      <c r="DDB42" s="344"/>
      <c r="DDC42" s="344"/>
      <c r="DDD42" s="344"/>
      <c r="DDE42" s="344"/>
      <c r="DDF42" s="344"/>
      <c r="DDG42" s="344"/>
      <c r="DDH42" s="344"/>
      <c r="DDI42" s="344"/>
      <c r="DDJ42" s="344"/>
      <c r="DDK42" s="344"/>
      <c r="DDL42" s="344"/>
      <c r="DDM42" s="344"/>
      <c r="DDN42" s="344"/>
      <c r="DDO42" s="344"/>
      <c r="DDP42" s="344"/>
      <c r="DDQ42" s="344"/>
      <c r="DDR42" s="344"/>
      <c r="DDS42" s="344"/>
      <c r="DDT42" s="344"/>
      <c r="DDU42" s="344"/>
      <c r="DDV42" s="344"/>
      <c r="DDW42" s="344"/>
      <c r="DDX42" s="344"/>
      <c r="DDY42" s="344"/>
      <c r="DDZ42" s="344"/>
      <c r="DEA42" s="344"/>
      <c r="DEB42" s="344"/>
      <c r="DEC42" s="344"/>
      <c r="DED42" s="344"/>
      <c r="DEE42" s="344"/>
      <c r="DEF42" s="344"/>
      <c r="DEG42" s="344"/>
      <c r="DEH42" s="344"/>
      <c r="DEI42" s="344"/>
      <c r="DEJ42" s="344"/>
      <c r="DEK42" s="344"/>
      <c r="DEL42" s="344"/>
      <c r="DEM42" s="344"/>
      <c r="DEN42" s="344"/>
      <c r="DEO42" s="344"/>
      <c r="DEP42" s="344"/>
      <c r="DEQ42" s="344"/>
      <c r="DER42" s="344"/>
      <c r="DES42" s="344"/>
      <c r="DET42" s="344"/>
      <c r="DEU42" s="344"/>
      <c r="DEV42" s="344"/>
      <c r="DEW42" s="344"/>
      <c r="DEX42" s="344"/>
      <c r="DEY42" s="344"/>
      <c r="DEZ42" s="344"/>
      <c r="DFA42" s="344"/>
      <c r="DFB42" s="344"/>
      <c r="DFC42" s="344"/>
      <c r="DFD42" s="344"/>
      <c r="DFE42" s="344"/>
      <c r="DFF42" s="344"/>
      <c r="DFG42" s="344"/>
      <c r="DFH42" s="344"/>
      <c r="DFI42" s="344"/>
      <c r="DFJ42" s="344"/>
      <c r="DFK42" s="344"/>
      <c r="DFL42" s="344"/>
      <c r="DFM42" s="344"/>
      <c r="DFN42" s="344"/>
      <c r="DFO42" s="344"/>
      <c r="DFP42" s="344"/>
      <c r="DFQ42" s="344"/>
      <c r="DFR42" s="344"/>
      <c r="DFS42" s="344"/>
      <c r="DFT42" s="344"/>
      <c r="DFU42" s="344"/>
      <c r="DFV42" s="344"/>
      <c r="DFW42" s="344"/>
      <c r="DFX42" s="344"/>
      <c r="DFY42" s="344"/>
      <c r="DFZ42" s="344"/>
      <c r="DGA42" s="344"/>
      <c r="DGB42" s="344"/>
      <c r="DGC42" s="344"/>
      <c r="DGD42" s="344"/>
      <c r="DGE42" s="344"/>
      <c r="DGF42" s="344"/>
      <c r="DGG42" s="344"/>
      <c r="DGH42" s="344"/>
      <c r="DGI42" s="344"/>
      <c r="DGJ42" s="344"/>
      <c r="DGK42" s="344"/>
      <c r="DGL42" s="344"/>
      <c r="DGM42" s="344"/>
      <c r="DGN42" s="344"/>
      <c r="DGO42" s="344"/>
      <c r="DGP42" s="344"/>
      <c r="DGQ42" s="344"/>
      <c r="DGR42" s="344"/>
      <c r="DGS42" s="344"/>
      <c r="DGT42" s="344"/>
      <c r="DGU42" s="344"/>
      <c r="DGV42" s="344"/>
      <c r="DGW42" s="344"/>
      <c r="DGX42" s="344"/>
      <c r="DGY42" s="344"/>
      <c r="DGZ42" s="344"/>
      <c r="DHA42" s="344"/>
      <c r="DHB42" s="344"/>
      <c r="DHC42" s="344"/>
      <c r="DHD42" s="344"/>
      <c r="DHE42" s="344"/>
      <c r="DHF42" s="344"/>
      <c r="DHG42" s="344"/>
      <c r="DHH42" s="344"/>
      <c r="DHI42" s="344"/>
      <c r="DHJ42" s="344"/>
      <c r="DHK42" s="344"/>
      <c r="DHL42" s="344"/>
      <c r="DHM42" s="344"/>
      <c r="DHN42" s="344"/>
      <c r="DHO42" s="344"/>
      <c r="DHP42" s="344"/>
      <c r="DHQ42" s="344"/>
      <c r="DHR42" s="344"/>
      <c r="DHS42" s="344"/>
      <c r="DHT42" s="344"/>
      <c r="DHU42" s="344"/>
      <c r="DHV42" s="344"/>
      <c r="DHW42" s="344"/>
      <c r="DHX42" s="344"/>
      <c r="DHY42" s="344"/>
      <c r="DHZ42" s="344"/>
      <c r="DIA42" s="344"/>
      <c r="DIB42" s="344"/>
      <c r="DIC42" s="344"/>
      <c r="DID42" s="344"/>
      <c r="DIE42" s="344"/>
      <c r="DIF42" s="344"/>
      <c r="DIG42" s="344"/>
      <c r="DIH42" s="344"/>
      <c r="DII42" s="344"/>
      <c r="DIJ42" s="344"/>
      <c r="DIK42" s="344"/>
      <c r="DIL42" s="344"/>
      <c r="DIM42" s="344"/>
      <c r="DIN42" s="344"/>
      <c r="DIO42" s="344"/>
      <c r="DIP42" s="344"/>
      <c r="DIQ42" s="344"/>
      <c r="DIR42" s="344"/>
      <c r="DIS42" s="344"/>
      <c r="DIT42" s="344"/>
      <c r="DIU42" s="344"/>
      <c r="DIV42" s="344"/>
      <c r="DIW42" s="344"/>
      <c r="DIX42" s="344"/>
      <c r="DIY42" s="344"/>
      <c r="DIZ42" s="344"/>
      <c r="DJA42" s="344"/>
      <c r="DJB42" s="344"/>
      <c r="DJC42" s="344"/>
      <c r="DJD42" s="344"/>
      <c r="DJE42" s="344"/>
      <c r="DJF42" s="344"/>
      <c r="DJG42" s="344"/>
      <c r="DJH42" s="344"/>
      <c r="DJI42" s="344"/>
      <c r="DJJ42" s="344"/>
      <c r="DJK42" s="344"/>
      <c r="DJL42" s="344"/>
      <c r="DJM42" s="344"/>
      <c r="DJN42" s="344"/>
      <c r="DJO42" s="344"/>
      <c r="DJP42" s="344"/>
      <c r="DJQ42" s="344"/>
      <c r="DJR42" s="344"/>
      <c r="DJS42" s="344"/>
      <c r="DJT42" s="344"/>
      <c r="DJU42" s="344"/>
      <c r="DJV42" s="344"/>
      <c r="DJW42" s="344"/>
      <c r="DJX42" s="344"/>
      <c r="DJY42" s="344"/>
      <c r="DJZ42" s="344"/>
      <c r="DKA42" s="344"/>
      <c r="DKB42" s="344"/>
      <c r="DKC42" s="344"/>
      <c r="DKD42" s="344"/>
      <c r="DKE42" s="344"/>
      <c r="DKF42" s="344"/>
      <c r="DKG42" s="344"/>
      <c r="DKH42" s="344"/>
      <c r="DKI42" s="344"/>
      <c r="DKJ42" s="344"/>
      <c r="DKK42" s="344"/>
      <c r="DKL42" s="344"/>
      <c r="DKM42" s="344"/>
      <c r="DKN42" s="344"/>
      <c r="DKO42" s="344"/>
      <c r="DKP42" s="344"/>
      <c r="DKQ42" s="344"/>
      <c r="DKR42" s="344"/>
      <c r="DKS42" s="344"/>
      <c r="DKT42" s="344"/>
      <c r="DKU42" s="344"/>
      <c r="DKV42" s="344"/>
      <c r="DKW42" s="344"/>
      <c r="DKX42" s="344"/>
      <c r="DKY42" s="344"/>
      <c r="DKZ42" s="344"/>
      <c r="DLA42" s="344"/>
      <c r="DLB42" s="344"/>
      <c r="DLC42" s="344"/>
      <c r="DLD42" s="344"/>
      <c r="DLE42" s="344"/>
      <c r="DLF42" s="344"/>
      <c r="DLG42" s="344"/>
      <c r="DLH42" s="344"/>
      <c r="DLI42" s="344"/>
      <c r="DLJ42" s="344"/>
      <c r="DLK42" s="344"/>
      <c r="DLL42" s="344"/>
      <c r="DLM42" s="344"/>
      <c r="DLN42" s="344"/>
      <c r="DLO42" s="344"/>
      <c r="DLP42" s="344"/>
      <c r="DLQ42" s="344"/>
      <c r="DLR42" s="344"/>
      <c r="DLS42" s="344"/>
      <c r="DLT42" s="344"/>
      <c r="DLU42" s="344"/>
      <c r="DLV42" s="344"/>
      <c r="DLW42" s="344"/>
      <c r="DLX42" s="344"/>
      <c r="DLY42" s="344"/>
      <c r="DLZ42" s="344"/>
      <c r="DMA42" s="344"/>
      <c r="DMB42" s="344"/>
      <c r="DMC42" s="344"/>
      <c r="DMD42" s="344"/>
      <c r="DME42" s="344"/>
      <c r="DMF42" s="344"/>
      <c r="DMG42" s="344"/>
      <c r="DMH42" s="344"/>
      <c r="DMI42" s="344"/>
      <c r="DMJ42" s="344"/>
      <c r="DMK42" s="344"/>
      <c r="DML42" s="344"/>
      <c r="DMM42" s="344"/>
      <c r="DMN42" s="344"/>
      <c r="DMO42" s="344"/>
      <c r="DMP42" s="344"/>
      <c r="DMQ42" s="344"/>
      <c r="DMR42" s="344"/>
      <c r="DMS42" s="344"/>
      <c r="DMT42" s="344"/>
      <c r="DMU42" s="344"/>
      <c r="DMV42" s="344"/>
      <c r="DMW42" s="344"/>
      <c r="DMX42" s="344"/>
      <c r="DMY42" s="344"/>
      <c r="DMZ42" s="344"/>
      <c r="DNA42" s="344"/>
      <c r="DNB42" s="344"/>
      <c r="DNC42" s="344"/>
      <c r="DND42" s="344"/>
      <c r="DNE42" s="344"/>
      <c r="DNF42" s="344"/>
      <c r="DNG42" s="344"/>
      <c r="DNH42" s="344"/>
      <c r="DNI42" s="344"/>
      <c r="DNJ42" s="344"/>
      <c r="DNK42" s="344"/>
      <c r="DNL42" s="344"/>
      <c r="DNM42" s="344"/>
      <c r="DNN42" s="344"/>
      <c r="DNO42" s="344"/>
      <c r="DNP42" s="344"/>
      <c r="DNQ42" s="344"/>
      <c r="DNR42" s="344"/>
      <c r="DNS42" s="344"/>
      <c r="DNT42" s="344"/>
      <c r="DNU42" s="344"/>
      <c r="DNV42" s="344"/>
      <c r="DNW42" s="344"/>
      <c r="DNX42" s="344"/>
      <c r="DNY42" s="344"/>
      <c r="DNZ42" s="344"/>
      <c r="DOA42" s="344"/>
      <c r="DOB42" s="344"/>
      <c r="DOC42" s="344"/>
      <c r="DOD42" s="344"/>
      <c r="DOE42" s="344"/>
      <c r="DOF42" s="344"/>
      <c r="DOG42" s="344"/>
      <c r="DOH42" s="344"/>
      <c r="DOI42" s="344"/>
      <c r="DOJ42" s="344"/>
      <c r="DOK42" s="344"/>
      <c r="DOL42" s="344"/>
      <c r="DOM42" s="344"/>
      <c r="DON42" s="344"/>
      <c r="DOO42" s="344"/>
      <c r="DOP42" s="344"/>
      <c r="DOQ42" s="344"/>
      <c r="DOR42" s="344"/>
      <c r="DOS42" s="344"/>
      <c r="DOT42" s="344"/>
      <c r="DOU42" s="344"/>
      <c r="DOV42" s="344"/>
      <c r="DOW42" s="344"/>
      <c r="DOX42" s="344"/>
      <c r="DOY42" s="344"/>
      <c r="DOZ42" s="344"/>
      <c r="DPA42" s="344"/>
      <c r="DPB42" s="344"/>
      <c r="DPC42" s="344"/>
      <c r="DPD42" s="344"/>
      <c r="DPE42" s="344"/>
      <c r="DPF42" s="344"/>
      <c r="DPG42" s="344"/>
      <c r="DPH42" s="344"/>
      <c r="DPI42" s="344"/>
      <c r="DPJ42" s="344"/>
      <c r="DPK42" s="344"/>
      <c r="DPL42" s="344"/>
      <c r="DPM42" s="344"/>
      <c r="DPN42" s="344"/>
      <c r="DPO42" s="344"/>
      <c r="DPP42" s="344"/>
      <c r="DPQ42" s="344"/>
      <c r="DPR42" s="344"/>
      <c r="DPS42" s="344"/>
      <c r="DPT42" s="344"/>
      <c r="DPU42" s="344"/>
      <c r="DPV42" s="344"/>
      <c r="DPW42" s="344"/>
      <c r="DPX42" s="344"/>
      <c r="DPY42" s="344"/>
      <c r="DPZ42" s="344"/>
      <c r="DQA42" s="344"/>
      <c r="DQB42" s="344"/>
      <c r="DQC42" s="344"/>
      <c r="DQD42" s="344"/>
      <c r="DQE42" s="344"/>
      <c r="DQF42" s="344"/>
      <c r="DQG42" s="344"/>
      <c r="DQH42" s="344"/>
      <c r="DQI42" s="344"/>
      <c r="DQJ42" s="344"/>
      <c r="DQK42" s="344"/>
      <c r="DQL42" s="344"/>
      <c r="DQM42" s="344"/>
      <c r="DQN42" s="344"/>
      <c r="DQO42" s="344"/>
      <c r="DQP42" s="344"/>
      <c r="DQQ42" s="344"/>
      <c r="DQR42" s="344"/>
      <c r="DQS42" s="344"/>
      <c r="DQT42" s="344"/>
      <c r="DQU42" s="344"/>
      <c r="DQV42" s="344"/>
      <c r="DQW42" s="344"/>
      <c r="DQX42" s="344"/>
      <c r="DQY42" s="344"/>
      <c r="DQZ42" s="344"/>
      <c r="DRA42" s="344"/>
      <c r="DRB42" s="344"/>
      <c r="DRC42" s="344"/>
      <c r="DRD42" s="344"/>
      <c r="DRE42" s="344"/>
      <c r="DRF42" s="344"/>
      <c r="DRG42" s="344"/>
      <c r="DRH42" s="344"/>
      <c r="DRI42" s="344"/>
      <c r="DRJ42" s="344"/>
      <c r="DRK42" s="344"/>
      <c r="DRL42" s="344"/>
      <c r="DRM42" s="344"/>
      <c r="DRN42" s="344"/>
      <c r="DRO42" s="344"/>
      <c r="DRP42" s="344"/>
      <c r="DRQ42" s="344"/>
      <c r="DRR42" s="344"/>
      <c r="DRS42" s="344"/>
      <c r="DRT42" s="344"/>
      <c r="DRU42" s="344"/>
      <c r="DRV42" s="344"/>
      <c r="DRW42" s="344"/>
      <c r="DRX42" s="344"/>
      <c r="DRY42" s="344"/>
      <c r="DRZ42" s="344"/>
      <c r="DSA42" s="344"/>
      <c r="DSB42" s="344"/>
      <c r="DSC42" s="344"/>
      <c r="DSD42" s="344"/>
      <c r="DSE42" s="344"/>
      <c r="DSF42" s="344"/>
      <c r="DSG42" s="344"/>
      <c r="DSH42" s="344"/>
      <c r="DSI42" s="344"/>
      <c r="DSJ42" s="344"/>
      <c r="DSK42" s="344"/>
      <c r="DSL42" s="344"/>
      <c r="DSM42" s="344"/>
      <c r="DSN42" s="344"/>
      <c r="DSO42" s="344"/>
      <c r="DSP42" s="344"/>
      <c r="DSQ42" s="344"/>
      <c r="DSR42" s="344"/>
      <c r="DSS42" s="344"/>
      <c r="DST42" s="344"/>
      <c r="DSU42" s="344"/>
      <c r="DSV42" s="344"/>
      <c r="DSW42" s="344"/>
      <c r="DSX42" s="344"/>
      <c r="DSY42" s="344"/>
      <c r="DSZ42" s="344"/>
      <c r="DTA42" s="344"/>
      <c r="DTB42" s="344"/>
      <c r="DTC42" s="344"/>
      <c r="DTD42" s="344"/>
      <c r="DTE42" s="344"/>
      <c r="DTF42" s="344"/>
      <c r="DTG42" s="344"/>
      <c r="DTH42" s="344"/>
      <c r="DTI42" s="344"/>
      <c r="DTJ42" s="344"/>
      <c r="DTK42" s="344"/>
      <c r="DTL42" s="344"/>
      <c r="DTM42" s="344"/>
      <c r="DTN42" s="344"/>
      <c r="DTO42" s="344"/>
      <c r="DTP42" s="344"/>
      <c r="DTQ42" s="344"/>
      <c r="DTR42" s="344"/>
      <c r="DTS42" s="344"/>
      <c r="DTT42" s="344"/>
      <c r="DTU42" s="344"/>
      <c r="DTV42" s="344"/>
      <c r="DTW42" s="344"/>
      <c r="DTX42" s="344"/>
      <c r="DTY42" s="344"/>
      <c r="DTZ42" s="344"/>
      <c r="DUA42" s="344"/>
      <c r="DUB42" s="344"/>
      <c r="DUC42" s="344"/>
      <c r="DUD42" s="344"/>
      <c r="DUE42" s="344"/>
      <c r="DUF42" s="344"/>
      <c r="DUG42" s="344"/>
      <c r="DUH42" s="344"/>
      <c r="DUI42" s="344"/>
      <c r="DUJ42" s="344"/>
      <c r="DUK42" s="344"/>
      <c r="DUL42" s="344"/>
      <c r="DUM42" s="344"/>
      <c r="DUN42" s="344"/>
      <c r="DUO42" s="344"/>
      <c r="DUP42" s="344"/>
      <c r="DUQ42" s="344"/>
      <c r="DUR42" s="344"/>
      <c r="DUS42" s="344"/>
      <c r="DUT42" s="344"/>
      <c r="DUU42" s="344"/>
      <c r="DUV42" s="344"/>
      <c r="DUW42" s="344"/>
      <c r="DUX42" s="344"/>
      <c r="DUY42" s="344"/>
      <c r="DUZ42" s="344"/>
      <c r="DVA42" s="344"/>
      <c r="DVB42" s="344"/>
      <c r="DVC42" s="344"/>
      <c r="DVD42" s="344"/>
      <c r="DVE42" s="344"/>
      <c r="DVF42" s="344"/>
      <c r="DVG42" s="344"/>
      <c r="DVH42" s="344"/>
      <c r="DVI42" s="344"/>
      <c r="DVJ42" s="344"/>
      <c r="DVK42" s="344"/>
      <c r="DVL42" s="344"/>
      <c r="DVM42" s="344"/>
      <c r="DVN42" s="344"/>
      <c r="DVO42" s="344"/>
      <c r="DVP42" s="344"/>
      <c r="DVQ42" s="344"/>
      <c r="DVR42" s="344"/>
      <c r="DVS42" s="344"/>
      <c r="DVT42" s="344"/>
      <c r="DVU42" s="344"/>
      <c r="DVV42" s="344"/>
      <c r="DVW42" s="344"/>
      <c r="DVX42" s="344"/>
      <c r="DVY42" s="344"/>
      <c r="DVZ42" s="344"/>
      <c r="DWA42" s="344"/>
      <c r="DWB42" s="344"/>
      <c r="DWC42" s="344"/>
      <c r="DWD42" s="344"/>
      <c r="DWE42" s="344"/>
      <c r="DWF42" s="344"/>
      <c r="DWG42" s="344"/>
      <c r="DWH42" s="344"/>
      <c r="DWI42" s="344"/>
      <c r="DWJ42" s="344"/>
      <c r="DWK42" s="344"/>
      <c r="DWL42" s="344"/>
      <c r="DWM42" s="344"/>
      <c r="DWN42" s="344"/>
      <c r="DWO42" s="344"/>
      <c r="DWP42" s="344"/>
      <c r="DWQ42" s="344"/>
      <c r="DWR42" s="344"/>
      <c r="DWS42" s="344"/>
      <c r="DWT42" s="344"/>
      <c r="DWU42" s="344"/>
      <c r="DWV42" s="344"/>
      <c r="DWW42" s="344"/>
      <c r="DWX42" s="344"/>
      <c r="DWY42" s="344"/>
      <c r="DWZ42" s="344"/>
      <c r="DXA42" s="344"/>
      <c r="DXB42" s="344"/>
      <c r="DXC42" s="344"/>
      <c r="DXD42" s="344"/>
      <c r="DXE42" s="344"/>
      <c r="DXF42" s="344"/>
      <c r="DXG42" s="344"/>
      <c r="DXH42" s="344"/>
      <c r="DXI42" s="344"/>
      <c r="DXJ42" s="344"/>
      <c r="DXK42" s="344"/>
      <c r="DXL42" s="344"/>
      <c r="DXM42" s="344"/>
      <c r="DXN42" s="344"/>
      <c r="DXO42" s="344"/>
      <c r="DXP42" s="344"/>
      <c r="DXQ42" s="344"/>
      <c r="DXR42" s="344"/>
      <c r="DXS42" s="344"/>
      <c r="DXT42" s="344"/>
      <c r="DXU42" s="344"/>
      <c r="DXV42" s="344"/>
      <c r="DXW42" s="344"/>
      <c r="DXX42" s="344"/>
      <c r="DXY42" s="344"/>
      <c r="DXZ42" s="344"/>
      <c r="DYA42" s="344"/>
      <c r="DYB42" s="344"/>
      <c r="DYC42" s="344"/>
      <c r="DYD42" s="344"/>
      <c r="DYE42" s="344"/>
      <c r="DYF42" s="344"/>
      <c r="DYG42" s="344"/>
      <c r="DYH42" s="344"/>
      <c r="DYI42" s="344"/>
      <c r="DYJ42" s="344"/>
      <c r="DYK42" s="344"/>
      <c r="DYL42" s="344"/>
      <c r="DYM42" s="344"/>
      <c r="DYN42" s="344"/>
      <c r="DYO42" s="344"/>
      <c r="DYP42" s="344"/>
      <c r="DYQ42" s="344"/>
      <c r="DYR42" s="344"/>
      <c r="DYS42" s="344"/>
      <c r="DYT42" s="344"/>
      <c r="DYU42" s="344"/>
      <c r="DYV42" s="344"/>
      <c r="DYW42" s="344"/>
      <c r="DYX42" s="344"/>
      <c r="DYY42" s="344"/>
      <c r="DYZ42" s="344"/>
      <c r="DZA42" s="344"/>
      <c r="DZB42" s="344"/>
      <c r="DZC42" s="344"/>
      <c r="DZD42" s="344"/>
      <c r="DZE42" s="344"/>
      <c r="DZF42" s="344"/>
      <c r="DZG42" s="344"/>
      <c r="DZH42" s="344"/>
      <c r="DZI42" s="344"/>
      <c r="DZJ42" s="344"/>
      <c r="DZK42" s="344"/>
      <c r="DZL42" s="344"/>
      <c r="DZM42" s="344"/>
      <c r="DZN42" s="344"/>
      <c r="DZO42" s="344"/>
      <c r="DZP42" s="344"/>
      <c r="DZQ42" s="344"/>
      <c r="DZR42" s="344"/>
      <c r="DZS42" s="344"/>
      <c r="DZT42" s="344"/>
      <c r="DZU42" s="344"/>
      <c r="DZV42" s="344"/>
      <c r="DZW42" s="344"/>
      <c r="DZX42" s="344"/>
      <c r="DZY42" s="344"/>
      <c r="DZZ42" s="344"/>
      <c r="EAA42" s="344"/>
      <c r="EAB42" s="344"/>
      <c r="EAC42" s="344"/>
      <c r="EAD42" s="344"/>
      <c r="EAE42" s="344"/>
      <c r="EAF42" s="344"/>
      <c r="EAG42" s="344"/>
      <c r="EAH42" s="344"/>
      <c r="EAI42" s="344"/>
      <c r="EAJ42" s="344"/>
      <c r="EAK42" s="344"/>
      <c r="EAL42" s="344"/>
      <c r="EAM42" s="344"/>
      <c r="EAN42" s="344"/>
      <c r="EAO42" s="344"/>
      <c r="EAP42" s="344"/>
      <c r="EAQ42" s="344"/>
      <c r="EAR42" s="344"/>
      <c r="EAS42" s="344"/>
      <c r="EAT42" s="344"/>
      <c r="EAU42" s="344"/>
      <c r="EAV42" s="344"/>
      <c r="EAW42" s="344"/>
      <c r="EAX42" s="344"/>
      <c r="EAY42" s="344"/>
      <c r="EAZ42" s="344"/>
      <c r="EBA42" s="344"/>
      <c r="EBB42" s="344"/>
      <c r="EBC42" s="344"/>
      <c r="EBD42" s="344"/>
      <c r="EBE42" s="344"/>
      <c r="EBF42" s="344"/>
      <c r="EBG42" s="344"/>
      <c r="EBH42" s="344"/>
      <c r="EBI42" s="344"/>
      <c r="EBJ42" s="344"/>
      <c r="EBK42" s="344"/>
      <c r="EBL42" s="344"/>
      <c r="EBM42" s="344"/>
      <c r="EBN42" s="344"/>
      <c r="EBO42" s="344"/>
      <c r="EBP42" s="344"/>
      <c r="EBQ42" s="344"/>
      <c r="EBR42" s="344"/>
      <c r="EBS42" s="344"/>
      <c r="EBT42" s="344"/>
      <c r="EBU42" s="344"/>
      <c r="EBV42" s="344"/>
      <c r="EBW42" s="344"/>
      <c r="EBX42" s="344"/>
      <c r="EBY42" s="344"/>
      <c r="EBZ42" s="344"/>
      <c r="ECA42" s="344"/>
      <c r="ECB42" s="344"/>
      <c r="ECC42" s="344"/>
      <c r="ECD42" s="344"/>
      <c r="ECE42" s="344"/>
      <c r="ECF42" s="344"/>
      <c r="ECG42" s="344"/>
      <c r="ECH42" s="344"/>
      <c r="ECI42" s="344"/>
      <c r="ECJ42" s="344"/>
      <c r="ECK42" s="344"/>
      <c r="ECL42" s="344"/>
      <c r="ECM42" s="344"/>
      <c r="ECN42" s="344"/>
      <c r="ECO42" s="344"/>
      <c r="ECP42" s="344"/>
      <c r="ECQ42" s="344"/>
      <c r="ECR42" s="344"/>
      <c r="ECS42" s="344"/>
      <c r="ECT42" s="344"/>
      <c r="ECU42" s="344"/>
      <c r="ECV42" s="344"/>
      <c r="ECW42" s="344"/>
      <c r="ECX42" s="344"/>
      <c r="ECY42" s="344"/>
      <c r="ECZ42" s="344"/>
      <c r="EDA42" s="344"/>
      <c r="EDB42" s="344"/>
      <c r="EDC42" s="344"/>
      <c r="EDD42" s="344"/>
      <c r="EDE42" s="344"/>
      <c r="EDF42" s="344"/>
      <c r="EDG42" s="344"/>
      <c r="EDH42" s="344"/>
      <c r="EDI42" s="344"/>
      <c r="EDJ42" s="344"/>
      <c r="EDK42" s="344"/>
      <c r="EDL42" s="344"/>
      <c r="EDM42" s="344"/>
      <c r="EDN42" s="344"/>
      <c r="EDO42" s="344"/>
      <c r="EDP42" s="344"/>
      <c r="EDQ42" s="344"/>
      <c r="EDR42" s="344"/>
      <c r="EDS42" s="344"/>
      <c r="EDT42" s="344"/>
      <c r="EDU42" s="344"/>
      <c r="EDV42" s="344"/>
      <c r="EDW42" s="344"/>
      <c r="EDX42" s="344"/>
      <c r="EDY42" s="344"/>
      <c r="EDZ42" s="344"/>
      <c r="EEA42" s="344"/>
      <c r="EEB42" s="344"/>
      <c r="EEC42" s="344"/>
      <c r="EED42" s="344"/>
      <c r="EEE42" s="344"/>
      <c r="EEF42" s="344"/>
      <c r="EEG42" s="344"/>
      <c r="EEH42" s="344"/>
      <c r="EEI42" s="344"/>
      <c r="EEJ42" s="344"/>
      <c r="EEK42" s="344"/>
      <c r="EEL42" s="344"/>
      <c r="EEM42" s="344"/>
      <c r="EEN42" s="344"/>
      <c r="EEO42" s="344"/>
      <c r="EEP42" s="344"/>
      <c r="EEQ42" s="344"/>
      <c r="EER42" s="344"/>
      <c r="EES42" s="344"/>
      <c r="EET42" s="344"/>
      <c r="EEU42" s="344"/>
      <c r="EEV42" s="344"/>
      <c r="EEW42" s="344"/>
      <c r="EEX42" s="344"/>
      <c r="EEY42" s="344"/>
      <c r="EEZ42" s="344"/>
      <c r="EFA42" s="344"/>
      <c r="EFB42" s="344"/>
      <c r="EFC42" s="344"/>
      <c r="EFD42" s="344"/>
      <c r="EFE42" s="344"/>
      <c r="EFF42" s="344"/>
      <c r="EFG42" s="344"/>
      <c r="EFH42" s="344"/>
      <c r="EFI42" s="344"/>
      <c r="EFJ42" s="344"/>
      <c r="EFK42" s="344"/>
      <c r="EFL42" s="344"/>
      <c r="EFM42" s="344"/>
      <c r="EFN42" s="344"/>
      <c r="EFO42" s="344"/>
      <c r="EFP42" s="344"/>
      <c r="EFQ42" s="344"/>
      <c r="EFR42" s="344"/>
      <c r="EFS42" s="344"/>
      <c r="EFT42" s="344"/>
      <c r="EFU42" s="344"/>
      <c r="EFV42" s="344"/>
      <c r="EFW42" s="344"/>
      <c r="EFX42" s="344"/>
      <c r="EFY42" s="344"/>
      <c r="EFZ42" s="344"/>
      <c r="EGA42" s="344"/>
      <c r="EGB42" s="344"/>
      <c r="EGC42" s="344"/>
      <c r="EGD42" s="344"/>
      <c r="EGE42" s="344"/>
      <c r="EGF42" s="344"/>
      <c r="EGG42" s="344"/>
      <c r="EGH42" s="344"/>
      <c r="EGI42" s="344"/>
      <c r="EGJ42" s="344"/>
      <c r="EGK42" s="344"/>
      <c r="EGL42" s="344"/>
      <c r="EGM42" s="344"/>
      <c r="EGN42" s="344"/>
      <c r="EGO42" s="344"/>
      <c r="EGP42" s="344"/>
      <c r="EGQ42" s="344"/>
      <c r="EGR42" s="344"/>
      <c r="EGS42" s="344"/>
      <c r="EGT42" s="344"/>
      <c r="EGU42" s="344"/>
      <c r="EGV42" s="344"/>
      <c r="EGW42" s="344"/>
      <c r="EGX42" s="344"/>
      <c r="EGY42" s="344"/>
      <c r="EGZ42" s="344"/>
      <c r="EHA42" s="344"/>
      <c r="EHB42" s="344"/>
      <c r="EHC42" s="344"/>
      <c r="EHD42" s="344"/>
      <c r="EHE42" s="344"/>
      <c r="EHF42" s="344"/>
      <c r="EHG42" s="344"/>
      <c r="EHH42" s="344"/>
      <c r="EHI42" s="344"/>
      <c r="EHJ42" s="344"/>
      <c r="EHK42" s="344"/>
      <c r="EHL42" s="344"/>
      <c r="EHM42" s="344"/>
      <c r="EHN42" s="344"/>
      <c r="EHO42" s="344"/>
      <c r="EHP42" s="344"/>
      <c r="EHQ42" s="344"/>
      <c r="EHR42" s="344"/>
      <c r="EHS42" s="344"/>
      <c r="EHT42" s="344"/>
      <c r="EHU42" s="344"/>
      <c r="EHV42" s="344"/>
      <c r="EHW42" s="344"/>
      <c r="EHX42" s="344"/>
      <c r="EHY42" s="344"/>
      <c r="EHZ42" s="344"/>
      <c r="EIA42" s="344"/>
      <c r="EIB42" s="344"/>
      <c r="EIC42" s="344"/>
      <c r="EID42" s="344"/>
      <c r="EIE42" s="344"/>
      <c r="EIF42" s="344"/>
      <c r="EIG42" s="344"/>
      <c r="EIH42" s="344"/>
      <c r="EII42" s="344"/>
      <c r="EIJ42" s="344"/>
      <c r="EIK42" s="344"/>
      <c r="EIL42" s="344"/>
      <c r="EIM42" s="344"/>
      <c r="EIN42" s="344"/>
      <c r="EIO42" s="344"/>
      <c r="EIP42" s="344"/>
      <c r="EIQ42" s="344"/>
      <c r="EIR42" s="344"/>
      <c r="EIS42" s="344"/>
      <c r="EIT42" s="344"/>
      <c r="EIU42" s="344"/>
      <c r="EIV42" s="344"/>
      <c r="EIW42" s="344"/>
      <c r="EIX42" s="344"/>
      <c r="EIY42" s="344"/>
      <c r="EIZ42" s="344"/>
      <c r="EJA42" s="344"/>
      <c r="EJB42" s="344"/>
      <c r="EJC42" s="344"/>
      <c r="EJD42" s="344"/>
      <c r="EJE42" s="344"/>
      <c r="EJF42" s="344"/>
      <c r="EJG42" s="344"/>
      <c r="EJH42" s="344"/>
      <c r="EJI42" s="344"/>
      <c r="EJJ42" s="344"/>
      <c r="EJK42" s="344"/>
      <c r="EJL42" s="344"/>
      <c r="EJM42" s="344"/>
      <c r="EJN42" s="344"/>
      <c r="EJO42" s="344"/>
      <c r="EJP42" s="344"/>
      <c r="EJQ42" s="344"/>
      <c r="EJR42" s="344"/>
      <c r="EJS42" s="344"/>
      <c r="EJT42" s="344"/>
      <c r="EJU42" s="344"/>
      <c r="EJV42" s="344"/>
      <c r="EJW42" s="344"/>
      <c r="EJX42" s="344"/>
      <c r="EJY42" s="344"/>
      <c r="EJZ42" s="344"/>
      <c r="EKA42" s="344"/>
      <c r="EKB42" s="344"/>
      <c r="EKC42" s="344"/>
      <c r="EKD42" s="344"/>
      <c r="EKE42" s="344"/>
      <c r="EKF42" s="344"/>
      <c r="EKG42" s="344"/>
      <c r="EKH42" s="344"/>
      <c r="EKI42" s="344"/>
      <c r="EKJ42" s="344"/>
      <c r="EKK42" s="344"/>
      <c r="EKL42" s="344"/>
      <c r="EKM42" s="344"/>
      <c r="EKN42" s="344"/>
      <c r="EKO42" s="344"/>
      <c r="EKP42" s="344"/>
      <c r="EKQ42" s="344"/>
      <c r="EKR42" s="344"/>
      <c r="EKS42" s="344"/>
      <c r="EKT42" s="344"/>
      <c r="EKU42" s="344"/>
      <c r="EKV42" s="344"/>
      <c r="EKW42" s="344"/>
      <c r="EKX42" s="344"/>
      <c r="EKY42" s="344"/>
      <c r="EKZ42" s="344"/>
      <c r="ELA42" s="344"/>
      <c r="ELB42" s="344"/>
      <c r="ELC42" s="344"/>
      <c r="ELD42" s="344"/>
      <c r="ELE42" s="344"/>
      <c r="ELF42" s="344"/>
      <c r="ELG42" s="344"/>
      <c r="ELH42" s="344"/>
      <c r="ELI42" s="344"/>
      <c r="ELJ42" s="344"/>
      <c r="ELK42" s="344"/>
      <c r="ELL42" s="344"/>
      <c r="ELM42" s="344"/>
      <c r="ELN42" s="344"/>
      <c r="ELO42" s="344"/>
      <c r="ELP42" s="344"/>
      <c r="ELQ42" s="344"/>
      <c r="ELR42" s="344"/>
      <c r="ELS42" s="344"/>
      <c r="ELT42" s="344"/>
      <c r="ELU42" s="344"/>
      <c r="ELV42" s="344"/>
      <c r="ELW42" s="344"/>
      <c r="ELX42" s="344"/>
      <c r="ELY42" s="344"/>
      <c r="ELZ42" s="344"/>
      <c r="EMA42" s="344"/>
      <c r="EMB42" s="344"/>
      <c r="EMC42" s="344"/>
      <c r="EMD42" s="344"/>
      <c r="EME42" s="344"/>
      <c r="EMF42" s="344"/>
      <c r="EMG42" s="344"/>
      <c r="EMH42" s="344"/>
      <c r="EMI42" s="344"/>
      <c r="EMJ42" s="344"/>
      <c r="EMK42" s="344"/>
      <c r="EML42" s="344"/>
      <c r="EMM42" s="344"/>
      <c r="EMN42" s="344"/>
      <c r="EMO42" s="344"/>
      <c r="EMP42" s="344"/>
      <c r="EMQ42" s="344"/>
      <c r="EMR42" s="344"/>
      <c r="EMS42" s="344"/>
      <c r="EMT42" s="344"/>
      <c r="EMU42" s="344"/>
      <c r="EMV42" s="344"/>
      <c r="EMW42" s="344"/>
      <c r="EMX42" s="344"/>
      <c r="EMY42" s="344"/>
      <c r="EMZ42" s="344"/>
      <c r="ENA42" s="344"/>
      <c r="ENB42" s="344"/>
      <c r="ENC42" s="344"/>
      <c r="END42" s="344"/>
      <c r="ENE42" s="344"/>
      <c r="ENF42" s="344"/>
      <c r="ENG42" s="344"/>
      <c r="ENH42" s="344"/>
      <c r="ENI42" s="344"/>
      <c r="ENJ42" s="344"/>
      <c r="ENK42" s="344"/>
      <c r="ENL42" s="344"/>
      <c r="ENM42" s="344"/>
      <c r="ENN42" s="344"/>
      <c r="ENO42" s="344"/>
      <c r="ENP42" s="344"/>
      <c r="ENQ42" s="344"/>
      <c r="ENR42" s="344"/>
      <c r="ENS42" s="344"/>
      <c r="ENT42" s="344"/>
      <c r="ENU42" s="344"/>
      <c r="ENV42" s="344"/>
      <c r="ENW42" s="344"/>
      <c r="ENX42" s="344"/>
      <c r="ENY42" s="344"/>
      <c r="ENZ42" s="344"/>
      <c r="EOA42" s="344"/>
      <c r="EOB42" s="344"/>
      <c r="EOC42" s="344"/>
      <c r="EOD42" s="344"/>
      <c r="EOE42" s="344"/>
      <c r="EOF42" s="344"/>
      <c r="EOG42" s="344"/>
      <c r="EOH42" s="344"/>
      <c r="EOI42" s="344"/>
      <c r="EOJ42" s="344"/>
      <c r="EOK42" s="344"/>
      <c r="EOL42" s="344"/>
      <c r="EOM42" s="344"/>
      <c r="EON42" s="344"/>
      <c r="EOO42" s="344"/>
      <c r="EOP42" s="344"/>
      <c r="EOQ42" s="344"/>
      <c r="EOR42" s="344"/>
      <c r="EOS42" s="344"/>
      <c r="EOT42" s="344"/>
      <c r="EOU42" s="344"/>
      <c r="EOV42" s="344"/>
      <c r="EOW42" s="344"/>
      <c r="EOX42" s="344"/>
      <c r="EOY42" s="344"/>
      <c r="EOZ42" s="344"/>
      <c r="EPA42" s="344"/>
      <c r="EPB42" s="344"/>
      <c r="EPC42" s="344"/>
      <c r="EPD42" s="344"/>
      <c r="EPE42" s="344"/>
      <c r="EPF42" s="344"/>
      <c r="EPG42" s="344"/>
      <c r="EPH42" s="344"/>
      <c r="EPI42" s="344"/>
      <c r="EPJ42" s="344"/>
      <c r="EPK42" s="344"/>
      <c r="EPL42" s="344"/>
      <c r="EPM42" s="344"/>
      <c r="EPN42" s="344"/>
      <c r="EPO42" s="344"/>
      <c r="EPP42" s="344"/>
      <c r="EPQ42" s="344"/>
      <c r="EPR42" s="344"/>
      <c r="EPS42" s="344"/>
      <c r="EPT42" s="344"/>
      <c r="EPU42" s="344"/>
      <c r="EPV42" s="344"/>
      <c r="EPW42" s="344"/>
      <c r="EPX42" s="344"/>
      <c r="EPY42" s="344"/>
      <c r="EPZ42" s="344"/>
      <c r="EQA42" s="344"/>
      <c r="EQB42" s="344"/>
      <c r="EQC42" s="344"/>
      <c r="EQD42" s="344"/>
      <c r="EQE42" s="344"/>
      <c r="EQF42" s="344"/>
      <c r="EQG42" s="344"/>
      <c r="EQH42" s="344"/>
      <c r="EQI42" s="344"/>
      <c r="EQJ42" s="344"/>
      <c r="EQK42" s="344"/>
      <c r="EQL42" s="344"/>
      <c r="EQM42" s="344"/>
      <c r="EQN42" s="344"/>
      <c r="EQO42" s="344"/>
      <c r="EQP42" s="344"/>
      <c r="EQQ42" s="344"/>
      <c r="EQR42" s="344"/>
      <c r="EQS42" s="344"/>
      <c r="EQT42" s="344"/>
      <c r="EQU42" s="344"/>
      <c r="EQV42" s="344"/>
      <c r="EQW42" s="344"/>
      <c r="EQX42" s="344"/>
      <c r="EQY42" s="344"/>
      <c r="EQZ42" s="344"/>
      <c r="ERA42" s="344"/>
      <c r="ERB42" s="344"/>
      <c r="ERC42" s="344"/>
      <c r="ERD42" s="344"/>
      <c r="ERE42" s="344"/>
      <c r="ERF42" s="344"/>
      <c r="ERG42" s="344"/>
      <c r="ERH42" s="344"/>
      <c r="ERI42" s="344"/>
      <c r="ERJ42" s="344"/>
      <c r="ERK42" s="344"/>
      <c r="ERL42" s="344"/>
      <c r="ERM42" s="344"/>
      <c r="ERN42" s="344"/>
      <c r="ERO42" s="344"/>
      <c r="ERP42" s="344"/>
      <c r="ERQ42" s="344"/>
      <c r="ERR42" s="344"/>
      <c r="ERS42" s="344"/>
      <c r="ERT42" s="344"/>
      <c r="ERU42" s="344"/>
      <c r="ERV42" s="344"/>
      <c r="ERW42" s="344"/>
      <c r="ERX42" s="344"/>
      <c r="ERY42" s="344"/>
      <c r="ERZ42" s="344"/>
      <c r="ESA42" s="344"/>
      <c r="ESB42" s="344"/>
      <c r="ESC42" s="344"/>
      <c r="ESD42" s="344"/>
      <c r="ESE42" s="344"/>
      <c r="ESF42" s="344"/>
      <c r="ESG42" s="344"/>
      <c r="ESH42" s="344"/>
      <c r="ESI42" s="344"/>
      <c r="ESJ42" s="344"/>
      <c r="ESK42" s="344"/>
      <c r="ESL42" s="344"/>
      <c r="ESM42" s="344"/>
      <c r="ESN42" s="344"/>
      <c r="ESO42" s="344"/>
      <c r="ESP42" s="344"/>
      <c r="ESQ42" s="344"/>
      <c r="ESR42" s="344"/>
      <c r="ESS42" s="344"/>
      <c r="EST42" s="344"/>
      <c r="ESU42" s="344"/>
      <c r="ESV42" s="344"/>
      <c r="ESW42" s="344"/>
      <c r="ESX42" s="344"/>
      <c r="ESY42" s="344"/>
      <c r="ESZ42" s="344"/>
      <c r="ETA42" s="344"/>
      <c r="ETB42" s="344"/>
      <c r="ETC42" s="344"/>
      <c r="ETD42" s="344"/>
      <c r="ETE42" s="344"/>
      <c r="ETF42" s="344"/>
      <c r="ETG42" s="344"/>
      <c r="ETH42" s="344"/>
      <c r="ETI42" s="344"/>
      <c r="ETJ42" s="344"/>
      <c r="ETK42" s="344"/>
      <c r="ETL42" s="344"/>
      <c r="ETM42" s="344"/>
      <c r="ETN42" s="344"/>
      <c r="ETO42" s="344"/>
      <c r="ETP42" s="344"/>
      <c r="ETQ42" s="344"/>
      <c r="ETR42" s="344"/>
      <c r="ETS42" s="344"/>
      <c r="ETT42" s="344"/>
      <c r="ETU42" s="344"/>
      <c r="ETV42" s="344"/>
      <c r="ETW42" s="344"/>
      <c r="ETX42" s="344"/>
      <c r="ETY42" s="344"/>
      <c r="ETZ42" s="344"/>
      <c r="EUA42" s="344"/>
      <c r="EUB42" s="344"/>
      <c r="EUC42" s="344"/>
      <c r="EUD42" s="344"/>
      <c r="EUE42" s="344"/>
      <c r="EUF42" s="344"/>
      <c r="EUG42" s="344"/>
      <c r="EUH42" s="344"/>
      <c r="EUI42" s="344"/>
      <c r="EUJ42" s="344"/>
      <c r="EUK42" s="344"/>
      <c r="EUL42" s="344"/>
      <c r="EUM42" s="344"/>
      <c r="EUN42" s="344"/>
      <c r="EUO42" s="344"/>
      <c r="EUP42" s="344"/>
      <c r="EUQ42" s="344"/>
      <c r="EUR42" s="344"/>
      <c r="EUS42" s="344"/>
      <c r="EUT42" s="344"/>
      <c r="EUU42" s="344"/>
      <c r="EUV42" s="344"/>
      <c r="EUW42" s="344"/>
      <c r="EUX42" s="344"/>
      <c r="EUY42" s="344"/>
      <c r="EUZ42" s="344"/>
      <c r="EVA42" s="344"/>
      <c r="EVB42" s="344"/>
      <c r="EVC42" s="344"/>
      <c r="EVD42" s="344"/>
      <c r="EVE42" s="344"/>
      <c r="EVF42" s="344"/>
      <c r="EVG42" s="344"/>
      <c r="EVH42" s="344"/>
      <c r="EVI42" s="344"/>
      <c r="EVJ42" s="344"/>
      <c r="EVK42" s="344"/>
      <c r="EVL42" s="344"/>
      <c r="EVM42" s="344"/>
      <c r="EVN42" s="344"/>
      <c r="EVO42" s="344"/>
      <c r="EVP42" s="344"/>
      <c r="EVQ42" s="344"/>
      <c r="EVR42" s="344"/>
      <c r="EVS42" s="344"/>
      <c r="EVT42" s="344"/>
      <c r="EVU42" s="344"/>
      <c r="EVV42" s="344"/>
      <c r="EVW42" s="344"/>
      <c r="EVX42" s="344"/>
      <c r="EVY42" s="344"/>
      <c r="EVZ42" s="344"/>
      <c r="EWA42" s="344"/>
      <c r="EWB42" s="344"/>
      <c r="EWC42" s="344"/>
      <c r="EWD42" s="344"/>
      <c r="EWE42" s="344"/>
      <c r="EWF42" s="344"/>
      <c r="EWG42" s="344"/>
      <c r="EWH42" s="344"/>
      <c r="EWI42" s="344"/>
      <c r="EWJ42" s="344"/>
      <c r="EWK42" s="344"/>
      <c r="EWL42" s="344"/>
      <c r="EWM42" s="344"/>
      <c r="EWN42" s="344"/>
      <c r="EWO42" s="344"/>
      <c r="EWP42" s="344"/>
      <c r="EWQ42" s="344"/>
      <c r="EWR42" s="344"/>
      <c r="EWS42" s="344"/>
      <c r="EWT42" s="344"/>
      <c r="EWU42" s="344"/>
      <c r="EWV42" s="344"/>
      <c r="EWW42" s="344"/>
      <c r="EWX42" s="344"/>
      <c r="EWY42" s="344"/>
      <c r="EWZ42" s="344"/>
      <c r="EXA42" s="344"/>
      <c r="EXB42" s="344"/>
      <c r="EXC42" s="344"/>
      <c r="EXD42" s="344"/>
      <c r="EXE42" s="344"/>
      <c r="EXF42" s="344"/>
      <c r="EXG42" s="344"/>
      <c r="EXH42" s="344"/>
      <c r="EXI42" s="344"/>
      <c r="EXJ42" s="344"/>
      <c r="EXK42" s="344"/>
      <c r="EXL42" s="344"/>
      <c r="EXM42" s="344"/>
      <c r="EXN42" s="344"/>
      <c r="EXO42" s="344"/>
      <c r="EXP42" s="344"/>
      <c r="EXQ42" s="344"/>
      <c r="EXR42" s="344"/>
      <c r="EXS42" s="344"/>
      <c r="EXT42" s="344"/>
      <c r="EXU42" s="344"/>
      <c r="EXV42" s="344"/>
      <c r="EXW42" s="344"/>
      <c r="EXX42" s="344"/>
      <c r="EXY42" s="344"/>
      <c r="EXZ42" s="344"/>
      <c r="EYA42" s="344"/>
      <c r="EYB42" s="344"/>
      <c r="EYC42" s="344"/>
      <c r="EYD42" s="344"/>
      <c r="EYE42" s="344"/>
      <c r="EYF42" s="344"/>
      <c r="EYG42" s="344"/>
      <c r="EYH42" s="344"/>
      <c r="EYI42" s="344"/>
      <c r="EYJ42" s="344"/>
      <c r="EYK42" s="344"/>
      <c r="EYL42" s="344"/>
      <c r="EYM42" s="344"/>
      <c r="EYN42" s="344"/>
      <c r="EYO42" s="344"/>
      <c r="EYP42" s="344"/>
      <c r="EYQ42" s="344"/>
      <c r="EYR42" s="344"/>
      <c r="EYS42" s="344"/>
      <c r="EYT42" s="344"/>
      <c r="EYU42" s="344"/>
      <c r="EYV42" s="344"/>
      <c r="EYW42" s="344"/>
      <c r="EYX42" s="344"/>
      <c r="EYY42" s="344"/>
      <c r="EYZ42" s="344"/>
      <c r="EZA42" s="344"/>
      <c r="EZB42" s="344"/>
      <c r="EZC42" s="344"/>
      <c r="EZD42" s="344"/>
      <c r="EZE42" s="344"/>
      <c r="EZF42" s="344"/>
      <c r="EZG42" s="344"/>
      <c r="EZH42" s="344"/>
      <c r="EZI42" s="344"/>
      <c r="EZJ42" s="344"/>
      <c r="EZK42" s="344"/>
      <c r="EZL42" s="344"/>
      <c r="EZM42" s="344"/>
      <c r="EZN42" s="344"/>
      <c r="EZO42" s="344"/>
      <c r="EZP42" s="344"/>
      <c r="EZQ42" s="344"/>
      <c r="EZR42" s="344"/>
      <c r="EZS42" s="344"/>
      <c r="EZT42" s="344"/>
      <c r="EZU42" s="344"/>
      <c r="EZV42" s="344"/>
      <c r="EZW42" s="344"/>
      <c r="EZX42" s="344"/>
      <c r="EZY42" s="344"/>
      <c r="EZZ42" s="344"/>
      <c r="FAA42" s="344"/>
      <c r="FAB42" s="344"/>
      <c r="FAC42" s="344"/>
      <c r="FAD42" s="344"/>
      <c r="FAE42" s="344"/>
      <c r="FAF42" s="344"/>
      <c r="FAG42" s="344"/>
      <c r="FAH42" s="344"/>
      <c r="FAI42" s="344"/>
      <c r="FAJ42" s="344"/>
      <c r="FAK42" s="344"/>
      <c r="FAL42" s="344"/>
      <c r="FAM42" s="344"/>
      <c r="FAN42" s="344"/>
      <c r="FAO42" s="344"/>
      <c r="FAP42" s="344"/>
      <c r="FAQ42" s="344"/>
      <c r="FAR42" s="344"/>
      <c r="FAS42" s="344"/>
      <c r="FAT42" s="344"/>
      <c r="FAU42" s="344"/>
      <c r="FAV42" s="344"/>
      <c r="FAW42" s="344"/>
      <c r="FAX42" s="344"/>
      <c r="FAY42" s="344"/>
      <c r="FAZ42" s="344"/>
      <c r="FBA42" s="344"/>
      <c r="FBB42" s="344"/>
      <c r="FBC42" s="344"/>
      <c r="FBD42" s="344"/>
      <c r="FBE42" s="344"/>
      <c r="FBF42" s="344"/>
      <c r="FBG42" s="344"/>
      <c r="FBH42" s="344"/>
      <c r="FBI42" s="344"/>
      <c r="FBJ42" s="344"/>
      <c r="FBK42" s="344"/>
      <c r="FBL42" s="344"/>
      <c r="FBM42" s="344"/>
      <c r="FBN42" s="344"/>
      <c r="FBO42" s="344"/>
      <c r="FBP42" s="344"/>
      <c r="FBQ42" s="344"/>
      <c r="FBR42" s="344"/>
      <c r="FBS42" s="344"/>
      <c r="FBT42" s="344"/>
      <c r="FBU42" s="344"/>
      <c r="FBV42" s="344"/>
      <c r="FBW42" s="344"/>
      <c r="FBX42" s="344"/>
      <c r="FBY42" s="344"/>
      <c r="FBZ42" s="344"/>
      <c r="FCA42" s="344"/>
      <c r="FCB42" s="344"/>
      <c r="FCC42" s="344"/>
      <c r="FCD42" s="344"/>
      <c r="FCE42" s="344"/>
      <c r="FCF42" s="344"/>
      <c r="FCG42" s="344"/>
      <c r="FCH42" s="344"/>
      <c r="FCI42" s="344"/>
      <c r="FCJ42" s="344"/>
      <c r="FCK42" s="344"/>
      <c r="FCL42" s="344"/>
      <c r="FCM42" s="344"/>
      <c r="FCN42" s="344"/>
      <c r="FCO42" s="344"/>
      <c r="FCP42" s="344"/>
      <c r="FCQ42" s="344"/>
      <c r="FCR42" s="344"/>
      <c r="FCS42" s="344"/>
      <c r="FCT42" s="344"/>
      <c r="FCU42" s="344"/>
      <c r="FCV42" s="344"/>
      <c r="FCW42" s="344"/>
      <c r="FCX42" s="344"/>
      <c r="FCY42" s="344"/>
      <c r="FCZ42" s="344"/>
      <c r="FDA42" s="344"/>
      <c r="FDB42" s="344"/>
      <c r="FDC42" s="344"/>
      <c r="FDD42" s="344"/>
      <c r="FDE42" s="344"/>
      <c r="FDF42" s="344"/>
      <c r="FDG42" s="344"/>
      <c r="FDH42" s="344"/>
      <c r="FDI42" s="344"/>
      <c r="FDJ42" s="344"/>
      <c r="FDK42" s="344"/>
      <c r="FDL42" s="344"/>
      <c r="FDM42" s="344"/>
      <c r="FDN42" s="344"/>
      <c r="FDO42" s="344"/>
      <c r="FDP42" s="344"/>
      <c r="FDQ42" s="344"/>
      <c r="FDR42" s="344"/>
      <c r="FDS42" s="344"/>
      <c r="FDT42" s="344"/>
      <c r="FDU42" s="344"/>
      <c r="FDV42" s="344"/>
      <c r="FDW42" s="344"/>
      <c r="FDX42" s="344"/>
      <c r="FDY42" s="344"/>
      <c r="FDZ42" s="344"/>
      <c r="FEA42" s="344"/>
      <c r="FEB42" s="344"/>
      <c r="FEC42" s="344"/>
      <c r="FED42" s="344"/>
      <c r="FEE42" s="344"/>
      <c r="FEF42" s="344"/>
      <c r="FEG42" s="344"/>
      <c r="FEH42" s="344"/>
      <c r="FEI42" s="344"/>
      <c r="FEJ42" s="344"/>
      <c r="FEK42" s="344"/>
      <c r="FEL42" s="344"/>
      <c r="FEM42" s="344"/>
      <c r="FEN42" s="344"/>
      <c r="FEO42" s="344"/>
      <c r="FEP42" s="344"/>
      <c r="FEQ42" s="344"/>
      <c r="FER42" s="344"/>
      <c r="FES42" s="344"/>
      <c r="FET42" s="344"/>
      <c r="FEU42" s="344"/>
      <c r="FEV42" s="344"/>
      <c r="FEW42" s="344"/>
      <c r="FEX42" s="344"/>
      <c r="FEY42" s="344"/>
      <c r="FEZ42" s="344"/>
      <c r="FFA42" s="344"/>
      <c r="FFB42" s="344"/>
      <c r="FFC42" s="344"/>
      <c r="FFD42" s="344"/>
      <c r="FFE42" s="344"/>
      <c r="FFF42" s="344"/>
      <c r="FFG42" s="344"/>
      <c r="FFH42" s="344"/>
      <c r="FFI42" s="344"/>
      <c r="FFJ42" s="344"/>
      <c r="FFK42" s="344"/>
      <c r="FFL42" s="344"/>
      <c r="FFM42" s="344"/>
      <c r="FFN42" s="344"/>
      <c r="FFO42" s="344"/>
      <c r="FFP42" s="344"/>
      <c r="FFQ42" s="344"/>
      <c r="FFR42" s="344"/>
      <c r="FFS42" s="344"/>
      <c r="FFT42" s="344"/>
      <c r="FFU42" s="344"/>
      <c r="FFV42" s="344"/>
      <c r="FFW42" s="344"/>
      <c r="FFX42" s="344"/>
      <c r="FFY42" s="344"/>
      <c r="FFZ42" s="344"/>
      <c r="FGA42" s="344"/>
      <c r="FGB42" s="344"/>
      <c r="FGC42" s="344"/>
      <c r="FGD42" s="344"/>
      <c r="FGE42" s="344"/>
      <c r="FGF42" s="344"/>
      <c r="FGG42" s="344"/>
      <c r="FGH42" s="344"/>
      <c r="FGI42" s="344"/>
      <c r="FGJ42" s="344"/>
      <c r="FGK42" s="344"/>
      <c r="FGL42" s="344"/>
      <c r="FGM42" s="344"/>
      <c r="FGN42" s="344"/>
      <c r="FGO42" s="344"/>
      <c r="FGP42" s="344"/>
      <c r="FGQ42" s="344"/>
      <c r="FGR42" s="344"/>
      <c r="FGS42" s="344"/>
      <c r="FGT42" s="344"/>
      <c r="FGU42" s="344"/>
      <c r="FGV42" s="344"/>
      <c r="FGW42" s="344"/>
      <c r="FGX42" s="344"/>
      <c r="FGY42" s="344"/>
      <c r="FGZ42" s="344"/>
      <c r="FHA42" s="344"/>
      <c r="FHB42" s="344"/>
      <c r="FHC42" s="344"/>
      <c r="FHD42" s="344"/>
      <c r="FHE42" s="344"/>
      <c r="FHF42" s="344"/>
      <c r="FHG42" s="344"/>
      <c r="FHH42" s="344"/>
      <c r="FHI42" s="344"/>
      <c r="FHJ42" s="344"/>
      <c r="FHK42" s="344"/>
      <c r="FHL42" s="344"/>
      <c r="FHM42" s="344"/>
      <c r="FHN42" s="344"/>
      <c r="FHO42" s="344"/>
      <c r="FHP42" s="344"/>
      <c r="FHQ42" s="344"/>
      <c r="FHR42" s="344"/>
      <c r="FHS42" s="344"/>
      <c r="FHT42" s="344"/>
      <c r="FHU42" s="344"/>
      <c r="FHV42" s="344"/>
      <c r="FHW42" s="344"/>
      <c r="FHX42" s="344"/>
      <c r="FHY42" s="344"/>
      <c r="FHZ42" s="344"/>
      <c r="FIA42" s="344"/>
      <c r="FIB42" s="344"/>
      <c r="FIC42" s="344"/>
      <c r="FID42" s="344"/>
      <c r="FIE42" s="344"/>
      <c r="FIF42" s="344"/>
      <c r="FIG42" s="344"/>
      <c r="FIH42" s="344"/>
      <c r="FII42" s="344"/>
      <c r="FIJ42" s="344"/>
      <c r="FIK42" s="344"/>
      <c r="FIL42" s="344"/>
      <c r="FIM42" s="344"/>
      <c r="FIN42" s="344"/>
      <c r="FIO42" s="344"/>
      <c r="FIP42" s="344"/>
      <c r="FIQ42" s="344"/>
      <c r="FIR42" s="344"/>
      <c r="FIS42" s="344"/>
      <c r="FIT42" s="344"/>
      <c r="FIU42" s="344"/>
      <c r="FIV42" s="344"/>
      <c r="FIW42" s="344"/>
      <c r="FIX42" s="344"/>
      <c r="FIY42" s="344"/>
      <c r="FIZ42" s="344"/>
      <c r="FJA42" s="344"/>
      <c r="FJB42" s="344"/>
      <c r="FJC42" s="344"/>
      <c r="FJD42" s="344"/>
      <c r="FJE42" s="344"/>
      <c r="FJF42" s="344"/>
      <c r="FJG42" s="344"/>
      <c r="FJH42" s="344"/>
      <c r="FJI42" s="344"/>
      <c r="FJJ42" s="344"/>
      <c r="FJK42" s="344"/>
      <c r="FJL42" s="344"/>
      <c r="FJM42" s="344"/>
      <c r="FJN42" s="344"/>
      <c r="FJO42" s="344"/>
      <c r="FJP42" s="344"/>
      <c r="FJQ42" s="344"/>
      <c r="FJR42" s="344"/>
      <c r="FJS42" s="344"/>
      <c r="FJT42" s="344"/>
      <c r="FJU42" s="344"/>
      <c r="FJV42" s="344"/>
      <c r="FJW42" s="344"/>
      <c r="FJX42" s="344"/>
      <c r="FJY42" s="344"/>
      <c r="FJZ42" s="344"/>
      <c r="FKA42" s="344"/>
      <c r="FKB42" s="344"/>
      <c r="FKC42" s="344"/>
      <c r="FKD42" s="344"/>
      <c r="FKE42" s="344"/>
      <c r="FKF42" s="344"/>
      <c r="FKG42" s="344"/>
      <c r="FKH42" s="344"/>
      <c r="FKI42" s="344"/>
      <c r="FKJ42" s="344"/>
      <c r="FKK42" s="344"/>
      <c r="FKL42" s="344"/>
      <c r="FKM42" s="344"/>
      <c r="FKN42" s="344"/>
      <c r="FKO42" s="344"/>
      <c r="FKP42" s="344"/>
      <c r="FKQ42" s="344"/>
      <c r="FKR42" s="344"/>
      <c r="FKS42" s="344"/>
      <c r="FKT42" s="344"/>
      <c r="FKU42" s="344"/>
      <c r="FKV42" s="344"/>
      <c r="FKW42" s="344"/>
      <c r="FKX42" s="344"/>
      <c r="FKY42" s="344"/>
      <c r="FKZ42" s="344"/>
      <c r="FLA42" s="344"/>
      <c r="FLB42" s="344"/>
      <c r="FLC42" s="344"/>
      <c r="FLD42" s="344"/>
      <c r="FLE42" s="344"/>
      <c r="FLF42" s="344"/>
      <c r="FLG42" s="344"/>
      <c r="FLH42" s="344"/>
      <c r="FLI42" s="344"/>
      <c r="FLJ42" s="344"/>
      <c r="FLK42" s="344"/>
      <c r="FLL42" s="344"/>
      <c r="FLM42" s="344"/>
      <c r="FLN42" s="344"/>
      <c r="FLO42" s="344"/>
      <c r="FLP42" s="344"/>
      <c r="FLQ42" s="344"/>
      <c r="FLR42" s="344"/>
      <c r="FLS42" s="344"/>
      <c r="FLT42" s="344"/>
      <c r="FLU42" s="344"/>
      <c r="FLV42" s="344"/>
      <c r="FLW42" s="344"/>
      <c r="FLX42" s="344"/>
      <c r="FLY42" s="344"/>
      <c r="FLZ42" s="344"/>
      <c r="FMA42" s="344"/>
      <c r="FMB42" s="344"/>
      <c r="FMC42" s="344"/>
      <c r="FMD42" s="344"/>
      <c r="FME42" s="344"/>
      <c r="FMF42" s="344"/>
      <c r="FMG42" s="344"/>
      <c r="FMH42" s="344"/>
      <c r="FMI42" s="344"/>
      <c r="FMJ42" s="344"/>
      <c r="FMK42" s="344"/>
      <c r="FML42" s="344"/>
      <c r="FMM42" s="344"/>
      <c r="FMN42" s="344"/>
      <c r="FMO42" s="344"/>
      <c r="FMP42" s="344"/>
      <c r="FMQ42" s="344"/>
      <c r="FMR42" s="344"/>
      <c r="FMS42" s="344"/>
      <c r="FMT42" s="344"/>
      <c r="FMU42" s="344"/>
      <c r="FMV42" s="344"/>
      <c r="FMW42" s="344"/>
      <c r="FMX42" s="344"/>
      <c r="FMY42" s="344"/>
      <c r="FMZ42" s="344"/>
      <c r="FNA42" s="344"/>
      <c r="FNB42" s="344"/>
      <c r="FNC42" s="344"/>
      <c r="FND42" s="344"/>
      <c r="FNE42" s="344"/>
      <c r="FNF42" s="344"/>
      <c r="FNG42" s="344"/>
      <c r="FNH42" s="344"/>
      <c r="FNI42" s="344"/>
      <c r="FNJ42" s="344"/>
      <c r="FNK42" s="344"/>
      <c r="FNL42" s="344"/>
      <c r="FNM42" s="344"/>
      <c r="FNN42" s="344"/>
      <c r="FNO42" s="344"/>
      <c r="FNP42" s="344"/>
      <c r="FNQ42" s="344"/>
      <c r="FNR42" s="344"/>
      <c r="FNS42" s="344"/>
      <c r="FNT42" s="344"/>
      <c r="FNU42" s="344"/>
      <c r="FNV42" s="344"/>
      <c r="FNW42" s="344"/>
      <c r="FNX42" s="344"/>
      <c r="FNY42" s="344"/>
      <c r="FNZ42" s="344"/>
      <c r="FOA42" s="344"/>
      <c r="FOB42" s="344"/>
      <c r="FOC42" s="344"/>
      <c r="FOD42" s="344"/>
      <c r="FOE42" s="344"/>
      <c r="FOF42" s="344"/>
      <c r="FOG42" s="344"/>
      <c r="FOH42" s="344"/>
      <c r="FOI42" s="344"/>
      <c r="FOJ42" s="344"/>
      <c r="FOK42" s="344"/>
      <c r="FOL42" s="344"/>
      <c r="FOM42" s="344"/>
      <c r="FON42" s="344"/>
      <c r="FOO42" s="344"/>
      <c r="FOP42" s="344"/>
      <c r="FOQ42" s="344"/>
      <c r="FOR42" s="344"/>
      <c r="FOS42" s="344"/>
      <c r="FOT42" s="344"/>
      <c r="FOU42" s="344"/>
      <c r="FOV42" s="344"/>
      <c r="FOW42" s="344"/>
      <c r="FOX42" s="344"/>
      <c r="FOY42" s="344"/>
      <c r="FOZ42" s="344"/>
      <c r="FPA42" s="344"/>
      <c r="FPB42" s="344"/>
      <c r="FPC42" s="344"/>
      <c r="FPD42" s="344"/>
      <c r="FPE42" s="344"/>
      <c r="FPF42" s="344"/>
      <c r="FPG42" s="344"/>
      <c r="FPH42" s="344"/>
      <c r="FPI42" s="344"/>
      <c r="FPJ42" s="344"/>
      <c r="FPK42" s="344"/>
      <c r="FPL42" s="344"/>
      <c r="FPM42" s="344"/>
      <c r="FPN42" s="344"/>
      <c r="FPO42" s="344"/>
      <c r="FPP42" s="344"/>
      <c r="FPQ42" s="344"/>
      <c r="FPR42" s="344"/>
      <c r="FPS42" s="344"/>
      <c r="FPT42" s="344"/>
      <c r="FPU42" s="344"/>
      <c r="FPV42" s="344"/>
      <c r="FPW42" s="344"/>
      <c r="FPX42" s="344"/>
      <c r="FPY42" s="344"/>
      <c r="FPZ42" s="344"/>
      <c r="FQA42" s="344"/>
      <c r="FQB42" s="344"/>
      <c r="FQC42" s="344"/>
      <c r="FQD42" s="344"/>
      <c r="FQE42" s="344"/>
      <c r="FQF42" s="344"/>
      <c r="FQG42" s="344"/>
      <c r="FQH42" s="344"/>
      <c r="FQI42" s="344"/>
      <c r="FQJ42" s="344"/>
      <c r="FQK42" s="344"/>
      <c r="FQL42" s="344"/>
      <c r="FQM42" s="344"/>
      <c r="FQN42" s="344"/>
      <c r="FQO42" s="344"/>
      <c r="FQP42" s="344"/>
      <c r="FQQ42" s="344"/>
      <c r="FQR42" s="344"/>
      <c r="FQS42" s="344"/>
      <c r="FQT42" s="344"/>
      <c r="FQU42" s="344"/>
      <c r="FQV42" s="344"/>
      <c r="FQW42" s="344"/>
      <c r="FQX42" s="344"/>
      <c r="FQY42" s="344"/>
      <c r="FQZ42" s="344"/>
      <c r="FRA42" s="344"/>
      <c r="FRB42" s="344"/>
      <c r="FRC42" s="344"/>
      <c r="FRD42" s="344"/>
      <c r="FRE42" s="344"/>
      <c r="FRF42" s="344"/>
      <c r="FRG42" s="344"/>
      <c r="FRH42" s="344"/>
      <c r="FRI42" s="344"/>
      <c r="FRJ42" s="344"/>
      <c r="FRK42" s="344"/>
      <c r="FRL42" s="344"/>
      <c r="FRM42" s="344"/>
      <c r="FRN42" s="344"/>
      <c r="FRO42" s="344"/>
      <c r="FRP42" s="344"/>
      <c r="FRQ42" s="344"/>
      <c r="FRR42" s="344"/>
      <c r="FRS42" s="344"/>
      <c r="FRT42" s="344"/>
      <c r="FRU42" s="344"/>
      <c r="FRV42" s="344"/>
      <c r="FRW42" s="344"/>
      <c r="FRX42" s="344"/>
      <c r="FRY42" s="344"/>
      <c r="FRZ42" s="344"/>
      <c r="FSA42" s="344"/>
      <c r="FSB42" s="344"/>
      <c r="FSC42" s="344"/>
      <c r="FSD42" s="344"/>
      <c r="FSE42" s="344"/>
      <c r="FSF42" s="344"/>
      <c r="FSG42" s="344"/>
      <c r="FSH42" s="344"/>
      <c r="FSI42" s="344"/>
      <c r="FSJ42" s="344"/>
      <c r="FSK42" s="344"/>
      <c r="FSL42" s="344"/>
      <c r="FSM42" s="344"/>
      <c r="FSN42" s="344"/>
      <c r="FSO42" s="344"/>
      <c r="FSP42" s="344"/>
      <c r="FSQ42" s="344"/>
      <c r="FSR42" s="344"/>
      <c r="FSS42" s="344"/>
      <c r="FST42" s="344"/>
      <c r="FSU42" s="344"/>
      <c r="FSV42" s="344"/>
      <c r="FSW42" s="344"/>
      <c r="FSX42" s="344"/>
      <c r="FSY42" s="344"/>
      <c r="FSZ42" s="344"/>
      <c r="FTA42" s="344"/>
      <c r="FTB42" s="344"/>
      <c r="FTC42" s="344"/>
      <c r="FTD42" s="344"/>
      <c r="FTE42" s="344"/>
      <c r="FTF42" s="344"/>
      <c r="FTG42" s="344"/>
      <c r="FTH42" s="344"/>
      <c r="FTI42" s="344"/>
      <c r="FTJ42" s="344"/>
      <c r="FTK42" s="344"/>
      <c r="FTL42" s="344"/>
      <c r="FTM42" s="344"/>
      <c r="FTN42" s="344"/>
      <c r="FTO42" s="344"/>
      <c r="FTP42" s="344"/>
      <c r="FTQ42" s="344"/>
      <c r="FTR42" s="344"/>
      <c r="FTS42" s="344"/>
      <c r="FTT42" s="344"/>
      <c r="FTU42" s="344"/>
      <c r="FTV42" s="344"/>
      <c r="FTW42" s="344"/>
      <c r="FTX42" s="344"/>
      <c r="FTY42" s="344"/>
      <c r="FTZ42" s="344"/>
      <c r="FUA42" s="344"/>
      <c r="FUB42" s="344"/>
      <c r="FUC42" s="344"/>
      <c r="FUD42" s="344"/>
      <c r="FUE42" s="344"/>
      <c r="FUF42" s="344"/>
      <c r="FUG42" s="344"/>
      <c r="FUH42" s="344"/>
      <c r="FUI42" s="344"/>
      <c r="FUJ42" s="344"/>
      <c r="FUK42" s="344"/>
      <c r="FUL42" s="344"/>
      <c r="FUM42" s="344"/>
      <c r="FUN42" s="344"/>
      <c r="FUO42" s="344"/>
      <c r="FUP42" s="344"/>
      <c r="FUQ42" s="344"/>
      <c r="FUR42" s="344"/>
      <c r="FUS42" s="344"/>
      <c r="FUT42" s="344"/>
      <c r="FUU42" s="344"/>
      <c r="FUV42" s="344"/>
      <c r="FUW42" s="344"/>
      <c r="FUX42" s="344"/>
      <c r="FUY42" s="344"/>
      <c r="FUZ42" s="344"/>
      <c r="FVA42" s="344"/>
      <c r="FVB42" s="344"/>
      <c r="FVC42" s="344"/>
      <c r="FVD42" s="344"/>
      <c r="FVE42" s="344"/>
      <c r="FVF42" s="344"/>
      <c r="FVG42" s="344"/>
      <c r="FVH42" s="344"/>
      <c r="FVI42" s="344"/>
      <c r="FVJ42" s="344"/>
      <c r="FVK42" s="344"/>
      <c r="FVL42" s="344"/>
      <c r="FVM42" s="344"/>
      <c r="FVN42" s="344"/>
      <c r="FVO42" s="344"/>
      <c r="FVP42" s="344"/>
      <c r="FVQ42" s="344"/>
      <c r="FVR42" s="344"/>
      <c r="FVS42" s="344"/>
      <c r="FVT42" s="344"/>
      <c r="FVU42" s="344"/>
      <c r="FVV42" s="344"/>
      <c r="FVW42" s="344"/>
      <c r="FVX42" s="344"/>
      <c r="FVY42" s="344"/>
      <c r="FVZ42" s="344"/>
      <c r="FWA42" s="344"/>
      <c r="FWB42" s="344"/>
      <c r="FWC42" s="344"/>
      <c r="FWD42" s="344"/>
      <c r="FWE42" s="344"/>
      <c r="FWF42" s="344"/>
      <c r="FWG42" s="344"/>
      <c r="FWH42" s="344"/>
      <c r="FWI42" s="344"/>
      <c r="FWJ42" s="344"/>
      <c r="FWK42" s="344"/>
      <c r="FWL42" s="344"/>
      <c r="FWM42" s="344"/>
      <c r="FWN42" s="344"/>
      <c r="FWO42" s="344"/>
      <c r="FWP42" s="344"/>
      <c r="FWQ42" s="344"/>
      <c r="FWR42" s="344"/>
      <c r="FWS42" s="344"/>
      <c r="FWT42" s="344"/>
      <c r="FWU42" s="344"/>
      <c r="FWV42" s="344"/>
      <c r="FWW42" s="344"/>
      <c r="FWX42" s="344"/>
      <c r="FWY42" s="344"/>
      <c r="FWZ42" s="344"/>
      <c r="FXA42" s="344"/>
      <c r="FXB42" s="344"/>
      <c r="FXC42" s="344"/>
      <c r="FXD42" s="344"/>
      <c r="FXE42" s="344"/>
      <c r="FXF42" s="344"/>
      <c r="FXG42" s="344"/>
      <c r="FXH42" s="344"/>
      <c r="FXI42" s="344"/>
      <c r="FXJ42" s="344"/>
      <c r="FXK42" s="344"/>
      <c r="FXL42" s="344"/>
      <c r="FXM42" s="344"/>
      <c r="FXN42" s="344"/>
      <c r="FXO42" s="344"/>
      <c r="FXP42" s="344"/>
      <c r="FXQ42" s="344"/>
      <c r="FXR42" s="344"/>
      <c r="FXS42" s="344"/>
      <c r="FXT42" s="344"/>
      <c r="FXU42" s="344"/>
      <c r="FXV42" s="344"/>
      <c r="FXW42" s="344"/>
      <c r="FXX42" s="344"/>
      <c r="FXY42" s="344"/>
      <c r="FXZ42" s="344"/>
      <c r="FYA42" s="344"/>
      <c r="FYB42" s="344"/>
      <c r="FYC42" s="344"/>
      <c r="FYD42" s="344"/>
      <c r="FYE42" s="344"/>
      <c r="FYF42" s="344"/>
      <c r="FYG42" s="344"/>
      <c r="FYH42" s="344"/>
      <c r="FYI42" s="344"/>
      <c r="FYJ42" s="344"/>
      <c r="FYK42" s="344"/>
      <c r="FYL42" s="344"/>
      <c r="FYM42" s="344"/>
      <c r="FYN42" s="344"/>
      <c r="FYO42" s="344"/>
      <c r="FYP42" s="344"/>
      <c r="FYQ42" s="344"/>
      <c r="FYR42" s="344"/>
      <c r="FYS42" s="344"/>
      <c r="FYT42" s="344"/>
      <c r="FYU42" s="344"/>
      <c r="FYV42" s="344"/>
      <c r="FYW42" s="344"/>
      <c r="FYX42" s="344"/>
      <c r="FYY42" s="344"/>
      <c r="FYZ42" s="344"/>
      <c r="FZA42" s="344"/>
      <c r="FZB42" s="344"/>
      <c r="FZC42" s="344"/>
      <c r="FZD42" s="344"/>
      <c r="FZE42" s="344"/>
      <c r="FZF42" s="344"/>
      <c r="FZG42" s="344"/>
      <c r="FZH42" s="344"/>
      <c r="FZI42" s="344"/>
      <c r="FZJ42" s="344"/>
      <c r="FZK42" s="344"/>
      <c r="FZL42" s="344"/>
      <c r="FZM42" s="344"/>
      <c r="FZN42" s="344"/>
      <c r="FZO42" s="344"/>
      <c r="FZP42" s="344"/>
      <c r="FZQ42" s="344"/>
      <c r="FZR42" s="344"/>
      <c r="FZS42" s="344"/>
      <c r="FZT42" s="344"/>
      <c r="FZU42" s="344"/>
      <c r="FZV42" s="344"/>
      <c r="FZW42" s="344"/>
      <c r="FZX42" s="344"/>
      <c r="FZY42" s="344"/>
      <c r="FZZ42" s="344"/>
      <c r="GAA42" s="344"/>
      <c r="GAB42" s="344"/>
      <c r="GAC42" s="344"/>
      <c r="GAD42" s="344"/>
      <c r="GAE42" s="344"/>
      <c r="GAF42" s="344"/>
      <c r="GAG42" s="344"/>
      <c r="GAH42" s="344"/>
      <c r="GAI42" s="344"/>
      <c r="GAJ42" s="344"/>
      <c r="GAK42" s="344"/>
      <c r="GAL42" s="344"/>
      <c r="GAM42" s="344"/>
      <c r="GAN42" s="344"/>
      <c r="GAO42" s="344"/>
      <c r="GAP42" s="344"/>
      <c r="GAQ42" s="344"/>
      <c r="GAR42" s="344"/>
      <c r="GAS42" s="344"/>
      <c r="GAT42" s="344"/>
      <c r="GAU42" s="344"/>
      <c r="GAV42" s="344"/>
      <c r="GAW42" s="344"/>
      <c r="GAX42" s="344"/>
      <c r="GAY42" s="344"/>
      <c r="GAZ42" s="344"/>
      <c r="GBA42" s="344"/>
      <c r="GBB42" s="344"/>
      <c r="GBC42" s="344"/>
      <c r="GBD42" s="344"/>
      <c r="GBE42" s="344"/>
      <c r="GBF42" s="344"/>
      <c r="GBG42" s="344"/>
      <c r="GBH42" s="344"/>
      <c r="GBI42" s="344"/>
      <c r="GBJ42" s="344"/>
      <c r="GBK42" s="344"/>
      <c r="GBL42" s="344"/>
      <c r="GBM42" s="344"/>
      <c r="GBN42" s="344"/>
      <c r="GBO42" s="344"/>
      <c r="GBP42" s="344"/>
      <c r="GBQ42" s="344"/>
      <c r="GBR42" s="344"/>
      <c r="GBS42" s="344"/>
      <c r="GBT42" s="344"/>
      <c r="GBU42" s="344"/>
      <c r="GBV42" s="344"/>
      <c r="GBW42" s="344"/>
      <c r="GBX42" s="344"/>
      <c r="GBY42" s="344"/>
      <c r="GBZ42" s="344"/>
      <c r="GCA42" s="344"/>
      <c r="GCB42" s="344"/>
      <c r="GCC42" s="344"/>
      <c r="GCD42" s="344"/>
      <c r="GCE42" s="344"/>
      <c r="GCF42" s="344"/>
      <c r="GCG42" s="344"/>
      <c r="GCH42" s="344"/>
      <c r="GCI42" s="344"/>
      <c r="GCJ42" s="344"/>
      <c r="GCK42" s="344"/>
      <c r="GCL42" s="344"/>
      <c r="GCM42" s="344"/>
      <c r="GCN42" s="344"/>
      <c r="GCO42" s="344"/>
      <c r="GCP42" s="344"/>
      <c r="GCQ42" s="344"/>
      <c r="GCR42" s="344"/>
      <c r="GCS42" s="344"/>
      <c r="GCT42" s="344"/>
      <c r="GCU42" s="344"/>
      <c r="GCV42" s="344"/>
      <c r="GCW42" s="344"/>
      <c r="GCX42" s="344"/>
      <c r="GCY42" s="344"/>
      <c r="GCZ42" s="344"/>
      <c r="GDA42" s="344"/>
      <c r="GDB42" s="344"/>
      <c r="GDC42" s="344"/>
      <c r="GDD42" s="344"/>
      <c r="GDE42" s="344"/>
      <c r="GDF42" s="344"/>
      <c r="GDG42" s="344"/>
      <c r="GDH42" s="344"/>
      <c r="GDI42" s="344"/>
      <c r="GDJ42" s="344"/>
      <c r="GDK42" s="344"/>
      <c r="GDL42" s="344"/>
      <c r="GDM42" s="344"/>
      <c r="GDN42" s="344"/>
      <c r="GDO42" s="344"/>
      <c r="GDP42" s="344"/>
      <c r="GDQ42" s="344"/>
      <c r="GDR42" s="344"/>
      <c r="GDS42" s="344"/>
      <c r="GDT42" s="344"/>
      <c r="GDU42" s="344"/>
      <c r="GDV42" s="344"/>
      <c r="GDW42" s="344"/>
      <c r="GDX42" s="344"/>
      <c r="GDY42" s="344"/>
      <c r="GDZ42" s="344"/>
      <c r="GEA42" s="344"/>
      <c r="GEB42" s="344"/>
      <c r="GEC42" s="344"/>
      <c r="GED42" s="344"/>
      <c r="GEE42" s="344"/>
      <c r="GEF42" s="344"/>
      <c r="GEG42" s="344"/>
      <c r="GEH42" s="344"/>
      <c r="GEI42" s="344"/>
      <c r="GEJ42" s="344"/>
      <c r="GEK42" s="344"/>
      <c r="GEL42" s="344"/>
      <c r="GEM42" s="344"/>
      <c r="GEN42" s="344"/>
      <c r="GEO42" s="344"/>
      <c r="GEP42" s="344"/>
      <c r="GEQ42" s="344"/>
      <c r="GER42" s="344"/>
      <c r="GES42" s="344"/>
      <c r="GET42" s="344"/>
      <c r="GEU42" s="344"/>
      <c r="GEV42" s="344"/>
      <c r="GEW42" s="344"/>
      <c r="GEX42" s="344"/>
      <c r="GEY42" s="344"/>
      <c r="GEZ42" s="344"/>
      <c r="GFA42" s="344"/>
      <c r="GFB42" s="344"/>
      <c r="GFC42" s="344"/>
      <c r="GFD42" s="344"/>
      <c r="GFE42" s="344"/>
      <c r="GFF42" s="344"/>
      <c r="GFG42" s="344"/>
      <c r="GFH42" s="344"/>
      <c r="GFI42" s="344"/>
      <c r="GFJ42" s="344"/>
      <c r="GFK42" s="344"/>
      <c r="GFL42" s="344"/>
      <c r="GFM42" s="344"/>
      <c r="GFN42" s="344"/>
      <c r="GFO42" s="344"/>
      <c r="GFP42" s="344"/>
      <c r="GFQ42" s="344"/>
      <c r="GFR42" s="344"/>
      <c r="GFS42" s="344"/>
      <c r="GFT42" s="344"/>
      <c r="GFU42" s="344"/>
      <c r="GFV42" s="344"/>
      <c r="GFW42" s="344"/>
      <c r="GFX42" s="344"/>
      <c r="GFY42" s="344"/>
      <c r="GFZ42" s="344"/>
      <c r="GGA42" s="344"/>
      <c r="GGB42" s="344"/>
      <c r="GGC42" s="344"/>
      <c r="GGD42" s="344"/>
      <c r="GGE42" s="344"/>
      <c r="GGF42" s="344"/>
      <c r="GGG42" s="344"/>
      <c r="GGH42" s="344"/>
      <c r="GGI42" s="344"/>
      <c r="GGJ42" s="344"/>
      <c r="GGK42" s="344"/>
      <c r="GGL42" s="344"/>
      <c r="GGM42" s="344"/>
      <c r="GGN42" s="344"/>
      <c r="GGO42" s="344"/>
      <c r="GGP42" s="344"/>
      <c r="GGQ42" s="344"/>
      <c r="GGR42" s="344"/>
      <c r="GGS42" s="344"/>
      <c r="GGT42" s="344"/>
      <c r="GGU42" s="344"/>
      <c r="GGV42" s="344"/>
      <c r="GGW42" s="344"/>
      <c r="GGX42" s="344"/>
      <c r="GGY42" s="344"/>
      <c r="GGZ42" s="344"/>
      <c r="GHA42" s="344"/>
      <c r="GHB42" s="344"/>
      <c r="GHC42" s="344"/>
      <c r="GHD42" s="344"/>
      <c r="GHE42" s="344"/>
      <c r="GHF42" s="344"/>
      <c r="GHG42" s="344"/>
      <c r="GHH42" s="344"/>
      <c r="GHI42" s="344"/>
      <c r="GHJ42" s="344"/>
      <c r="GHK42" s="344"/>
      <c r="GHL42" s="344"/>
      <c r="GHM42" s="344"/>
      <c r="GHN42" s="344"/>
      <c r="GHO42" s="344"/>
      <c r="GHP42" s="344"/>
      <c r="GHQ42" s="344"/>
      <c r="GHR42" s="344"/>
      <c r="GHS42" s="344"/>
      <c r="GHT42" s="344"/>
      <c r="GHU42" s="344"/>
      <c r="GHV42" s="344"/>
      <c r="GHW42" s="344"/>
      <c r="GHX42" s="344"/>
      <c r="GHY42" s="344"/>
      <c r="GHZ42" s="344"/>
      <c r="GIA42" s="344"/>
      <c r="GIB42" s="344"/>
      <c r="GIC42" s="344"/>
      <c r="GID42" s="344"/>
      <c r="GIE42" s="344"/>
      <c r="GIF42" s="344"/>
      <c r="GIG42" s="344"/>
      <c r="GIH42" s="344"/>
      <c r="GII42" s="344"/>
      <c r="GIJ42" s="344"/>
      <c r="GIK42" s="344"/>
      <c r="GIL42" s="344"/>
      <c r="GIM42" s="344"/>
      <c r="GIN42" s="344"/>
      <c r="GIO42" s="344"/>
      <c r="GIP42" s="344"/>
      <c r="GIQ42" s="344"/>
      <c r="GIR42" s="344"/>
      <c r="GIS42" s="344"/>
      <c r="GIT42" s="344"/>
      <c r="GIU42" s="344"/>
      <c r="GIV42" s="344"/>
      <c r="GIW42" s="344"/>
      <c r="GIX42" s="344"/>
      <c r="GIY42" s="344"/>
      <c r="GIZ42" s="344"/>
      <c r="GJA42" s="344"/>
      <c r="GJB42" s="344"/>
      <c r="GJC42" s="344"/>
      <c r="GJD42" s="344"/>
      <c r="GJE42" s="344"/>
      <c r="GJF42" s="344"/>
      <c r="GJG42" s="344"/>
      <c r="GJH42" s="344"/>
      <c r="GJI42" s="344"/>
      <c r="GJJ42" s="344"/>
      <c r="GJK42" s="344"/>
      <c r="GJL42" s="344"/>
      <c r="GJM42" s="344"/>
      <c r="GJN42" s="344"/>
      <c r="GJO42" s="344"/>
      <c r="GJP42" s="344"/>
      <c r="GJQ42" s="344"/>
      <c r="GJR42" s="344"/>
      <c r="GJS42" s="344"/>
      <c r="GJT42" s="344"/>
      <c r="GJU42" s="344"/>
      <c r="GJV42" s="344"/>
      <c r="GJW42" s="344"/>
      <c r="GJX42" s="344"/>
      <c r="GJY42" s="344"/>
      <c r="GJZ42" s="344"/>
      <c r="GKA42" s="344"/>
      <c r="GKB42" s="344"/>
      <c r="GKC42" s="344"/>
      <c r="GKD42" s="344"/>
      <c r="GKE42" s="344"/>
      <c r="GKF42" s="344"/>
      <c r="GKG42" s="344"/>
      <c r="GKH42" s="344"/>
      <c r="GKI42" s="344"/>
      <c r="GKJ42" s="344"/>
      <c r="GKK42" s="344"/>
      <c r="GKL42" s="344"/>
      <c r="GKM42" s="344"/>
      <c r="GKN42" s="344"/>
      <c r="GKO42" s="344"/>
      <c r="GKP42" s="344"/>
      <c r="GKQ42" s="344"/>
      <c r="GKR42" s="344"/>
      <c r="GKS42" s="344"/>
      <c r="GKT42" s="344"/>
      <c r="GKU42" s="344"/>
      <c r="GKV42" s="344"/>
      <c r="GKW42" s="344"/>
      <c r="GKX42" s="344"/>
      <c r="GKY42" s="344"/>
      <c r="GKZ42" s="344"/>
      <c r="GLA42" s="344"/>
      <c r="GLB42" s="344"/>
      <c r="GLC42" s="344"/>
      <c r="GLD42" s="344"/>
      <c r="GLE42" s="344"/>
      <c r="GLF42" s="344"/>
      <c r="GLG42" s="344"/>
      <c r="GLH42" s="344"/>
      <c r="GLI42" s="344"/>
      <c r="GLJ42" s="344"/>
      <c r="GLK42" s="344"/>
      <c r="GLL42" s="344"/>
      <c r="GLM42" s="344"/>
      <c r="GLN42" s="344"/>
      <c r="GLO42" s="344"/>
      <c r="GLP42" s="344"/>
      <c r="GLQ42" s="344"/>
      <c r="GLR42" s="344"/>
      <c r="GLS42" s="344"/>
      <c r="GLT42" s="344"/>
      <c r="GLU42" s="344"/>
      <c r="GLV42" s="344"/>
      <c r="GLW42" s="344"/>
      <c r="GLX42" s="344"/>
      <c r="GLY42" s="344"/>
      <c r="GLZ42" s="344"/>
      <c r="GMA42" s="344"/>
      <c r="GMB42" s="344"/>
      <c r="GMC42" s="344"/>
      <c r="GMD42" s="344"/>
      <c r="GME42" s="344"/>
      <c r="GMF42" s="344"/>
      <c r="GMG42" s="344"/>
      <c r="GMH42" s="344"/>
      <c r="GMI42" s="344"/>
      <c r="GMJ42" s="344"/>
      <c r="GMK42" s="344"/>
      <c r="GML42" s="344"/>
      <c r="GMM42" s="344"/>
      <c r="GMN42" s="344"/>
      <c r="GMO42" s="344"/>
      <c r="GMP42" s="344"/>
      <c r="GMQ42" s="344"/>
      <c r="GMR42" s="344"/>
      <c r="GMS42" s="344"/>
      <c r="GMT42" s="344"/>
      <c r="GMU42" s="344"/>
      <c r="GMV42" s="344"/>
      <c r="GMW42" s="344"/>
      <c r="GMX42" s="344"/>
      <c r="GMY42" s="344"/>
      <c r="GMZ42" s="344"/>
      <c r="GNA42" s="344"/>
      <c r="GNB42" s="344"/>
      <c r="GNC42" s="344"/>
      <c r="GND42" s="344"/>
      <c r="GNE42" s="344"/>
      <c r="GNF42" s="344"/>
      <c r="GNG42" s="344"/>
      <c r="GNH42" s="344"/>
      <c r="GNI42" s="344"/>
      <c r="GNJ42" s="344"/>
      <c r="GNK42" s="344"/>
      <c r="GNL42" s="344"/>
      <c r="GNM42" s="344"/>
      <c r="GNN42" s="344"/>
      <c r="GNO42" s="344"/>
      <c r="GNP42" s="344"/>
      <c r="GNQ42" s="344"/>
      <c r="GNR42" s="344"/>
      <c r="GNS42" s="344"/>
      <c r="GNT42" s="344"/>
      <c r="GNU42" s="344"/>
      <c r="GNV42" s="344"/>
      <c r="GNW42" s="344"/>
      <c r="GNX42" s="344"/>
      <c r="GNY42" s="344"/>
      <c r="GNZ42" s="344"/>
      <c r="GOA42" s="344"/>
      <c r="GOB42" s="344"/>
      <c r="GOC42" s="344"/>
      <c r="GOD42" s="344"/>
      <c r="GOE42" s="344"/>
      <c r="GOF42" s="344"/>
      <c r="GOG42" s="344"/>
      <c r="GOH42" s="344"/>
      <c r="GOI42" s="344"/>
      <c r="GOJ42" s="344"/>
      <c r="GOK42" s="344"/>
      <c r="GOL42" s="344"/>
      <c r="GOM42" s="344"/>
      <c r="GON42" s="344"/>
      <c r="GOO42" s="344"/>
      <c r="GOP42" s="344"/>
      <c r="GOQ42" s="344"/>
      <c r="GOR42" s="344"/>
      <c r="GOS42" s="344"/>
      <c r="GOT42" s="344"/>
      <c r="GOU42" s="344"/>
      <c r="GOV42" s="344"/>
      <c r="GOW42" s="344"/>
      <c r="GOX42" s="344"/>
      <c r="GOY42" s="344"/>
      <c r="GOZ42" s="344"/>
      <c r="GPA42" s="344"/>
      <c r="GPB42" s="344"/>
      <c r="GPC42" s="344"/>
      <c r="GPD42" s="344"/>
      <c r="GPE42" s="344"/>
      <c r="GPF42" s="344"/>
      <c r="GPG42" s="344"/>
      <c r="GPH42" s="344"/>
      <c r="GPI42" s="344"/>
      <c r="GPJ42" s="344"/>
      <c r="GPK42" s="344"/>
      <c r="GPL42" s="344"/>
      <c r="GPM42" s="344"/>
      <c r="GPN42" s="344"/>
      <c r="GPO42" s="344"/>
      <c r="GPP42" s="344"/>
      <c r="GPQ42" s="344"/>
      <c r="GPR42" s="344"/>
      <c r="GPS42" s="344"/>
      <c r="GPT42" s="344"/>
      <c r="GPU42" s="344"/>
      <c r="GPV42" s="344"/>
      <c r="GPW42" s="344"/>
      <c r="GPX42" s="344"/>
      <c r="GPY42" s="344"/>
      <c r="GPZ42" s="344"/>
      <c r="GQA42" s="344"/>
      <c r="GQB42" s="344"/>
      <c r="GQC42" s="344"/>
      <c r="GQD42" s="344"/>
      <c r="GQE42" s="344"/>
      <c r="GQF42" s="344"/>
      <c r="GQG42" s="344"/>
      <c r="GQH42" s="344"/>
      <c r="GQI42" s="344"/>
      <c r="GQJ42" s="344"/>
      <c r="GQK42" s="344"/>
      <c r="GQL42" s="344"/>
      <c r="GQM42" s="344"/>
      <c r="GQN42" s="344"/>
      <c r="GQO42" s="344"/>
      <c r="GQP42" s="344"/>
      <c r="GQQ42" s="344"/>
      <c r="GQR42" s="344"/>
      <c r="GQS42" s="344"/>
      <c r="GQT42" s="344"/>
      <c r="GQU42" s="344"/>
      <c r="GQV42" s="344"/>
      <c r="GQW42" s="344"/>
      <c r="GQX42" s="344"/>
      <c r="GQY42" s="344"/>
      <c r="GQZ42" s="344"/>
      <c r="GRA42" s="344"/>
      <c r="GRB42" s="344"/>
      <c r="GRC42" s="344"/>
      <c r="GRD42" s="344"/>
      <c r="GRE42" s="344"/>
      <c r="GRF42" s="344"/>
      <c r="GRG42" s="344"/>
      <c r="GRH42" s="344"/>
      <c r="GRI42" s="344"/>
      <c r="GRJ42" s="344"/>
      <c r="GRK42" s="344"/>
      <c r="GRL42" s="344"/>
      <c r="GRM42" s="344"/>
      <c r="GRN42" s="344"/>
      <c r="GRO42" s="344"/>
      <c r="GRP42" s="344"/>
      <c r="GRQ42" s="344"/>
      <c r="GRR42" s="344"/>
      <c r="GRS42" s="344"/>
      <c r="GRT42" s="344"/>
      <c r="GRU42" s="344"/>
      <c r="GRV42" s="344"/>
      <c r="GRW42" s="344"/>
      <c r="GRX42" s="344"/>
      <c r="GRY42" s="344"/>
      <c r="GRZ42" s="344"/>
      <c r="GSA42" s="344"/>
      <c r="GSB42" s="344"/>
      <c r="GSC42" s="344"/>
      <c r="GSD42" s="344"/>
      <c r="GSE42" s="344"/>
      <c r="GSF42" s="344"/>
      <c r="GSG42" s="344"/>
      <c r="GSH42" s="344"/>
      <c r="GSI42" s="344"/>
      <c r="GSJ42" s="344"/>
      <c r="GSK42" s="344"/>
      <c r="GSL42" s="344"/>
      <c r="GSM42" s="344"/>
      <c r="GSN42" s="344"/>
      <c r="GSO42" s="344"/>
      <c r="GSP42" s="344"/>
      <c r="GSQ42" s="344"/>
      <c r="GSR42" s="344"/>
      <c r="GSS42" s="344"/>
      <c r="GST42" s="344"/>
      <c r="GSU42" s="344"/>
      <c r="GSV42" s="344"/>
      <c r="GSW42" s="344"/>
      <c r="GSX42" s="344"/>
      <c r="GSY42" s="344"/>
      <c r="GSZ42" s="344"/>
      <c r="GTA42" s="344"/>
      <c r="GTB42" s="344"/>
      <c r="GTC42" s="344"/>
      <c r="GTD42" s="344"/>
      <c r="GTE42" s="344"/>
      <c r="GTF42" s="344"/>
      <c r="GTG42" s="344"/>
      <c r="GTH42" s="344"/>
      <c r="GTI42" s="344"/>
      <c r="GTJ42" s="344"/>
      <c r="GTK42" s="344"/>
      <c r="GTL42" s="344"/>
      <c r="GTM42" s="344"/>
      <c r="GTN42" s="344"/>
      <c r="GTO42" s="344"/>
      <c r="GTP42" s="344"/>
      <c r="GTQ42" s="344"/>
      <c r="GTR42" s="344"/>
      <c r="GTS42" s="344"/>
      <c r="GTT42" s="344"/>
      <c r="GTU42" s="344"/>
      <c r="GTV42" s="344"/>
      <c r="GTW42" s="344"/>
      <c r="GTX42" s="344"/>
      <c r="GTY42" s="344"/>
      <c r="GTZ42" s="344"/>
      <c r="GUA42" s="344"/>
      <c r="GUB42" s="344"/>
      <c r="GUC42" s="344"/>
      <c r="GUD42" s="344"/>
      <c r="GUE42" s="344"/>
      <c r="GUF42" s="344"/>
      <c r="GUG42" s="344"/>
      <c r="GUH42" s="344"/>
      <c r="GUI42" s="344"/>
      <c r="GUJ42" s="344"/>
      <c r="GUK42" s="344"/>
      <c r="GUL42" s="344"/>
      <c r="GUM42" s="344"/>
      <c r="GUN42" s="344"/>
      <c r="GUO42" s="344"/>
      <c r="GUP42" s="344"/>
      <c r="GUQ42" s="344"/>
      <c r="GUR42" s="344"/>
      <c r="GUS42" s="344"/>
      <c r="GUT42" s="344"/>
      <c r="GUU42" s="344"/>
      <c r="GUV42" s="344"/>
      <c r="GUW42" s="344"/>
      <c r="GUX42" s="344"/>
      <c r="GUY42" s="344"/>
      <c r="GUZ42" s="344"/>
      <c r="GVA42" s="344"/>
      <c r="GVB42" s="344"/>
      <c r="GVC42" s="344"/>
      <c r="GVD42" s="344"/>
      <c r="GVE42" s="344"/>
      <c r="GVF42" s="344"/>
      <c r="GVG42" s="344"/>
      <c r="GVH42" s="344"/>
      <c r="GVI42" s="344"/>
      <c r="GVJ42" s="344"/>
      <c r="GVK42" s="344"/>
      <c r="GVL42" s="344"/>
      <c r="GVM42" s="344"/>
      <c r="GVN42" s="344"/>
      <c r="GVO42" s="344"/>
      <c r="GVP42" s="344"/>
      <c r="GVQ42" s="344"/>
      <c r="GVR42" s="344"/>
      <c r="GVS42" s="344"/>
      <c r="GVT42" s="344"/>
      <c r="GVU42" s="344"/>
      <c r="GVV42" s="344"/>
      <c r="GVW42" s="344"/>
      <c r="GVX42" s="344"/>
      <c r="GVY42" s="344"/>
      <c r="GVZ42" s="344"/>
      <c r="GWA42" s="344"/>
      <c r="GWB42" s="344"/>
      <c r="GWC42" s="344"/>
      <c r="GWD42" s="344"/>
      <c r="GWE42" s="344"/>
      <c r="GWF42" s="344"/>
      <c r="GWG42" s="344"/>
      <c r="GWH42" s="344"/>
      <c r="GWI42" s="344"/>
      <c r="GWJ42" s="344"/>
      <c r="GWK42" s="344"/>
      <c r="GWL42" s="344"/>
      <c r="GWM42" s="344"/>
      <c r="GWN42" s="344"/>
      <c r="GWO42" s="344"/>
      <c r="GWP42" s="344"/>
      <c r="GWQ42" s="344"/>
      <c r="GWR42" s="344"/>
      <c r="GWS42" s="344"/>
      <c r="GWT42" s="344"/>
      <c r="GWU42" s="344"/>
      <c r="GWV42" s="344"/>
      <c r="GWW42" s="344"/>
      <c r="GWX42" s="344"/>
      <c r="GWY42" s="344"/>
      <c r="GWZ42" s="344"/>
      <c r="GXA42" s="344"/>
      <c r="GXB42" s="344"/>
      <c r="GXC42" s="344"/>
      <c r="GXD42" s="344"/>
      <c r="GXE42" s="344"/>
      <c r="GXF42" s="344"/>
      <c r="GXG42" s="344"/>
      <c r="GXH42" s="344"/>
      <c r="GXI42" s="344"/>
      <c r="GXJ42" s="344"/>
      <c r="GXK42" s="344"/>
      <c r="GXL42" s="344"/>
      <c r="GXM42" s="344"/>
      <c r="GXN42" s="344"/>
      <c r="GXO42" s="344"/>
      <c r="GXP42" s="344"/>
      <c r="GXQ42" s="344"/>
      <c r="GXR42" s="344"/>
      <c r="GXS42" s="344"/>
      <c r="GXT42" s="344"/>
      <c r="GXU42" s="344"/>
      <c r="GXV42" s="344"/>
      <c r="GXW42" s="344"/>
      <c r="GXX42" s="344"/>
      <c r="GXY42" s="344"/>
      <c r="GXZ42" s="344"/>
      <c r="GYA42" s="344"/>
      <c r="GYB42" s="344"/>
      <c r="GYC42" s="344"/>
      <c r="GYD42" s="344"/>
      <c r="GYE42" s="344"/>
      <c r="GYF42" s="344"/>
      <c r="GYG42" s="344"/>
      <c r="GYH42" s="344"/>
      <c r="GYI42" s="344"/>
      <c r="GYJ42" s="344"/>
      <c r="GYK42" s="344"/>
      <c r="GYL42" s="344"/>
      <c r="GYM42" s="344"/>
      <c r="GYN42" s="344"/>
      <c r="GYO42" s="344"/>
      <c r="GYP42" s="344"/>
      <c r="GYQ42" s="344"/>
      <c r="GYR42" s="344"/>
      <c r="GYS42" s="344"/>
      <c r="GYT42" s="344"/>
      <c r="GYU42" s="344"/>
      <c r="GYV42" s="344"/>
      <c r="GYW42" s="344"/>
      <c r="GYX42" s="344"/>
      <c r="GYY42" s="344"/>
      <c r="GYZ42" s="344"/>
      <c r="GZA42" s="344"/>
      <c r="GZB42" s="344"/>
      <c r="GZC42" s="344"/>
      <c r="GZD42" s="344"/>
      <c r="GZE42" s="344"/>
      <c r="GZF42" s="344"/>
      <c r="GZG42" s="344"/>
      <c r="GZH42" s="344"/>
      <c r="GZI42" s="344"/>
      <c r="GZJ42" s="344"/>
      <c r="GZK42" s="344"/>
      <c r="GZL42" s="344"/>
      <c r="GZM42" s="344"/>
      <c r="GZN42" s="344"/>
      <c r="GZO42" s="344"/>
      <c r="GZP42" s="344"/>
      <c r="GZQ42" s="344"/>
      <c r="GZR42" s="344"/>
      <c r="GZS42" s="344"/>
      <c r="GZT42" s="344"/>
      <c r="GZU42" s="344"/>
      <c r="GZV42" s="344"/>
      <c r="GZW42" s="344"/>
      <c r="GZX42" s="344"/>
      <c r="GZY42" s="344"/>
      <c r="GZZ42" s="344"/>
      <c r="HAA42" s="344"/>
      <c r="HAB42" s="344"/>
      <c r="HAC42" s="344"/>
      <c r="HAD42" s="344"/>
      <c r="HAE42" s="344"/>
      <c r="HAF42" s="344"/>
      <c r="HAG42" s="344"/>
      <c r="HAH42" s="344"/>
      <c r="HAI42" s="344"/>
      <c r="HAJ42" s="344"/>
      <c r="HAK42" s="344"/>
      <c r="HAL42" s="344"/>
      <c r="HAM42" s="344"/>
      <c r="HAN42" s="344"/>
      <c r="HAO42" s="344"/>
      <c r="HAP42" s="344"/>
      <c r="HAQ42" s="344"/>
      <c r="HAR42" s="344"/>
      <c r="HAS42" s="344"/>
      <c r="HAT42" s="344"/>
      <c r="HAU42" s="344"/>
      <c r="HAV42" s="344"/>
      <c r="HAW42" s="344"/>
      <c r="HAX42" s="344"/>
      <c r="HAY42" s="344"/>
      <c r="HAZ42" s="344"/>
      <c r="HBA42" s="344"/>
      <c r="HBB42" s="344"/>
      <c r="HBC42" s="344"/>
      <c r="HBD42" s="344"/>
      <c r="HBE42" s="344"/>
      <c r="HBF42" s="344"/>
      <c r="HBG42" s="344"/>
      <c r="HBH42" s="344"/>
      <c r="HBI42" s="344"/>
      <c r="HBJ42" s="344"/>
      <c r="HBK42" s="344"/>
      <c r="HBL42" s="344"/>
      <c r="HBM42" s="344"/>
      <c r="HBN42" s="344"/>
      <c r="HBO42" s="344"/>
      <c r="HBP42" s="344"/>
      <c r="HBQ42" s="344"/>
      <c r="HBR42" s="344"/>
      <c r="HBS42" s="344"/>
      <c r="HBT42" s="344"/>
      <c r="HBU42" s="344"/>
      <c r="HBV42" s="344"/>
      <c r="HBW42" s="344"/>
      <c r="HBX42" s="344"/>
      <c r="HBY42" s="344"/>
      <c r="HBZ42" s="344"/>
      <c r="HCA42" s="344"/>
      <c r="HCB42" s="344"/>
      <c r="HCC42" s="344"/>
      <c r="HCD42" s="344"/>
      <c r="HCE42" s="344"/>
      <c r="HCF42" s="344"/>
      <c r="HCG42" s="344"/>
      <c r="HCH42" s="344"/>
      <c r="HCI42" s="344"/>
      <c r="HCJ42" s="344"/>
      <c r="HCK42" s="344"/>
      <c r="HCL42" s="344"/>
      <c r="HCM42" s="344"/>
      <c r="HCN42" s="344"/>
      <c r="HCO42" s="344"/>
      <c r="HCP42" s="344"/>
      <c r="HCQ42" s="344"/>
      <c r="HCR42" s="344"/>
      <c r="HCS42" s="344"/>
      <c r="HCT42" s="344"/>
      <c r="HCU42" s="344"/>
      <c r="HCV42" s="344"/>
      <c r="HCW42" s="344"/>
      <c r="HCX42" s="344"/>
      <c r="HCY42" s="344"/>
      <c r="HCZ42" s="344"/>
      <c r="HDA42" s="344"/>
      <c r="HDB42" s="344"/>
      <c r="HDC42" s="344"/>
      <c r="HDD42" s="344"/>
      <c r="HDE42" s="344"/>
      <c r="HDF42" s="344"/>
      <c r="HDG42" s="344"/>
      <c r="HDH42" s="344"/>
      <c r="HDI42" s="344"/>
      <c r="HDJ42" s="344"/>
      <c r="HDK42" s="344"/>
      <c r="HDL42" s="344"/>
      <c r="HDM42" s="344"/>
      <c r="HDN42" s="344"/>
      <c r="HDO42" s="344"/>
      <c r="HDP42" s="344"/>
      <c r="HDQ42" s="344"/>
      <c r="HDR42" s="344"/>
      <c r="HDS42" s="344"/>
      <c r="HDT42" s="344"/>
      <c r="HDU42" s="344"/>
      <c r="HDV42" s="344"/>
      <c r="HDW42" s="344"/>
      <c r="HDX42" s="344"/>
      <c r="HDY42" s="344"/>
      <c r="HDZ42" s="344"/>
      <c r="HEA42" s="344"/>
      <c r="HEB42" s="344"/>
      <c r="HEC42" s="344"/>
      <c r="HED42" s="344"/>
      <c r="HEE42" s="344"/>
      <c r="HEF42" s="344"/>
      <c r="HEG42" s="344"/>
      <c r="HEH42" s="344"/>
      <c r="HEI42" s="344"/>
      <c r="HEJ42" s="344"/>
      <c r="HEK42" s="344"/>
      <c r="HEL42" s="344"/>
      <c r="HEM42" s="344"/>
      <c r="HEN42" s="344"/>
      <c r="HEO42" s="344"/>
      <c r="HEP42" s="344"/>
      <c r="HEQ42" s="344"/>
      <c r="HER42" s="344"/>
      <c r="HES42" s="344"/>
      <c r="HET42" s="344"/>
      <c r="HEU42" s="344"/>
      <c r="HEV42" s="344"/>
      <c r="HEW42" s="344"/>
      <c r="HEX42" s="344"/>
      <c r="HEY42" s="344"/>
      <c r="HEZ42" s="344"/>
      <c r="HFA42" s="344"/>
      <c r="HFB42" s="344"/>
      <c r="HFC42" s="344"/>
      <c r="HFD42" s="344"/>
      <c r="HFE42" s="344"/>
      <c r="HFF42" s="344"/>
      <c r="HFG42" s="344"/>
      <c r="HFH42" s="344"/>
      <c r="HFI42" s="344"/>
      <c r="HFJ42" s="344"/>
      <c r="HFK42" s="344"/>
      <c r="HFL42" s="344"/>
      <c r="HFM42" s="344"/>
      <c r="HFN42" s="344"/>
      <c r="HFO42" s="344"/>
      <c r="HFP42" s="344"/>
      <c r="HFQ42" s="344"/>
      <c r="HFR42" s="344"/>
      <c r="HFS42" s="344"/>
      <c r="HFT42" s="344"/>
      <c r="HFU42" s="344"/>
      <c r="HFV42" s="344"/>
      <c r="HFW42" s="344"/>
      <c r="HFX42" s="344"/>
      <c r="HFY42" s="344"/>
      <c r="HFZ42" s="344"/>
      <c r="HGA42" s="344"/>
      <c r="HGB42" s="344"/>
      <c r="HGC42" s="344"/>
      <c r="HGD42" s="344"/>
      <c r="HGE42" s="344"/>
      <c r="HGF42" s="344"/>
      <c r="HGG42" s="344"/>
      <c r="HGH42" s="344"/>
      <c r="HGI42" s="344"/>
      <c r="HGJ42" s="344"/>
      <c r="HGK42" s="344"/>
      <c r="HGL42" s="344"/>
      <c r="HGM42" s="344"/>
      <c r="HGN42" s="344"/>
      <c r="HGO42" s="344"/>
      <c r="HGP42" s="344"/>
      <c r="HGQ42" s="344"/>
      <c r="HGR42" s="344"/>
      <c r="HGS42" s="344"/>
      <c r="HGT42" s="344"/>
      <c r="HGU42" s="344"/>
      <c r="HGV42" s="344"/>
      <c r="HGW42" s="344"/>
      <c r="HGX42" s="344"/>
      <c r="HGY42" s="344"/>
      <c r="HGZ42" s="344"/>
      <c r="HHA42" s="344"/>
      <c r="HHB42" s="344"/>
      <c r="HHC42" s="344"/>
      <c r="HHD42" s="344"/>
      <c r="HHE42" s="344"/>
      <c r="HHF42" s="344"/>
      <c r="HHG42" s="344"/>
      <c r="HHH42" s="344"/>
      <c r="HHI42" s="344"/>
      <c r="HHJ42" s="344"/>
      <c r="HHK42" s="344"/>
      <c r="HHL42" s="344"/>
      <c r="HHM42" s="344"/>
      <c r="HHN42" s="344"/>
      <c r="HHO42" s="344"/>
      <c r="HHP42" s="344"/>
      <c r="HHQ42" s="344"/>
      <c r="HHR42" s="344"/>
      <c r="HHS42" s="344"/>
      <c r="HHT42" s="344"/>
      <c r="HHU42" s="344"/>
      <c r="HHV42" s="344"/>
      <c r="HHW42" s="344"/>
      <c r="HHX42" s="344"/>
      <c r="HHY42" s="344"/>
      <c r="HHZ42" s="344"/>
      <c r="HIA42" s="344"/>
      <c r="HIB42" s="344"/>
      <c r="HIC42" s="344"/>
      <c r="HID42" s="344"/>
      <c r="HIE42" s="344"/>
      <c r="HIF42" s="344"/>
      <c r="HIG42" s="344"/>
      <c r="HIH42" s="344"/>
      <c r="HII42" s="344"/>
      <c r="HIJ42" s="344"/>
      <c r="HIK42" s="344"/>
      <c r="HIL42" s="344"/>
      <c r="HIM42" s="344"/>
      <c r="HIN42" s="344"/>
      <c r="HIO42" s="344"/>
      <c r="HIP42" s="344"/>
      <c r="HIQ42" s="344"/>
      <c r="HIR42" s="344"/>
      <c r="HIS42" s="344"/>
      <c r="HIT42" s="344"/>
      <c r="HIU42" s="344"/>
      <c r="HIV42" s="344"/>
      <c r="HIW42" s="344"/>
      <c r="HIX42" s="344"/>
      <c r="HIY42" s="344"/>
      <c r="HIZ42" s="344"/>
      <c r="HJA42" s="344"/>
      <c r="HJB42" s="344"/>
      <c r="HJC42" s="344"/>
      <c r="HJD42" s="344"/>
      <c r="HJE42" s="344"/>
      <c r="HJF42" s="344"/>
      <c r="HJG42" s="344"/>
      <c r="HJH42" s="344"/>
      <c r="HJI42" s="344"/>
      <c r="HJJ42" s="344"/>
      <c r="HJK42" s="344"/>
      <c r="HJL42" s="344"/>
      <c r="HJM42" s="344"/>
      <c r="HJN42" s="344"/>
      <c r="HJO42" s="344"/>
      <c r="HJP42" s="344"/>
      <c r="HJQ42" s="344"/>
      <c r="HJR42" s="344"/>
      <c r="HJS42" s="344"/>
      <c r="HJT42" s="344"/>
      <c r="HJU42" s="344"/>
      <c r="HJV42" s="344"/>
      <c r="HJW42" s="344"/>
      <c r="HJX42" s="344"/>
      <c r="HJY42" s="344"/>
      <c r="HJZ42" s="344"/>
      <c r="HKA42" s="344"/>
      <c r="HKB42" s="344"/>
      <c r="HKC42" s="344"/>
      <c r="HKD42" s="344"/>
      <c r="HKE42" s="344"/>
      <c r="HKF42" s="344"/>
      <c r="HKG42" s="344"/>
      <c r="HKH42" s="344"/>
      <c r="HKI42" s="344"/>
      <c r="HKJ42" s="344"/>
      <c r="HKK42" s="344"/>
      <c r="HKL42" s="344"/>
      <c r="HKM42" s="344"/>
      <c r="HKN42" s="344"/>
      <c r="HKO42" s="344"/>
      <c r="HKP42" s="344"/>
      <c r="HKQ42" s="344"/>
      <c r="HKR42" s="344"/>
      <c r="HKS42" s="344"/>
      <c r="HKT42" s="344"/>
      <c r="HKU42" s="344"/>
      <c r="HKV42" s="344"/>
      <c r="HKW42" s="344"/>
      <c r="HKX42" s="344"/>
      <c r="HKY42" s="344"/>
      <c r="HKZ42" s="344"/>
      <c r="HLA42" s="344"/>
      <c r="HLB42" s="344"/>
      <c r="HLC42" s="344"/>
      <c r="HLD42" s="344"/>
      <c r="HLE42" s="344"/>
      <c r="HLF42" s="344"/>
      <c r="HLG42" s="344"/>
      <c r="HLH42" s="344"/>
      <c r="HLI42" s="344"/>
      <c r="HLJ42" s="344"/>
      <c r="HLK42" s="344"/>
      <c r="HLL42" s="344"/>
      <c r="HLM42" s="344"/>
      <c r="HLN42" s="344"/>
      <c r="HLO42" s="344"/>
      <c r="HLP42" s="344"/>
      <c r="HLQ42" s="344"/>
      <c r="HLR42" s="344"/>
      <c r="HLS42" s="344"/>
      <c r="HLT42" s="344"/>
      <c r="HLU42" s="344"/>
      <c r="HLV42" s="344"/>
      <c r="HLW42" s="344"/>
      <c r="HLX42" s="344"/>
      <c r="HLY42" s="344"/>
      <c r="HLZ42" s="344"/>
      <c r="HMA42" s="344"/>
      <c r="HMB42" s="344"/>
      <c r="HMC42" s="344"/>
      <c r="HMD42" s="344"/>
      <c r="HME42" s="344"/>
      <c r="HMF42" s="344"/>
      <c r="HMG42" s="344"/>
      <c r="HMH42" s="344"/>
      <c r="HMI42" s="344"/>
      <c r="HMJ42" s="344"/>
      <c r="HMK42" s="344"/>
      <c r="HML42" s="344"/>
      <c r="HMM42" s="344"/>
      <c r="HMN42" s="344"/>
      <c r="HMO42" s="344"/>
      <c r="HMP42" s="344"/>
      <c r="HMQ42" s="344"/>
      <c r="HMR42" s="344"/>
      <c r="HMS42" s="344"/>
      <c r="HMT42" s="344"/>
      <c r="HMU42" s="344"/>
      <c r="HMV42" s="344"/>
      <c r="HMW42" s="344"/>
      <c r="HMX42" s="344"/>
      <c r="HMY42" s="344"/>
      <c r="HMZ42" s="344"/>
      <c r="HNA42" s="344"/>
      <c r="HNB42" s="344"/>
      <c r="HNC42" s="344"/>
      <c r="HND42" s="344"/>
      <c r="HNE42" s="344"/>
      <c r="HNF42" s="344"/>
      <c r="HNG42" s="344"/>
      <c r="HNH42" s="344"/>
      <c r="HNI42" s="344"/>
      <c r="HNJ42" s="344"/>
      <c r="HNK42" s="344"/>
      <c r="HNL42" s="344"/>
      <c r="HNM42" s="344"/>
      <c r="HNN42" s="344"/>
      <c r="HNO42" s="344"/>
      <c r="HNP42" s="344"/>
      <c r="HNQ42" s="344"/>
      <c r="HNR42" s="344"/>
      <c r="HNS42" s="344"/>
      <c r="HNT42" s="344"/>
      <c r="HNU42" s="344"/>
      <c r="HNV42" s="344"/>
      <c r="HNW42" s="344"/>
      <c r="HNX42" s="344"/>
      <c r="HNY42" s="344"/>
      <c r="HNZ42" s="344"/>
      <c r="HOA42" s="344"/>
      <c r="HOB42" s="344"/>
      <c r="HOC42" s="344"/>
      <c r="HOD42" s="344"/>
      <c r="HOE42" s="344"/>
      <c r="HOF42" s="344"/>
      <c r="HOG42" s="344"/>
      <c r="HOH42" s="344"/>
      <c r="HOI42" s="344"/>
      <c r="HOJ42" s="344"/>
      <c r="HOK42" s="344"/>
      <c r="HOL42" s="344"/>
      <c r="HOM42" s="344"/>
      <c r="HON42" s="344"/>
      <c r="HOO42" s="344"/>
      <c r="HOP42" s="344"/>
      <c r="HOQ42" s="344"/>
      <c r="HOR42" s="344"/>
      <c r="HOS42" s="344"/>
      <c r="HOT42" s="344"/>
      <c r="HOU42" s="344"/>
      <c r="HOV42" s="344"/>
      <c r="HOW42" s="344"/>
      <c r="HOX42" s="344"/>
      <c r="HOY42" s="344"/>
      <c r="HOZ42" s="344"/>
      <c r="HPA42" s="344"/>
      <c r="HPB42" s="344"/>
      <c r="HPC42" s="344"/>
      <c r="HPD42" s="344"/>
      <c r="HPE42" s="344"/>
      <c r="HPF42" s="344"/>
      <c r="HPG42" s="344"/>
      <c r="HPH42" s="344"/>
      <c r="HPI42" s="344"/>
      <c r="HPJ42" s="344"/>
      <c r="HPK42" s="344"/>
      <c r="HPL42" s="344"/>
      <c r="HPM42" s="344"/>
      <c r="HPN42" s="344"/>
      <c r="HPO42" s="344"/>
      <c r="HPP42" s="344"/>
      <c r="HPQ42" s="344"/>
      <c r="HPR42" s="344"/>
      <c r="HPS42" s="344"/>
      <c r="HPT42" s="344"/>
      <c r="HPU42" s="344"/>
      <c r="HPV42" s="344"/>
      <c r="HPW42" s="344"/>
      <c r="HPX42" s="344"/>
      <c r="HPY42" s="344"/>
      <c r="HPZ42" s="344"/>
      <c r="HQA42" s="344"/>
      <c r="HQB42" s="344"/>
      <c r="HQC42" s="344"/>
      <c r="HQD42" s="344"/>
      <c r="HQE42" s="344"/>
      <c r="HQF42" s="344"/>
      <c r="HQG42" s="344"/>
      <c r="HQH42" s="344"/>
      <c r="HQI42" s="344"/>
      <c r="HQJ42" s="344"/>
      <c r="HQK42" s="344"/>
      <c r="HQL42" s="344"/>
      <c r="HQM42" s="344"/>
      <c r="HQN42" s="344"/>
      <c r="HQO42" s="344"/>
      <c r="HQP42" s="344"/>
      <c r="HQQ42" s="344"/>
      <c r="HQR42" s="344"/>
      <c r="HQS42" s="344"/>
      <c r="HQT42" s="344"/>
      <c r="HQU42" s="344"/>
      <c r="HQV42" s="344"/>
      <c r="HQW42" s="344"/>
      <c r="HQX42" s="344"/>
      <c r="HQY42" s="344"/>
      <c r="HQZ42" s="344"/>
      <c r="HRA42" s="344"/>
      <c r="HRB42" s="344"/>
      <c r="HRC42" s="344"/>
      <c r="HRD42" s="344"/>
      <c r="HRE42" s="344"/>
      <c r="HRF42" s="344"/>
      <c r="HRG42" s="344"/>
      <c r="HRH42" s="344"/>
      <c r="HRI42" s="344"/>
      <c r="HRJ42" s="344"/>
      <c r="HRK42" s="344"/>
      <c r="HRL42" s="344"/>
      <c r="HRM42" s="344"/>
      <c r="HRN42" s="344"/>
      <c r="HRO42" s="344"/>
      <c r="HRP42" s="344"/>
      <c r="HRQ42" s="344"/>
      <c r="HRR42" s="344"/>
      <c r="HRS42" s="344"/>
      <c r="HRT42" s="344"/>
      <c r="HRU42" s="344"/>
      <c r="HRV42" s="344"/>
      <c r="HRW42" s="344"/>
      <c r="HRX42" s="344"/>
      <c r="HRY42" s="344"/>
      <c r="HRZ42" s="344"/>
      <c r="HSA42" s="344"/>
      <c r="HSB42" s="344"/>
      <c r="HSC42" s="344"/>
      <c r="HSD42" s="344"/>
      <c r="HSE42" s="344"/>
      <c r="HSF42" s="344"/>
      <c r="HSG42" s="344"/>
      <c r="HSH42" s="344"/>
      <c r="HSI42" s="344"/>
      <c r="HSJ42" s="344"/>
      <c r="HSK42" s="344"/>
      <c r="HSL42" s="344"/>
      <c r="HSM42" s="344"/>
      <c r="HSN42" s="344"/>
      <c r="HSO42" s="344"/>
      <c r="HSP42" s="344"/>
      <c r="HSQ42" s="344"/>
      <c r="HSR42" s="344"/>
      <c r="HSS42" s="344"/>
      <c r="HST42" s="344"/>
      <c r="HSU42" s="344"/>
      <c r="HSV42" s="344"/>
      <c r="HSW42" s="344"/>
      <c r="HSX42" s="344"/>
      <c r="HSY42" s="344"/>
      <c r="HSZ42" s="344"/>
      <c r="HTA42" s="344"/>
      <c r="HTB42" s="344"/>
      <c r="HTC42" s="344"/>
      <c r="HTD42" s="344"/>
      <c r="HTE42" s="344"/>
      <c r="HTF42" s="344"/>
      <c r="HTG42" s="344"/>
      <c r="HTH42" s="344"/>
      <c r="HTI42" s="344"/>
      <c r="HTJ42" s="344"/>
      <c r="HTK42" s="344"/>
      <c r="HTL42" s="344"/>
      <c r="HTM42" s="344"/>
      <c r="HTN42" s="344"/>
      <c r="HTO42" s="344"/>
      <c r="HTP42" s="344"/>
      <c r="HTQ42" s="344"/>
      <c r="HTR42" s="344"/>
      <c r="HTS42" s="344"/>
      <c r="HTT42" s="344"/>
      <c r="HTU42" s="344"/>
      <c r="HTV42" s="344"/>
      <c r="HTW42" s="344"/>
      <c r="HTX42" s="344"/>
      <c r="HTY42" s="344"/>
      <c r="HTZ42" s="344"/>
      <c r="HUA42" s="344"/>
      <c r="HUB42" s="344"/>
      <c r="HUC42" s="344"/>
      <c r="HUD42" s="344"/>
      <c r="HUE42" s="344"/>
      <c r="HUF42" s="344"/>
      <c r="HUG42" s="344"/>
      <c r="HUH42" s="344"/>
      <c r="HUI42" s="344"/>
      <c r="HUJ42" s="344"/>
      <c r="HUK42" s="344"/>
      <c r="HUL42" s="344"/>
      <c r="HUM42" s="344"/>
      <c r="HUN42" s="344"/>
      <c r="HUO42" s="344"/>
      <c r="HUP42" s="344"/>
      <c r="HUQ42" s="344"/>
      <c r="HUR42" s="344"/>
      <c r="HUS42" s="344"/>
      <c r="HUT42" s="344"/>
      <c r="HUU42" s="344"/>
      <c r="HUV42" s="344"/>
      <c r="HUW42" s="344"/>
      <c r="HUX42" s="344"/>
      <c r="HUY42" s="344"/>
      <c r="HUZ42" s="344"/>
      <c r="HVA42" s="344"/>
      <c r="HVB42" s="344"/>
      <c r="HVC42" s="344"/>
      <c r="HVD42" s="344"/>
      <c r="HVE42" s="344"/>
      <c r="HVF42" s="344"/>
      <c r="HVG42" s="344"/>
      <c r="HVH42" s="344"/>
      <c r="HVI42" s="344"/>
      <c r="HVJ42" s="344"/>
      <c r="HVK42" s="344"/>
      <c r="HVL42" s="344"/>
      <c r="HVM42" s="344"/>
      <c r="HVN42" s="344"/>
      <c r="HVO42" s="344"/>
      <c r="HVP42" s="344"/>
      <c r="HVQ42" s="344"/>
      <c r="HVR42" s="344"/>
      <c r="HVS42" s="344"/>
      <c r="HVT42" s="344"/>
      <c r="HVU42" s="344"/>
      <c r="HVV42" s="344"/>
      <c r="HVW42" s="344"/>
      <c r="HVX42" s="344"/>
      <c r="HVY42" s="344"/>
      <c r="HVZ42" s="344"/>
      <c r="HWA42" s="344"/>
      <c r="HWB42" s="344"/>
      <c r="HWC42" s="344"/>
      <c r="HWD42" s="344"/>
      <c r="HWE42" s="344"/>
      <c r="HWF42" s="344"/>
      <c r="HWG42" s="344"/>
      <c r="HWH42" s="344"/>
      <c r="HWI42" s="344"/>
      <c r="HWJ42" s="344"/>
      <c r="HWK42" s="344"/>
      <c r="HWL42" s="344"/>
      <c r="HWM42" s="344"/>
      <c r="HWN42" s="344"/>
      <c r="HWO42" s="344"/>
      <c r="HWP42" s="344"/>
      <c r="HWQ42" s="344"/>
      <c r="HWR42" s="344"/>
      <c r="HWS42" s="344"/>
      <c r="HWT42" s="344"/>
      <c r="HWU42" s="344"/>
      <c r="HWV42" s="344"/>
      <c r="HWW42" s="344"/>
      <c r="HWX42" s="344"/>
      <c r="HWY42" s="344"/>
      <c r="HWZ42" s="344"/>
      <c r="HXA42" s="344"/>
      <c r="HXB42" s="344"/>
      <c r="HXC42" s="344"/>
      <c r="HXD42" s="344"/>
      <c r="HXE42" s="344"/>
      <c r="HXF42" s="344"/>
      <c r="HXG42" s="344"/>
      <c r="HXH42" s="344"/>
      <c r="HXI42" s="344"/>
      <c r="HXJ42" s="344"/>
      <c r="HXK42" s="344"/>
      <c r="HXL42" s="344"/>
      <c r="HXM42" s="344"/>
      <c r="HXN42" s="344"/>
      <c r="HXO42" s="344"/>
      <c r="HXP42" s="344"/>
      <c r="HXQ42" s="344"/>
      <c r="HXR42" s="344"/>
      <c r="HXS42" s="344"/>
      <c r="HXT42" s="344"/>
      <c r="HXU42" s="344"/>
      <c r="HXV42" s="344"/>
      <c r="HXW42" s="344"/>
      <c r="HXX42" s="344"/>
      <c r="HXY42" s="344"/>
      <c r="HXZ42" s="344"/>
      <c r="HYA42" s="344"/>
      <c r="HYB42" s="344"/>
      <c r="HYC42" s="344"/>
      <c r="HYD42" s="344"/>
      <c r="HYE42" s="344"/>
      <c r="HYF42" s="344"/>
      <c r="HYG42" s="344"/>
      <c r="HYH42" s="344"/>
      <c r="HYI42" s="344"/>
      <c r="HYJ42" s="344"/>
      <c r="HYK42" s="344"/>
      <c r="HYL42" s="344"/>
      <c r="HYM42" s="344"/>
      <c r="HYN42" s="344"/>
      <c r="HYO42" s="344"/>
      <c r="HYP42" s="344"/>
      <c r="HYQ42" s="344"/>
      <c r="HYR42" s="344"/>
      <c r="HYS42" s="344"/>
      <c r="HYT42" s="344"/>
      <c r="HYU42" s="344"/>
      <c r="HYV42" s="344"/>
      <c r="HYW42" s="344"/>
      <c r="HYX42" s="344"/>
      <c r="HYY42" s="344"/>
      <c r="HYZ42" s="344"/>
      <c r="HZA42" s="344"/>
      <c r="HZB42" s="344"/>
      <c r="HZC42" s="344"/>
      <c r="HZD42" s="344"/>
      <c r="HZE42" s="344"/>
      <c r="HZF42" s="344"/>
      <c r="HZG42" s="344"/>
      <c r="HZH42" s="344"/>
      <c r="HZI42" s="344"/>
      <c r="HZJ42" s="344"/>
      <c r="HZK42" s="344"/>
      <c r="HZL42" s="344"/>
      <c r="HZM42" s="344"/>
      <c r="HZN42" s="344"/>
      <c r="HZO42" s="344"/>
      <c r="HZP42" s="344"/>
      <c r="HZQ42" s="344"/>
      <c r="HZR42" s="344"/>
      <c r="HZS42" s="344"/>
      <c r="HZT42" s="344"/>
      <c r="HZU42" s="344"/>
      <c r="HZV42" s="344"/>
      <c r="HZW42" s="344"/>
      <c r="HZX42" s="344"/>
      <c r="HZY42" s="344"/>
      <c r="HZZ42" s="344"/>
      <c r="IAA42" s="344"/>
      <c r="IAB42" s="344"/>
      <c r="IAC42" s="344"/>
      <c r="IAD42" s="344"/>
      <c r="IAE42" s="344"/>
      <c r="IAF42" s="344"/>
      <c r="IAG42" s="344"/>
      <c r="IAH42" s="344"/>
      <c r="IAI42" s="344"/>
      <c r="IAJ42" s="344"/>
      <c r="IAK42" s="344"/>
      <c r="IAL42" s="344"/>
      <c r="IAM42" s="344"/>
      <c r="IAN42" s="344"/>
      <c r="IAO42" s="344"/>
      <c r="IAP42" s="344"/>
      <c r="IAQ42" s="344"/>
      <c r="IAR42" s="344"/>
      <c r="IAS42" s="344"/>
      <c r="IAT42" s="344"/>
      <c r="IAU42" s="344"/>
      <c r="IAV42" s="344"/>
      <c r="IAW42" s="344"/>
      <c r="IAX42" s="344"/>
      <c r="IAY42" s="344"/>
      <c r="IAZ42" s="344"/>
      <c r="IBA42" s="344"/>
      <c r="IBB42" s="344"/>
      <c r="IBC42" s="344"/>
      <c r="IBD42" s="344"/>
      <c r="IBE42" s="344"/>
      <c r="IBF42" s="344"/>
      <c r="IBG42" s="344"/>
      <c r="IBH42" s="344"/>
      <c r="IBI42" s="344"/>
      <c r="IBJ42" s="344"/>
      <c r="IBK42" s="344"/>
      <c r="IBL42" s="344"/>
      <c r="IBM42" s="344"/>
      <c r="IBN42" s="344"/>
      <c r="IBO42" s="344"/>
      <c r="IBP42" s="344"/>
      <c r="IBQ42" s="344"/>
      <c r="IBR42" s="344"/>
      <c r="IBS42" s="344"/>
      <c r="IBT42" s="344"/>
      <c r="IBU42" s="344"/>
      <c r="IBV42" s="344"/>
      <c r="IBW42" s="344"/>
      <c r="IBX42" s="344"/>
      <c r="IBY42" s="344"/>
      <c r="IBZ42" s="344"/>
      <c r="ICA42" s="344"/>
      <c r="ICB42" s="344"/>
      <c r="ICC42" s="344"/>
      <c r="ICD42" s="344"/>
      <c r="ICE42" s="344"/>
      <c r="ICF42" s="344"/>
      <c r="ICG42" s="344"/>
      <c r="ICH42" s="344"/>
      <c r="ICI42" s="344"/>
      <c r="ICJ42" s="344"/>
      <c r="ICK42" s="344"/>
      <c r="ICL42" s="344"/>
      <c r="ICM42" s="344"/>
      <c r="ICN42" s="344"/>
      <c r="ICO42" s="344"/>
      <c r="ICP42" s="344"/>
      <c r="ICQ42" s="344"/>
      <c r="ICR42" s="344"/>
      <c r="ICS42" s="344"/>
      <c r="ICT42" s="344"/>
      <c r="ICU42" s="344"/>
      <c r="ICV42" s="344"/>
      <c r="ICW42" s="344"/>
      <c r="ICX42" s="344"/>
      <c r="ICY42" s="344"/>
      <c r="ICZ42" s="344"/>
      <c r="IDA42" s="344"/>
      <c r="IDB42" s="344"/>
      <c r="IDC42" s="344"/>
      <c r="IDD42" s="344"/>
      <c r="IDE42" s="344"/>
      <c r="IDF42" s="344"/>
      <c r="IDG42" s="344"/>
      <c r="IDH42" s="344"/>
      <c r="IDI42" s="344"/>
      <c r="IDJ42" s="344"/>
      <c r="IDK42" s="344"/>
      <c r="IDL42" s="344"/>
      <c r="IDM42" s="344"/>
      <c r="IDN42" s="344"/>
      <c r="IDO42" s="344"/>
      <c r="IDP42" s="344"/>
      <c r="IDQ42" s="344"/>
      <c r="IDR42" s="344"/>
      <c r="IDS42" s="344"/>
      <c r="IDT42" s="344"/>
      <c r="IDU42" s="344"/>
      <c r="IDV42" s="344"/>
      <c r="IDW42" s="344"/>
      <c r="IDX42" s="344"/>
      <c r="IDY42" s="344"/>
      <c r="IDZ42" s="344"/>
      <c r="IEA42" s="344"/>
      <c r="IEB42" s="344"/>
      <c r="IEC42" s="344"/>
      <c r="IED42" s="344"/>
      <c r="IEE42" s="344"/>
      <c r="IEF42" s="344"/>
      <c r="IEG42" s="344"/>
      <c r="IEH42" s="344"/>
      <c r="IEI42" s="344"/>
      <c r="IEJ42" s="344"/>
      <c r="IEK42" s="344"/>
      <c r="IEL42" s="344"/>
      <c r="IEM42" s="344"/>
      <c r="IEN42" s="344"/>
      <c r="IEO42" s="344"/>
      <c r="IEP42" s="344"/>
      <c r="IEQ42" s="344"/>
      <c r="IER42" s="344"/>
      <c r="IES42" s="344"/>
      <c r="IET42" s="344"/>
      <c r="IEU42" s="344"/>
      <c r="IEV42" s="344"/>
      <c r="IEW42" s="344"/>
      <c r="IEX42" s="344"/>
      <c r="IEY42" s="344"/>
      <c r="IEZ42" s="344"/>
      <c r="IFA42" s="344"/>
      <c r="IFB42" s="344"/>
      <c r="IFC42" s="344"/>
      <c r="IFD42" s="344"/>
      <c r="IFE42" s="344"/>
      <c r="IFF42" s="344"/>
      <c r="IFG42" s="344"/>
      <c r="IFH42" s="344"/>
      <c r="IFI42" s="344"/>
      <c r="IFJ42" s="344"/>
      <c r="IFK42" s="344"/>
      <c r="IFL42" s="344"/>
      <c r="IFM42" s="344"/>
      <c r="IFN42" s="344"/>
      <c r="IFO42" s="344"/>
      <c r="IFP42" s="344"/>
      <c r="IFQ42" s="344"/>
      <c r="IFR42" s="344"/>
      <c r="IFS42" s="344"/>
      <c r="IFT42" s="344"/>
      <c r="IFU42" s="344"/>
      <c r="IFV42" s="344"/>
      <c r="IFW42" s="344"/>
      <c r="IFX42" s="344"/>
      <c r="IFY42" s="344"/>
      <c r="IFZ42" s="344"/>
      <c r="IGA42" s="344"/>
      <c r="IGB42" s="344"/>
      <c r="IGC42" s="344"/>
      <c r="IGD42" s="344"/>
      <c r="IGE42" s="344"/>
      <c r="IGF42" s="344"/>
      <c r="IGG42" s="344"/>
      <c r="IGH42" s="344"/>
      <c r="IGI42" s="344"/>
      <c r="IGJ42" s="344"/>
      <c r="IGK42" s="344"/>
      <c r="IGL42" s="344"/>
      <c r="IGM42" s="344"/>
      <c r="IGN42" s="344"/>
      <c r="IGO42" s="344"/>
      <c r="IGP42" s="344"/>
      <c r="IGQ42" s="344"/>
      <c r="IGR42" s="344"/>
      <c r="IGS42" s="344"/>
      <c r="IGT42" s="344"/>
      <c r="IGU42" s="344"/>
      <c r="IGV42" s="344"/>
      <c r="IGW42" s="344"/>
      <c r="IGX42" s="344"/>
      <c r="IGY42" s="344"/>
      <c r="IGZ42" s="344"/>
      <c r="IHA42" s="344"/>
      <c r="IHB42" s="344"/>
      <c r="IHC42" s="344"/>
      <c r="IHD42" s="344"/>
      <c r="IHE42" s="344"/>
      <c r="IHF42" s="344"/>
      <c r="IHG42" s="344"/>
      <c r="IHH42" s="344"/>
      <c r="IHI42" s="344"/>
      <c r="IHJ42" s="344"/>
      <c r="IHK42" s="344"/>
      <c r="IHL42" s="344"/>
      <c r="IHM42" s="344"/>
      <c r="IHN42" s="344"/>
      <c r="IHO42" s="344"/>
      <c r="IHP42" s="344"/>
      <c r="IHQ42" s="344"/>
      <c r="IHR42" s="344"/>
      <c r="IHS42" s="344"/>
      <c r="IHT42" s="344"/>
      <c r="IHU42" s="344"/>
      <c r="IHV42" s="344"/>
      <c r="IHW42" s="344"/>
      <c r="IHX42" s="344"/>
      <c r="IHY42" s="344"/>
      <c r="IHZ42" s="344"/>
      <c r="IIA42" s="344"/>
      <c r="IIB42" s="344"/>
      <c r="IIC42" s="344"/>
      <c r="IID42" s="344"/>
      <c r="IIE42" s="344"/>
      <c r="IIF42" s="344"/>
      <c r="IIG42" s="344"/>
      <c r="IIH42" s="344"/>
      <c r="III42" s="344"/>
      <c r="IIJ42" s="344"/>
      <c r="IIK42" s="344"/>
      <c r="IIL42" s="344"/>
      <c r="IIM42" s="344"/>
      <c r="IIN42" s="344"/>
      <c r="IIO42" s="344"/>
      <c r="IIP42" s="344"/>
      <c r="IIQ42" s="344"/>
      <c r="IIR42" s="344"/>
      <c r="IIS42" s="344"/>
      <c r="IIT42" s="344"/>
      <c r="IIU42" s="344"/>
      <c r="IIV42" s="344"/>
      <c r="IIW42" s="344"/>
      <c r="IIX42" s="344"/>
      <c r="IIY42" s="344"/>
      <c r="IIZ42" s="344"/>
      <c r="IJA42" s="344"/>
      <c r="IJB42" s="344"/>
      <c r="IJC42" s="344"/>
      <c r="IJD42" s="344"/>
      <c r="IJE42" s="344"/>
      <c r="IJF42" s="344"/>
      <c r="IJG42" s="344"/>
      <c r="IJH42" s="344"/>
      <c r="IJI42" s="344"/>
      <c r="IJJ42" s="344"/>
      <c r="IJK42" s="344"/>
      <c r="IJL42" s="344"/>
      <c r="IJM42" s="344"/>
      <c r="IJN42" s="344"/>
      <c r="IJO42" s="344"/>
      <c r="IJP42" s="344"/>
      <c r="IJQ42" s="344"/>
      <c r="IJR42" s="344"/>
      <c r="IJS42" s="344"/>
      <c r="IJT42" s="344"/>
      <c r="IJU42" s="344"/>
      <c r="IJV42" s="344"/>
      <c r="IJW42" s="344"/>
      <c r="IJX42" s="344"/>
      <c r="IJY42" s="344"/>
      <c r="IJZ42" s="344"/>
      <c r="IKA42" s="344"/>
      <c r="IKB42" s="344"/>
      <c r="IKC42" s="344"/>
      <c r="IKD42" s="344"/>
      <c r="IKE42" s="344"/>
      <c r="IKF42" s="344"/>
      <c r="IKG42" s="344"/>
      <c r="IKH42" s="344"/>
      <c r="IKI42" s="344"/>
      <c r="IKJ42" s="344"/>
      <c r="IKK42" s="344"/>
      <c r="IKL42" s="344"/>
      <c r="IKM42" s="344"/>
      <c r="IKN42" s="344"/>
      <c r="IKO42" s="344"/>
      <c r="IKP42" s="344"/>
      <c r="IKQ42" s="344"/>
      <c r="IKR42" s="344"/>
      <c r="IKS42" s="344"/>
      <c r="IKT42" s="344"/>
      <c r="IKU42" s="344"/>
      <c r="IKV42" s="344"/>
      <c r="IKW42" s="344"/>
      <c r="IKX42" s="344"/>
      <c r="IKY42" s="344"/>
      <c r="IKZ42" s="344"/>
      <c r="ILA42" s="344"/>
      <c r="ILB42" s="344"/>
      <c r="ILC42" s="344"/>
      <c r="ILD42" s="344"/>
      <c r="ILE42" s="344"/>
      <c r="ILF42" s="344"/>
      <c r="ILG42" s="344"/>
      <c r="ILH42" s="344"/>
      <c r="ILI42" s="344"/>
      <c r="ILJ42" s="344"/>
      <c r="ILK42" s="344"/>
      <c r="ILL42" s="344"/>
      <c r="ILM42" s="344"/>
      <c r="ILN42" s="344"/>
      <c r="ILO42" s="344"/>
      <c r="ILP42" s="344"/>
      <c r="ILQ42" s="344"/>
      <c r="ILR42" s="344"/>
      <c r="ILS42" s="344"/>
      <c r="ILT42" s="344"/>
      <c r="ILU42" s="344"/>
      <c r="ILV42" s="344"/>
      <c r="ILW42" s="344"/>
      <c r="ILX42" s="344"/>
      <c r="ILY42" s="344"/>
      <c r="ILZ42" s="344"/>
      <c r="IMA42" s="344"/>
      <c r="IMB42" s="344"/>
      <c r="IMC42" s="344"/>
      <c r="IMD42" s="344"/>
      <c r="IME42" s="344"/>
      <c r="IMF42" s="344"/>
      <c r="IMG42" s="344"/>
      <c r="IMH42" s="344"/>
      <c r="IMI42" s="344"/>
      <c r="IMJ42" s="344"/>
      <c r="IMK42" s="344"/>
      <c r="IML42" s="344"/>
      <c r="IMM42" s="344"/>
      <c r="IMN42" s="344"/>
      <c r="IMO42" s="344"/>
      <c r="IMP42" s="344"/>
      <c r="IMQ42" s="344"/>
      <c r="IMR42" s="344"/>
      <c r="IMS42" s="344"/>
      <c r="IMT42" s="344"/>
      <c r="IMU42" s="344"/>
      <c r="IMV42" s="344"/>
      <c r="IMW42" s="344"/>
      <c r="IMX42" s="344"/>
      <c r="IMY42" s="344"/>
      <c r="IMZ42" s="344"/>
      <c r="INA42" s="344"/>
      <c r="INB42" s="344"/>
      <c r="INC42" s="344"/>
      <c r="IND42" s="344"/>
      <c r="INE42" s="344"/>
      <c r="INF42" s="344"/>
      <c r="ING42" s="344"/>
      <c r="INH42" s="344"/>
      <c r="INI42" s="344"/>
      <c r="INJ42" s="344"/>
      <c r="INK42" s="344"/>
      <c r="INL42" s="344"/>
      <c r="INM42" s="344"/>
      <c r="INN42" s="344"/>
      <c r="INO42" s="344"/>
      <c r="INP42" s="344"/>
      <c r="INQ42" s="344"/>
      <c r="INR42" s="344"/>
      <c r="INS42" s="344"/>
      <c r="INT42" s="344"/>
      <c r="INU42" s="344"/>
      <c r="INV42" s="344"/>
      <c r="INW42" s="344"/>
      <c r="INX42" s="344"/>
      <c r="INY42" s="344"/>
      <c r="INZ42" s="344"/>
      <c r="IOA42" s="344"/>
      <c r="IOB42" s="344"/>
      <c r="IOC42" s="344"/>
      <c r="IOD42" s="344"/>
      <c r="IOE42" s="344"/>
      <c r="IOF42" s="344"/>
      <c r="IOG42" s="344"/>
      <c r="IOH42" s="344"/>
      <c r="IOI42" s="344"/>
      <c r="IOJ42" s="344"/>
      <c r="IOK42" s="344"/>
      <c r="IOL42" s="344"/>
      <c r="IOM42" s="344"/>
      <c r="ION42" s="344"/>
      <c r="IOO42" s="344"/>
      <c r="IOP42" s="344"/>
      <c r="IOQ42" s="344"/>
      <c r="IOR42" s="344"/>
      <c r="IOS42" s="344"/>
      <c r="IOT42" s="344"/>
      <c r="IOU42" s="344"/>
      <c r="IOV42" s="344"/>
      <c r="IOW42" s="344"/>
      <c r="IOX42" s="344"/>
      <c r="IOY42" s="344"/>
      <c r="IOZ42" s="344"/>
      <c r="IPA42" s="344"/>
      <c r="IPB42" s="344"/>
      <c r="IPC42" s="344"/>
      <c r="IPD42" s="344"/>
      <c r="IPE42" s="344"/>
      <c r="IPF42" s="344"/>
      <c r="IPG42" s="344"/>
      <c r="IPH42" s="344"/>
      <c r="IPI42" s="344"/>
      <c r="IPJ42" s="344"/>
      <c r="IPK42" s="344"/>
      <c r="IPL42" s="344"/>
      <c r="IPM42" s="344"/>
      <c r="IPN42" s="344"/>
      <c r="IPO42" s="344"/>
      <c r="IPP42" s="344"/>
      <c r="IPQ42" s="344"/>
      <c r="IPR42" s="344"/>
      <c r="IPS42" s="344"/>
      <c r="IPT42" s="344"/>
      <c r="IPU42" s="344"/>
      <c r="IPV42" s="344"/>
      <c r="IPW42" s="344"/>
      <c r="IPX42" s="344"/>
      <c r="IPY42" s="344"/>
      <c r="IPZ42" s="344"/>
      <c r="IQA42" s="344"/>
      <c r="IQB42" s="344"/>
      <c r="IQC42" s="344"/>
      <c r="IQD42" s="344"/>
      <c r="IQE42" s="344"/>
      <c r="IQF42" s="344"/>
      <c r="IQG42" s="344"/>
      <c r="IQH42" s="344"/>
      <c r="IQI42" s="344"/>
      <c r="IQJ42" s="344"/>
      <c r="IQK42" s="344"/>
      <c r="IQL42" s="344"/>
      <c r="IQM42" s="344"/>
      <c r="IQN42" s="344"/>
      <c r="IQO42" s="344"/>
      <c r="IQP42" s="344"/>
      <c r="IQQ42" s="344"/>
      <c r="IQR42" s="344"/>
      <c r="IQS42" s="344"/>
      <c r="IQT42" s="344"/>
      <c r="IQU42" s="344"/>
      <c r="IQV42" s="344"/>
      <c r="IQW42" s="344"/>
      <c r="IQX42" s="344"/>
      <c r="IQY42" s="344"/>
      <c r="IQZ42" s="344"/>
      <c r="IRA42" s="344"/>
      <c r="IRB42" s="344"/>
      <c r="IRC42" s="344"/>
      <c r="IRD42" s="344"/>
      <c r="IRE42" s="344"/>
      <c r="IRF42" s="344"/>
      <c r="IRG42" s="344"/>
      <c r="IRH42" s="344"/>
      <c r="IRI42" s="344"/>
      <c r="IRJ42" s="344"/>
      <c r="IRK42" s="344"/>
      <c r="IRL42" s="344"/>
      <c r="IRM42" s="344"/>
      <c r="IRN42" s="344"/>
      <c r="IRO42" s="344"/>
      <c r="IRP42" s="344"/>
      <c r="IRQ42" s="344"/>
      <c r="IRR42" s="344"/>
      <c r="IRS42" s="344"/>
      <c r="IRT42" s="344"/>
      <c r="IRU42" s="344"/>
      <c r="IRV42" s="344"/>
      <c r="IRW42" s="344"/>
      <c r="IRX42" s="344"/>
      <c r="IRY42" s="344"/>
      <c r="IRZ42" s="344"/>
      <c r="ISA42" s="344"/>
      <c r="ISB42" s="344"/>
      <c r="ISC42" s="344"/>
      <c r="ISD42" s="344"/>
      <c r="ISE42" s="344"/>
      <c r="ISF42" s="344"/>
      <c r="ISG42" s="344"/>
      <c r="ISH42" s="344"/>
      <c r="ISI42" s="344"/>
      <c r="ISJ42" s="344"/>
      <c r="ISK42" s="344"/>
      <c r="ISL42" s="344"/>
      <c r="ISM42" s="344"/>
      <c r="ISN42" s="344"/>
      <c r="ISO42" s="344"/>
      <c r="ISP42" s="344"/>
      <c r="ISQ42" s="344"/>
      <c r="ISR42" s="344"/>
      <c r="ISS42" s="344"/>
      <c r="IST42" s="344"/>
      <c r="ISU42" s="344"/>
      <c r="ISV42" s="344"/>
      <c r="ISW42" s="344"/>
      <c r="ISX42" s="344"/>
      <c r="ISY42" s="344"/>
      <c r="ISZ42" s="344"/>
      <c r="ITA42" s="344"/>
      <c r="ITB42" s="344"/>
      <c r="ITC42" s="344"/>
      <c r="ITD42" s="344"/>
      <c r="ITE42" s="344"/>
      <c r="ITF42" s="344"/>
      <c r="ITG42" s="344"/>
      <c r="ITH42" s="344"/>
      <c r="ITI42" s="344"/>
      <c r="ITJ42" s="344"/>
      <c r="ITK42" s="344"/>
      <c r="ITL42" s="344"/>
      <c r="ITM42" s="344"/>
      <c r="ITN42" s="344"/>
      <c r="ITO42" s="344"/>
      <c r="ITP42" s="344"/>
      <c r="ITQ42" s="344"/>
      <c r="ITR42" s="344"/>
      <c r="ITS42" s="344"/>
      <c r="ITT42" s="344"/>
      <c r="ITU42" s="344"/>
      <c r="ITV42" s="344"/>
      <c r="ITW42" s="344"/>
      <c r="ITX42" s="344"/>
      <c r="ITY42" s="344"/>
      <c r="ITZ42" s="344"/>
      <c r="IUA42" s="344"/>
      <c r="IUB42" s="344"/>
      <c r="IUC42" s="344"/>
      <c r="IUD42" s="344"/>
      <c r="IUE42" s="344"/>
      <c r="IUF42" s="344"/>
      <c r="IUG42" s="344"/>
      <c r="IUH42" s="344"/>
      <c r="IUI42" s="344"/>
      <c r="IUJ42" s="344"/>
      <c r="IUK42" s="344"/>
      <c r="IUL42" s="344"/>
      <c r="IUM42" s="344"/>
      <c r="IUN42" s="344"/>
      <c r="IUO42" s="344"/>
      <c r="IUP42" s="344"/>
      <c r="IUQ42" s="344"/>
      <c r="IUR42" s="344"/>
      <c r="IUS42" s="344"/>
      <c r="IUT42" s="344"/>
      <c r="IUU42" s="344"/>
      <c r="IUV42" s="344"/>
      <c r="IUW42" s="344"/>
      <c r="IUX42" s="344"/>
      <c r="IUY42" s="344"/>
      <c r="IUZ42" s="344"/>
      <c r="IVA42" s="344"/>
      <c r="IVB42" s="344"/>
      <c r="IVC42" s="344"/>
      <c r="IVD42" s="344"/>
      <c r="IVE42" s="344"/>
      <c r="IVF42" s="344"/>
      <c r="IVG42" s="344"/>
      <c r="IVH42" s="344"/>
      <c r="IVI42" s="344"/>
      <c r="IVJ42" s="344"/>
      <c r="IVK42" s="344"/>
      <c r="IVL42" s="344"/>
      <c r="IVM42" s="344"/>
      <c r="IVN42" s="344"/>
      <c r="IVO42" s="344"/>
      <c r="IVP42" s="344"/>
      <c r="IVQ42" s="344"/>
      <c r="IVR42" s="344"/>
      <c r="IVS42" s="344"/>
      <c r="IVT42" s="344"/>
      <c r="IVU42" s="344"/>
      <c r="IVV42" s="344"/>
      <c r="IVW42" s="344"/>
      <c r="IVX42" s="344"/>
      <c r="IVY42" s="344"/>
      <c r="IVZ42" s="344"/>
      <c r="IWA42" s="344"/>
      <c r="IWB42" s="344"/>
      <c r="IWC42" s="344"/>
      <c r="IWD42" s="344"/>
      <c r="IWE42" s="344"/>
      <c r="IWF42" s="344"/>
      <c r="IWG42" s="344"/>
      <c r="IWH42" s="344"/>
      <c r="IWI42" s="344"/>
      <c r="IWJ42" s="344"/>
      <c r="IWK42" s="344"/>
      <c r="IWL42" s="344"/>
      <c r="IWM42" s="344"/>
      <c r="IWN42" s="344"/>
      <c r="IWO42" s="344"/>
      <c r="IWP42" s="344"/>
      <c r="IWQ42" s="344"/>
      <c r="IWR42" s="344"/>
      <c r="IWS42" s="344"/>
      <c r="IWT42" s="344"/>
      <c r="IWU42" s="344"/>
      <c r="IWV42" s="344"/>
      <c r="IWW42" s="344"/>
      <c r="IWX42" s="344"/>
      <c r="IWY42" s="344"/>
      <c r="IWZ42" s="344"/>
      <c r="IXA42" s="344"/>
      <c r="IXB42" s="344"/>
      <c r="IXC42" s="344"/>
      <c r="IXD42" s="344"/>
      <c r="IXE42" s="344"/>
      <c r="IXF42" s="344"/>
      <c r="IXG42" s="344"/>
      <c r="IXH42" s="344"/>
      <c r="IXI42" s="344"/>
      <c r="IXJ42" s="344"/>
      <c r="IXK42" s="344"/>
      <c r="IXL42" s="344"/>
      <c r="IXM42" s="344"/>
      <c r="IXN42" s="344"/>
      <c r="IXO42" s="344"/>
      <c r="IXP42" s="344"/>
      <c r="IXQ42" s="344"/>
      <c r="IXR42" s="344"/>
      <c r="IXS42" s="344"/>
      <c r="IXT42" s="344"/>
      <c r="IXU42" s="344"/>
      <c r="IXV42" s="344"/>
      <c r="IXW42" s="344"/>
      <c r="IXX42" s="344"/>
      <c r="IXY42" s="344"/>
      <c r="IXZ42" s="344"/>
      <c r="IYA42" s="344"/>
      <c r="IYB42" s="344"/>
      <c r="IYC42" s="344"/>
      <c r="IYD42" s="344"/>
      <c r="IYE42" s="344"/>
      <c r="IYF42" s="344"/>
      <c r="IYG42" s="344"/>
      <c r="IYH42" s="344"/>
      <c r="IYI42" s="344"/>
      <c r="IYJ42" s="344"/>
      <c r="IYK42" s="344"/>
      <c r="IYL42" s="344"/>
      <c r="IYM42" s="344"/>
      <c r="IYN42" s="344"/>
      <c r="IYO42" s="344"/>
      <c r="IYP42" s="344"/>
      <c r="IYQ42" s="344"/>
      <c r="IYR42" s="344"/>
      <c r="IYS42" s="344"/>
      <c r="IYT42" s="344"/>
      <c r="IYU42" s="344"/>
      <c r="IYV42" s="344"/>
      <c r="IYW42" s="344"/>
      <c r="IYX42" s="344"/>
      <c r="IYY42" s="344"/>
      <c r="IYZ42" s="344"/>
      <c r="IZA42" s="344"/>
      <c r="IZB42" s="344"/>
      <c r="IZC42" s="344"/>
      <c r="IZD42" s="344"/>
      <c r="IZE42" s="344"/>
      <c r="IZF42" s="344"/>
      <c r="IZG42" s="344"/>
      <c r="IZH42" s="344"/>
      <c r="IZI42" s="344"/>
      <c r="IZJ42" s="344"/>
      <c r="IZK42" s="344"/>
      <c r="IZL42" s="344"/>
      <c r="IZM42" s="344"/>
      <c r="IZN42" s="344"/>
      <c r="IZO42" s="344"/>
      <c r="IZP42" s="344"/>
      <c r="IZQ42" s="344"/>
      <c r="IZR42" s="344"/>
      <c r="IZS42" s="344"/>
      <c r="IZT42" s="344"/>
      <c r="IZU42" s="344"/>
      <c r="IZV42" s="344"/>
      <c r="IZW42" s="344"/>
      <c r="IZX42" s="344"/>
      <c r="IZY42" s="344"/>
      <c r="IZZ42" s="344"/>
      <c r="JAA42" s="344"/>
      <c r="JAB42" s="344"/>
      <c r="JAC42" s="344"/>
      <c r="JAD42" s="344"/>
      <c r="JAE42" s="344"/>
      <c r="JAF42" s="344"/>
      <c r="JAG42" s="344"/>
      <c r="JAH42" s="344"/>
      <c r="JAI42" s="344"/>
      <c r="JAJ42" s="344"/>
      <c r="JAK42" s="344"/>
      <c r="JAL42" s="344"/>
      <c r="JAM42" s="344"/>
      <c r="JAN42" s="344"/>
      <c r="JAO42" s="344"/>
      <c r="JAP42" s="344"/>
      <c r="JAQ42" s="344"/>
      <c r="JAR42" s="344"/>
      <c r="JAS42" s="344"/>
      <c r="JAT42" s="344"/>
      <c r="JAU42" s="344"/>
      <c r="JAV42" s="344"/>
      <c r="JAW42" s="344"/>
      <c r="JAX42" s="344"/>
      <c r="JAY42" s="344"/>
      <c r="JAZ42" s="344"/>
      <c r="JBA42" s="344"/>
      <c r="JBB42" s="344"/>
      <c r="JBC42" s="344"/>
      <c r="JBD42" s="344"/>
      <c r="JBE42" s="344"/>
      <c r="JBF42" s="344"/>
      <c r="JBG42" s="344"/>
      <c r="JBH42" s="344"/>
      <c r="JBI42" s="344"/>
      <c r="JBJ42" s="344"/>
      <c r="JBK42" s="344"/>
      <c r="JBL42" s="344"/>
      <c r="JBM42" s="344"/>
      <c r="JBN42" s="344"/>
      <c r="JBO42" s="344"/>
      <c r="JBP42" s="344"/>
      <c r="JBQ42" s="344"/>
      <c r="JBR42" s="344"/>
      <c r="JBS42" s="344"/>
      <c r="JBT42" s="344"/>
      <c r="JBU42" s="344"/>
      <c r="JBV42" s="344"/>
      <c r="JBW42" s="344"/>
      <c r="JBX42" s="344"/>
      <c r="JBY42" s="344"/>
      <c r="JBZ42" s="344"/>
      <c r="JCA42" s="344"/>
      <c r="JCB42" s="344"/>
      <c r="JCC42" s="344"/>
      <c r="JCD42" s="344"/>
      <c r="JCE42" s="344"/>
      <c r="JCF42" s="344"/>
      <c r="JCG42" s="344"/>
      <c r="JCH42" s="344"/>
      <c r="JCI42" s="344"/>
      <c r="JCJ42" s="344"/>
      <c r="JCK42" s="344"/>
      <c r="JCL42" s="344"/>
      <c r="JCM42" s="344"/>
      <c r="JCN42" s="344"/>
      <c r="JCO42" s="344"/>
      <c r="JCP42" s="344"/>
      <c r="JCQ42" s="344"/>
      <c r="JCR42" s="344"/>
      <c r="JCS42" s="344"/>
      <c r="JCT42" s="344"/>
      <c r="JCU42" s="344"/>
      <c r="JCV42" s="344"/>
      <c r="JCW42" s="344"/>
      <c r="JCX42" s="344"/>
      <c r="JCY42" s="344"/>
      <c r="JCZ42" s="344"/>
      <c r="JDA42" s="344"/>
      <c r="JDB42" s="344"/>
      <c r="JDC42" s="344"/>
      <c r="JDD42" s="344"/>
      <c r="JDE42" s="344"/>
      <c r="JDF42" s="344"/>
      <c r="JDG42" s="344"/>
      <c r="JDH42" s="344"/>
      <c r="JDI42" s="344"/>
      <c r="JDJ42" s="344"/>
      <c r="JDK42" s="344"/>
      <c r="JDL42" s="344"/>
      <c r="JDM42" s="344"/>
      <c r="JDN42" s="344"/>
      <c r="JDO42" s="344"/>
      <c r="JDP42" s="344"/>
      <c r="JDQ42" s="344"/>
      <c r="JDR42" s="344"/>
      <c r="JDS42" s="344"/>
      <c r="JDT42" s="344"/>
      <c r="JDU42" s="344"/>
      <c r="JDV42" s="344"/>
      <c r="JDW42" s="344"/>
      <c r="JDX42" s="344"/>
      <c r="JDY42" s="344"/>
      <c r="JDZ42" s="344"/>
      <c r="JEA42" s="344"/>
      <c r="JEB42" s="344"/>
      <c r="JEC42" s="344"/>
      <c r="JED42" s="344"/>
      <c r="JEE42" s="344"/>
      <c r="JEF42" s="344"/>
      <c r="JEG42" s="344"/>
      <c r="JEH42" s="344"/>
      <c r="JEI42" s="344"/>
      <c r="JEJ42" s="344"/>
      <c r="JEK42" s="344"/>
      <c r="JEL42" s="344"/>
      <c r="JEM42" s="344"/>
      <c r="JEN42" s="344"/>
      <c r="JEO42" s="344"/>
      <c r="JEP42" s="344"/>
      <c r="JEQ42" s="344"/>
      <c r="JER42" s="344"/>
      <c r="JES42" s="344"/>
      <c r="JET42" s="344"/>
      <c r="JEU42" s="344"/>
      <c r="JEV42" s="344"/>
      <c r="JEW42" s="344"/>
      <c r="JEX42" s="344"/>
      <c r="JEY42" s="344"/>
      <c r="JEZ42" s="344"/>
      <c r="JFA42" s="344"/>
      <c r="JFB42" s="344"/>
      <c r="JFC42" s="344"/>
      <c r="JFD42" s="344"/>
      <c r="JFE42" s="344"/>
      <c r="JFF42" s="344"/>
      <c r="JFG42" s="344"/>
      <c r="JFH42" s="344"/>
      <c r="JFI42" s="344"/>
      <c r="JFJ42" s="344"/>
      <c r="JFK42" s="344"/>
      <c r="JFL42" s="344"/>
      <c r="JFM42" s="344"/>
      <c r="JFN42" s="344"/>
      <c r="JFO42" s="344"/>
      <c r="JFP42" s="344"/>
      <c r="JFQ42" s="344"/>
      <c r="JFR42" s="344"/>
      <c r="JFS42" s="344"/>
      <c r="JFT42" s="344"/>
      <c r="JFU42" s="344"/>
      <c r="JFV42" s="344"/>
      <c r="JFW42" s="344"/>
      <c r="JFX42" s="344"/>
      <c r="JFY42" s="344"/>
      <c r="JFZ42" s="344"/>
      <c r="JGA42" s="344"/>
      <c r="JGB42" s="344"/>
      <c r="JGC42" s="344"/>
      <c r="JGD42" s="344"/>
      <c r="JGE42" s="344"/>
      <c r="JGF42" s="344"/>
      <c r="JGG42" s="344"/>
      <c r="JGH42" s="344"/>
      <c r="JGI42" s="344"/>
      <c r="JGJ42" s="344"/>
      <c r="JGK42" s="344"/>
      <c r="JGL42" s="344"/>
      <c r="JGM42" s="344"/>
      <c r="JGN42" s="344"/>
      <c r="JGO42" s="344"/>
      <c r="JGP42" s="344"/>
      <c r="JGQ42" s="344"/>
      <c r="JGR42" s="344"/>
      <c r="JGS42" s="344"/>
      <c r="JGT42" s="344"/>
      <c r="JGU42" s="344"/>
      <c r="JGV42" s="344"/>
      <c r="JGW42" s="344"/>
      <c r="JGX42" s="344"/>
      <c r="JGY42" s="344"/>
      <c r="JGZ42" s="344"/>
      <c r="JHA42" s="344"/>
      <c r="JHB42" s="344"/>
      <c r="JHC42" s="344"/>
      <c r="JHD42" s="344"/>
      <c r="JHE42" s="344"/>
      <c r="JHF42" s="344"/>
      <c r="JHG42" s="344"/>
      <c r="JHH42" s="344"/>
      <c r="JHI42" s="344"/>
      <c r="JHJ42" s="344"/>
      <c r="JHK42" s="344"/>
      <c r="JHL42" s="344"/>
      <c r="JHM42" s="344"/>
      <c r="JHN42" s="344"/>
      <c r="JHO42" s="344"/>
      <c r="JHP42" s="344"/>
      <c r="JHQ42" s="344"/>
      <c r="JHR42" s="344"/>
      <c r="JHS42" s="344"/>
      <c r="JHT42" s="344"/>
      <c r="JHU42" s="344"/>
      <c r="JHV42" s="344"/>
      <c r="JHW42" s="344"/>
      <c r="JHX42" s="344"/>
      <c r="JHY42" s="344"/>
      <c r="JHZ42" s="344"/>
      <c r="JIA42" s="344"/>
      <c r="JIB42" s="344"/>
      <c r="JIC42" s="344"/>
      <c r="JID42" s="344"/>
      <c r="JIE42" s="344"/>
      <c r="JIF42" s="344"/>
      <c r="JIG42" s="344"/>
      <c r="JIH42" s="344"/>
      <c r="JII42" s="344"/>
      <c r="JIJ42" s="344"/>
      <c r="JIK42" s="344"/>
      <c r="JIL42" s="344"/>
      <c r="JIM42" s="344"/>
      <c r="JIN42" s="344"/>
      <c r="JIO42" s="344"/>
      <c r="JIP42" s="344"/>
      <c r="JIQ42" s="344"/>
      <c r="JIR42" s="344"/>
      <c r="JIS42" s="344"/>
      <c r="JIT42" s="344"/>
      <c r="JIU42" s="344"/>
      <c r="JIV42" s="344"/>
      <c r="JIW42" s="344"/>
      <c r="JIX42" s="344"/>
      <c r="JIY42" s="344"/>
      <c r="JIZ42" s="344"/>
      <c r="JJA42" s="344"/>
      <c r="JJB42" s="344"/>
      <c r="JJC42" s="344"/>
      <c r="JJD42" s="344"/>
      <c r="JJE42" s="344"/>
      <c r="JJF42" s="344"/>
      <c r="JJG42" s="344"/>
      <c r="JJH42" s="344"/>
      <c r="JJI42" s="344"/>
      <c r="JJJ42" s="344"/>
      <c r="JJK42" s="344"/>
      <c r="JJL42" s="344"/>
      <c r="JJM42" s="344"/>
      <c r="JJN42" s="344"/>
      <c r="JJO42" s="344"/>
      <c r="JJP42" s="344"/>
      <c r="JJQ42" s="344"/>
      <c r="JJR42" s="344"/>
      <c r="JJS42" s="344"/>
      <c r="JJT42" s="344"/>
      <c r="JJU42" s="344"/>
      <c r="JJV42" s="344"/>
      <c r="JJW42" s="344"/>
      <c r="JJX42" s="344"/>
      <c r="JJY42" s="344"/>
      <c r="JJZ42" s="344"/>
      <c r="JKA42" s="344"/>
      <c r="JKB42" s="344"/>
      <c r="JKC42" s="344"/>
      <c r="JKD42" s="344"/>
      <c r="JKE42" s="344"/>
      <c r="JKF42" s="344"/>
      <c r="JKG42" s="344"/>
      <c r="JKH42" s="344"/>
      <c r="JKI42" s="344"/>
      <c r="JKJ42" s="344"/>
      <c r="JKK42" s="344"/>
      <c r="JKL42" s="344"/>
      <c r="JKM42" s="344"/>
      <c r="JKN42" s="344"/>
      <c r="JKO42" s="344"/>
      <c r="JKP42" s="344"/>
      <c r="JKQ42" s="344"/>
      <c r="JKR42" s="344"/>
      <c r="JKS42" s="344"/>
      <c r="JKT42" s="344"/>
      <c r="JKU42" s="344"/>
      <c r="JKV42" s="344"/>
      <c r="JKW42" s="344"/>
      <c r="JKX42" s="344"/>
      <c r="JKY42" s="344"/>
      <c r="JKZ42" s="344"/>
      <c r="JLA42" s="344"/>
      <c r="JLB42" s="344"/>
      <c r="JLC42" s="344"/>
      <c r="JLD42" s="344"/>
      <c r="JLE42" s="344"/>
      <c r="JLF42" s="344"/>
      <c r="JLG42" s="344"/>
      <c r="JLH42" s="344"/>
      <c r="JLI42" s="344"/>
      <c r="JLJ42" s="344"/>
      <c r="JLK42" s="344"/>
      <c r="JLL42" s="344"/>
      <c r="JLM42" s="344"/>
      <c r="JLN42" s="344"/>
      <c r="JLO42" s="344"/>
      <c r="JLP42" s="344"/>
      <c r="JLQ42" s="344"/>
      <c r="JLR42" s="344"/>
      <c r="JLS42" s="344"/>
      <c r="JLT42" s="344"/>
      <c r="JLU42" s="344"/>
      <c r="JLV42" s="344"/>
      <c r="JLW42" s="344"/>
      <c r="JLX42" s="344"/>
      <c r="JLY42" s="344"/>
      <c r="JLZ42" s="344"/>
      <c r="JMA42" s="344"/>
      <c r="JMB42" s="344"/>
      <c r="JMC42" s="344"/>
      <c r="JMD42" s="344"/>
      <c r="JME42" s="344"/>
      <c r="JMF42" s="344"/>
      <c r="JMG42" s="344"/>
      <c r="JMH42" s="344"/>
      <c r="JMI42" s="344"/>
      <c r="JMJ42" s="344"/>
      <c r="JMK42" s="344"/>
      <c r="JML42" s="344"/>
      <c r="JMM42" s="344"/>
      <c r="JMN42" s="344"/>
      <c r="JMO42" s="344"/>
      <c r="JMP42" s="344"/>
      <c r="JMQ42" s="344"/>
      <c r="JMR42" s="344"/>
      <c r="JMS42" s="344"/>
      <c r="JMT42" s="344"/>
      <c r="JMU42" s="344"/>
      <c r="JMV42" s="344"/>
      <c r="JMW42" s="344"/>
      <c r="JMX42" s="344"/>
      <c r="JMY42" s="344"/>
      <c r="JMZ42" s="344"/>
      <c r="JNA42" s="344"/>
      <c r="JNB42" s="344"/>
      <c r="JNC42" s="344"/>
      <c r="JND42" s="344"/>
      <c r="JNE42" s="344"/>
      <c r="JNF42" s="344"/>
      <c r="JNG42" s="344"/>
      <c r="JNH42" s="344"/>
      <c r="JNI42" s="344"/>
      <c r="JNJ42" s="344"/>
      <c r="JNK42" s="344"/>
      <c r="JNL42" s="344"/>
      <c r="JNM42" s="344"/>
      <c r="JNN42" s="344"/>
      <c r="JNO42" s="344"/>
      <c r="JNP42" s="344"/>
      <c r="JNQ42" s="344"/>
      <c r="JNR42" s="344"/>
      <c r="JNS42" s="344"/>
      <c r="JNT42" s="344"/>
      <c r="JNU42" s="344"/>
      <c r="JNV42" s="344"/>
      <c r="JNW42" s="344"/>
      <c r="JNX42" s="344"/>
      <c r="JNY42" s="344"/>
      <c r="JNZ42" s="344"/>
      <c r="JOA42" s="344"/>
      <c r="JOB42" s="344"/>
      <c r="JOC42" s="344"/>
      <c r="JOD42" s="344"/>
      <c r="JOE42" s="344"/>
      <c r="JOF42" s="344"/>
      <c r="JOG42" s="344"/>
      <c r="JOH42" s="344"/>
      <c r="JOI42" s="344"/>
      <c r="JOJ42" s="344"/>
      <c r="JOK42" s="344"/>
      <c r="JOL42" s="344"/>
      <c r="JOM42" s="344"/>
      <c r="JON42" s="344"/>
      <c r="JOO42" s="344"/>
      <c r="JOP42" s="344"/>
      <c r="JOQ42" s="344"/>
      <c r="JOR42" s="344"/>
      <c r="JOS42" s="344"/>
      <c r="JOT42" s="344"/>
      <c r="JOU42" s="344"/>
      <c r="JOV42" s="344"/>
      <c r="JOW42" s="344"/>
      <c r="JOX42" s="344"/>
      <c r="JOY42" s="344"/>
      <c r="JOZ42" s="344"/>
      <c r="JPA42" s="344"/>
      <c r="JPB42" s="344"/>
      <c r="JPC42" s="344"/>
      <c r="JPD42" s="344"/>
      <c r="JPE42" s="344"/>
      <c r="JPF42" s="344"/>
      <c r="JPG42" s="344"/>
      <c r="JPH42" s="344"/>
      <c r="JPI42" s="344"/>
      <c r="JPJ42" s="344"/>
      <c r="JPK42" s="344"/>
      <c r="JPL42" s="344"/>
      <c r="JPM42" s="344"/>
      <c r="JPN42" s="344"/>
      <c r="JPO42" s="344"/>
      <c r="JPP42" s="344"/>
      <c r="JPQ42" s="344"/>
      <c r="JPR42" s="344"/>
      <c r="JPS42" s="344"/>
      <c r="JPT42" s="344"/>
      <c r="JPU42" s="344"/>
      <c r="JPV42" s="344"/>
      <c r="JPW42" s="344"/>
      <c r="JPX42" s="344"/>
      <c r="JPY42" s="344"/>
      <c r="JPZ42" s="344"/>
      <c r="JQA42" s="344"/>
      <c r="JQB42" s="344"/>
      <c r="JQC42" s="344"/>
      <c r="JQD42" s="344"/>
      <c r="JQE42" s="344"/>
      <c r="JQF42" s="344"/>
      <c r="JQG42" s="344"/>
      <c r="JQH42" s="344"/>
      <c r="JQI42" s="344"/>
      <c r="JQJ42" s="344"/>
      <c r="JQK42" s="344"/>
      <c r="JQL42" s="344"/>
      <c r="JQM42" s="344"/>
      <c r="JQN42" s="344"/>
      <c r="JQO42" s="344"/>
      <c r="JQP42" s="344"/>
      <c r="JQQ42" s="344"/>
      <c r="JQR42" s="344"/>
      <c r="JQS42" s="344"/>
      <c r="JQT42" s="344"/>
      <c r="JQU42" s="344"/>
      <c r="JQV42" s="344"/>
      <c r="JQW42" s="344"/>
      <c r="JQX42" s="344"/>
      <c r="JQY42" s="344"/>
      <c r="JQZ42" s="344"/>
      <c r="JRA42" s="344"/>
      <c r="JRB42" s="344"/>
      <c r="JRC42" s="344"/>
      <c r="JRD42" s="344"/>
      <c r="JRE42" s="344"/>
      <c r="JRF42" s="344"/>
      <c r="JRG42" s="344"/>
      <c r="JRH42" s="344"/>
      <c r="JRI42" s="344"/>
      <c r="JRJ42" s="344"/>
      <c r="JRK42" s="344"/>
      <c r="JRL42" s="344"/>
      <c r="JRM42" s="344"/>
      <c r="JRN42" s="344"/>
      <c r="JRO42" s="344"/>
      <c r="JRP42" s="344"/>
      <c r="JRQ42" s="344"/>
      <c r="JRR42" s="344"/>
      <c r="JRS42" s="344"/>
      <c r="JRT42" s="344"/>
      <c r="JRU42" s="344"/>
      <c r="JRV42" s="344"/>
      <c r="JRW42" s="344"/>
      <c r="JRX42" s="344"/>
      <c r="JRY42" s="344"/>
      <c r="JRZ42" s="344"/>
      <c r="JSA42" s="344"/>
      <c r="JSB42" s="344"/>
      <c r="JSC42" s="344"/>
      <c r="JSD42" s="344"/>
      <c r="JSE42" s="344"/>
      <c r="JSF42" s="344"/>
      <c r="JSG42" s="344"/>
      <c r="JSH42" s="344"/>
      <c r="JSI42" s="344"/>
      <c r="JSJ42" s="344"/>
      <c r="JSK42" s="344"/>
      <c r="JSL42" s="344"/>
      <c r="JSM42" s="344"/>
      <c r="JSN42" s="344"/>
      <c r="JSO42" s="344"/>
      <c r="JSP42" s="344"/>
      <c r="JSQ42" s="344"/>
      <c r="JSR42" s="344"/>
      <c r="JSS42" s="344"/>
      <c r="JST42" s="344"/>
      <c r="JSU42" s="344"/>
      <c r="JSV42" s="344"/>
      <c r="JSW42" s="344"/>
      <c r="JSX42" s="344"/>
      <c r="JSY42" s="344"/>
      <c r="JSZ42" s="344"/>
      <c r="JTA42" s="344"/>
      <c r="JTB42" s="344"/>
      <c r="JTC42" s="344"/>
      <c r="JTD42" s="344"/>
      <c r="JTE42" s="344"/>
      <c r="JTF42" s="344"/>
      <c r="JTG42" s="344"/>
      <c r="JTH42" s="344"/>
      <c r="JTI42" s="344"/>
      <c r="JTJ42" s="344"/>
      <c r="JTK42" s="344"/>
      <c r="JTL42" s="344"/>
      <c r="JTM42" s="344"/>
      <c r="JTN42" s="344"/>
      <c r="JTO42" s="344"/>
      <c r="JTP42" s="344"/>
      <c r="JTQ42" s="344"/>
      <c r="JTR42" s="344"/>
      <c r="JTS42" s="344"/>
      <c r="JTT42" s="344"/>
      <c r="JTU42" s="344"/>
      <c r="JTV42" s="344"/>
      <c r="JTW42" s="344"/>
      <c r="JTX42" s="344"/>
      <c r="JTY42" s="344"/>
      <c r="JTZ42" s="344"/>
      <c r="JUA42" s="344"/>
      <c r="JUB42" s="344"/>
      <c r="JUC42" s="344"/>
      <c r="JUD42" s="344"/>
      <c r="JUE42" s="344"/>
      <c r="JUF42" s="344"/>
      <c r="JUG42" s="344"/>
      <c r="JUH42" s="344"/>
      <c r="JUI42" s="344"/>
      <c r="JUJ42" s="344"/>
      <c r="JUK42" s="344"/>
      <c r="JUL42" s="344"/>
      <c r="JUM42" s="344"/>
      <c r="JUN42" s="344"/>
      <c r="JUO42" s="344"/>
      <c r="JUP42" s="344"/>
      <c r="JUQ42" s="344"/>
      <c r="JUR42" s="344"/>
      <c r="JUS42" s="344"/>
      <c r="JUT42" s="344"/>
      <c r="JUU42" s="344"/>
      <c r="JUV42" s="344"/>
      <c r="JUW42" s="344"/>
      <c r="JUX42" s="344"/>
      <c r="JUY42" s="344"/>
      <c r="JUZ42" s="344"/>
      <c r="JVA42" s="344"/>
      <c r="JVB42" s="344"/>
      <c r="JVC42" s="344"/>
      <c r="JVD42" s="344"/>
      <c r="JVE42" s="344"/>
      <c r="JVF42" s="344"/>
      <c r="JVG42" s="344"/>
      <c r="JVH42" s="344"/>
      <c r="JVI42" s="344"/>
      <c r="JVJ42" s="344"/>
      <c r="JVK42" s="344"/>
      <c r="JVL42" s="344"/>
      <c r="JVM42" s="344"/>
      <c r="JVN42" s="344"/>
      <c r="JVO42" s="344"/>
      <c r="JVP42" s="344"/>
      <c r="JVQ42" s="344"/>
      <c r="JVR42" s="344"/>
      <c r="JVS42" s="344"/>
      <c r="JVT42" s="344"/>
      <c r="JVU42" s="344"/>
      <c r="JVV42" s="344"/>
      <c r="JVW42" s="344"/>
      <c r="JVX42" s="344"/>
      <c r="JVY42" s="344"/>
      <c r="JVZ42" s="344"/>
      <c r="JWA42" s="344"/>
      <c r="JWB42" s="344"/>
      <c r="JWC42" s="344"/>
      <c r="JWD42" s="344"/>
      <c r="JWE42" s="344"/>
      <c r="JWF42" s="344"/>
      <c r="JWG42" s="344"/>
      <c r="JWH42" s="344"/>
      <c r="JWI42" s="344"/>
      <c r="JWJ42" s="344"/>
      <c r="JWK42" s="344"/>
      <c r="JWL42" s="344"/>
      <c r="JWM42" s="344"/>
      <c r="JWN42" s="344"/>
      <c r="JWO42" s="344"/>
      <c r="JWP42" s="344"/>
      <c r="JWQ42" s="344"/>
      <c r="JWR42" s="344"/>
      <c r="JWS42" s="344"/>
      <c r="JWT42" s="344"/>
      <c r="JWU42" s="344"/>
      <c r="JWV42" s="344"/>
      <c r="JWW42" s="344"/>
      <c r="JWX42" s="344"/>
      <c r="JWY42" s="344"/>
      <c r="JWZ42" s="344"/>
      <c r="JXA42" s="344"/>
      <c r="JXB42" s="344"/>
      <c r="JXC42" s="344"/>
      <c r="JXD42" s="344"/>
      <c r="JXE42" s="344"/>
      <c r="JXF42" s="344"/>
      <c r="JXG42" s="344"/>
      <c r="JXH42" s="344"/>
      <c r="JXI42" s="344"/>
      <c r="JXJ42" s="344"/>
      <c r="JXK42" s="344"/>
      <c r="JXL42" s="344"/>
      <c r="JXM42" s="344"/>
      <c r="JXN42" s="344"/>
      <c r="JXO42" s="344"/>
      <c r="JXP42" s="344"/>
      <c r="JXQ42" s="344"/>
      <c r="JXR42" s="344"/>
      <c r="JXS42" s="344"/>
      <c r="JXT42" s="344"/>
      <c r="JXU42" s="344"/>
      <c r="JXV42" s="344"/>
      <c r="JXW42" s="344"/>
      <c r="JXX42" s="344"/>
      <c r="JXY42" s="344"/>
      <c r="JXZ42" s="344"/>
      <c r="JYA42" s="344"/>
      <c r="JYB42" s="344"/>
      <c r="JYC42" s="344"/>
      <c r="JYD42" s="344"/>
      <c r="JYE42" s="344"/>
      <c r="JYF42" s="344"/>
      <c r="JYG42" s="344"/>
      <c r="JYH42" s="344"/>
      <c r="JYI42" s="344"/>
      <c r="JYJ42" s="344"/>
      <c r="JYK42" s="344"/>
      <c r="JYL42" s="344"/>
      <c r="JYM42" s="344"/>
      <c r="JYN42" s="344"/>
      <c r="JYO42" s="344"/>
      <c r="JYP42" s="344"/>
      <c r="JYQ42" s="344"/>
      <c r="JYR42" s="344"/>
      <c r="JYS42" s="344"/>
      <c r="JYT42" s="344"/>
      <c r="JYU42" s="344"/>
      <c r="JYV42" s="344"/>
      <c r="JYW42" s="344"/>
      <c r="JYX42" s="344"/>
      <c r="JYY42" s="344"/>
      <c r="JYZ42" s="344"/>
      <c r="JZA42" s="344"/>
      <c r="JZB42" s="344"/>
      <c r="JZC42" s="344"/>
      <c r="JZD42" s="344"/>
      <c r="JZE42" s="344"/>
      <c r="JZF42" s="344"/>
      <c r="JZG42" s="344"/>
      <c r="JZH42" s="344"/>
      <c r="JZI42" s="344"/>
      <c r="JZJ42" s="344"/>
      <c r="JZK42" s="344"/>
      <c r="JZL42" s="344"/>
      <c r="JZM42" s="344"/>
      <c r="JZN42" s="344"/>
      <c r="JZO42" s="344"/>
      <c r="JZP42" s="344"/>
      <c r="JZQ42" s="344"/>
      <c r="JZR42" s="344"/>
      <c r="JZS42" s="344"/>
      <c r="JZT42" s="344"/>
      <c r="JZU42" s="344"/>
      <c r="JZV42" s="344"/>
      <c r="JZW42" s="344"/>
      <c r="JZX42" s="344"/>
      <c r="JZY42" s="344"/>
      <c r="JZZ42" s="344"/>
      <c r="KAA42" s="344"/>
      <c r="KAB42" s="344"/>
      <c r="KAC42" s="344"/>
      <c r="KAD42" s="344"/>
      <c r="KAE42" s="344"/>
      <c r="KAF42" s="344"/>
      <c r="KAG42" s="344"/>
      <c r="KAH42" s="344"/>
      <c r="KAI42" s="344"/>
      <c r="KAJ42" s="344"/>
      <c r="KAK42" s="344"/>
      <c r="KAL42" s="344"/>
      <c r="KAM42" s="344"/>
      <c r="KAN42" s="344"/>
      <c r="KAO42" s="344"/>
      <c r="KAP42" s="344"/>
      <c r="KAQ42" s="344"/>
      <c r="KAR42" s="344"/>
      <c r="KAS42" s="344"/>
      <c r="KAT42" s="344"/>
      <c r="KAU42" s="344"/>
      <c r="KAV42" s="344"/>
      <c r="KAW42" s="344"/>
      <c r="KAX42" s="344"/>
      <c r="KAY42" s="344"/>
      <c r="KAZ42" s="344"/>
      <c r="KBA42" s="344"/>
      <c r="KBB42" s="344"/>
      <c r="KBC42" s="344"/>
      <c r="KBD42" s="344"/>
      <c r="KBE42" s="344"/>
      <c r="KBF42" s="344"/>
      <c r="KBG42" s="344"/>
      <c r="KBH42" s="344"/>
      <c r="KBI42" s="344"/>
      <c r="KBJ42" s="344"/>
      <c r="KBK42" s="344"/>
      <c r="KBL42" s="344"/>
      <c r="KBM42" s="344"/>
      <c r="KBN42" s="344"/>
      <c r="KBO42" s="344"/>
      <c r="KBP42" s="344"/>
      <c r="KBQ42" s="344"/>
      <c r="KBR42" s="344"/>
      <c r="KBS42" s="344"/>
      <c r="KBT42" s="344"/>
      <c r="KBU42" s="344"/>
      <c r="KBV42" s="344"/>
      <c r="KBW42" s="344"/>
      <c r="KBX42" s="344"/>
      <c r="KBY42" s="344"/>
      <c r="KBZ42" s="344"/>
      <c r="KCA42" s="344"/>
      <c r="KCB42" s="344"/>
      <c r="KCC42" s="344"/>
      <c r="KCD42" s="344"/>
      <c r="KCE42" s="344"/>
      <c r="KCF42" s="344"/>
      <c r="KCG42" s="344"/>
      <c r="KCH42" s="344"/>
      <c r="KCI42" s="344"/>
      <c r="KCJ42" s="344"/>
      <c r="KCK42" s="344"/>
      <c r="KCL42" s="344"/>
      <c r="KCM42" s="344"/>
      <c r="KCN42" s="344"/>
      <c r="KCO42" s="344"/>
      <c r="KCP42" s="344"/>
      <c r="KCQ42" s="344"/>
      <c r="KCR42" s="344"/>
      <c r="KCS42" s="344"/>
      <c r="KCT42" s="344"/>
      <c r="KCU42" s="344"/>
      <c r="KCV42" s="344"/>
      <c r="KCW42" s="344"/>
      <c r="KCX42" s="344"/>
      <c r="KCY42" s="344"/>
      <c r="KCZ42" s="344"/>
      <c r="KDA42" s="344"/>
      <c r="KDB42" s="344"/>
      <c r="KDC42" s="344"/>
      <c r="KDD42" s="344"/>
      <c r="KDE42" s="344"/>
      <c r="KDF42" s="344"/>
      <c r="KDG42" s="344"/>
      <c r="KDH42" s="344"/>
      <c r="KDI42" s="344"/>
      <c r="KDJ42" s="344"/>
      <c r="KDK42" s="344"/>
      <c r="KDL42" s="344"/>
      <c r="KDM42" s="344"/>
      <c r="KDN42" s="344"/>
      <c r="KDO42" s="344"/>
      <c r="KDP42" s="344"/>
      <c r="KDQ42" s="344"/>
      <c r="KDR42" s="344"/>
      <c r="KDS42" s="344"/>
      <c r="KDT42" s="344"/>
      <c r="KDU42" s="344"/>
      <c r="KDV42" s="344"/>
      <c r="KDW42" s="344"/>
      <c r="KDX42" s="344"/>
      <c r="KDY42" s="344"/>
      <c r="KDZ42" s="344"/>
      <c r="KEA42" s="344"/>
      <c r="KEB42" s="344"/>
      <c r="KEC42" s="344"/>
      <c r="KED42" s="344"/>
      <c r="KEE42" s="344"/>
      <c r="KEF42" s="344"/>
      <c r="KEG42" s="344"/>
      <c r="KEH42" s="344"/>
      <c r="KEI42" s="344"/>
      <c r="KEJ42" s="344"/>
      <c r="KEK42" s="344"/>
      <c r="KEL42" s="344"/>
      <c r="KEM42" s="344"/>
      <c r="KEN42" s="344"/>
      <c r="KEO42" s="344"/>
      <c r="KEP42" s="344"/>
      <c r="KEQ42" s="344"/>
      <c r="KER42" s="344"/>
      <c r="KES42" s="344"/>
      <c r="KET42" s="344"/>
      <c r="KEU42" s="344"/>
      <c r="KEV42" s="344"/>
      <c r="KEW42" s="344"/>
      <c r="KEX42" s="344"/>
      <c r="KEY42" s="344"/>
      <c r="KEZ42" s="344"/>
      <c r="KFA42" s="344"/>
      <c r="KFB42" s="344"/>
      <c r="KFC42" s="344"/>
      <c r="KFD42" s="344"/>
      <c r="KFE42" s="344"/>
      <c r="KFF42" s="344"/>
      <c r="KFG42" s="344"/>
      <c r="KFH42" s="344"/>
      <c r="KFI42" s="344"/>
      <c r="KFJ42" s="344"/>
      <c r="KFK42" s="344"/>
      <c r="KFL42" s="344"/>
      <c r="KFM42" s="344"/>
      <c r="KFN42" s="344"/>
      <c r="KFO42" s="344"/>
      <c r="KFP42" s="344"/>
      <c r="KFQ42" s="344"/>
      <c r="KFR42" s="344"/>
      <c r="KFS42" s="344"/>
      <c r="KFT42" s="344"/>
      <c r="KFU42" s="344"/>
      <c r="KFV42" s="344"/>
      <c r="KFW42" s="344"/>
      <c r="KFX42" s="344"/>
      <c r="KFY42" s="344"/>
      <c r="KFZ42" s="344"/>
      <c r="KGA42" s="344"/>
      <c r="KGB42" s="344"/>
      <c r="KGC42" s="344"/>
      <c r="KGD42" s="344"/>
      <c r="KGE42" s="344"/>
      <c r="KGF42" s="344"/>
      <c r="KGG42" s="344"/>
      <c r="KGH42" s="344"/>
      <c r="KGI42" s="344"/>
      <c r="KGJ42" s="344"/>
      <c r="KGK42" s="344"/>
      <c r="KGL42" s="344"/>
      <c r="KGM42" s="344"/>
      <c r="KGN42" s="344"/>
      <c r="KGO42" s="344"/>
      <c r="KGP42" s="344"/>
      <c r="KGQ42" s="344"/>
      <c r="KGR42" s="344"/>
      <c r="KGS42" s="344"/>
      <c r="KGT42" s="344"/>
      <c r="KGU42" s="344"/>
      <c r="KGV42" s="344"/>
      <c r="KGW42" s="344"/>
      <c r="KGX42" s="344"/>
      <c r="KGY42" s="344"/>
      <c r="KGZ42" s="344"/>
      <c r="KHA42" s="344"/>
      <c r="KHB42" s="344"/>
      <c r="KHC42" s="344"/>
      <c r="KHD42" s="344"/>
      <c r="KHE42" s="344"/>
      <c r="KHF42" s="344"/>
      <c r="KHG42" s="344"/>
      <c r="KHH42" s="344"/>
      <c r="KHI42" s="344"/>
      <c r="KHJ42" s="344"/>
      <c r="KHK42" s="344"/>
      <c r="KHL42" s="344"/>
      <c r="KHM42" s="344"/>
      <c r="KHN42" s="344"/>
      <c r="KHO42" s="344"/>
      <c r="KHP42" s="344"/>
      <c r="KHQ42" s="344"/>
      <c r="KHR42" s="344"/>
      <c r="KHS42" s="344"/>
      <c r="KHT42" s="344"/>
      <c r="KHU42" s="344"/>
      <c r="KHV42" s="344"/>
      <c r="KHW42" s="344"/>
      <c r="KHX42" s="344"/>
      <c r="KHY42" s="344"/>
      <c r="KHZ42" s="344"/>
      <c r="KIA42" s="344"/>
      <c r="KIB42" s="344"/>
      <c r="KIC42" s="344"/>
      <c r="KID42" s="344"/>
      <c r="KIE42" s="344"/>
      <c r="KIF42" s="344"/>
      <c r="KIG42" s="344"/>
      <c r="KIH42" s="344"/>
      <c r="KII42" s="344"/>
      <c r="KIJ42" s="344"/>
      <c r="KIK42" s="344"/>
      <c r="KIL42" s="344"/>
      <c r="KIM42" s="344"/>
      <c r="KIN42" s="344"/>
      <c r="KIO42" s="344"/>
      <c r="KIP42" s="344"/>
      <c r="KIQ42" s="344"/>
      <c r="KIR42" s="344"/>
      <c r="KIS42" s="344"/>
      <c r="KIT42" s="344"/>
      <c r="KIU42" s="344"/>
      <c r="KIV42" s="344"/>
      <c r="KIW42" s="344"/>
      <c r="KIX42" s="344"/>
      <c r="KIY42" s="344"/>
      <c r="KIZ42" s="344"/>
      <c r="KJA42" s="344"/>
      <c r="KJB42" s="344"/>
      <c r="KJC42" s="344"/>
      <c r="KJD42" s="344"/>
      <c r="KJE42" s="344"/>
      <c r="KJF42" s="344"/>
      <c r="KJG42" s="344"/>
      <c r="KJH42" s="344"/>
      <c r="KJI42" s="344"/>
      <c r="KJJ42" s="344"/>
      <c r="KJK42" s="344"/>
      <c r="KJL42" s="344"/>
      <c r="KJM42" s="344"/>
      <c r="KJN42" s="344"/>
      <c r="KJO42" s="344"/>
      <c r="KJP42" s="344"/>
      <c r="KJQ42" s="344"/>
      <c r="KJR42" s="344"/>
      <c r="KJS42" s="344"/>
      <c r="KJT42" s="344"/>
      <c r="KJU42" s="344"/>
      <c r="KJV42" s="344"/>
      <c r="KJW42" s="344"/>
      <c r="KJX42" s="344"/>
      <c r="KJY42" s="344"/>
      <c r="KJZ42" s="344"/>
      <c r="KKA42" s="344"/>
      <c r="KKB42" s="344"/>
      <c r="KKC42" s="344"/>
      <c r="KKD42" s="344"/>
      <c r="KKE42" s="344"/>
      <c r="KKF42" s="344"/>
      <c r="KKG42" s="344"/>
      <c r="KKH42" s="344"/>
      <c r="KKI42" s="344"/>
      <c r="KKJ42" s="344"/>
      <c r="KKK42" s="344"/>
      <c r="KKL42" s="344"/>
      <c r="KKM42" s="344"/>
      <c r="KKN42" s="344"/>
      <c r="KKO42" s="344"/>
      <c r="KKP42" s="344"/>
      <c r="KKQ42" s="344"/>
      <c r="KKR42" s="344"/>
      <c r="KKS42" s="344"/>
      <c r="KKT42" s="344"/>
      <c r="KKU42" s="344"/>
      <c r="KKV42" s="344"/>
      <c r="KKW42" s="344"/>
      <c r="KKX42" s="344"/>
      <c r="KKY42" s="344"/>
      <c r="KKZ42" s="344"/>
      <c r="KLA42" s="344"/>
      <c r="KLB42" s="344"/>
      <c r="KLC42" s="344"/>
      <c r="KLD42" s="344"/>
      <c r="KLE42" s="344"/>
      <c r="KLF42" s="344"/>
      <c r="KLG42" s="344"/>
      <c r="KLH42" s="344"/>
      <c r="KLI42" s="344"/>
      <c r="KLJ42" s="344"/>
      <c r="KLK42" s="344"/>
      <c r="KLL42" s="344"/>
      <c r="KLM42" s="344"/>
      <c r="KLN42" s="344"/>
      <c r="KLO42" s="344"/>
      <c r="KLP42" s="344"/>
      <c r="KLQ42" s="344"/>
      <c r="KLR42" s="344"/>
      <c r="KLS42" s="344"/>
      <c r="KLT42" s="344"/>
      <c r="KLU42" s="344"/>
      <c r="KLV42" s="344"/>
      <c r="KLW42" s="344"/>
      <c r="KLX42" s="344"/>
      <c r="KLY42" s="344"/>
      <c r="KLZ42" s="344"/>
      <c r="KMA42" s="344"/>
      <c r="KMB42" s="344"/>
      <c r="KMC42" s="344"/>
      <c r="KMD42" s="344"/>
      <c r="KME42" s="344"/>
      <c r="KMF42" s="344"/>
      <c r="KMG42" s="344"/>
      <c r="KMH42" s="344"/>
      <c r="KMI42" s="344"/>
      <c r="KMJ42" s="344"/>
      <c r="KMK42" s="344"/>
      <c r="KML42" s="344"/>
      <c r="KMM42" s="344"/>
      <c r="KMN42" s="344"/>
      <c r="KMO42" s="344"/>
      <c r="KMP42" s="344"/>
      <c r="KMQ42" s="344"/>
      <c r="KMR42" s="344"/>
      <c r="KMS42" s="344"/>
      <c r="KMT42" s="344"/>
      <c r="KMU42" s="344"/>
      <c r="KMV42" s="344"/>
      <c r="KMW42" s="344"/>
      <c r="KMX42" s="344"/>
      <c r="KMY42" s="344"/>
      <c r="KMZ42" s="344"/>
      <c r="KNA42" s="344"/>
      <c r="KNB42" s="344"/>
      <c r="KNC42" s="344"/>
      <c r="KND42" s="344"/>
      <c r="KNE42" s="344"/>
      <c r="KNF42" s="344"/>
      <c r="KNG42" s="344"/>
      <c r="KNH42" s="344"/>
      <c r="KNI42" s="344"/>
      <c r="KNJ42" s="344"/>
      <c r="KNK42" s="344"/>
      <c r="KNL42" s="344"/>
      <c r="KNM42" s="344"/>
      <c r="KNN42" s="344"/>
      <c r="KNO42" s="344"/>
      <c r="KNP42" s="344"/>
      <c r="KNQ42" s="344"/>
      <c r="KNR42" s="344"/>
      <c r="KNS42" s="344"/>
      <c r="KNT42" s="344"/>
      <c r="KNU42" s="344"/>
      <c r="KNV42" s="344"/>
      <c r="KNW42" s="344"/>
      <c r="KNX42" s="344"/>
      <c r="KNY42" s="344"/>
      <c r="KNZ42" s="344"/>
      <c r="KOA42" s="344"/>
      <c r="KOB42" s="344"/>
      <c r="KOC42" s="344"/>
      <c r="KOD42" s="344"/>
      <c r="KOE42" s="344"/>
      <c r="KOF42" s="344"/>
      <c r="KOG42" s="344"/>
      <c r="KOH42" s="344"/>
      <c r="KOI42" s="344"/>
      <c r="KOJ42" s="344"/>
      <c r="KOK42" s="344"/>
      <c r="KOL42" s="344"/>
      <c r="KOM42" s="344"/>
      <c r="KON42" s="344"/>
      <c r="KOO42" s="344"/>
      <c r="KOP42" s="344"/>
      <c r="KOQ42" s="344"/>
      <c r="KOR42" s="344"/>
      <c r="KOS42" s="344"/>
      <c r="KOT42" s="344"/>
      <c r="KOU42" s="344"/>
      <c r="KOV42" s="344"/>
      <c r="KOW42" s="344"/>
      <c r="KOX42" s="344"/>
      <c r="KOY42" s="344"/>
      <c r="KOZ42" s="344"/>
      <c r="KPA42" s="344"/>
      <c r="KPB42" s="344"/>
      <c r="KPC42" s="344"/>
      <c r="KPD42" s="344"/>
      <c r="KPE42" s="344"/>
      <c r="KPF42" s="344"/>
      <c r="KPG42" s="344"/>
      <c r="KPH42" s="344"/>
      <c r="KPI42" s="344"/>
      <c r="KPJ42" s="344"/>
      <c r="KPK42" s="344"/>
      <c r="KPL42" s="344"/>
      <c r="KPM42" s="344"/>
      <c r="KPN42" s="344"/>
      <c r="KPO42" s="344"/>
      <c r="KPP42" s="344"/>
      <c r="KPQ42" s="344"/>
      <c r="KPR42" s="344"/>
      <c r="KPS42" s="344"/>
      <c r="KPT42" s="344"/>
      <c r="KPU42" s="344"/>
      <c r="KPV42" s="344"/>
      <c r="KPW42" s="344"/>
      <c r="KPX42" s="344"/>
      <c r="KPY42" s="344"/>
      <c r="KPZ42" s="344"/>
      <c r="KQA42" s="344"/>
      <c r="KQB42" s="344"/>
      <c r="KQC42" s="344"/>
      <c r="KQD42" s="344"/>
      <c r="KQE42" s="344"/>
      <c r="KQF42" s="344"/>
      <c r="KQG42" s="344"/>
      <c r="KQH42" s="344"/>
      <c r="KQI42" s="344"/>
      <c r="KQJ42" s="344"/>
      <c r="KQK42" s="344"/>
      <c r="KQL42" s="344"/>
      <c r="KQM42" s="344"/>
      <c r="KQN42" s="344"/>
      <c r="KQO42" s="344"/>
      <c r="KQP42" s="344"/>
      <c r="KQQ42" s="344"/>
      <c r="KQR42" s="344"/>
      <c r="KQS42" s="344"/>
      <c r="KQT42" s="344"/>
      <c r="KQU42" s="344"/>
      <c r="KQV42" s="344"/>
      <c r="KQW42" s="344"/>
      <c r="KQX42" s="344"/>
      <c r="KQY42" s="344"/>
      <c r="KQZ42" s="344"/>
      <c r="KRA42" s="344"/>
      <c r="KRB42" s="344"/>
      <c r="KRC42" s="344"/>
      <c r="KRD42" s="344"/>
      <c r="KRE42" s="344"/>
      <c r="KRF42" s="344"/>
      <c r="KRG42" s="344"/>
      <c r="KRH42" s="344"/>
      <c r="KRI42" s="344"/>
      <c r="KRJ42" s="344"/>
      <c r="KRK42" s="344"/>
      <c r="KRL42" s="344"/>
      <c r="KRM42" s="344"/>
      <c r="KRN42" s="344"/>
      <c r="KRO42" s="344"/>
      <c r="KRP42" s="344"/>
      <c r="KRQ42" s="344"/>
      <c r="KRR42" s="344"/>
      <c r="KRS42" s="344"/>
      <c r="KRT42" s="344"/>
      <c r="KRU42" s="344"/>
      <c r="KRV42" s="344"/>
      <c r="KRW42" s="344"/>
      <c r="KRX42" s="344"/>
      <c r="KRY42" s="344"/>
      <c r="KRZ42" s="344"/>
      <c r="KSA42" s="344"/>
      <c r="KSB42" s="344"/>
      <c r="KSC42" s="344"/>
      <c r="KSD42" s="344"/>
      <c r="KSE42" s="344"/>
      <c r="KSF42" s="344"/>
      <c r="KSG42" s="344"/>
      <c r="KSH42" s="344"/>
      <c r="KSI42" s="344"/>
      <c r="KSJ42" s="344"/>
      <c r="KSK42" s="344"/>
      <c r="KSL42" s="344"/>
      <c r="KSM42" s="344"/>
      <c r="KSN42" s="344"/>
      <c r="KSO42" s="344"/>
      <c r="KSP42" s="344"/>
      <c r="KSQ42" s="344"/>
      <c r="KSR42" s="344"/>
      <c r="KSS42" s="344"/>
      <c r="KST42" s="344"/>
      <c r="KSU42" s="344"/>
      <c r="KSV42" s="344"/>
      <c r="KSW42" s="344"/>
      <c r="KSX42" s="344"/>
      <c r="KSY42" s="344"/>
      <c r="KSZ42" s="344"/>
      <c r="KTA42" s="344"/>
      <c r="KTB42" s="344"/>
      <c r="KTC42" s="344"/>
      <c r="KTD42" s="344"/>
      <c r="KTE42" s="344"/>
      <c r="KTF42" s="344"/>
      <c r="KTG42" s="344"/>
      <c r="KTH42" s="344"/>
      <c r="KTI42" s="344"/>
      <c r="KTJ42" s="344"/>
      <c r="KTK42" s="344"/>
      <c r="KTL42" s="344"/>
      <c r="KTM42" s="344"/>
      <c r="KTN42" s="344"/>
      <c r="KTO42" s="344"/>
      <c r="KTP42" s="344"/>
      <c r="KTQ42" s="344"/>
      <c r="KTR42" s="344"/>
      <c r="KTS42" s="344"/>
      <c r="KTT42" s="344"/>
      <c r="KTU42" s="344"/>
      <c r="KTV42" s="344"/>
      <c r="KTW42" s="344"/>
      <c r="KTX42" s="344"/>
      <c r="KTY42" s="344"/>
      <c r="KTZ42" s="344"/>
      <c r="KUA42" s="344"/>
      <c r="KUB42" s="344"/>
      <c r="KUC42" s="344"/>
      <c r="KUD42" s="344"/>
      <c r="KUE42" s="344"/>
      <c r="KUF42" s="344"/>
      <c r="KUG42" s="344"/>
      <c r="KUH42" s="344"/>
      <c r="KUI42" s="344"/>
      <c r="KUJ42" s="344"/>
      <c r="KUK42" s="344"/>
      <c r="KUL42" s="344"/>
      <c r="KUM42" s="344"/>
      <c r="KUN42" s="344"/>
      <c r="KUO42" s="344"/>
      <c r="KUP42" s="344"/>
      <c r="KUQ42" s="344"/>
      <c r="KUR42" s="344"/>
      <c r="KUS42" s="344"/>
      <c r="KUT42" s="344"/>
      <c r="KUU42" s="344"/>
      <c r="KUV42" s="344"/>
      <c r="KUW42" s="344"/>
      <c r="KUX42" s="344"/>
      <c r="KUY42" s="344"/>
      <c r="KUZ42" s="344"/>
      <c r="KVA42" s="344"/>
      <c r="KVB42" s="344"/>
      <c r="KVC42" s="344"/>
      <c r="KVD42" s="344"/>
      <c r="KVE42" s="344"/>
      <c r="KVF42" s="344"/>
      <c r="KVG42" s="344"/>
      <c r="KVH42" s="344"/>
      <c r="KVI42" s="344"/>
      <c r="KVJ42" s="344"/>
      <c r="KVK42" s="344"/>
      <c r="KVL42" s="344"/>
      <c r="KVM42" s="344"/>
      <c r="KVN42" s="344"/>
      <c r="KVO42" s="344"/>
      <c r="KVP42" s="344"/>
      <c r="KVQ42" s="344"/>
      <c r="KVR42" s="344"/>
      <c r="KVS42" s="344"/>
      <c r="KVT42" s="344"/>
      <c r="KVU42" s="344"/>
      <c r="KVV42" s="344"/>
      <c r="KVW42" s="344"/>
      <c r="KVX42" s="344"/>
      <c r="KVY42" s="344"/>
      <c r="KVZ42" s="344"/>
      <c r="KWA42" s="344"/>
      <c r="KWB42" s="344"/>
      <c r="KWC42" s="344"/>
      <c r="KWD42" s="344"/>
      <c r="KWE42" s="344"/>
      <c r="KWF42" s="344"/>
      <c r="KWG42" s="344"/>
      <c r="KWH42" s="344"/>
      <c r="KWI42" s="344"/>
      <c r="KWJ42" s="344"/>
      <c r="KWK42" s="344"/>
      <c r="KWL42" s="344"/>
      <c r="KWM42" s="344"/>
      <c r="KWN42" s="344"/>
      <c r="KWO42" s="344"/>
      <c r="KWP42" s="344"/>
      <c r="KWQ42" s="344"/>
      <c r="KWR42" s="344"/>
      <c r="KWS42" s="344"/>
      <c r="KWT42" s="344"/>
      <c r="KWU42" s="344"/>
      <c r="KWV42" s="344"/>
      <c r="KWW42" s="344"/>
      <c r="KWX42" s="344"/>
      <c r="KWY42" s="344"/>
      <c r="KWZ42" s="344"/>
      <c r="KXA42" s="344"/>
      <c r="KXB42" s="344"/>
      <c r="KXC42" s="344"/>
      <c r="KXD42" s="344"/>
      <c r="KXE42" s="344"/>
      <c r="KXF42" s="344"/>
      <c r="KXG42" s="344"/>
      <c r="KXH42" s="344"/>
      <c r="KXI42" s="344"/>
      <c r="KXJ42" s="344"/>
      <c r="KXK42" s="344"/>
      <c r="KXL42" s="344"/>
      <c r="KXM42" s="344"/>
      <c r="KXN42" s="344"/>
      <c r="KXO42" s="344"/>
      <c r="KXP42" s="344"/>
      <c r="KXQ42" s="344"/>
      <c r="KXR42" s="344"/>
      <c r="KXS42" s="344"/>
      <c r="KXT42" s="344"/>
      <c r="KXU42" s="344"/>
      <c r="KXV42" s="344"/>
      <c r="KXW42" s="344"/>
      <c r="KXX42" s="344"/>
      <c r="KXY42" s="344"/>
      <c r="KXZ42" s="344"/>
      <c r="KYA42" s="344"/>
      <c r="KYB42" s="344"/>
      <c r="KYC42" s="344"/>
      <c r="KYD42" s="344"/>
      <c r="KYE42" s="344"/>
      <c r="KYF42" s="344"/>
      <c r="KYG42" s="344"/>
      <c r="KYH42" s="344"/>
      <c r="KYI42" s="344"/>
      <c r="KYJ42" s="344"/>
      <c r="KYK42" s="344"/>
      <c r="KYL42" s="344"/>
      <c r="KYM42" s="344"/>
      <c r="KYN42" s="344"/>
      <c r="KYO42" s="344"/>
      <c r="KYP42" s="344"/>
      <c r="KYQ42" s="344"/>
      <c r="KYR42" s="344"/>
      <c r="KYS42" s="344"/>
      <c r="KYT42" s="344"/>
      <c r="KYU42" s="344"/>
      <c r="KYV42" s="344"/>
      <c r="KYW42" s="344"/>
      <c r="KYX42" s="344"/>
      <c r="KYY42" s="344"/>
      <c r="KYZ42" s="344"/>
      <c r="KZA42" s="344"/>
      <c r="KZB42" s="344"/>
      <c r="KZC42" s="344"/>
      <c r="KZD42" s="344"/>
      <c r="KZE42" s="344"/>
      <c r="KZF42" s="344"/>
      <c r="KZG42" s="344"/>
      <c r="KZH42" s="344"/>
      <c r="KZI42" s="344"/>
      <c r="KZJ42" s="344"/>
      <c r="KZK42" s="344"/>
      <c r="KZL42" s="344"/>
      <c r="KZM42" s="344"/>
      <c r="KZN42" s="344"/>
      <c r="KZO42" s="344"/>
      <c r="KZP42" s="344"/>
      <c r="KZQ42" s="344"/>
      <c r="KZR42" s="344"/>
      <c r="KZS42" s="344"/>
      <c r="KZT42" s="344"/>
      <c r="KZU42" s="344"/>
      <c r="KZV42" s="344"/>
      <c r="KZW42" s="344"/>
      <c r="KZX42" s="344"/>
      <c r="KZY42" s="344"/>
      <c r="KZZ42" s="344"/>
      <c r="LAA42" s="344"/>
      <c r="LAB42" s="344"/>
      <c r="LAC42" s="344"/>
      <c r="LAD42" s="344"/>
      <c r="LAE42" s="344"/>
      <c r="LAF42" s="344"/>
      <c r="LAG42" s="344"/>
      <c r="LAH42" s="344"/>
      <c r="LAI42" s="344"/>
      <c r="LAJ42" s="344"/>
      <c r="LAK42" s="344"/>
      <c r="LAL42" s="344"/>
      <c r="LAM42" s="344"/>
      <c r="LAN42" s="344"/>
      <c r="LAO42" s="344"/>
      <c r="LAP42" s="344"/>
      <c r="LAQ42" s="344"/>
      <c r="LAR42" s="344"/>
      <c r="LAS42" s="344"/>
      <c r="LAT42" s="344"/>
      <c r="LAU42" s="344"/>
      <c r="LAV42" s="344"/>
      <c r="LAW42" s="344"/>
      <c r="LAX42" s="344"/>
      <c r="LAY42" s="344"/>
      <c r="LAZ42" s="344"/>
      <c r="LBA42" s="344"/>
      <c r="LBB42" s="344"/>
      <c r="LBC42" s="344"/>
      <c r="LBD42" s="344"/>
      <c r="LBE42" s="344"/>
      <c r="LBF42" s="344"/>
      <c r="LBG42" s="344"/>
      <c r="LBH42" s="344"/>
      <c r="LBI42" s="344"/>
      <c r="LBJ42" s="344"/>
      <c r="LBK42" s="344"/>
      <c r="LBL42" s="344"/>
      <c r="LBM42" s="344"/>
      <c r="LBN42" s="344"/>
      <c r="LBO42" s="344"/>
      <c r="LBP42" s="344"/>
      <c r="LBQ42" s="344"/>
      <c r="LBR42" s="344"/>
      <c r="LBS42" s="344"/>
      <c r="LBT42" s="344"/>
      <c r="LBU42" s="344"/>
      <c r="LBV42" s="344"/>
      <c r="LBW42" s="344"/>
      <c r="LBX42" s="344"/>
      <c r="LBY42" s="344"/>
      <c r="LBZ42" s="344"/>
      <c r="LCA42" s="344"/>
      <c r="LCB42" s="344"/>
      <c r="LCC42" s="344"/>
      <c r="LCD42" s="344"/>
      <c r="LCE42" s="344"/>
      <c r="LCF42" s="344"/>
      <c r="LCG42" s="344"/>
      <c r="LCH42" s="344"/>
      <c r="LCI42" s="344"/>
      <c r="LCJ42" s="344"/>
      <c r="LCK42" s="344"/>
      <c r="LCL42" s="344"/>
      <c r="LCM42" s="344"/>
      <c r="LCN42" s="344"/>
      <c r="LCO42" s="344"/>
      <c r="LCP42" s="344"/>
      <c r="LCQ42" s="344"/>
      <c r="LCR42" s="344"/>
      <c r="LCS42" s="344"/>
      <c r="LCT42" s="344"/>
      <c r="LCU42" s="344"/>
      <c r="LCV42" s="344"/>
      <c r="LCW42" s="344"/>
      <c r="LCX42" s="344"/>
      <c r="LCY42" s="344"/>
      <c r="LCZ42" s="344"/>
      <c r="LDA42" s="344"/>
      <c r="LDB42" s="344"/>
      <c r="LDC42" s="344"/>
      <c r="LDD42" s="344"/>
      <c r="LDE42" s="344"/>
      <c r="LDF42" s="344"/>
      <c r="LDG42" s="344"/>
      <c r="LDH42" s="344"/>
      <c r="LDI42" s="344"/>
      <c r="LDJ42" s="344"/>
      <c r="LDK42" s="344"/>
      <c r="LDL42" s="344"/>
      <c r="LDM42" s="344"/>
      <c r="LDN42" s="344"/>
      <c r="LDO42" s="344"/>
      <c r="LDP42" s="344"/>
      <c r="LDQ42" s="344"/>
      <c r="LDR42" s="344"/>
      <c r="LDS42" s="344"/>
      <c r="LDT42" s="344"/>
      <c r="LDU42" s="344"/>
      <c r="LDV42" s="344"/>
      <c r="LDW42" s="344"/>
      <c r="LDX42" s="344"/>
      <c r="LDY42" s="344"/>
      <c r="LDZ42" s="344"/>
      <c r="LEA42" s="344"/>
      <c r="LEB42" s="344"/>
      <c r="LEC42" s="344"/>
      <c r="LED42" s="344"/>
      <c r="LEE42" s="344"/>
      <c r="LEF42" s="344"/>
      <c r="LEG42" s="344"/>
      <c r="LEH42" s="344"/>
      <c r="LEI42" s="344"/>
      <c r="LEJ42" s="344"/>
      <c r="LEK42" s="344"/>
      <c r="LEL42" s="344"/>
      <c r="LEM42" s="344"/>
      <c r="LEN42" s="344"/>
      <c r="LEO42" s="344"/>
      <c r="LEP42" s="344"/>
      <c r="LEQ42" s="344"/>
      <c r="LER42" s="344"/>
      <c r="LES42" s="344"/>
      <c r="LET42" s="344"/>
      <c r="LEU42" s="344"/>
      <c r="LEV42" s="344"/>
      <c r="LEW42" s="344"/>
      <c r="LEX42" s="344"/>
      <c r="LEY42" s="344"/>
      <c r="LEZ42" s="344"/>
      <c r="LFA42" s="344"/>
      <c r="LFB42" s="344"/>
      <c r="LFC42" s="344"/>
      <c r="LFD42" s="344"/>
      <c r="LFE42" s="344"/>
      <c r="LFF42" s="344"/>
      <c r="LFG42" s="344"/>
      <c r="LFH42" s="344"/>
      <c r="LFI42" s="344"/>
      <c r="LFJ42" s="344"/>
      <c r="LFK42" s="344"/>
      <c r="LFL42" s="344"/>
      <c r="LFM42" s="344"/>
      <c r="LFN42" s="344"/>
      <c r="LFO42" s="344"/>
      <c r="LFP42" s="344"/>
      <c r="LFQ42" s="344"/>
      <c r="LFR42" s="344"/>
      <c r="LFS42" s="344"/>
      <c r="LFT42" s="344"/>
      <c r="LFU42" s="344"/>
      <c r="LFV42" s="344"/>
      <c r="LFW42" s="344"/>
      <c r="LFX42" s="344"/>
      <c r="LFY42" s="344"/>
      <c r="LFZ42" s="344"/>
      <c r="LGA42" s="344"/>
      <c r="LGB42" s="344"/>
      <c r="LGC42" s="344"/>
      <c r="LGD42" s="344"/>
      <c r="LGE42" s="344"/>
      <c r="LGF42" s="344"/>
      <c r="LGG42" s="344"/>
      <c r="LGH42" s="344"/>
      <c r="LGI42" s="344"/>
      <c r="LGJ42" s="344"/>
      <c r="LGK42" s="344"/>
      <c r="LGL42" s="344"/>
      <c r="LGM42" s="344"/>
      <c r="LGN42" s="344"/>
      <c r="LGO42" s="344"/>
      <c r="LGP42" s="344"/>
      <c r="LGQ42" s="344"/>
      <c r="LGR42" s="344"/>
      <c r="LGS42" s="344"/>
      <c r="LGT42" s="344"/>
      <c r="LGU42" s="344"/>
      <c r="LGV42" s="344"/>
      <c r="LGW42" s="344"/>
      <c r="LGX42" s="344"/>
      <c r="LGY42" s="344"/>
      <c r="LGZ42" s="344"/>
      <c r="LHA42" s="344"/>
      <c r="LHB42" s="344"/>
      <c r="LHC42" s="344"/>
      <c r="LHD42" s="344"/>
      <c r="LHE42" s="344"/>
      <c r="LHF42" s="344"/>
      <c r="LHG42" s="344"/>
      <c r="LHH42" s="344"/>
      <c r="LHI42" s="344"/>
      <c r="LHJ42" s="344"/>
      <c r="LHK42" s="344"/>
      <c r="LHL42" s="344"/>
      <c r="LHM42" s="344"/>
      <c r="LHN42" s="344"/>
      <c r="LHO42" s="344"/>
      <c r="LHP42" s="344"/>
      <c r="LHQ42" s="344"/>
      <c r="LHR42" s="344"/>
      <c r="LHS42" s="344"/>
      <c r="LHT42" s="344"/>
      <c r="LHU42" s="344"/>
      <c r="LHV42" s="344"/>
      <c r="LHW42" s="344"/>
      <c r="LHX42" s="344"/>
      <c r="LHY42" s="344"/>
      <c r="LHZ42" s="344"/>
      <c r="LIA42" s="344"/>
      <c r="LIB42" s="344"/>
      <c r="LIC42" s="344"/>
      <c r="LID42" s="344"/>
      <c r="LIE42" s="344"/>
      <c r="LIF42" s="344"/>
      <c r="LIG42" s="344"/>
      <c r="LIH42" s="344"/>
      <c r="LII42" s="344"/>
      <c r="LIJ42" s="344"/>
      <c r="LIK42" s="344"/>
      <c r="LIL42" s="344"/>
      <c r="LIM42" s="344"/>
      <c r="LIN42" s="344"/>
      <c r="LIO42" s="344"/>
      <c r="LIP42" s="344"/>
      <c r="LIQ42" s="344"/>
      <c r="LIR42" s="344"/>
      <c r="LIS42" s="344"/>
      <c r="LIT42" s="344"/>
      <c r="LIU42" s="344"/>
      <c r="LIV42" s="344"/>
      <c r="LIW42" s="344"/>
      <c r="LIX42" s="344"/>
      <c r="LIY42" s="344"/>
      <c r="LIZ42" s="344"/>
      <c r="LJA42" s="344"/>
      <c r="LJB42" s="344"/>
      <c r="LJC42" s="344"/>
      <c r="LJD42" s="344"/>
      <c r="LJE42" s="344"/>
      <c r="LJF42" s="344"/>
      <c r="LJG42" s="344"/>
      <c r="LJH42" s="344"/>
      <c r="LJI42" s="344"/>
      <c r="LJJ42" s="344"/>
      <c r="LJK42" s="344"/>
      <c r="LJL42" s="344"/>
      <c r="LJM42" s="344"/>
      <c r="LJN42" s="344"/>
      <c r="LJO42" s="344"/>
      <c r="LJP42" s="344"/>
      <c r="LJQ42" s="344"/>
      <c r="LJR42" s="344"/>
      <c r="LJS42" s="344"/>
      <c r="LJT42" s="344"/>
      <c r="LJU42" s="344"/>
      <c r="LJV42" s="344"/>
      <c r="LJW42" s="344"/>
      <c r="LJX42" s="344"/>
      <c r="LJY42" s="344"/>
      <c r="LJZ42" s="344"/>
      <c r="LKA42" s="344"/>
      <c r="LKB42" s="344"/>
      <c r="LKC42" s="344"/>
      <c r="LKD42" s="344"/>
      <c r="LKE42" s="344"/>
      <c r="LKF42" s="344"/>
      <c r="LKG42" s="344"/>
      <c r="LKH42" s="344"/>
      <c r="LKI42" s="344"/>
      <c r="LKJ42" s="344"/>
      <c r="LKK42" s="344"/>
      <c r="LKL42" s="344"/>
      <c r="LKM42" s="344"/>
      <c r="LKN42" s="344"/>
      <c r="LKO42" s="344"/>
      <c r="LKP42" s="344"/>
      <c r="LKQ42" s="344"/>
      <c r="LKR42" s="344"/>
      <c r="LKS42" s="344"/>
      <c r="LKT42" s="344"/>
      <c r="LKU42" s="344"/>
      <c r="LKV42" s="344"/>
      <c r="LKW42" s="344"/>
      <c r="LKX42" s="344"/>
      <c r="LKY42" s="344"/>
      <c r="LKZ42" s="344"/>
      <c r="LLA42" s="344"/>
      <c r="LLB42" s="344"/>
      <c r="LLC42" s="344"/>
      <c r="LLD42" s="344"/>
      <c r="LLE42" s="344"/>
      <c r="LLF42" s="344"/>
      <c r="LLG42" s="344"/>
      <c r="LLH42" s="344"/>
      <c r="LLI42" s="344"/>
      <c r="LLJ42" s="344"/>
      <c r="LLK42" s="344"/>
      <c r="LLL42" s="344"/>
      <c r="LLM42" s="344"/>
      <c r="LLN42" s="344"/>
      <c r="LLO42" s="344"/>
      <c r="LLP42" s="344"/>
      <c r="LLQ42" s="344"/>
      <c r="LLR42" s="344"/>
      <c r="LLS42" s="344"/>
      <c r="LLT42" s="344"/>
      <c r="LLU42" s="344"/>
      <c r="LLV42" s="344"/>
      <c r="LLW42" s="344"/>
      <c r="LLX42" s="344"/>
      <c r="LLY42" s="344"/>
      <c r="LLZ42" s="344"/>
      <c r="LMA42" s="344"/>
      <c r="LMB42" s="344"/>
      <c r="LMC42" s="344"/>
      <c r="LMD42" s="344"/>
      <c r="LME42" s="344"/>
      <c r="LMF42" s="344"/>
      <c r="LMG42" s="344"/>
      <c r="LMH42" s="344"/>
      <c r="LMI42" s="344"/>
      <c r="LMJ42" s="344"/>
      <c r="LMK42" s="344"/>
      <c r="LML42" s="344"/>
      <c r="LMM42" s="344"/>
      <c r="LMN42" s="344"/>
      <c r="LMO42" s="344"/>
      <c r="LMP42" s="344"/>
      <c r="LMQ42" s="344"/>
      <c r="LMR42" s="344"/>
      <c r="LMS42" s="344"/>
      <c r="LMT42" s="344"/>
      <c r="LMU42" s="344"/>
      <c r="LMV42" s="344"/>
      <c r="LMW42" s="344"/>
      <c r="LMX42" s="344"/>
      <c r="LMY42" s="344"/>
      <c r="LMZ42" s="344"/>
      <c r="LNA42" s="344"/>
      <c r="LNB42" s="344"/>
      <c r="LNC42" s="344"/>
      <c r="LND42" s="344"/>
      <c r="LNE42" s="344"/>
      <c r="LNF42" s="344"/>
      <c r="LNG42" s="344"/>
      <c r="LNH42" s="344"/>
      <c r="LNI42" s="344"/>
      <c r="LNJ42" s="344"/>
      <c r="LNK42" s="344"/>
      <c r="LNL42" s="344"/>
      <c r="LNM42" s="344"/>
      <c r="LNN42" s="344"/>
      <c r="LNO42" s="344"/>
      <c r="LNP42" s="344"/>
      <c r="LNQ42" s="344"/>
      <c r="LNR42" s="344"/>
      <c r="LNS42" s="344"/>
      <c r="LNT42" s="344"/>
      <c r="LNU42" s="344"/>
      <c r="LNV42" s="344"/>
      <c r="LNW42" s="344"/>
      <c r="LNX42" s="344"/>
      <c r="LNY42" s="344"/>
      <c r="LNZ42" s="344"/>
      <c r="LOA42" s="344"/>
      <c r="LOB42" s="344"/>
      <c r="LOC42" s="344"/>
      <c r="LOD42" s="344"/>
      <c r="LOE42" s="344"/>
      <c r="LOF42" s="344"/>
      <c r="LOG42" s="344"/>
      <c r="LOH42" s="344"/>
      <c r="LOI42" s="344"/>
      <c r="LOJ42" s="344"/>
      <c r="LOK42" s="344"/>
      <c r="LOL42" s="344"/>
      <c r="LOM42" s="344"/>
      <c r="LON42" s="344"/>
      <c r="LOO42" s="344"/>
      <c r="LOP42" s="344"/>
      <c r="LOQ42" s="344"/>
      <c r="LOR42" s="344"/>
      <c r="LOS42" s="344"/>
      <c r="LOT42" s="344"/>
      <c r="LOU42" s="344"/>
      <c r="LOV42" s="344"/>
      <c r="LOW42" s="344"/>
      <c r="LOX42" s="344"/>
      <c r="LOY42" s="344"/>
      <c r="LOZ42" s="344"/>
      <c r="LPA42" s="344"/>
      <c r="LPB42" s="344"/>
      <c r="LPC42" s="344"/>
      <c r="LPD42" s="344"/>
      <c r="LPE42" s="344"/>
      <c r="LPF42" s="344"/>
      <c r="LPG42" s="344"/>
      <c r="LPH42" s="344"/>
      <c r="LPI42" s="344"/>
      <c r="LPJ42" s="344"/>
      <c r="LPK42" s="344"/>
      <c r="LPL42" s="344"/>
      <c r="LPM42" s="344"/>
      <c r="LPN42" s="344"/>
      <c r="LPO42" s="344"/>
      <c r="LPP42" s="344"/>
      <c r="LPQ42" s="344"/>
      <c r="LPR42" s="344"/>
      <c r="LPS42" s="344"/>
      <c r="LPT42" s="344"/>
      <c r="LPU42" s="344"/>
      <c r="LPV42" s="344"/>
      <c r="LPW42" s="344"/>
      <c r="LPX42" s="344"/>
      <c r="LPY42" s="344"/>
      <c r="LPZ42" s="344"/>
      <c r="LQA42" s="344"/>
      <c r="LQB42" s="344"/>
      <c r="LQC42" s="344"/>
      <c r="LQD42" s="344"/>
      <c r="LQE42" s="344"/>
      <c r="LQF42" s="344"/>
      <c r="LQG42" s="344"/>
      <c r="LQH42" s="344"/>
      <c r="LQI42" s="344"/>
      <c r="LQJ42" s="344"/>
      <c r="LQK42" s="344"/>
      <c r="LQL42" s="344"/>
      <c r="LQM42" s="344"/>
      <c r="LQN42" s="344"/>
      <c r="LQO42" s="344"/>
      <c r="LQP42" s="344"/>
      <c r="LQQ42" s="344"/>
      <c r="LQR42" s="344"/>
      <c r="LQS42" s="344"/>
      <c r="LQT42" s="344"/>
      <c r="LQU42" s="344"/>
      <c r="LQV42" s="344"/>
      <c r="LQW42" s="344"/>
      <c r="LQX42" s="344"/>
      <c r="LQY42" s="344"/>
      <c r="LQZ42" s="344"/>
      <c r="LRA42" s="344"/>
      <c r="LRB42" s="344"/>
      <c r="LRC42" s="344"/>
      <c r="LRD42" s="344"/>
      <c r="LRE42" s="344"/>
      <c r="LRF42" s="344"/>
      <c r="LRG42" s="344"/>
      <c r="LRH42" s="344"/>
      <c r="LRI42" s="344"/>
      <c r="LRJ42" s="344"/>
      <c r="LRK42" s="344"/>
      <c r="LRL42" s="344"/>
      <c r="LRM42" s="344"/>
      <c r="LRN42" s="344"/>
      <c r="LRO42" s="344"/>
      <c r="LRP42" s="344"/>
      <c r="LRQ42" s="344"/>
      <c r="LRR42" s="344"/>
      <c r="LRS42" s="344"/>
      <c r="LRT42" s="344"/>
      <c r="LRU42" s="344"/>
      <c r="LRV42" s="344"/>
      <c r="LRW42" s="344"/>
      <c r="LRX42" s="344"/>
      <c r="LRY42" s="344"/>
      <c r="LRZ42" s="344"/>
      <c r="LSA42" s="344"/>
      <c r="LSB42" s="344"/>
      <c r="LSC42" s="344"/>
      <c r="LSD42" s="344"/>
      <c r="LSE42" s="344"/>
      <c r="LSF42" s="344"/>
      <c r="LSG42" s="344"/>
      <c r="LSH42" s="344"/>
      <c r="LSI42" s="344"/>
      <c r="LSJ42" s="344"/>
      <c r="LSK42" s="344"/>
      <c r="LSL42" s="344"/>
      <c r="LSM42" s="344"/>
      <c r="LSN42" s="344"/>
      <c r="LSO42" s="344"/>
      <c r="LSP42" s="344"/>
      <c r="LSQ42" s="344"/>
      <c r="LSR42" s="344"/>
      <c r="LSS42" s="344"/>
      <c r="LST42" s="344"/>
      <c r="LSU42" s="344"/>
      <c r="LSV42" s="344"/>
      <c r="LSW42" s="344"/>
      <c r="LSX42" s="344"/>
      <c r="LSY42" s="344"/>
      <c r="LSZ42" s="344"/>
      <c r="LTA42" s="344"/>
      <c r="LTB42" s="344"/>
      <c r="LTC42" s="344"/>
      <c r="LTD42" s="344"/>
      <c r="LTE42" s="344"/>
      <c r="LTF42" s="344"/>
      <c r="LTG42" s="344"/>
      <c r="LTH42" s="344"/>
      <c r="LTI42" s="344"/>
      <c r="LTJ42" s="344"/>
      <c r="LTK42" s="344"/>
      <c r="LTL42" s="344"/>
      <c r="LTM42" s="344"/>
      <c r="LTN42" s="344"/>
      <c r="LTO42" s="344"/>
      <c r="LTP42" s="344"/>
      <c r="LTQ42" s="344"/>
      <c r="LTR42" s="344"/>
      <c r="LTS42" s="344"/>
      <c r="LTT42" s="344"/>
      <c r="LTU42" s="344"/>
      <c r="LTV42" s="344"/>
      <c r="LTW42" s="344"/>
      <c r="LTX42" s="344"/>
      <c r="LTY42" s="344"/>
      <c r="LTZ42" s="344"/>
      <c r="LUA42" s="344"/>
      <c r="LUB42" s="344"/>
      <c r="LUC42" s="344"/>
      <c r="LUD42" s="344"/>
      <c r="LUE42" s="344"/>
      <c r="LUF42" s="344"/>
      <c r="LUG42" s="344"/>
      <c r="LUH42" s="344"/>
      <c r="LUI42" s="344"/>
      <c r="LUJ42" s="344"/>
      <c r="LUK42" s="344"/>
      <c r="LUL42" s="344"/>
      <c r="LUM42" s="344"/>
      <c r="LUN42" s="344"/>
      <c r="LUO42" s="344"/>
      <c r="LUP42" s="344"/>
      <c r="LUQ42" s="344"/>
      <c r="LUR42" s="344"/>
      <c r="LUS42" s="344"/>
      <c r="LUT42" s="344"/>
      <c r="LUU42" s="344"/>
      <c r="LUV42" s="344"/>
      <c r="LUW42" s="344"/>
      <c r="LUX42" s="344"/>
      <c r="LUY42" s="344"/>
      <c r="LUZ42" s="344"/>
      <c r="LVA42" s="344"/>
      <c r="LVB42" s="344"/>
      <c r="LVC42" s="344"/>
      <c r="LVD42" s="344"/>
      <c r="LVE42" s="344"/>
      <c r="LVF42" s="344"/>
      <c r="LVG42" s="344"/>
      <c r="LVH42" s="344"/>
      <c r="LVI42" s="344"/>
      <c r="LVJ42" s="344"/>
      <c r="LVK42" s="344"/>
      <c r="LVL42" s="344"/>
      <c r="LVM42" s="344"/>
      <c r="LVN42" s="344"/>
      <c r="LVO42" s="344"/>
      <c r="LVP42" s="344"/>
      <c r="LVQ42" s="344"/>
      <c r="LVR42" s="344"/>
      <c r="LVS42" s="344"/>
      <c r="LVT42" s="344"/>
      <c r="LVU42" s="344"/>
      <c r="LVV42" s="344"/>
      <c r="LVW42" s="344"/>
      <c r="LVX42" s="344"/>
      <c r="LVY42" s="344"/>
      <c r="LVZ42" s="344"/>
      <c r="LWA42" s="344"/>
      <c r="LWB42" s="344"/>
      <c r="LWC42" s="344"/>
      <c r="LWD42" s="344"/>
      <c r="LWE42" s="344"/>
      <c r="LWF42" s="344"/>
      <c r="LWG42" s="344"/>
      <c r="LWH42" s="344"/>
      <c r="LWI42" s="344"/>
      <c r="LWJ42" s="344"/>
      <c r="LWK42" s="344"/>
      <c r="LWL42" s="344"/>
      <c r="LWM42" s="344"/>
      <c r="LWN42" s="344"/>
      <c r="LWO42" s="344"/>
      <c r="LWP42" s="344"/>
      <c r="LWQ42" s="344"/>
      <c r="LWR42" s="344"/>
      <c r="LWS42" s="344"/>
      <c r="LWT42" s="344"/>
      <c r="LWU42" s="344"/>
      <c r="LWV42" s="344"/>
      <c r="LWW42" s="344"/>
      <c r="LWX42" s="344"/>
      <c r="LWY42" s="344"/>
      <c r="LWZ42" s="344"/>
      <c r="LXA42" s="344"/>
      <c r="LXB42" s="344"/>
      <c r="LXC42" s="344"/>
      <c r="LXD42" s="344"/>
      <c r="LXE42" s="344"/>
      <c r="LXF42" s="344"/>
      <c r="LXG42" s="344"/>
      <c r="LXH42" s="344"/>
      <c r="LXI42" s="344"/>
      <c r="LXJ42" s="344"/>
      <c r="LXK42" s="344"/>
      <c r="LXL42" s="344"/>
      <c r="LXM42" s="344"/>
      <c r="LXN42" s="344"/>
      <c r="LXO42" s="344"/>
      <c r="LXP42" s="344"/>
      <c r="LXQ42" s="344"/>
      <c r="LXR42" s="344"/>
      <c r="LXS42" s="344"/>
      <c r="LXT42" s="344"/>
      <c r="LXU42" s="344"/>
      <c r="LXV42" s="344"/>
      <c r="LXW42" s="344"/>
      <c r="LXX42" s="344"/>
      <c r="LXY42" s="344"/>
      <c r="LXZ42" s="344"/>
      <c r="LYA42" s="344"/>
      <c r="LYB42" s="344"/>
      <c r="LYC42" s="344"/>
      <c r="LYD42" s="344"/>
      <c r="LYE42" s="344"/>
      <c r="LYF42" s="344"/>
      <c r="LYG42" s="344"/>
      <c r="LYH42" s="344"/>
      <c r="LYI42" s="344"/>
      <c r="LYJ42" s="344"/>
      <c r="LYK42" s="344"/>
      <c r="LYL42" s="344"/>
      <c r="LYM42" s="344"/>
      <c r="LYN42" s="344"/>
      <c r="LYO42" s="344"/>
      <c r="LYP42" s="344"/>
      <c r="LYQ42" s="344"/>
      <c r="LYR42" s="344"/>
      <c r="LYS42" s="344"/>
      <c r="LYT42" s="344"/>
      <c r="LYU42" s="344"/>
      <c r="LYV42" s="344"/>
      <c r="LYW42" s="344"/>
      <c r="LYX42" s="344"/>
      <c r="LYY42" s="344"/>
      <c r="LYZ42" s="344"/>
      <c r="LZA42" s="344"/>
      <c r="LZB42" s="344"/>
      <c r="LZC42" s="344"/>
      <c r="LZD42" s="344"/>
      <c r="LZE42" s="344"/>
      <c r="LZF42" s="344"/>
      <c r="LZG42" s="344"/>
      <c r="LZH42" s="344"/>
      <c r="LZI42" s="344"/>
      <c r="LZJ42" s="344"/>
      <c r="LZK42" s="344"/>
      <c r="LZL42" s="344"/>
      <c r="LZM42" s="344"/>
      <c r="LZN42" s="344"/>
      <c r="LZO42" s="344"/>
      <c r="LZP42" s="344"/>
      <c r="LZQ42" s="344"/>
      <c r="LZR42" s="344"/>
      <c r="LZS42" s="344"/>
      <c r="LZT42" s="344"/>
      <c r="LZU42" s="344"/>
      <c r="LZV42" s="344"/>
      <c r="LZW42" s="344"/>
      <c r="LZX42" s="344"/>
      <c r="LZY42" s="344"/>
      <c r="LZZ42" s="344"/>
      <c r="MAA42" s="344"/>
      <c r="MAB42" s="344"/>
      <c r="MAC42" s="344"/>
      <c r="MAD42" s="344"/>
      <c r="MAE42" s="344"/>
      <c r="MAF42" s="344"/>
      <c r="MAG42" s="344"/>
      <c r="MAH42" s="344"/>
      <c r="MAI42" s="344"/>
      <c r="MAJ42" s="344"/>
      <c r="MAK42" s="344"/>
      <c r="MAL42" s="344"/>
      <c r="MAM42" s="344"/>
      <c r="MAN42" s="344"/>
      <c r="MAO42" s="344"/>
      <c r="MAP42" s="344"/>
      <c r="MAQ42" s="344"/>
      <c r="MAR42" s="344"/>
      <c r="MAS42" s="344"/>
      <c r="MAT42" s="344"/>
      <c r="MAU42" s="344"/>
      <c r="MAV42" s="344"/>
      <c r="MAW42" s="344"/>
      <c r="MAX42" s="344"/>
      <c r="MAY42" s="344"/>
      <c r="MAZ42" s="344"/>
      <c r="MBA42" s="344"/>
      <c r="MBB42" s="344"/>
      <c r="MBC42" s="344"/>
      <c r="MBD42" s="344"/>
      <c r="MBE42" s="344"/>
      <c r="MBF42" s="344"/>
      <c r="MBG42" s="344"/>
      <c r="MBH42" s="344"/>
      <c r="MBI42" s="344"/>
      <c r="MBJ42" s="344"/>
      <c r="MBK42" s="344"/>
      <c r="MBL42" s="344"/>
      <c r="MBM42" s="344"/>
      <c r="MBN42" s="344"/>
      <c r="MBO42" s="344"/>
      <c r="MBP42" s="344"/>
      <c r="MBQ42" s="344"/>
      <c r="MBR42" s="344"/>
      <c r="MBS42" s="344"/>
      <c r="MBT42" s="344"/>
      <c r="MBU42" s="344"/>
      <c r="MBV42" s="344"/>
      <c r="MBW42" s="344"/>
      <c r="MBX42" s="344"/>
      <c r="MBY42" s="344"/>
      <c r="MBZ42" s="344"/>
      <c r="MCA42" s="344"/>
      <c r="MCB42" s="344"/>
      <c r="MCC42" s="344"/>
      <c r="MCD42" s="344"/>
      <c r="MCE42" s="344"/>
      <c r="MCF42" s="344"/>
      <c r="MCG42" s="344"/>
      <c r="MCH42" s="344"/>
      <c r="MCI42" s="344"/>
      <c r="MCJ42" s="344"/>
      <c r="MCK42" s="344"/>
      <c r="MCL42" s="344"/>
      <c r="MCM42" s="344"/>
      <c r="MCN42" s="344"/>
      <c r="MCO42" s="344"/>
      <c r="MCP42" s="344"/>
      <c r="MCQ42" s="344"/>
      <c r="MCR42" s="344"/>
      <c r="MCS42" s="344"/>
      <c r="MCT42" s="344"/>
      <c r="MCU42" s="344"/>
      <c r="MCV42" s="344"/>
      <c r="MCW42" s="344"/>
      <c r="MCX42" s="344"/>
      <c r="MCY42" s="344"/>
      <c r="MCZ42" s="344"/>
      <c r="MDA42" s="344"/>
      <c r="MDB42" s="344"/>
      <c r="MDC42" s="344"/>
      <c r="MDD42" s="344"/>
      <c r="MDE42" s="344"/>
      <c r="MDF42" s="344"/>
      <c r="MDG42" s="344"/>
      <c r="MDH42" s="344"/>
      <c r="MDI42" s="344"/>
      <c r="MDJ42" s="344"/>
      <c r="MDK42" s="344"/>
      <c r="MDL42" s="344"/>
      <c r="MDM42" s="344"/>
      <c r="MDN42" s="344"/>
      <c r="MDO42" s="344"/>
      <c r="MDP42" s="344"/>
      <c r="MDQ42" s="344"/>
      <c r="MDR42" s="344"/>
      <c r="MDS42" s="344"/>
      <c r="MDT42" s="344"/>
      <c r="MDU42" s="344"/>
      <c r="MDV42" s="344"/>
      <c r="MDW42" s="344"/>
      <c r="MDX42" s="344"/>
      <c r="MDY42" s="344"/>
      <c r="MDZ42" s="344"/>
      <c r="MEA42" s="344"/>
      <c r="MEB42" s="344"/>
      <c r="MEC42" s="344"/>
      <c r="MED42" s="344"/>
      <c r="MEE42" s="344"/>
      <c r="MEF42" s="344"/>
      <c r="MEG42" s="344"/>
      <c r="MEH42" s="344"/>
      <c r="MEI42" s="344"/>
      <c r="MEJ42" s="344"/>
      <c r="MEK42" s="344"/>
      <c r="MEL42" s="344"/>
      <c r="MEM42" s="344"/>
      <c r="MEN42" s="344"/>
      <c r="MEO42" s="344"/>
      <c r="MEP42" s="344"/>
      <c r="MEQ42" s="344"/>
      <c r="MER42" s="344"/>
      <c r="MES42" s="344"/>
      <c r="MET42" s="344"/>
      <c r="MEU42" s="344"/>
      <c r="MEV42" s="344"/>
      <c r="MEW42" s="344"/>
      <c r="MEX42" s="344"/>
      <c r="MEY42" s="344"/>
      <c r="MEZ42" s="344"/>
      <c r="MFA42" s="344"/>
      <c r="MFB42" s="344"/>
      <c r="MFC42" s="344"/>
      <c r="MFD42" s="344"/>
      <c r="MFE42" s="344"/>
      <c r="MFF42" s="344"/>
      <c r="MFG42" s="344"/>
      <c r="MFH42" s="344"/>
      <c r="MFI42" s="344"/>
      <c r="MFJ42" s="344"/>
      <c r="MFK42" s="344"/>
      <c r="MFL42" s="344"/>
      <c r="MFM42" s="344"/>
      <c r="MFN42" s="344"/>
      <c r="MFO42" s="344"/>
      <c r="MFP42" s="344"/>
      <c r="MFQ42" s="344"/>
      <c r="MFR42" s="344"/>
      <c r="MFS42" s="344"/>
      <c r="MFT42" s="344"/>
      <c r="MFU42" s="344"/>
      <c r="MFV42" s="344"/>
      <c r="MFW42" s="344"/>
      <c r="MFX42" s="344"/>
      <c r="MFY42" s="344"/>
      <c r="MFZ42" s="344"/>
      <c r="MGA42" s="344"/>
      <c r="MGB42" s="344"/>
      <c r="MGC42" s="344"/>
      <c r="MGD42" s="344"/>
      <c r="MGE42" s="344"/>
      <c r="MGF42" s="344"/>
      <c r="MGG42" s="344"/>
      <c r="MGH42" s="344"/>
      <c r="MGI42" s="344"/>
      <c r="MGJ42" s="344"/>
      <c r="MGK42" s="344"/>
      <c r="MGL42" s="344"/>
      <c r="MGM42" s="344"/>
      <c r="MGN42" s="344"/>
      <c r="MGO42" s="344"/>
      <c r="MGP42" s="344"/>
      <c r="MGQ42" s="344"/>
      <c r="MGR42" s="344"/>
      <c r="MGS42" s="344"/>
      <c r="MGT42" s="344"/>
      <c r="MGU42" s="344"/>
      <c r="MGV42" s="344"/>
      <c r="MGW42" s="344"/>
      <c r="MGX42" s="344"/>
      <c r="MGY42" s="344"/>
      <c r="MGZ42" s="344"/>
      <c r="MHA42" s="344"/>
      <c r="MHB42" s="344"/>
      <c r="MHC42" s="344"/>
      <c r="MHD42" s="344"/>
      <c r="MHE42" s="344"/>
      <c r="MHF42" s="344"/>
      <c r="MHG42" s="344"/>
      <c r="MHH42" s="344"/>
      <c r="MHI42" s="344"/>
      <c r="MHJ42" s="344"/>
      <c r="MHK42" s="344"/>
      <c r="MHL42" s="344"/>
      <c r="MHM42" s="344"/>
      <c r="MHN42" s="344"/>
      <c r="MHO42" s="344"/>
      <c r="MHP42" s="344"/>
      <c r="MHQ42" s="344"/>
      <c r="MHR42" s="344"/>
      <c r="MHS42" s="344"/>
      <c r="MHT42" s="344"/>
      <c r="MHU42" s="344"/>
      <c r="MHV42" s="344"/>
      <c r="MHW42" s="344"/>
      <c r="MHX42" s="344"/>
      <c r="MHY42" s="344"/>
      <c r="MHZ42" s="344"/>
      <c r="MIA42" s="344"/>
      <c r="MIB42" s="344"/>
      <c r="MIC42" s="344"/>
      <c r="MID42" s="344"/>
      <c r="MIE42" s="344"/>
      <c r="MIF42" s="344"/>
      <c r="MIG42" s="344"/>
      <c r="MIH42" s="344"/>
      <c r="MII42" s="344"/>
      <c r="MIJ42" s="344"/>
      <c r="MIK42" s="344"/>
      <c r="MIL42" s="344"/>
      <c r="MIM42" s="344"/>
      <c r="MIN42" s="344"/>
      <c r="MIO42" s="344"/>
      <c r="MIP42" s="344"/>
      <c r="MIQ42" s="344"/>
      <c r="MIR42" s="344"/>
      <c r="MIS42" s="344"/>
      <c r="MIT42" s="344"/>
      <c r="MIU42" s="344"/>
      <c r="MIV42" s="344"/>
      <c r="MIW42" s="344"/>
      <c r="MIX42" s="344"/>
      <c r="MIY42" s="344"/>
      <c r="MIZ42" s="344"/>
      <c r="MJA42" s="344"/>
      <c r="MJB42" s="344"/>
      <c r="MJC42" s="344"/>
      <c r="MJD42" s="344"/>
      <c r="MJE42" s="344"/>
      <c r="MJF42" s="344"/>
      <c r="MJG42" s="344"/>
      <c r="MJH42" s="344"/>
      <c r="MJI42" s="344"/>
      <c r="MJJ42" s="344"/>
      <c r="MJK42" s="344"/>
      <c r="MJL42" s="344"/>
      <c r="MJM42" s="344"/>
      <c r="MJN42" s="344"/>
      <c r="MJO42" s="344"/>
      <c r="MJP42" s="344"/>
      <c r="MJQ42" s="344"/>
      <c r="MJR42" s="344"/>
      <c r="MJS42" s="344"/>
      <c r="MJT42" s="344"/>
      <c r="MJU42" s="344"/>
      <c r="MJV42" s="344"/>
      <c r="MJW42" s="344"/>
      <c r="MJX42" s="344"/>
      <c r="MJY42" s="344"/>
      <c r="MJZ42" s="344"/>
      <c r="MKA42" s="344"/>
      <c r="MKB42" s="344"/>
      <c r="MKC42" s="344"/>
      <c r="MKD42" s="344"/>
      <c r="MKE42" s="344"/>
      <c r="MKF42" s="344"/>
      <c r="MKG42" s="344"/>
      <c r="MKH42" s="344"/>
      <c r="MKI42" s="344"/>
      <c r="MKJ42" s="344"/>
      <c r="MKK42" s="344"/>
      <c r="MKL42" s="344"/>
      <c r="MKM42" s="344"/>
      <c r="MKN42" s="344"/>
      <c r="MKO42" s="344"/>
      <c r="MKP42" s="344"/>
      <c r="MKQ42" s="344"/>
      <c r="MKR42" s="344"/>
      <c r="MKS42" s="344"/>
      <c r="MKT42" s="344"/>
      <c r="MKU42" s="344"/>
      <c r="MKV42" s="344"/>
      <c r="MKW42" s="344"/>
      <c r="MKX42" s="344"/>
      <c r="MKY42" s="344"/>
      <c r="MKZ42" s="344"/>
      <c r="MLA42" s="344"/>
      <c r="MLB42" s="344"/>
      <c r="MLC42" s="344"/>
      <c r="MLD42" s="344"/>
      <c r="MLE42" s="344"/>
      <c r="MLF42" s="344"/>
      <c r="MLG42" s="344"/>
      <c r="MLH42" s="344"/>
      <c r="MLI42" s="344"/>
      <c r="MLJ42" s="344"/>
      <c r="MLK42" s="344"/>
      <c r="MLL42" s="344"/>
      <c r="MLM42" s="344"/>
      <c r="MLN42" s="344"/>
      <c r="MLO42" s="344"/>
      <c r="MLP42" s="344"/>
      <c r="MLQ42" s="344"/>
      <c r="MLR42" s="344"/>
      <c r="MLS42" s="344"/>
      <c r="MLT42" s="344"/>
      <c r="MLU42" s="344"/>
      <c r="MLV42" s="344"/>
      <c r="MLW42" s="344"/>
      <c r="MLX42" s="344"/>
      <c r="MLY42" s="344"/>
      <c r="MLZ42" s="344"/>
      <c r="MMA42" s="344"/>
      <c r="MMB42" s="344"/>
      <c r="MMC42" s="344"/>
      <c r="MMD42" s="344"/>
      <c r="MME42" s="344"/>
      <c r="MMF42" s="344"/>
      <c r="MMG42" s="344"/>
      <c r="MMH42" s="344"/>
      <c r="MMI42" s="344"/>
      <c r="MMJ42" s="344"/>
      <c r="MMK42" s="344"/>
      <c r="MML42" s="344"/>
      <c r="MMM42" s="344"/>
      <c r="MMN42" s="344"/>
      <c r="MMO42" s="344"/>
      <c r="MMP42" s="344"/>
      <c r="MMQ42" s="344"/>
      <c r="MMR42" s="344"/>
      <c r="MMS42" s="344"/>
      <c r="MMT42" s="344"/>
      <c r="MMU42" s="344"/>
      <c r="MMV42" s="344"/>
      <c r="MMW42" s="344"/>
      <c r="MMX42" s="344"/>
      <c r="MMY42" s="344"/>
      <c r="MMZ42" s="344"/>
      <c r="MNA42" s="344"/>
      <c r="MNB42" s="344"/>
      <c r="MNC42" s="344"/>
      <c r="MND42" s="344"/>
      <c r="MNE42" s="344"/>
      <c r="MNF42" s="344"/>
      <c r="MNG42" s="344"/>
      <c r="MNH42" s="344"/>
      <c r="MNI42" s="344"/>
      <c r="MNJ42" s="344"/>
      <c r="MNK42" s="344"/>
      <c r="MNL42" s="344"/>
      <c r="MNM42" s="344"/>
      <c r="MNN42" s="344"/>
      <c r="MNO42" s="344"/>
      <c r="MNP42" s="344"/>
      <c r="MNQ42" s="344"/>
      <c r="MNR42" s="344"/>
      <c r="MNS42" s="344"/>
      <c r="MNT42" s="344"/>
      <c r="MNU42" s="344"/>
      <c r="MNV42" s="344"/>
      <c r="MNW42" s="344"/>
      <c r="MNX42" s="344"/>
      <c r="MNY42" s="344"/>
      <c r="MNZ42" s="344"/>
      <c r="MOA42" s="344"/>
      <c r="MOB42" s="344"/>
      <c r="MOC42" s="344"/>
      <c r="MOD42" s="344"/>
      <c r="MOE42" s="344"/>
      <c r="MOF42" s="344"/>
      <c r="MOG42" s="344"/>
      <c r="MOH42" s="344"/>
      <c r="MOI42" s="344"/>
      <c r="MOJ42" s="344"/>
      <c r="MOK42" s="344"/>
      <c r="MOL42" s="344"/>
      <c r="MOM42" s="344"/>
      <c r="MON42" s="344"/>
      <c r="MOO42" s="344"/>
      <c r="MOP42" s="344"/>
      <c r="MOQ42" s="344"/>
      <c r="MOR42" s="344"/>
      <c r="MOS42" s="344"/>
      <c r="MOT42" s="344"/>
      <c r="MOU42" s="344"/>
      <c r="MOV42" s="344"/>
      <c r="MOW42" s="344"/>
      <c r="MOX42" s="344"/>
      <c r="MOY42" s="344"/>
      <c r="MOZ42" s="344"/>
      <c r="MPA42" s="344"/>
      <c r="MPB42" s="344"/>
      <c r="MPC42" s="344"/>
      <c r="MPD42" s="344"/>
      <c r="MPE42" s="344"/>
      <c r="MPF42" s="344"/>
      <c r="MPG42" s="344"/>
      <c r="MPH42" s="344"/>
      <c r="MPI42" s="344"/>
      <c r="MPJ42" s="344"/>
      <c r="MPK42" s="344"/>
      <c r="MPL42" s="344"/>
      <c r="MPM42" s="344"/>
      <c r="MPN42" s="344"/>
      <c r="MPO42" s="344"/>
      <c r="MPP42" s="344"/>
      <c r="MPQ42" s="344"/>
      <c r="MPR42" s="344"/>
      <c r="MPS42" s="344"/>
      <c r="MPT42" s="344"/>
      <c r="MPU42" s="344"/>
      <c r="MPV42" s="344"/>
      <c r="MPW42" s="344"/>
      <c r="MPX42" s="344"/>
      <c r="MPY42" s="344"/>
      <c r="MPZ42" s="344"/>
      <c r="MQA42" s="344"/>
      <c r="MQB42" s="344"/>
      <c r="MQC42" s="344"/>
      <c r="MQD42" s="344"/>
      <c r="MQE42" s="344"/>
      <c r="MQF42" s="344"/>
      <c r="MQG42" s="344"/>
      <c r="MQH42" s="344"/>
      <c r="MQI42" s="344"/>
      <c r="MQJ42" s="344"/>
      <c r="MQK42" s="344"/>
      <c r="MQL42" s="344"/>
      <c r="MQM42" s="344"/>
      <c r="MQN42" s="344"/>
      <c r="MQO42" s="344"/>
      <c r="MQP42" s="344"/>
      <c r="MQQ42" s="344"/>
      <c r="MQR42" s="344"/>
      <c r="MQS42" s="344"/>
      <c r="MQT42" s="344"/>
      <c r="MQU42" s="344"/>
      <c r="MQV42" s="344"/>
      <c r="MQW42" s="344"/>
      <c r="MQX42" s="344"/>
      <c r="MQY42" s="344"/>
      <c r="MQZ42" s="344"/>
      <c r="MRA42" s="344"/>
      <c r="MRB42" s="344"/>
      <c r="MRC42" s="344"/>
      <c r="MRD42" s="344"/>
      <c r="MRE42" s="344"/>
      <c r="MRF42" s="344"/>
      <c r="MRG42" s="344"/>
      <c r="MRH42" s="344"/>
      <c r="MRI42" s="344"/>
      <c r="MRJ42" s="344"/>
      <c r="MRK42" s="344"/>
      <c r="MRL42" s="344"/>
      <c r="MRM42" s="344"/>
      <c r="MRN42" s="344"/>
      <c r="MRO42" s="344"/>
      <c r="MRP42" s="344"/>
      <c r="MRQ42" s="344"/>
      <c r="MRR42" s="344"/>
      <c r="MRS42" s="344"/>
      <c r="MRT42" s="344"/>
      <c r="MRU42" s="344"/>
      <c r="MRV42" s="344"/>
      <c r="MRW42" s="344"/>
      <c r="MRX42" s="344"/>
      <c r="MRY42" s="344"/>
      <c r="MRZ42" s="344"/>
      <c r="MSA42" s="344"/>
      <c r="MSB42" s="344"/>
      <c r="MSC42" s="344"/>
      <c r="MSD42" s="344"/>
      <c r="MSE42" s="344"/>
      <c r="MSF42" s="344"/>
      <c r="MSG42" s="344"/>
      <c r="MSH42" s="344"/>
      <c r="MSI42" s="344"/>
      <c r="MSJ42" s="344"/>
      <c r="MSK42" s="344"/>
      <c r="MSL42" s="344"/>
      <c r="MSM42" s="344"/>
      <c r="MSN42" s="344"/>
      <c r="MSO42" s="344"/>
      <c r="MSP42" s="344"/>
      <c r="MSQ42" s="344"/>
      <c r="MSR42" s="344"/>
      <c r="MSS42" s="344"/>
      <c r="MST42" s="344"/>
      <c r="MSU42" s="344"/>
      <c r="MSV42" s="344"/>
      <c r="MSW42" s="344"/>
      <c r="MSX42" s="344"/>
      <c r="MSY42" s="344"/>
      <c r="MSZ42" s="344"/>
      <c r="MTA42" s="344"/>
      <c r="MTB42" s="344"/>
      <c r="MTC42" s="344"/>
      <c r="MTD42" s="344"/>
      <c r="MTE42" s="344"/>
      <c r="MTF42" s="344"/>
      <c r="MTG42" s="344"/>
      <c r="MTH42" s="344"/>
      <c r="MTI42" s="344"/>
      <c r="MTJ42" s="344"/>
      <c r="MTK42" s="344"/>
      <c r="MTL42" s="344"/>
      <c r="MTM42" s="344"/>
      <c r="MTN42" s="344"/>
      <c r="MTO42" s="344"/>
      <c r="MTP42" s="344"/>
      <c r="MTQ42" s="344"/>
      <c r="MTR42" s="344"/>
      <c r="MTS42" s="344"/>
      <c r="MTT42" s="344"/>
      <c r="MTU42" s="344"/>
      <c r="MTV42" s="344"/>
      <c r="MTW42" s="344"/>
      <c r="MTX42" s="344"/>
      <c r="MTY42" s="344"/>
      <c r="MTZ42" s="344"/>
      <c r="MUA42" s="344"/>
      <c r="MUB42" s="344"/>
      <c r="MUC42" s="344"/>
      <c r="MUD42" s="344"/>
      <c r="MUE42" s="344"/>
      <c r="MUF42" s="344"/>
      <c r="MUG42" s="344"/>
      <c r="MUH42" s="344"/>
      <c r="MUI42" s="344"/>
      <c r="MUJ42" s="344"/>
      <c r="MUK42" s="344"/>
      <c r="MUL42" s="344"/>
      <c r="MUM42" s="344"/>
      <c r="MUN42" s="344"/>
      <c r="MUO42" s="344"/>
      <c r="MUP42" s="344"/>
      <c r="MUQ42" s="344"/>
      <c r="MUR42" s="344"/>
      <c r="MUS42" s="344"/>
      <c r="MUT42" s="344"/>
      <c r="MUU42" s="344"/>
      <c r="MUV42" s="344"/>
      <c r="MUW42" s="344"/>
      <c r="MUX42" s="344"/>
      <c r="MUY42" s="344"/>
      <c r="MUZ42" s="344"/>
      <c r="MVA42" s="344"/>
      <c r="MVB42" s="344"/>
      <c r="MVC42" s="344"/>
      <c r="MVD42" s="344"/>
      <c r="MVE42" s="344"/>
      <c r="MVF42" s="344"/>
      <c r="MVG42" s="344"/>
      <c r="MVH42" s="344"/>
      <c r="MVI42" s="344"/>
      <c r="MVJ42" s="344"/>
      <c r="MVK42" s="344"/>
      <c r="MVL42" s="344"/>
      <c r="MVM42" s="344"/>
      <c r="MVN42" s="344"/>
      <c r="MVO42" s="344"/>
      <c r="MVP42" s="344"/>
      <c r="MVQ42" s="344"/>
      <c r="MVR42" s="344"/>
      <c r="MVS42" s="344"/>
      <c r="MVT42" s="344"/>
      <c r="MVU42" s="344"/>
      <c r="MVV42" s="344"/>
      <c r="MVW42" s="344"/>
      <c r="MVX42" s="344"/>
      <c r="MVY42" s="344"/>
      <c r="MVZ42" s="344"/>
      <c r="MWA42" s="344"/>
      <c r="MWB42" s="344"/>
      <c r="MWC42" s="344"/>
      <c r="MWD42" s="344"/>
      <c r="MWE42" s="344"/>
      <c r="MWF42" s="344"/>
      <c r="MWG42" s="344"/>
      <c r="MWH42" s="344"/>
      <c r="MWI42" s="344"/>
      <c r="MWJ42" s="344"/>
      <c r="MWK42" s="344"/>
      <c r="MWL42" s="344"/>
      <c r="MWM42" s="344"/>
      <c r="MWN42" s="344"/>
      <c r="MWO42" s="344"/>
      <c r="MWP42" s="344"/>
      <c r="MWQ42" s="344"/>
      <c r="MWR42" s="344"/>
      <c r="MWS42" s="344"/>
      <c r="MWT42" s="344"/>
      <c r="MWU42" s="344"/>
      <c r="MWV42" s="344"/>
      <c r="MWW42" s="344"/>
      <c r="MWX42" s="344"/>
      <c r="MWY42" s="344"/>
      <c r="MWZ42" s="344"/>
      <c r="MXA42" s="344"/>
      <c r="MXB42" s="344"/>
      <c r="MXC42" s="344"/>
      <c r="MXD42" s="344"/>
      <c r="MXE42" s="344"/>
      <c r="MXF42" s="344"/>
      <c r="MXG42" s="344"/>
      <c r="MXH42" s="344"/>
      <c r="MXI42" s="344"/>
      <c r="MXJ42" s="344"/>
      <c r="MXK42" s="344"/>
      <c r="MXL42" s="344"/>
      <c r="MXM42" s="344"/>
      <c r="MXN42" s="344"/>
      <c r="MXO42" s="344"/>
      <c r="MXP42" s="344"/>
      <c r="MXQ42" s="344"/>
      <c r="MXR42" s="344"/>
      <c r="MXS42" s="344"/>
      <c r="MXT42" s="344"/>
      <c r="MXU42" s="344"/>
      <c r="MXV42" s="344"/>
      <c r="MXW42" s="344"/>
      <c r="MXX42" s="344"/>
      <c r="MXY42" s="344"/>
      <c r="MXZ42" s="344"/>
      <c r="MYA42" s="344"/>
      <c r="MYB42" s="344"/>
      <c r="MYC42" s="344"/>
      <c r="MYD42" s="344"/>
      <c r="MYE42" s="344"/>
      <c r="MYF42" s="344"/>
      <c r="MYG42" s="344"/>
      <c r="MYH42" s="344"/>
      <c r="MYI42" s="344"/>
      <c r="MYJ42" s="344"/>
      <c r="MYK42" s="344"/>
      <c r="MYL42" s="344"/>
      <c r="MYM42" s="344"/>
      <c r="MYN42" s="344"/>
      <c r="MYO42" s="344"/>
      <c r="MYP42" s="344"/>
      <c r="MYQ42" s="344"/>
      <c r="MYR42" s="344"/>
      <c r="MYS42" s="344"/>
      <c r="MYT42" s="344"/>
      <c r="MYU42" s="344"/>
      <c r="MYV42" s="344"/>
      <c r="MYW42" s="344"/>
      <c r="MYX42" s="344"/>
      <c r="MYY42" s="344"/>
      <c r="MYZ42" s="344"/>
      <c r="MZA42" s="344"/>
      <c r="MZB42" s="344"/>
      <c r="MZC42" s="344"/>
      <c r="MZD42" s="344"/>
      <c r="MZE42" s="344"/>
      <c r="MZF42" s="344"/>
      <c r="MZG42" s="344"/>
      <c r="MZH42" s="344"/>
      <c r="MZI42" s="344"/>
      <c r="MZJ42" s="344"/>
      <c r="MZK42" s="344"/>
      <c r="MZL42" s="344"/>
      <c r="MZM42" s="344"/>
      <c r="MZN42" s="344"/>
      <c r="MZO42" s="344"/>
      <c r="MZP42" s="344"/>
      <c r="MZQ42" s="344"/>
      <c r="MZR42" s="344"/>
      <c r="MZS42" s="344"/>
      <c r="MZT42" s="344"/>
      <c r="MZU42" s="344"/>
      <c r="MZV42" s="344"/>
      <c r="MZW42" s="344"/>
      <c r="MZX42" s="344"/>
      <c r="MZY42" s="344"/>
      <c r="MZZ42" s="344"/>
      <c r="NAA42" s="344"/>
      <c r="NAB42" s="344"/>
      <c r="NAC42" s="344"/>
      <c r="NAD42" s="344"/>
      <c r="NAE42" s="344"/>
      <c r="NAF42" s="344"/>
      <c r="NAG42" s="344"/>
      <c r="NAH42" s="344"/>
      <c r="NAI42" s="344"/>
      <c r="NAJ42" s="344"/>
      <c r="NAK42" s="344"/>
      <c r="NAL42" s="344"/>
      <c r="NAM42" s="344"/>
      <c r="NAN42" s="344"/>
      <c r="NAO42" s="344"/>
      <c r="NAP42" s="344"/>
      <c r="NAQ42" s="344"/>
      <c r="NAR42" s="344"/>
      <c r="NAS42" s="344"/>
      <c r="NAT42" s="344"/>
      <c r="NAU42" s="344"/>
      <c r="NAV42" s="344"/>
      <c r="NAW42" s="344"/>
      <c r="NAX42" s="344"/>
      <c r="NAY42" s="344"/>
      <c r="NAZ42" s="344"/>
      <c r="NBA42" s="344"/>
      <c r="NBB42" s="344"/>
      <c r="NBC42" s="344"/>
      <c r="NBD42" s="344"/>
      <c r="NBE42" s="344"/>
      <c r="NBF42" s="344"/>
      <c r="NBG42" s="344"/>
      <c r="NBH42" s="344"/>
      <c r="NBI42" s="344"/>
      <c r="NBJ42" s="344"/>
      <c r="NBK42" s="344"/>
      <c r="NBL42" s="344"/>
      <c r="NBM42" s="344"/>
      <c r="NBN42" s="344"/>
      <c r="NBO42" s="344"/>
      <c r="NBP42" s="344"/>
      <c r="NBQ42" s="344"/>
      <c r="NBR42" s="344"/>
      <c r="NBS42" s="344"/>
      <c r="NBT42" s="344"/>
      <c r="NBU42" s="344"/>
      <c r="NBV42" s="344"/>
      <c r="NBW42" s="344"/>
      <c r="NBX42" s="344"/>
      <c r="NBY42" s="344"/>
      <c r="NBZ42" s="344"/>
      <c r="NCA42" s="344"/>
      <c r="NCB42" s="344"/>
      <c r="NCC42" s="344"/>
      <c r="NCD42" s="344"/>
      <c r="NCE42" s="344"/>
      <c r="NCF42" s="344"/>
      <c r="NCG42" s="344"/>
      <c r="NCH42" s="344"/>
      <c r="NCI42" s="344"/>
      <c r="NCJ42" s="344"/>
      <c r="NCK42" s="344"/>
      <c r="NCL42" s="344"/>
      <c r="NCM42" s="344"/>
      <c r="NCN42" s="344"/>
      <c r="NCO42" s="344"/>
      <c r="NCP42" s="344"/>
      <c r="NCQ42" s="344"/>
      <c r="NCR42" s="344"/>
      <c r="NCS42" s="344"/>
      <c r="NCT42" s="344"/>
      <c r="NCU42" s="344"/>
      <c r="NCV42" s="344"/>
      <c r="NCW42" s="344"/>
      <c r="NCX42" s="344"/>
      <c r="NCY42" s="344"/>
      <c r="NCZ42" s="344"/>
      <c r="NDA42" s="344"/>
      <c r="NDB42" s="344"/>
      <c r="NDC42" s="344"/>
      <c r="NDD42" s="344"/>
      <c r="NDE42" s="344"/>
      <c r="NDF42" s="344"/>
      <c r="NDG42" s="344"/>
      <c r="NDH42" s="344"/>
      <c r="NDI42" s="344"/>
      <c r="NDJ42" s="344"/>
      <c r="NDK42" s="344"/>
      <c r="NDL42" s="344"/>
      <c r="NDM42" s="344"/>
      <c r="NDN42" s="344"/>
      <c r="NDO42" s="344"/>
      <c r="NDP42" s="344"/>
      <c r="NDQ42" s="344"/>
      <c r="NDR42" s="344"/>
      <c r="NDS42" s="344"/>
      <c r="NDT42" s="344"/>
      <c r="NDU42" s="344"/>
      <c r="NDV42" s="344"/>
      <c r="NDW42" s="344"/>
      <c r="NDX42" s="344"/>
      <c r="NDY42" s="344"/>
      <c r="NDZ42" s="344"/>
      <c r="NEA42" s="344"/>
      <c r="NEB42" s="344"/>
      <c r="NEC42" s="344"/>
      <c r="NED42" s="344"/>
      <c r="NEE42" s="344"/>
      <c r="NEF42" s="344"/>
      <c r="NEG42" s="344"/>
      <c r="NEH42" s="344"/>
      <c r="NEI42" s="344"/>
      <c r="NEJ42" s="344"/>
      <c r="NEK42" s="344"/>
      <c r="NEL42" s="344"/>
      <c r="NEM42" s="344"/>
      <c r="NEN42" s="344"/>
      <c r="NEO42" s="344"/>
      <c r="NEP42" s="344"/>
      <c r="NEQ42" s="344"/>
      <c r="NER42" s="344"/>
      <c r="NES42" s="344"/>
      <c r="NET42" s="344"/>
      <c r="NEU42" s="344"/>
      <c r="NEV42" s="344"/>
      <c r="NEW42" s="344"/>
      <c r="NEX42" s="344"/>
      <c r="NEY42" s="344"/>
      <c r="NEZ42" s="344"/>
      <c r="NFA42" s="344"/>
      <c r="NFB42" s="344"/>
      <c r="NFC42" s="344"/>
      <c r="NFD42" s="344"/>
      <c r="NFE42" s="344"/>
      <c r="NFF42" s="344"/>
      <c r="NFG42" s="344"/>
      <c r="NFH42" s="344"/>
      <c r="NFI42" s="344"/>
      <c r="NFJ42" s="344"/>
      <c r="NFK42" s="344"/>
      <c r="NFL42" s="344"/>
      <c r="NFM42" s="344"/>
      <c r="NFN42" s="344"/>
      <c r="NFO42" s="344"/>
      <c r="NFP42" s="344"/>
      <c r="NFQ42" s="344"/>
      <c r="NFR42" s="344"/>
      <c r="NFS42" s="344"/>
      <c r="NFT42" s="344"/>
      <c r="NFU42" s="344"/>
      <c r="NFV42" s="344"/>
      <c r="NFW42" s="344"/>
      <c r="NFX42" s="344"/>
      <c r="NFY42" s="344"/>
      <c r="NFZ42" s="344"/>
      <c r="NGA42" s="344"/>
      <c r="NGB42" s="344"/>
      <c r="NGC42" s="344"/>
      <c r="NGD42" s="344"/>
      <c r="NGE42" s="344"/>
      <c r="NGF42" s="344"/>
      <c r="NGG42" s="344"/>
      <c r="NGH42" s="344"/>
      <c r="NGI42" s="344"/>
      <c r="NGJ42" s="344"/>
      <c r="NGK42" s="344"/>
      <c r="NGL42" s="344"/>
      <c r="NGM42" s="344"/>
      <c r="NGN42" s="344"/>
      <c r="NGO42" s="344"/>
      <c r="NGP42" s="344"/>
      <c r="NGQ42" s="344"/>
      <c r="NGR42" s="344"/>
      <c r="NGS42" s="344"/>
      <c r="NGT42" s="344"/>
      <c r="NGU42" s="344"/>
      <c r="NGV42" s="344"/>
      <c r="NGW42" s="344"/>
      <c r="NGX42" s="344"/>
      <c r="NGY42" s="344"/>
      <c r="NGZ42" s="344"/>
      <c r="NHA42" s="344"/>
      <c r="NHB42" s="344"/>
      <c r="NHC42" s="344"/>
      <c r="NHD42" s="344"/>
      <c r="NHE42" s="344"/>
      <c r="NHF42" s="344"/>
      <c r="NHG42" s="344"/>
      <c r="NHH42" s="344"/>
      <c r="NHI42" s="344"/>
      <c r="NHJ42" s="344"/>
      <c r="NHK42" s="344"/>
      <c r="NHL42" s="344"/>
      <c r="NHM42" s="344"/>
      <c r="NHN42" s="344"/>
      <c r="NHO42" s="344"/>
      <c r="NHP42" s="344"/>
      <c r="NHQ42" s="344"/>
      <c r="NHR42" s="344"/>
      <c r="NHS42" s="344"/>
      <c r="NHT42" s="344"/>
      <c r="NHU42" s="344"/>
      <c r="NHV42" s="344"/>
      <c r="NHW42" s="344"/>
      <c r="NHX42" s="344"/>
      <c r="NHY42" s="344"/>
      <c r="NHZ42" s="344"/>
      <c r="NIA42" s="344"/>
      <c r="NIB42" s="344"/>
      <c r="NIC42" s="344"/>
      <c r="NID42" s="344"/>
      <c r="NIE42" s="344"/>
      <c r="NIF42" s="344"/>
      <c r="NIG42" s="344"/>
      <c r="NIH42" s="344"/>
      <c r="NII42" s="344"/>
      <c r="NIJ42" s="344"/>
      <c r="NIK42" s="344"/>
      <c r="NIL42" s="344"/>
      <c r="NIM42" s="344"/>
      <c r="NIN42" s="344"/>
      <c r="NIO42" s="344"/>
      <c r="NIP42" s="344"/>
      <c r="NIQ42" s="344"/>
      <c r="NIR42" s="344"/>
      <c r="NIS42" s="344"/>
      <c r="NIT42" s="344"/>
      <c r="NIU42" s="344"/>
      <c r="NIV42" s="344"/>
      <c r="NIW42" s="344"/>
      <c r="NIX42" s="344"/>
      <c r="NIY42" s="344"/>
      <c r="NIZ42" s="344"/>
      <c r="NJA42" s="344"/>
      <c r="NJB42" s="344"/>
      <c r="NJC42" s="344"/>
      <c r="NJD42" s="344"/>
      <c r="NJE42" s="344"/>
      <c r="NJF42" s="344"/>
      <c r="NJG42" s="344"/>
      <c r="NJH42" s="344"/>
      <c r="NJI42" s="344"/>
      <c r="NJJ42" s="344"/>
      <c r="NJK42" s="344"/>
      <c r="NJL42" s="344"/>
      <c r="NJM42" s="344"/>
      <c r="NJN42" s="344"/>
      <c r="NJO42" s="344"/>
      <c r="NJP42" s="344"/>
      <c r="NJQ42" s="344"/>
      <c r="NJR42" s="344"/>
      <c r="NJS42" s="344"/>
      <c r="NJT42" s="344"/>
      <c r="NJU42" s="344"/>
      <c r="NJV42" s="344"/>
      <c r="NJW42" s="344"/>
      <c r="NJX42" s="344"/>
      <c r="NJY42" s="344"/>
      <c r="NJZ42" s="344"/>
      <c r="NKA42" s="344"/>
      <c r="NKB42" s="344"/>
      <c r="NKC42" s="344"/>
      <c r="NKD42" s="344"/>
      <c r="NKE42" s="344"/>
      <c r="NKF42" s="344"/>
      <c r="NKG42" s="344"/>
      <c r="NKH42" s="344"/>
      <c r="NKI42" s="344"/>
      <c r="NKJ42" s="344"/>
      <c r="NKK42" s="344"/>
      <c r="NKL42" s="344"/>
      <c r="NKM42" s="344"/>
      <c r="NKN42" s="344"/>
      <c r="NKO42" s="344"/>
      <c r="NKP42" s="344"/>
      <c r="NKQ42" s="344"/>
      <c r="NKR42" s="344"/>
      <c r="NKS42" s="344"/>
      <c r="NKT42" s="344"/>
      <c r="NKU42" s="344"/>
      <c r="NKV42" s="344"/>
      <c r="NKW42" s="344"/>
      <c r="NKX42" s="344"/>
      <c r="NKY42" s="344"/>
      <c r="NKZ42" s="344"/>
      <c r="NLA42" s="344"/>
      <c r="NLB42" s="344"/>
      <c r="NLC42" s="344"/>
      <c r="NLD42" s="344"/>
      <c r="NLE42" s="344"/>
      <c r="NLF42" s="344"/>
      <c r="NLG42" s="344"/>
      <c r="NLH42" s="344"/>
      <c r="NLI42" s="344"/>
      <c r="NLJ42" s="344"/>
      <c r="NLK42" s="344"/>
      <c r="NLL42" s="344"/>
      <c r="NLM42" s="344"/>
      <c r="NLN42" s="344"/>
      <c r="NLO42" s="344"/>
      <c r="NLP42" s="344"/>
      <c r="NLQ42" s="344"/>
      <c r="NLR42" s="344"/>
      <c r="NLS42" s="344"/>
      <c r="NLT42" s="344"/>
      <c r="NLU42" s="344"/>
      <c r="NLV42" s="344"/>
      <c r="NLW42" s="344"/>
      <c r="NLX42" s="344"/>
      <c r="NLY42" s="344"/>
      <c r="NLZ42" s="344"/>
      <c r="NMA42" s="344"/>
      <c r="NMB42" s="344"/>
      <c r="NMC42" s="344"/>
      <c r="NMD42" s="344"/>
      <c r="NME42" s="344"/>
      <c r="NMF42" s="344"/>
      <c r="NMG42" s="344"/>
      <c r="NMH42" s="344"/>
      <c r="NMI42" s="344"/>
      <c r="NMJ42" s="344"/>
      <c r="NMK42" s="344"/>
      <c r="NML42" s="344"/>
      <c r="NMM42" s="344"/>
      <c r="NMN42" s="344"/>
      <c r="NMO42" s="344"/>
      <c r="NMP42" s="344"/>
      <c r="NMQ42" s="344"/>
      <c r="NMR42" s="344"/>
      <c r="NMS42" s="344"/>
      <c r="NMT42" s="344"/>
      <c r="NMU42" s="344"/>
      <c r="NMV42" s="344"/>
      <c r="NMW42" s="344"/>
      <c r="NMX42" s="344"/>
      <c r="NMY42" s="344"/>
      <c r="NMZ42" s="344"/>
      <c r="NNA42" s="344"/>
      <c r="NNB42" s="344"/>
      <c r="NNC42" s="344"/>
      <c r="NND42" s="344"/>
      <c r="NNE42" s="344"/>
      <c r="NNF42" s="344"/>
      <c r="NNG42" s="344"/>
      <c r="NNH42" s="344"/>
      <c r="NNI42" s="344"/>
      <c r="NNJ42" s="344"/>
      <c r="NNK42" s="344"/>
      <c r="NNL42" s="344"/>
      <c r="NNM42" s="344"/>
      <c r="NNN42" s="344"/>
      <c r="NNO42" s="344"/>
      <c r="NNP42" s="344"/>
      <c r="NNQ42" s="344"/>
      <c r="NNR42" s="344"/>
      <c r="NNS42" s="344"/>
      <c r="NNT42" s="344"/>
      <c r="NNU42" s="344"/>
      <c r="NNV42" s="344"/>
      <c r="NNW42" s="344"/>
      <c r="NNX42" s="344"/>
      <c r="NNY42" s="344"/>
      <c r="NNZ42" s="344"/>
      <c r="NOA42" s="344"/>
      <c r="NOB42" s="344"/>
      <c r="NOC42" s="344"/>
      <c r="NOD42" s="344"/>
      <c r="NOE42" s="344"/>
      <c r="NOF42" s="344"/>
      <c r="NOG42" s="344"/>
      <c r="NOH42" s="344"/>
      <c r="NOI42" s="344"/>
      <c r="NOJ42" s="344"/>
      <c r="NOK42" s="344"/>
      <c r="NOL42" s="344"/>
      <c r="NOM42" s="344"/>
      <c r="NON42" s="344"/>
      <c r="NOO42" s="344"/>
      <c r="NOP42" s="344"/>
      <c r="NOQ42" s="344"/>
      <c r="NOR42" s="344"/>
      <c r="NOS42" s="344"/>
      <c r="NOT42" s="344"/>
      <c r="NOU42" s="344"/>
      <c r="NOV42" s="344"/>
      <c r="NOW42" s="344"/>
      <c r="NOX42" s="344"/>
      <c r="NOY42" s="344"/>
      <c r="NOZ42" s="344"/>
      <c r="NPA42" s="344"/>
      <c r="NPB42" s="344"/>
      <c r="NPC42" s="344"/>
      <c r="NPD42" s="344"/>
      <c r="NPE42" s="344"/>
      <c r="NPF42" s="344"/>
      <c r="NPG42" s="344"/>
      <c r="NPH42" s="344"/>
      <c r="NPI42" s="344"/>
      <c r="NPJ42" s="344"/>
      <c r="NPK42" s="344"/>
      <c r="NPL42" s="344"/>
      <c r="NPM42" s="344"/>
      <c r="NPN42" s="344"/>
      <c r="NPO42" s="344"/>
      <c r="NPP42" s="344"/>
      <c r="NPQ42" s="344"/>
      <c r="NPR42" s="344"/>
      <c r="NPS42" s="344"/>
      <c r="NPT42" s="344"/>
      <c r="NPU42" s="344"/>
      <c r="NPV42" s="344"/>
      <c r="NPW42" s="344"/>
      <c r="NPX42" s="344"/>
      <c r="NPY42" s="344"/>
      <c r="NPZ42" s="344"/>
      <c r="NQA42" s="344"/>
      <c r="NQB42" s="344"/>
      <c r="NQC42" s="344"/>
      <c r="NQD42" s="344"/>
      <c r="NQE42" s="344"/>
      <c r="NQF42" s="344"/>
      <c r="NQG42" s="344"/>
      <c r="NQH42" s="344"/>
      <c r="NQI42" s="344"/>
      <c r="NQJ42" s="344"/>
      <c r="NQK42" s="344"/>
      <c r="NQL42" s="344"/>
      <c r="NQM42" s="344"/>
      <c r="NQN42" s="344"/>
      <c r="NQO42" s="344"/>
      <c r="NQP42" s="344"/>
      <c r="NQQ42" s="344"/>
      <c r="NQR42" s="344"/>
      <c r="NQS42" s="344"/>
      <c r="NQT42" s="344"/>
      <c r="NQU42" s="344"/>
      <c r="NQV42" s="344"/>
      <c r="NQW42" s="344"/>
      <c r="NQX42" s="344"/>
      <c r="NQY42" s="344"/>
      <c r="NQZ42" s="344"/>
      <c r="NRA42" s="344"/>
      <c r="NRB42" s="344"/>
      <c r="NRC42" s="344"/>
      <c r="NRD42" s="344"/>
      <c r="NRE42" s="344"/>
      <c r="NRF42" s="344"/>
      <c r="NRG42" s="344"/>
      <c r="NRH42" s="344"/>
      <c r="NRI42" s="344"/>
      <c r="NRJ42" s="344"/>
      <c r="NRK42" s="344"/>
      <c r="NRL42" s="344"/>
      <c r="NRM42" s="344"/>
      <c r="NRN42" s="344"/>
      <c r="NRO42" s="344"/>
      <c r="NRP42" s="344"/>
      <c r="NRQ42" s="344"/>
      <c r="NRR42" s="344"/>
      <c r="NRS42" s="344"/>
      <c r="NRT42" s="344"/>
      <c r="NRU42" s="344"/>
      <c r="NRV42" s="344"/>
      <c r="NRW42" s="344"/>
      <c r="NRX42" s="344"/>
      <c r="NRY42" s="344"/>
      <c r="NRZ42" s="344"/>
      <c r="NSA42" s="344"/>
      <c r="NSB42" s="344"/>
      <c r="NSC42" s="344"/>
      <c r="NSD42" s="344"/>
      <c r="NSE42" s="344"/>
      <c r="NSF42" s="344"/>
      <c r="NSG42" s="344"/>
      <c r="NSH42" s="344"/>
      <c r="NSI42" s="344"/>
      <c r="NSJ42" s="344"/>
      <c r="NSK42" s="344"/>
      <c r="NSL42" s="344"/>
      <c r="NSM42" s="344"/>
      <c r="NSN42" s="344"/>
      <c r="NSO42" s="344"/>
      <c r="NSP42" s="344"/>
      <c r="NSQ42" s="344"/>
      <c r="NSR42" s="344"/>
      <c r="NSS42" s="344"/>
      <c r="NST42" s="344"/>
      <c r="NSU42" s="344"/>
      <c r="NSV42" s="344"/>
      <c r="NSW42" s="344"/>
      <c r="NSX42" s="344"/>
      <c r="NSY42" s="344"/>
      <c r="NSZ42" s="344"/>
      <c r="NTA42" s="344"/>
      <c r="NTB42" s="344"/>
      <c r="NTC42" s="344"/>
      <c r="NTD42" s="344"/>
      <c r="NTE42" s="344"/>
      <c r="NTF42" s="344"/>
      <c r="NTG42" s="344"/>
      <c r="NTH42" s="344"/>
      <c r="NTI42" s="344"/>
      <c r="NTJ42" s="344"/>
      <c r="NTK42" s="344"/>
      <c r="NTL42" s="344"/>
      <c r="NTM42" s="344"/>
      <c r="NTN42" s="344"/>
      <c r="NTO42" s="344"/>
      <c r="NTP42" s="344"/>
      <c r="NTQ42" s="344"/>
      <c r="NTR42" s="344"/>
      <c r="NTS42" s="344"/>
      <c r="NTT42" s="344"/>
      <c r="NTU42" s="344"/>
      <c r="NTV42" s="344"/>
      <c r="NTW42" s="344"/>
      <c r="NTX42" s="344"/>
      <c r="NTY42" s="344"/>
      <c r="NTZ42" s="344"/>
      <c r="NUA42" s="344"/>
      <c r="NUB42" s="344"/>
      <c r="NUC42" s="344"/>
      <c r="NUD42" s="344"/>
      <c r="NUE42" s="344"/>
      <c r="NUF42" s="344"/>
      <c r="NUG42" s="344"/>
      <c r="NUH42" s="344"/>
      <c r="NUI42" s="344"/>
      <c r="NUJ42" s="344"/>
      <c r="NUK42" s="344"/>
      <c r="NUL42" s="344"/>
      <c r="NUM42" s="344"/>
      <c r="NUN42" s="344"/>
      <c r="NUO42" s="344"/>
      <c r="NUP42" s="344"/>
      <c r="NUQ42" s="344"/>
      <c r="NUR42" s="344"/>
      <c r="NUS42" s="344"/>
      <c r="NUT42" s="344"/>
      <c r="NUU42" s="344"/>
      <c r="NUV42" s="344"/>
      <c r="NUW42" s="344"/>
      <c r="NUX42" s="344"/>
      <c r="NUY42" s="344"/>
      <c r="NUZ42" s="344"/>
      <c r="NVA42" s="344"/>
      <c r="NVB42" s="344"/>
      <c r="NVC42" s="344"/>
      <c r="NVD42" s="344"/>
      <c r="NVE42" s="344"/>
      <c r="NVF42" s="344"/>
      <c r="NVG42" s="344"/>
      <c r="NVH42" s="344"/>
      <c r="NVI42" s="344"/>
      <c r="NVJ42" s="344"/>
      <c r="NVK42" s="344"/>
      <c r="NVL42" s="344"/>
      <c r="NVM42" s="344"/>
      <c r="NVN42" s="344"/>
      <c r="NVO42" s="344"/>
      <c r="NVP42" s="344"/>
      <c r="NVQ42" s="344"/>
      <c r="NVR42" s="344"/>
      <c r="NVS42" s="344"/>
      <c r="NVT42" s="344"/>
      <c r="NVU42" s="344"/>
      <c r="NVV42" s="344"/>
      <c r="NVW42" s="344"/>
      <c r="NVX42" s="344"/>
      <c r="NVY42" s="344"/>
      <c r="NVZ42" s="344"/>
      <c r="NWA42" s="344"/>
      <c r="NWB42" s="344"/>
      <c r="NWC42" s="344"/>
      <c r="NWD42" s="344"/>
      <c r="NWE42" s="344"/>
      <c r="NWF42" s="344"/>
      <c r="NWG42" s="344"/>
      <c r="NWH42" s="344"/>
      <c r="NWI42" s="344"/>
      <c r="NWJ42" s="344"/>
      <c r="NWK42" s="344"/>
      <c r="NWL42" s="344"/>
      <c r="NWM42" s="344"/>
      <c r="NWN42" s="344"/>
      <c r="NWO42" s="344"/>
      <c r="NWP42" s="344"/>
      <c r="NWQ42" s="344"/>
      <c r="NWR42" s="344"/>
      <c r="NWS42" s="344"/>
      <c r="NWT42" s="344"/>
      <c r="NWU42" s="344"/>
      <c r="NWV42" s="344"/>
      <c r="NWW42" s="344"/>
      <c r="NWX42" s="344"/>
      <c r="NWY42" s="344"/>
      <c r="NWZ42" s="344"/>
      <c r="NXA42" s="344"/>
      <c r="NXB42" s="344"/>
      <c r="NXC42" s="344"/>
      <c r="NXD42" s="344"/>
      <c r="NXE42" s="344"/>
      <c r="NXF42" s="344"/>
      <c r="NXG42" s="344"/>
      <c r="NXH42" s="344"/>
      <c r="NXI42" s="344"/>
      <c r="NXJ42" s="344"/>
      <c r="NXK42" s="344"/>
      <c r="NXL42" s="344"/>
      <c r="NXM42" s="344"/>
      <c r="NXN42" s="344"/>
      <c r="NXO42" s="344"/>
      <c r="NXP42" s="344"/>
      <c r="NXQ42" s="344"/>
      <c r="NXR42" s="344"/>
      <c r="NXS42" s="344"/>
      <c r="NXT42" s="344"/>
      <c r="NXU42" s="344"/>
      <c r="NXV42" s="344"/>
      <c r="NXW42" s="344"/>
      <c r="NXX42" s="344"/>
      <c r="NXY42" s="344"/>
      <c r="NXZ42" s="344"/>
      <c r="NYA42" s="344"/>
      <c r="NYB42" s="344"/>
      <c r="NYC42" s="344"/>
      <c r="NYD42" s="344"/>
      <c r="NYE42" s="344"/>
      <c r="NYF42" s="344"/>
      <c r="NYG42" s="344"/>
      <c r="NYH42" s="344"/>
      <c r="NYI42" s="344"/>
      <c r="NYJ42" s="344"/>
      <c r="NYK42" s="344"/>
      <c r="NYL42" s="344"/>
      <c r="NYM42" s="344"/>
      <c r="NYN42" s="344"/>
      <c r="NYO42" s="344"/>
      <c r="NYP42" s="344"/>
      <c r="NYQ42" s="344"/>
      <c r="NYR42" s="344"/>
      <c r="NYS42" s="344"/>
      <c r="NYT42" s="344"/>
      <c r="NYU42" s="344"/>
      <c r="NYV42" s="344"/>
      <c r="NYW42" s="344"/>
      <c r="NYX42" s="344"/>
      <c r="NYY42" s="344"/>
      <c r="NYZ42" s="344"/>
      <c r="NZA42" s="344"/>
      <c r="NZB42" s="344"/>
      <c r="NZC42" s="344"/>
      <c r="NZD42" s="344"/>
      <c r="NZE42" s="344"/>
      <c r="NZF42" s="344"/>
      <c r="NZG42" s="344"/>
      <c r="NZH42" s="344"/>
      <c r="NZI42" s="344"/>
      <c r="NZJ42" s="344"/>
      <c r="NZK42" s="344"/>
      <c r="NZL42" s="344"/>
      <c r="NZM42" s="344"/>
      <c r="NZN42" s="344"/>
      <c r="NZO42" s="344"/>
      <c r="NZP42" s="344"/>
      <c r="NZQ42" s="344"/>
      <c r="NZR42" s="344"/>
      <c r="NZS42" s="344"/>
      <c r="NZT42" s="344"/>
      <c r="NZU42" s="344"/>
      <c r="NZV42" s="344"/>
      <c r="NZW42" s="344"/>
      <c r="NZX42" s="344"/>
      <c r="NZY42" s="344"/>
      <c r="NZZ42" s="344"/>
      <c r="OAA42" s="344"/>
      <c r="OAB42" s="344"/>
      <c r="OAC42" s="344"/>
      <c r="OAD42" s="344"/>
      <c r="OAE42" s="344"/>
      <c r="OAF42" s="344"/>
      <c r="OAG42" s="344"/>
      <c r="OAH42" s="344"/>
      <c r="OAI42" s="344"/>
      <c r="OAJ42" s="344"/>
      <c r="OAK42" s="344"/>
      <c r="OAL42" s="344"/>
      <c r="OAM42" s="344"/>
      <c r="OAN42" s="344"/>
      <c r="OAO42" s="344"/>
      <c r="OAP42" s="344"/>
      <c r="OAQ42" s="344"/>
      <c r="OAR42" s="344"/>
      <c r="OAS42" s="344"/>
      <c r="OAT42" s="344"/>
      <c r="OAU42" s="344"/>
      <c r="OAV42" s="344"/>
      <c r="OAW42" s="344"/>
      <c r="OAX42" s="344"/>
      <c r="OAY42" s="344"/>
      <c r="OAZ42" s="344"/>
      <c r="OBA42" s="344"/>
      <c r="OBB42" s="344"/>
      <c r="OBC42" s="344"/>
      <c r="OBD42" s="344"/>
      <c r="OBE42" s="344"/>
      <c r="OBF42" s="344"/>
      <c r="OBG42" s="344"/>
      <c r="OBH42" s="344"/>
      <c r="OBI42" s="344"/>
      <c r="OBJ42" s="344"/>
      <c r="OBK42" s="344"/>
      <c r="OBL42" s="344"/>
      <c r="OBM42" s="344"/>
      <c r="OBN42" s="344"/>
      <c r="OBO42" s="344"/>
      <c r="OBP42" s="344"/>
      <c r="OBQ42" s="344"/>
      <c r="OBR42" s="344"/>
      <c r="OBS42" s="344"/>
      <c r="OBT42" s="344"/>
      <c r="OBU42" s="344"/>
      <c r="OBV42" s="344"/>
      <c r="OBW42" s="344"/>
      <c r="OBX42" s="344"/>
      <c r="OBY42" s="344"/>
      <c r="OBZ42" s="344"/>
      <c r="OCA42" s="344"/>
      <c r="OCB42" s="344"/>
      <c r="OCC42" s="344"/>
      <c r="OCD42" s="344"/>
      <c r="OCE42" s="344"/>
      <c r="OCF42" s="344"/>
      <c r="OCG42" s="344"/>
      <c r="OCH42" s="344"/>
      <c r="OCI42" s="344"/>
      <c r="OCJ42" s="344"/>
      <c r="OCK42" s="344"/>
      <c r="OCL42" s="344"/>
      <c r="OCM42" s="344"/>
      <c r="OCN42" s="344"/>
      <c r="OCO42" s="344"/>
      <c r="OCP42" s="344"/>
      <c r="OCQ42" s="344"/>
      <c r="OCR42" s="344"/>
      <c r="OCS42" s="344"/>
      <c r="OCT42" s="344"/>
      <c r="OCU42" s="344"/>
      <c r="OCV42" s="344"/>
      <c r="OCW42" s="344"/>
      <c r="OCX42" s="344"/>
      <c r="OCY42" s="344"/>
      <c r="OCZ42" s="344"/>
      <c r="ODA42" s="344"/>
      <c r="ODB42" s="344"/>
      <c r="ODC42" s="344"/>
      <c r="ODD42" s="344"/>
      <c r="ODE42" s="344"/>
      <c r="ODF42" s="344"/>
      <c r="ODG42" s="344"/>
      <c r="ODH42" s="344"/>
      <c r="ODI42" s="344"/>
      <c r="ODJ42" s="344"/>
      <c r="ODK42" s="344"/>
      <c r="ODL42" s="344"/>
      <c r="ODM42" s="344"/>
      <c r="ODN42" s="344"/>
      <c r="ODO42" s="344"/>
      <c r="ODP42" s="344"/>
      <c r="ODQ42" s="344"/>
      <c r="ODR42" s="344"/>
      <c r="ODS42" s="344"/>
      <c r="ODT42" s="344"/>
      <c r="ODU42" s="344"/>
      <c r="ODV42" s="344"/>
      <c r="ODW42" s="344"/>
      <c r="ODX42" s="344"/>
      <c r="ODY42" s="344"/>
      <c r="ODZ42" s="344"/>
      <c r="OEA42" s="344"/>
      <c r="OEB42" s="344"/>
      <c r="OEC42" s="344"/>
      <c r="OED42" s="344"/>
      <c r="OEE42" s="344"/>
      <c r="OEF42" s="344"/>
      <c r="OEG42" s="344"/>
      <c r="OEH42" s="344"/>
      <c r="OEI42" s="344"/>
      <c r="OEJ42" s="344"/>
      <c r="OEK42" s="344"/>
      <c r="OEL42" s="344"/>
      <c r="OEM42" s="344"/>
      <c r="OEN42" s="344"/>
      <c r="OEO42" s="344"/>
      <c r="OEP42" s="344"/>
      <c r="OEQ42" s="344"/>
      <c r="OER42" s="344"/>
      <c r="OES42" s="344"/>
      <c r="OET42" s="344"/>
      <c r="OEU42" s="344"/>
      <c r="OEV42" s="344"/>
      <c r="OEW42" s="344"/>
      <c r="OEX42" s="344"/>
      <c r="OEY42" s="344"/>
      <c r="OEZ42" s="344"/>
      <c r="OFA42" s="344"/>
      <c r="OFB42" s="344"/>
      <c r="OFC42" s="344"/>
      <c r="OFD42" s="344"/>
      <c r="OFE42" s="344"/>
      <c r="OFF42" s="344"/>
      <c r="OFG42" s="344"/>
      <c r="OFH42" s="344"/>
      <c r="OFI42" s="344"/>
      <c r="OFJ42" s="344"/>
      <c r="OFK42" s="344"/>
      <c r="OFL42" s="344"/>
      <c r="OFM42" s="344"/>
      <c r="OFN42" s="344"/>
      <c r="OFO42" s="344"/>
      <c r="OFP42" s="344"/>
      <c r="OFQ42" s="344"/>
      <c r="OFR42" s="344"/>
      <c r="OFS42" s="344"/>
      <c r="OFT42" s="344"/>
      <c r="OFU42" s="344"/>
      <c r="OFV42" s="344"/>
      <c r="OFW42" s="344"/>
      <c r="OFX42" s="344"/>
      <c r="OFY42" s="344"/>
      <c r="OFZ42" s="344"/>
      <c r="OGA42" s="344"/>
      <c r="OGB42" s="344"/>
      <c r="OGC42" s="344"/>
      <c r="OGD42" s="344"/>
      <c r="OGE42" s="344"/>
      <c r="OGF42" s="344"/>
      <c r="OGG42" s="344"/>
      <c r="OGH42" s="344"/>
      <c r="OGI42" s="344"/>
      <c r="OGJ42" s="344"/>
      <c r="OGK42" s="344"/>
      <c r="OGL42" s="344"/>
      <c r="OGM42" s="344"/>
      <c r="OGN42" s="344"/>
      <c r="OGO42" s="344"/>
      <c r="OGP42" s="344"/>
      <c r="OGQ42" s="344"/>
      <c r="OGR42" s="344"/>
      <c r="OGS42" s="344"/>
      <c r="OGT42" s="344"/>
      <c r="OGU42" s="344"/>
      <c r="OGV42" s="344"/>
      <c r="OGW42" s="344"/>
      <c r="OGX42" s="344"/>
      <c r="OGY42" s="344"/>
      <c r="OGZ42" s="344"/>
      <c r="OHA42" s="344"/>
      <c r="OHB42" s="344"/>
      <c r="OHC42" s="344"/>
      <c r="OHD42" s="344"/>
      <c r="OHE42" s="344"/>
      <c r="OHF42" s="344"/>
      <c r="OHG42" s="344"/>
      <c r="OHH42" s="344"/>
      <c r="OHI42" s="344"/>
      <c r="OHJ42" s="344"/>
      <c r="OHK42" s="344"/>
      <c r="OHL42" s="344"/>
      <c r="OHM42" s="344"/>
      <c r="OHN42" s="344"/>
      <c r="OHO42" s="344"/>
      <c r="OHP42" s="344"/>
      <c r="OHQ42" s="344"/>
      <c r="OHR42" s="344"/>
      <c r="OHS42" s="344"/>
      <c r="OHT42" s="344"/>
      <c r="OHU42" s="344"/>
      <c r="OHV42" s="344"/>
      <c r="OHW42" s="344"/>
      <c r="OHX42" s="344"/>
      <c r="OHY42" s="344"/>
      <c r="OHZ42" s="344"/>
      <c r="OIA42" s="344"/>
      <c r="OIB42" s="344"/>
      <c r="OIC42" s="344"/>
      <c r="OID42" s="344"/>
      <c r="OIE42" s="344"/>
      <c r="OIF42" s="344"/>
      <c r="OIG42" s="344"/>
      <c r="OIH42" s="344"/>
      <c r="OII42" s="344"/>
      <c r="OIJ42" s="344"/>
      <c r="OIK42" s="344"/>
      <c r="OIL42" s="344"/>
      <c r="OIM42" s="344"/>
      <c r="OIN42" s="344"/>
      <c r="OIO42" s="344"/>
      <c r="OIP42" s="344"/>
      <c r="OIQ42" s="344"/>
      <c r="OIR42" s="344"/>
      <c r="OIS42" s="344"/>
      <c r="OIT42" s="344"/>
      <c r="OIU42" s="344"/>
      <c r="OIV42" s="344"/>
      <c r="OIW42" s="344"/>
      <c r="OIX42" s="344"/>
      <c r="OIY42" s="344"/>
      <c r="OIZ42" s="344"/>
      <c r="OJA42" s="344"/>
      <c r="OJB42" s="344"/>
      <c r="OJC42" s="344"/>
      <c r="OJD42" s="344"/>
      <c r="OJE42" s="344"/>
      <c r="OJF42" s="344"/>
      <c r="OJG42" s="344"/>
      <c r="OJH42" s="344"/>
      <c r="OJI42" s="344"/>
      <c r="OJJ42" s="344"/>
      <c r="OJK42" s="344"/>
      <c r="OJL42" s="344"/>
      <c r="OJM42" s="344"/>
      <c r="OJN42" s="344"/>
      <c r="OJO42" s="344"/>
      <c r="OJP42" s="344"/>
      <c r="OJQ42" s="344"/>
      <c r="OJR42" s="344"/>
      <c r="OJS42" s="344"/>
      <c r="OJT42" s="344"/>
      <c r="OJU42" s="344"/>
      <c r="OJV42" s="344"/>
      <c r="OJW42" s="344"/>
      <c r="OJX42" s="344"/>
      <c r="OJY42" s="344"/>
      <c r="OJZ42" s="344"/>
      <c r="OKA42" s="344"/>
      <c r="OKB42" s="344"/>
      <c r="OKC42" s="344"/>
      <c r="OKD42" s="344"/>
      <c r="OKE42" s="344"/>
      <c r="OKF42" s="344"/>
      <c r="OKG42" s="344"/>
      <c r="OKH42" s="344"/>
      <c r="OKI42" s="344"/>
      <c r="OKJ42" s="344"/>
      <c r="OKK42" s="344"/>
      <c r="OKL42" s="344"/>
      <c r="OKM42" s="344"/>
      <c r="OKN42" s="344"/>
      <c r="OKO42" s="344"/>
      <c r="OKP42" s="344"/>
      <c r="OKQ42" s="344"/>
      <c r="OKR42" s="344"/>
      <c r="OKS42" s="344"/>
      <c r="OKT42" s="344"/>
      <c r="OKU42" s="344"/>
      <c r="OKV42" s="344"/>
      <c r="OKW42" s="344"/>
      <c r="OKX42" s="344"/>
      <c r="OKY42" s="344"/>
      <c r="OKZ42" s="344"/>
      <c r="OLA42" s="344"/>
      <c r="OLB42" s="344"/>
      <c r="OLC42" s="344"/>
      <c r="OLD42" s="344"/>
      <c r="OLE42" s="344"/>
      <c r="OLF42" s="344"/>
      <c r="OLG42" s="344"/>
      <c r="OLH42" s="344"/>
      <c r="OLI42" s="344"/>
      <c r="OLJ42" s="344"/>
      <c r="OLK42" s="344"/>
      <c r="OLL42" s="344"/>
      <c r="OLM42" s="344"/>
      <c r="OLN42" s="344"/>
      <c r="OLO42" s="344"/>
      <c r="OLP42" s="344"/>
      <c r="OLQ42" s="344"/>
      <c r="OLR42" s="344"/>
      <c r="OLS42" s="344"/>
      <c r="OLT42" s="344"/>
      <c r="OLU42" s="344"/>
      <c r="OLV42" s="344"/>
      <c r="OLW42" s="344"/>
      <c r="OLX42" s="344"/>
      <c r="OLY42" s="344"/>
      <c r="OLZ42" s="344"/>
      <c r="OMA42" s="344"/>
      <c r="OMB42" s="344"/>
      <c r="OMC42" s="344"/>
      <c r="OMD42" s="344"/>
      <c r="OME42" s="344"/>
      <c r="OMF42" s="344"/>
      <c r="OMG42" s="344"/>
      <c r="OMH42" s="344"/>
      <c r="OMI42" s="344"/>
      <c r="OMJ42" s="344"/>
      <c r="OMK42" s="344"/>
      <c r="OML42" s="344"/>
      <c r="OMM42" s="344"/>
      <c r="OMN42" s="344"/>
      <c r="OMO42" s="344"/>
      <c r="OMP42" s="344"/>
      <c r="OMQ42" s="344"/>
      <c r="OMR42" s="344"/>
      <c r="OMS42" s="344"/>
      <c r="OMT42" s="344"/>
      <c r="OMU42" s="344"/>
      <c r="OMV42" s="344"/>
      <c r="OMW42" s="344"/>
      <c r="OMX42" s="344"/>
      <c r="OMY42" s="344"/>
      <c r="OMZ42" s="344"/>
      <c r="ONA42" s="344"/>
      <c r="ONB42" s="344"/>
      <c r="ONC42" s="344"/>
      <c r="OND42" s="344"/>
      <c r="ONE42" s="344"/>
      <c r="ONF42" s="344"/>
      <c r="ONG42" s="344"/>
      <c r="ONH42" s="344"/>
      <c r="ONI42" s="344"/>
      <c r="ONJ42" s="344"/>
      <c r="ONK42" s="344"/>
      <c r="ONL42" s="344"/>
      <c r="ONM42" s="344"/>
      <c r="ONN42" s="344"/>
      <c r="ONO42" s="344"/>
      <c r="ONP42" s="344"/>
      <c r="ONQ42" s="344"/>
      <c r="ONR42" s="344"/>
      <c r="ONS42" s="344"/>
      <c r="ONT42" s="344"/>
      <c r="ONU42" s="344"/>
      <c r="ONV42" s="344"/>
      <c r="ONW42" s="344"/>
      <c r="ONX42" s="344"/>
      <c r="ONY42" s="344"/>
      <c r="ONZ42" s="344"/>
      <c r="OOA42" s="344"/>
      <c r="OOB42" s="344"/>
      <c r="OOC42" s="344"/>
      <c r="OOD42" s="344"/>
      <c r="OOE42" s="344"/>
      <c r="OOF42" s="344"/>
      <c r="OOG42" s="344"/>
      <c r="OOH42" s="344"/>
      <c r="OOI42" s="344"/>
      <c r="OOJ42" s="344"/>
      <c r="OOK42" s="344"/>
      <c r="OOL42" s="344"/>
      <c r="OOM42" s="344"/>
      <c r="OON42" s="344"/>
      <c r="OOO42" s="344"/>
      <c r="OOP42" s="344"/>
      <c r="OOQ42" s="344"/>
      <c r="OOR42" s="344"/>
      <c r="OOS42" s="344"/>
      <c r="OOT42" s="344"/>
      <c r="OOU42" s="344"/>
      <c r="OOV42" s="344"/>
      <c r="OOW42" s="344"/>
      <c r="OOX42" s="344"/>
      <c r="OOY42" s="344"/>
      <c r="OOZ42" s="344"/>
      <c r="OPA42" s="344"/>
      <c r="OPB42" s="344"/>
      <c r="OPC42" s="344"/>
      <c r="OPD42" s="344"/>
      <c r="OPE42" s="344"/>
      <c r="OPF42" s="344"/>
      <c r="OPG42" s="344"/>
      <c r="OPH42" s="344"/>
      <c r="OPI42" s="344"/>
      <c r="OPJ42" s="344"/>
      <c r="OPK42" s="344"/>
      <c r="OPL42" s="344"/>
      <c r="OPM42" s="344"/>
      <c r="OPN42" s="344"/>
      <c r="OPO42" s="344"/>
      <c r="OPP42" s="344"/>
      <c r="OPQ42" s="344"/>
      <c r="OPR42" s="344"/>
      <c r="OPS42" s="344"/>
      <c r="OPT42" s="344"/>
      <c r="OPU42" s="344"/>
      <c r="OPV42" s="344"/>
      <c r="OPW42" s="344"/>
      <c r="OPX42" s="344"/>
      <c r="OPY42" s="344"/>
      <c r="OPZ42" s="344"/>
      <c r="OQA42" s="344"/>
      <c r="OQB42" s="344"/>
      <c r="OQC42" s="344"/>
      <c r="OQD42" s="344"/>
      <c r="OQE42" s="344"/>
      <c r="OQF42" s="344"/>
      <c r="OQG42" s="344"/>
      <c r="OQH42" s="344"/>
      <c r="OQI42" s="344"/>
      <c r="OQJ42" s="344"/>
      <c r="OQK42" s="344"/>
      <c r="OQL42" s="344"/>
      <c r="OQM42" s="344"/>
      <c r="OQN42" s="344"/>
      <c r="OQO42" s="344"/>
      <c r="OQP42" s="344"/>
      <c r="OQQ42" s="344"/>
      <c r="OQR42" s="344"/>
      <c r="OQS42" s="344"/>
      <c r="OQT42" s="344"/>
      <c r="OQU42" s="344"/>
      <c r="OQV42" s="344"/>
      <c r="OQW42" s="344"/>
      <c r="OQX42" s="344"/>
      <c r="OQY42" s="344"/>
      <c r="OQZ42" s="344"/>
      <c r="ORA42" s="344"/>
      <c r="ORB42" s="344"/>
      <c r="ORC42" s="344"/>
      <c r="ORD42" s="344"/>
      <c r="ORE42" s="344"/>
      <c r="ORF42" s="344"/>
      <c r="ORG42" s="344"/>
      <c r="ORH42" s="344"/>
      <c r="ORI42" s="344"/>
      <c r="ORJ42" s="344"/>
      <c r="ORK42" s="344"/>
      <c r="ORL42" s="344"/>
      <c r="ORM42" s="344"/>
      <c r="ORN42" s="344"/>
      <c r="ORO42" s="344"/>
      <c r="ORP42" s="344"/>
      <c r="ORQ42" s="344"/>
      <c r="ORR42" s="344"/>
      <c r="ORS42" s="344"/>
      <c r="ORT42" s="344"/>
      <c r="ORU42" s="344"/>
      <c r="ORV42" s="344"/>
      <c r="ORW42" s="344"/>
      <c r="ORX42" s="344"/>
      <c r="ORY42" s="344"/>
      <c r="ORZ42" s="344"/>
      <c r="OSA42" s="344"/>
      <c r="OSB42" s="344"/>
      <c r="OSC42" s="344"/>
      <c r="OSD42" s="344"/>
      <c r="OSE42" s="344"/>
      <c r="OSF42" s="344"/>
      <c r="OSG42" s="344"/>
      <c r="OSH42" s="344"/>
      <c r="OSI42" s="344"/>
      <c r="OSJ42" s="344"/>
      <c r="OSK42" s="344"/>
      <c r="OSL42" s="344"/>
      <c r="OSM42" s="344"/>
      <c r="OSN42" s="344"/>
      <c r="OSO42" s="344"/>
      <c r="OSP42" s="344"/>
      <c r="OSQ42" s="344"/>
      <c r="OSR42" s="344"/>
      <c r="OSS42" s="344"/>
      <c r="OST42" s="344"/>
      <c r="OSU42" s="344"/>
      <c r="OSV42" s="344"/>
      <c r="OSW42" s="344"/>
      <c r="OSX42" s="344"/>
      <c r="OSY42" s="344"/>
      <c r="OSZ42" s="344"/>
      <c r="OTA42" s="344"/>
      <c r="OTB42" s="344"/>
      <c r="OTC42" s="344"/>
      <c r="OTD42" s="344"/>
      <c r="OTE42" s="344"/>
      <c r="OTF42" s="344"/>
      <c r="OTG42" s="344"/>
      <c r="OTH42" s="344"/>
      <c r="OTI42" s="344"/>
      <c r="OTJ42" s="344"/>
      <c r="OTK42" s="344"/>
      <c r="OTL42" s="344"/>
      <c r="OTM42" s="344"/>
      <c r="OTN42" s="344"/>
      <c r="OTO42" s="344"/>
      <c r="OTP42" s="344"/>
      <c r="OTQ42" s="344"/>
      <c r="OTR42" s="344"/>
      <c r="OTS42" s="344"/>
      <c r="OTT42" s="344"/>
      <c r="OTU42" s="344"/>
      <c r="OTV42" s="344"/>
      <c r="OTW42" s="344"/>
      <c r="OTX42" s="344"/>
      <c r="OTY42" s="344"/>
      <c r="OTZ42" s="344"/>
      <c r="OUA42" s="344"/>
      <c r="OUB42" s="344"/>
      <c r="OUC42" s="344"/>
      <c r="OUD42" s="344"/>
      <c r="OUE42" s="344"/>
      <c r="OUF42" s="344"/>
      <c r="OUG42" s="344"/>
      <c r="OUH42" s="344"/>
      <c r="OUI42" s="344"/>
      <c r="OUJ42" s="344"/>
      <c r="OUK42" s="344"/>
      <c r="OUL42" s="344"/>
      <c r="OUM42" s="344"/>
      <c r="OUN42" s="344"/>
      <c r="OUO42" s="344"/>
      <c r="OUP42" s="344"/>
      <c r="OUQ42" s="344"/>
      <c r="OUR42" s="344"/>
      <c r="OUS42" s="344"/>
      <c r="OUT42" s="344"/>
      <c r="OUU42" s="344"/>
      <c r="OUV42" s="344"/>
      <c r="OUW42" s="344"/>
      <c r="OUX42" s="344"/>
      <c r="OUY42" s="344"/>
      <c r="OUZ42" s="344"/>
      <c r="OVA42" s="344"/>
      <c r="OVB42" s="344"/>
      <c r="OVC42" s="344"/>
      <c r="OVD42" s="344"/>
      <c r="OVE42" s="344"/>
      <c r="OVF42" s="344"/>
      <c r="OVG42" s="344"/>
      <c r="OVH42" s="344"/>
      <c r="OVI42" s="344"/>
      <c r="OVJ42" s="344"/>
      <c r="OVK42" s="344"/>
      <c r="OVL42" s="344"/>
      <c r="OVM42" s="344"/>
      <c r="OVN42" s="344"/>
      <c r="OVO42" s="344"/>
      <c r="OVP42" s="344"/>
      <c r="OVQ42" s="344"/>
      <c r="OVR42" s="344"/>
      <c r="OVS42" s="344"/>
      <c r="OVT42" s="344"/>
      <c r="OVU42" s="344"/>
      <c r="OVV42" s="344"/>
      <c r="OVW42" s="344"/>
      <c r="OVX42" s="344"/>
      <c r="OVY42" s="344"/>
      <c r="OVZ42" s="344"/>
      <c r="OWA42" s="344"/>
      <c r="OWB42" s="344"/>
      <c r="OWC42" s="344"/>
      <c r="OWD42" s="344"/>
      <c r="OWE42" s="344"/>
      <c r="OWF42" s="344"/>
      <c r="OWG42" s="344"/>
      <c r="OWH42" s="344"/>
      <c r="OWI42" s="344"/>
      <c r="OWJ42" s="344"/>
      <c r="OWK42" s="344"/>
      <c r="OWL42" s="344"/>
      <c r="OWM42" s="344"/>
      <c r="OWN42" s="344"/>
      <c r="OWO42" s="344"/>
      <c r="OWP42" s="344"/>
      <c r="OWQ42" s="344"/>
      <c r="OWR42" s="344"/>
      <c r="OWS42" s="344"/>
      <c r="OWT42" s="344"/>
      <c r="OWU42" s="344"/>
      <c r="OWV42" s="344"/>
      <c r="OWW42" s="344"/>
      <c r="OWX42" s="344"/>
      <c r="OWY42" s="344"/>
      <c r="OWZ42" s="344"/>
      <c r="OXA42" s="344"/>
      <c r="OXB42" s="344"/>
      <c r="OXC42" s="344"/>
      <c r="OXD42" s="344"/>
      <c r="OXE42" s="344"/>
      <c r="OXF42" s="344"/>
      <c r="OXG42" s="344"/>
      <c r="OXH42" s="344"/>
      <c r="OXI42" s="344"/>
      <c r="OXJ42" s="344"/>
      <c r="OXK42" s="344"/>
      <c r="OXL42" s="344"/>
      <c r="OXM42" s="344"/>
      <c r="OXN42" s="344"/>
      <c r="OXO42" s="344"/>
      <c r="OXP42" s="344"/>
      <c r="OXQ42" s="344"/>
      <c r="OXR42" s="344"/>
      <c r="OXS42" s="344"/>
      <c r="OXT42" s="344"/>
      <c r="OXU42" s="344"/>
      <c r="OXV42" s="344"/>
      <c r="OXW42" s="344"/>
      <c r="OXX42" s="344"/>
      <c r="OXY42" s="344"/>
      <c r="OXZ42" s="344"/>
      <c r="OYA42" s="344"/>
      <c r="OYB42" s="344"/>
      <c r="OYC42" s="344"/>
      <c r="OYD42" s="344"/>
      <c r="OYE42" s="344"/>
      <c r="OYF42" s="344"/>
      <c r="OYG42" s="344"/>
      <c r="OYH42" s="344"/>
      <c r="OYI42" s="344"/>
      <c r="OYJ42" s="344"/>
      <c r="OYK42" s="344"/>
      <c r="OYL42" s="344"/>
      <c r="OYM42" s="344"/>
      <c r="OYN42" s="344"/>
      <c r="OYO42" s="344"/>
      <c r="OYP42" s="344"/>
      <c r="OYQ42" s="344"/>
      <c r="OYR42" s="344"/>
      <c r="OYS42" s="344"/>
      <c r="OYT42" s="344"/>
      <c r="OYU42" s="344"/>
      <c r="OYV42" s="344"/>
      <c r="OYW42" s="344"/>
      <c r="OYX42" s="344"/>
      <c r="OYY42" s="344"/>
      <c r="OYZ42" s="344"/>
      <c r="OZA42" s="344"/>
      <c r="OZB42" s="344"/>
      <c r="OZC42" s="344"/>
      <c r="OZD42" s="344"/>
      <c r="OZE42" s="344"/>
      <c r="OZF42" s="344"/>
      <c r="OZG42" s="344"/>
      <c r="OZH42" s="344"/>
      <c r="OZI42" s="344"/>
      <c r="OZJ42" s="344"/>
      <c r="OZK42" s="344"/>
      <c r="OZL42" s="344"/>
      <c r="OZM42" s="344"/>
      <c r="OZN42" s="344"/>
      <c r="OZO42" s="344"/>
      <c r="OZP42" s="344"/>
      <c r="OZQ42" s="344"/>
      <c r="OZR42" s="344"/>
      <c r="OZS42" s="344"/>
      <c r="OZT42" s="344"/>
      <c r="OZU42" s="344"/>
      <c r="OZV42" s="344"/>
      <c r="OZW42" s="344"/>
      <c r="OZX42" s="344"/>
      <c r="OZY42" s="344"/>
      <c r="OZZ42" s="344"/>
      <c r="PAA42" s="344"/>
      <c r="PAB42" s="344"/>
      <c r="PAC42" s="344"/>
      <c r="PAD42" s="344"/>
      <c r="PAE42" s="344"/>
      <c r="PAF42" s="344"/>
      <c r="PAG42" s="344"/>
      <c r="PAH42" s="344"/>
      <c r="PAI42" s="344"/>
      <c r="PAJ42" s="344"/>
      <c r="PAK42" s="344"/>
      <c r="PAL42" s="344"/>
      <c r="PAM42" s="344"/>
      <c r="PAN42" s="344"/>
      <c r="PAO42" s="344"/>
      <c r="PAP42" s="344"/>
      <c r="PAQ42" s="344"/>
      <c r="PAR42" s="344"/>
      <c r="PAS42" s="344"/>
      <c r="PAT42" s="344"/>
      <c r="PAU42" s="344"/>
      <c r="PAV42" s="344"/>
      <c r="PAW42" s="344"/>
      <c r="PAX42" s="344"/>
      <c r="PAY42" s="344"/>
      <c r="PAZ42" s="344"/>
      <c r="PBA42" s="344"/>
      <c r="PBB42" s="344"/>
      <c r="PBC42" s="344"/>
      <c r="PBD42" s="344"/>
      <c r="PBE42" s="344"/>
      <c r="PBF42" s="344"/>
      <c r="PBG42" s="344"/>
      <c r="PBH42" s="344"/>
      <c r="PBI42" s="344"/>
      <c r="PBJ42" s="344"/>
      <c r="PBK42" s="344"/>
      <c r="PBL42" s="344"/>
      <c r="PBM42" s="344"/>
      <c r="PBN42" s="344"/>
      <c r="PBO42" s="344"/>
      <c r="PBP42" s="344"/>
      <c r="PBQ42" s="344"/>
      <c r="PBR42" s="344"/>
      <c r="PBS42" s="344"/>
      <c r="PBT42" s="344"/>
      <c r="PBU42" s="344"/>
      <c r="PBV42" s="344"/>
      <c r="PBW42" s="344"/>
      <c r="PBX42" s="344"/>
      <c r="PBY42" s="344"/>
      <c r="PBZ42" s="344"/>
      <c r="PCA42" s="344"/>
      <c r="PCB42" s="344"/>
      <c r="PCC42" s="344"/>
      <c r="PCD42" s="344"/>
      <c r="PCE42" s="344"/>
      <c r="PCF42" s="344"/>
      <c r="PCG42" s="344"/>
      <c r="PCH42" s="344"/>
      <c r="PCI42" s="344"/>
      <c r="PCJ42" s="344"/>
      <c r="PCK42" s="344"/>
      <c r="PCL42" s="344"/>
      <c r="PCM42" s="344"/>
      <c r="PCN42" s="344"/>
      <c r="PCO42" s="344"/>
      <c r="PCP42" s="344"/>
      <c r="PCQ42" s="344"/>
      <c r="PCR42" s="344"/>
      <c r="PCS42" s="344"/>
      <c r="PCT42" s="344"/>
      <c r="PCU42" s="344"/>
      <c r="PCV42" s="344"/>
      <c r="PCW42" s="344"/>
      <c r="PCX42" s="344"/>
      <c r="PCY42" s="344"/>
      <c r="PCZ42" s="344"/>
      <c r="PDA42" s="344"/>
      <c r="PDB42" s="344"/>
      <c r="PDC42" s="344"/>
      <c r="PDD42" s="344"/>
      <c r="PDE42" s="344"/>
      <c r="PDF42" s="344"/>
      <c r="PDG42" s="344"/>
      <c r="PDH42" s="344"/>
      <c r="PDI42" s="344"/>
      <c r="PDJ42" s="344"/>
      <c r="PDK42" s="344"/>
      <c r="PDL42" s="344"/>
      <c r="PDM42" s="344"/>
      <c r="PDN42" s="344"/>
      <c r="PDO42" s="344"/>
      <c r="PDP42" s="344"/>
      <c r="PDQ42" s="344"/>
      <c r="PDR42" s="344"/>
      <c r="PDS42" s="344"/>
      <c r="PDT42" s="344"/>
      <c r="PDU42" s="344"/>
      <c r="PDV42" s="344"/>
      <c r="PDW42" s="344"/>
      <c r="PDX42" s="344"/>
      <c r="PDY42" s="344"/>
      <c r="PDZ42" s="344"/>
      <c r="PEA42" s="344"/>
      <c r="PEB42" s="344"/>
      <c r="PEC42" s="344"/>
      <c r="PED42" s="344"/>
      <c r="PEE42" s="344"/>
      <c r="PEF42" s="344"/>
      <c r="PEG42" s="344"/>
      <c r="PEH42" s="344"/>
      <c r="PEI42" s="344"/>
      <c r="PEJ42" s="344"/>
      <c r="PEK42" s="344"/>
      <c r="PEL42" s="344"/>
      <c r="PEM42" s="344"/>
      <c r="PEN42" s="344"/>
      <c r="PEO42" s="344"/>
      <c r="PEP42" s="344"/>
      <c r="PEQ42" s="344"/>
      <c r="PER42" s="344"/>
      <c r="PES42" s="344"/>
      <c r="PET42" s="344"/>
      <c r="PEU42" s="344"/>
      <c r="PEV42" s="344"/>
      <c r="PEW42" s="344"/>
      <c r="PEX42" s="344"/>
      <c r="PEY42" s="344"/>
      <c r="PEZ42" s="344"/>
      <c r="PFA42" s="344"/>
      <c r="PFB42" s="344"/>
      <c r="PFC42" s="344"/>
      <c r="PFD42" s="344"/>
      <c r="PFE42" s="344"/>
      <c r="PFF42" s="344"/>
      <c r="PFG42" s="344"/>
      <c r="PFH42" s="344"/>
      <c r="PFI42" s="344"/>
      <c r="PFJ42" s="344"/>
      <c r="PFK42" s="344"/>
      <c r="PFL42" s="344"/>
      <c r="PFM42" s="344"/>
      <c r="PFN42" s="344"/>
      <c r="PFO42" s="344"/>
      <c r="PFP42" s="344"/>
      <c r="PFQ42" s="344"/>
      <c r="PFR42" s="344"/>
      <c r="PFS42" s="344"/>
      <c r="PFT42" s="344"/>
      <c r="PFU42" s="344"/>
      <c r="PFV42" s="344"/>
      <c r="PFW42" s="344"/>
      <c r="PFX42" s="344"/>
      <c r="PFY42" s="344"/>
      <c r="PFZ42" s="344"/>
      <c r="PGA42" s="344"/>
      <c r="PGB42" s="344"/>
      <c r="PGC42" s="344"/>
      <c r="PGD42" s="344"/>
      <c r="PGE42" s="344"/>
      <c r="PGF42" s="344"/>
      <c r="PGG42" s="344"/>
      <c r="PGH42" s="344"/>
      <c r="PGI42" s="344"/>
      <c r="PGJ42" s="344"/>
      <c r="PGK42" s="344"/>
      <c r="PGL42" s="344"/>
      <c r="PGM42" s="344"/>
      <c r="PGN42" s="344"/>
      <c r="PGO42" s="344"/>
      <c r="PGP42" s="344"/>
      <c r="PGQ42" s="344"/>
      <c r="PGR42" s="344"/>
      <c r="PGS42" s="344"/>
      <c r="PGT42" s="344"/>
      <c r="PGU42" s="344"/>
      <c r="PGV42" s="344"/>
      <c r="PGW42" s="344"/>
      <c r="PGX42" s="344"/>
      <c r="PGY42" s="344"/>
      <c r="PGZ42" s="344"/>
      <c r="PHA42" s="344"/>
      <c r="PHB42" s="344"/>
      <c r="PHC42" s="344"/>
      <c r="PHD42" s="344"/>
      <c r="PHE42" s="344"/>
      <c r="PHF42" s="344"/>
      <c r="PHG42" s="344"/>
      <c r="PHH42" s="344"/>
      <c r="PHI42" s="344"/>
      <c r="PHJ42" s="344"/>
      <c r="PHK42" s="344"/>
      <c r="PHL42" s="344"/>
      <c r="PHM42" s="344"/>
      <c r="PHN42" s="344"/>
      <c r="PHO42" s="344"/>
      <c r="PHP42" s="344"/>
      <c r="PHQ42" s="344"/>
      <c r="PHR42" s="344"/>
      <c r="PHS42" s="344"/>
      <c r="PHT42" s="344"/>
      <c r="PHU42" s="344"/>
      <c r="PHV42" s="344"/>
      <c r="PHW42" s="344"/>
      <c r="PHX42" s="344"/>
      <c r="PHY42" s="344"/>
      <c r="PHZ42" s="344"/>
      <c r="PIA42" s="344"/>
      <c r="PIB42" s="344"/>
      <c r="PIC42" s="344"/>
      <c r="PID42" s="344"/>
      <c r="PIE42" s="344"/>
      <c r="PIF42" s="344"/>
      <c r="PIG42" s="344"/>
      <c r="PIH42" s="344"/>
      <c r="PII42" s="344"/>
      <c r="PIJ42" s="344"/>
      <c r="PIK42" s="344"/>
      <c r="PIL42" s="344"/>
      <c r="PIM42" s="344"/>
      <c r="PIN42" s="344"/>
      <c r="PIO42" s="344"/>
      <c r="PIP42" s="344"/>
      <c r="PIQ42" s="344"/>
      <c r="PIR42" s="344"/>
      <c r="PIS42" s="344"/>
      <c r="PIT42" s="344"/>
      <c r="PIU42" s="344"/>
      <c r="PIV42" s="344"/>
      <c r="PIW42" s="344"/>
      <c r="PIX42" s="344"/>
      <c r="PIY42" s="344"/>
      <c r="PIZ42" s="344"/>
      <c r="PJA42" s="344"/>
      <c r="PJB42" s="344"/>
      <c r="PJC42" s="344"/>
      <c r="PJD42" s="344"/>
      <c r="PJE42" s="344"/>
      <c r="PJF42" s="344"/>
      <c r="PJG42" s="344"/>
      <c r="PJH42" s="344"/>
      <c r="PJI42" s="344"/>
      <c r="PJJ42" s="344"/>
      <c r="PJK42" s="344"/>
      <c r="PJL42" s="344"/>
      <c r="PJM42" s="344"/>
      <c r="PJN42" s="344"/>
      <c r="PJO42" s="344"/>
      <c r="PJP42" s="344"/>
      <c r="PJQ42" s="344"/>
      <c r="PJR42" s="344"/>
      <c r="PJS42" s="344"/>
      <c r="PJT42" s="344"/>
      <c r="PJU42" s="344"/>
      <c r="PJV42" s="344"/>
      <c r="PJW42" s="344"/>
      <c r="PJX42" s="344"/>
      <c r="PJY42" s="344"/>
      <c r="PJZ42" s="344"/>
      <c r="PKA42" s="344"/>
      <c r="PKB42" s="344"/>
      <c r="PKC42" s="344"/>
      <c r="PKD42" s="344"/>
      <c r="PKE42" s="344"/>
      <c r="PKF42" s="344"/>
      <c r="PKG42" s="344"/>
      <c r="PKH42" s="344"/>
      <c r="PKI42" s="344"/>
      <c r="PKJ42" s="344"/>
      <c r="PKK42" s="344"/>
      <c r="PKL42" s="344"/>
      <c r="PKM42" s="344"/>
      <c r="PKN42" s="344"/>
      <c r="PKO42" s="344"/>
      <c r="PKP42" s="344"/>
      <c r="PKQ42" s="344"/>
      <c r="PKR42" s="344"/>
      <c r="PKS42" s="344"/>
      <c r="PKT42" s="344"/>
      <c r="PKU42" s="344"/>
      <c r="PKV42" s="344"/>
      <c r="PKW42" s="344"/>
      <c r="PKX42" s="344"/>
      <c r="PKY42" s="344"/>
      <c r="PKZ42" s="344"/>
      <c r="PLA42" s="344"/>
      <c r="PLB42" s="344"/>
      <c r="PLC42" s="344"/>
      <c r="PLD42" s="344"/>
      <c r="PLE42" s="344"/>
      <c r="PLF42" s="344"/>
      <c r="PLG42" s="344"/>
      <c r="PLH42" s="344"/>
      <c r="PLI42" s="344"/>
      <c r="PLJ42" s="344"/>
      <c r="PLK42" s="344"/>
      <c r="PLL42" s="344"/>
      <c r="PLM42" s="344"/>
      <c r="PLN42" s="344"/>
      <c r="PLO42" s="344"/>
      <c r="PLP42" s="344"/>
      <c r="PLQ42" s="344"/>
      <c r="PLR42" s="344"/>
      <c r="PLS42" s="344"/>
      <c r="PLT42" s="344"/>
      <c r="PLU42" s="344"/>
      <c r="PLV42" s="344"/>
      <c r="PLW42" s="344"/>
      <c r="PLX42" s="344"/>
      <c r="PLY42" s="344"/>
      <c r="PLZ42" s="344"/>
      <c r="PMA42" s="344"/>
      <c r="PMB42" s="344"/>
      <c r="PMC42" s="344"/>
      <c r="PMD42" s="344"/>
      <c r="PME42" s="344"/>
      <c r="PMF42" s="344"/>
      <c r="PMG42" s="344"/>
      <c r="PMH42" s="344"/>
      <c r="PMI42" s="344"/>
      <c r="PMJ42" s="344"/>
      <c r="PMK42" s="344"/>
      <c r="PML42" s="344"/>
      <c r="PMM42" s="344"/>
      <c r="PMN42" s="344"/>
      <c r="PMO42" s="344"/>
      <c r="PMP42" s="344"/>
      <c r="PMQ42" s="344"/>
      <c r="PMR42" s="344"/>
      <c r="PMS42" s="344"/>
      <c r="PMT42" s="344"/>
      <c r="PMU42" s="344"/>
      <c r="PMV42" s="344"/>
      <c r="PMW42" s="344"/>
      <c r="PMX42" s="344"/>
      <c r="PMY42" s="344"/>
      <c r="PMZ42" s="344"/>
      <c r="PNA42" s="344"/>
      <c r="PNB42" s="344"/>
      <c r="PNC42" s="344"/>
      <c r="PND42" s="344"/>
      <c r="PNE42" s="344"/>
      <c r="PNF42" s="344"/>
      <c r="PNG42" s="344"/>
      <c r="PNH42" s="344"/>
      <c r="PNI42" s="344"/>
      <c r="PNJ42" s="344"/>
      <c r="PNK42" s="344"/>
      <c r="PNL42" s="344"/>
      <c r="PNM42" s="344"/>
      <c r="PNN42" s="344"/>
      <c r="PNO42" s="344"/>
      <c r="PNP42" s="344"/>
      <c r="PNQ42" s="344"/>
      <c r="PNR42" s="344"/>
      <c r="PNS42" s="344"/>
      <c r="PNT42" s="344"/>
      <c r="PNU42" s="344"/>
      <c r="PNV42" s="344"/>
      <c r="PNW42" s="344"/>
      <c r="PNX42" s="344"/>
      <c r="PNY42" s="344"/>
      <c r="PNZ42" s="344"/>
      <c r="POA42" s="344"/>
      <c r="POB42" s="344"/>
      <c r="POC42" s="344"/>
      <c r="POD42" s="344"/>
      <c r="POE42" s="344"/>
      <c r="POF42" s="344"/>
      <c r="POG42" s="344"/>
      <c r="POH42" s="344"/>
      <c r="POI42" s="344"/>
      <c r="POJ42" s="344"/>
      <c r="POK42" s="344"/>
      <c r="POL42" s="344"/>
      <c r="POM42" s="344"/>
      <c r="PON42" s="344"/>
      <c r="POO42" s="344"/>
      <c r="POP42" s="344"/>
      <c r="POQ42" s="344"/>
      <c r="POR42" s="344"/>
      <c r="POS42" s="344"/>
      <c r="POT42" s="344"/>
      <c r="POU42" s="344"/>
      <c r="POV42" s="344"/>
      <c r="POW42" s="344"/>
      <c r="POX42" s="344"/>
      <c r="POY42" s="344"/>
      <c r="POZ42" s="344"/>
      <c r="PPA42" s="344"/>
      <c r="PPB42" s="344"/>
      <c r="PPC42" s="344"/>
      <c r="PPD42" s="344"/>
      <c r="PPE42" s="344"/>
      <c r="PPF42" s="344"/>
      <c r="PPG42" s="344"/>
      <c r="PPH42" s="344"/>
      <c r="PPI42" s="344"/>
      <c r="PPJ42" s="344"/>
      <c r="PPK42" s="344"/>
      <c r="PPL42" s="344"/>
      <c r="PPM42" s="344"/>
      <c r="PPN42" s="344"/>
      <c r="PPO42" s="344"/>
      <c r="PPP42" s="344"/>
      <c r="PPQ42" s="344"/>
      <c r="PPR42" s="344"/>
      <c r="PPS42" s="344"/>
      <c r="PPT42" s="344"/>
      <c r="PPU42" s="344"/>
      <c r="PPV42" s="344"/>
      <c r="PPW42" s="344"/>
      <c r="PPX42" s="344"/>
      <c r="PPY42" s="344"/>
      <c r="PPZ42" s="344"/>
      <c r="PQA42" s="344"/>
      <c r="PQB42" s="344"/>
      <c r="PQC42" s="344"/>
      <c r="PQD42" s="344"/>
      <c r="PQE42" s="344"/>
      <c r="PQF42" s="344"/>
      <c r="PQG42" s="344"/>
      <c r="PQH42" s="344"/>
      <c r="PQI42" s="344"/>
      <c r="PQJ42" s="344"/>
      <c r="PQK42" s="344"/>
      <c r="PQL42" s="344"/>
      <c r="PQM42" s="344"/>
      <c r="PQN42" s="344"/>
      <c r="PQO42" s="344"/>
      <c r="PQP42" s="344"/>
      <c r="PQQ42" s="344"/>
      <c r="PQR42" s="344"/>
      <c r="PQS42" s="344"/>
      <c r="PQT42" s="344"/>
      <c r="PQU42" s="344"/>
      <c r="PQV42" s="344"/>
      <c r="PQW42" s="344"/>
      <c r="PQX42" s="344"/>
      <c r="PQY42" s="344"/>
      <c r="PQZ42" s="344"/>
      <c r="PRA42" s="344"/>
      <c r="PRB42" s="344"/>
      <c r="PRC42" s="344"/>
      <c r="PRD42" s="344"/>
      <c r="PRE42" s="344"/>
      <c r="PRF42" s="344"/>
      <c r="PRG42" s="344"/>
      <c r="PRH42" s="344"/>
      <c r="PRI42" s="344"/>
      <c r="PRJ42" s="344"/>
      <c r="PRK42" s="344"/>
      <c r="PRL42" s="344"/>
      <c r="PRM42" s="344"/>
      <c r="PRN42" s="344"/>
      <c r="PRO42" s="344"/>
      <c r="PRP42" s="344"/>
      <c r="PRQ42" s="344"/>
      <c r="PRR42" s="344"/>
      <c r="PRS42" s="344"/>
      <c r="PRT42" s="344"/>
      <c r="PRU42" s="344"/>
      <c r="PRV42" s="344"/>
      <c r="PRW42" s="344"/>
      <c r="PRX42" s="344"/>
      <c r="PRY42" s="344"/>
      <c r="PRZ42" s="344"/>
      <c r="PSA42" s="344"/>
      <c r="PSB42" s="344"/>
      <c r="PSC42" s="344"/>
      <c r="PSD42" s="344"/>
      <c r="PSE42" s="344"/>
      <c r="PSF42" s="344"/>
      <c r="PSG42" s="344"/>
      <c r="PSH42" s="344"/>
      <c r="PSI42" s="344"/>
      <c r="PSJ42" s="344"/>
      <c r="PSK42" s="344"/>
      <c r="PSL42" s="344"/>
      <c r="PSM42" s="344"/>
      <c r="PSN42" s="344"/>
      <c r="PSO42" s="344"/>
      <c r="PSP42" s="344"/>
      <c r="PSQ42" s="344"/>
      <c r="PSR42" s="344"/>
      <c r="PSS42" s="344"/>
      <c r="PST42" s="344"/>
      <c r="PSU42" s="344"/>
      <c r="PSV42" s="344"/>
      <c r="PSW42" s="344"/>
      <c r="PSX42" s="344"/>
      <c r="PSY42" s="344"/>
      <c r="PSZ42" s="344"/>
      <c r="PTA42" s="344"/>
      <c r="PTB42" s="344"/>
      <c r="PTC42" s="344"/>
      <c r="PTD42" s="344"/>
      <c r="PTE42" s="344"/>
      <c r="PTF42" s="344"/>
      <c r="PTG42" s="344"/>
      <c r="PTH42" s="344"/>
      <c r="PTI42" s="344"/>
      <c r="PTJ42" s="344"/>
      <c r="PTK42" s="344"/>
      <c r="PTL42" s="344"/>
      <c r="PTM42" s="344"/>
      <c r="PTN42" s="344"/>
      <c r="PTO42" s="344"/>
      <c r="PTP42" s="344"/>
      <c r="PTQ42" s="344"/>
      <c r="PTR42" s="344"/>
      <c r="PTS42" s="344"/>
      <c r="PTT42" s="344"/>
      <c r="PTU42" s="344"/>
      <c r="PTV42" s="344"/>
      <c r="PTW42" s="344"/>
      <c r="PTX42" s="344"/>
      <c r="PTY42" s="344"/>
      <c r="PTZ42" s="344"/>
      <c r="PUA42" s="344"/>
      <c r="PUB42" s="344"/>
      <c r="PUC42" s="344"/>
      <c r="PUD42" s="344"/>
      <c r="PUE42" s="344"/>
      <c r="PUF42" s="344"/>
      <c r="PUG42" s="344"/>
      <c r="PUH42" s="344"/>
      <c r="PUI42" s="344"/>
      <c r="PUJ42" s="344"/>
      <c r="PUK42" s="344"/>
      <c r="PUL42" s="344"/>
      <c r="PUM42" s="344"/>
      <c r="PUN42" s="344"/>
      <c r="PUO42" s="344"/>
      <c r="PUP42" s="344"/>
      <c r="PUQ42" s="344"/>
      <c r="PUR42" s="344"/>
      <c r="PUS42" s="344"/>
      <c r="PUT42" s="344"/>
      <c r="PUU42" s="344"/>
      <c r="PUV42" s="344"/>
      <c r="PUW42" s="344"/>
      <c r="PUX42" s="344"/>
      <c r="PUY42" s="344"/>
      <c r="PUZ42" s="344"/>
      <c r="PVA42" s="344"/>
      <c r="PVB42" s="344"/>
      <c r="PVC42" s="344"/>
      <c r="PVD42" s="344"/>
      <c r="PVE42" s="344"/>
      <c r="PVF42" s="344"/>
      <c r="PVG42" s="344"/>
      <c r="PVH42" s="344"/>
      <c r="PVI42" s="344"/>
      <c r="PVJ42" s="344"/>
      <c r="PVK42" s="344"/>
      <c r="PVL42" s="344"/>
      <c r="PVM42" s="344"/>
      <c r="PVN42" s="344"/>
      <c r="PVO42" s="344"/>
      <c r="PVP42" s="344"/>
      <c r="PVQ42" s="344"/>
      <c r="PVR42" s="344"/>
      <c r="PVS42" s="344"/>
      <c r="PVT42" s="344"/>
      <c r="PVU42" s="344"/>
      <c r="PVV42" s="344"/>
      <c r="PVW42" s="344"/>
      <c r="PVX42" s="344"/>
      <c r="PVY42" s="344"/>
      <c r="PVZ42" s="344"/>
      <c r="PWA42" s="344"/>
      <c r="PWB42" s="344"/>
      <c r="PWC42" s="344"/>
      <c r="PWD42" s="344"/>
      <c r="PWE42" s="344"/>
      <c r="PWF42" s="344"/>
      <c r="PWG42" s="344"/>
      <c r="PWH42" s="344"/>
      <c r="PWI42" s="344"/>
      <c r="PWJ42" s="344"/>
      <c r="PWK42" s="344"/>
      <c r="PWL42" s="344"/>
      <c r="PWM42" s="344"/>
      <c r="PWN42" s="344"/>
      <c r="PWO42" s="344"/>
      <c r="PWP42" s="344"/>
      <c r="PWQ42" s="344"/>
      <c r="PWR42" s="344"/>
      <c r="PWS42" s="344"/>
      <c r="PWT42" s="344"/>
      <c r="PWU42" s="344"/>
      <c r="PWV42" s="344"/>
      <c r="PWW42" s="344"/>
      <c r="PWX42" s="344"/>
      <c r="PWY42" s="344"/>
      <c r="PWZ42" s="344"/>
      <c r="PXA42" s="344"/>
      <c r="PXB42" s="344"/>
      <c r="PXC42" s="344"/>
      <c r="PXD42" s="344"/>
      <c r="PXE42" s="344"/>
      <c r="PXF42" s="344"/>
      <c r="PXG42" s="344"/>
      <c r="PXH42" s="344"/>
      <c r="PXI42" s="344"/>
      <c r="PXJ42" s="344"/>
      <c r="PXK42" s="344"/>
      <c r="PXL42" s="344"/>
      <c r="PXM42" s="344"/>
      <c r="PXN42" s="344"/>
      <c r="PXO42" s="344"/>
      <c r="PXP42" s="344"/>
      <c r="PXQ42" s="344"/>
      <c r="PXR42" s="344"/>
      <c r="PXS42" s="344"/>
      <c r="PXT42" s="344"/>
      <c r="PXU42" s="344"/>
      <c r="PXV42" s="344"/>
      <c r="PXW42" s="344"/>
      <c r="PXX42" s="344"/>
      <c r="PXY42" s="344"/>
      <c r="PXZ42" s="344"/>
      <c r="PYA42" s="344"/>
      <c r="PYB42" s="344"/>
      <c r="PYC42" s="344"/>
      <c r="PYD42" s="344"/>
      <c r="PYE42" s="344"/>
      <c r="PYF42" s="344"/>
      <c r="PYG42" s="344"/>
      <c r="PYH42" s="344"/>
      <c r="PYI42" s="344"/>
      <c r="PYJ42" s="344"/>
      <c r="PYK42" s="344"/>
      <c r="PYL42" s="344"/>
      <c r="PYM42" s="344"/>
      <c r="PYN42" s="344"/>
      <c r="PYO42" s="344"/>
      <c r="PYP42" s="344"/>
      <c r="PYQ42" s="344"/>
      <c r="PYR42" s="344"/>
      <c r="PYS42" s="344"/>
      <c r="PYT42" s="344"/>
      <c r="PYU42" s="344"/>
      <c r="PYV42" s="344"/>
      <c r="PYW42" s="344"/>
      <c r="PYX42" s="344"/>
      <c r="PYY42" s="344"/>
      <c r="PYZ42" s="344"/>
      <c r="PZA42" s="344"/>
      <c r="PZB42" s="344"/>
      <c r="PZC42" s="344"/>
      <c r="PZD42" s="344"/>
      <c r="PZE42" s="344"/>
      <c r="PZF42" s="344"/>
      <c r="PZG42" s="344"/>
      <c r="PZH42" s="344"/>
      <c r="PZI42" s="344"/>
      <c r="PZJ42" s="344"/>
      <c r="PZK42" s="344"/>
      <c r="PZL42" s="344"/>
      <c r="PZM42" s="344"/>
      <c r="PZN42" s="344"/>
      <c r="PZO42" s="344"/>
      <c r="PZP42" s="344"/>
      <c r="PZQ42" s="344"/>
      <c r="PZR42" s="344"/>
      <c r="PZS42" s="344"/>
      <c r="PZT42" s="344"/>
      <c r="PZU42" s="344"/>
      <c r="PZV42" s="344"/>
      <c r="PZW42" s="344"/>
      <c r="PZX42" s="344"/>
      <c r="PZY42" s="344"/>
      <c r="PZZ42" s="344"/>
      <c r="QAA42" s="344"/>
      <c r="QAB42" s="344"/>
      <c r="QAC42" s="344"/>
      <c r="QAD42" s="344"/>
      <c r="QAE42" s="344"/>
      <c r="QAF42" s="344"/>
      <c r="QAG42" s="344"/>
      <c r="QAH42" s="344"/>
      <c r="QAI42" s="344"/>
      <c r="QAJ42" s="344"/>
      <c r="QAK42" s="344"/>
      <c r="QAL42" s="344"/>
      <c r="QAM42" s="344"/>
      <c r="QAN42" s="344"/>
      <c r="QAO42" s="344"/>
      <c r="QAP42" s="344"/>
      <c r="QAQ42" s="344"/>
      <c r="QAR42" s="344"/>
      <c r="QAS42" s="344"/>
      <c r="QAT42" s="344"/>
      <c r="QAU42" s="344"/>
      <c r="QAV42" s="344"/>
      <c r="QAW42" s="344"/>
      <c r="QAX42" s="344"/>
      <c r="QAY42" s="344"/>
      <c r="QAZ42" s="344"/>
      <c r="QBA42" s="344"/>
      <c r="QBB42" s="344"/>
      <c r="QBC42" s="344"/>
      <c r="QBD42" s="344"/>
      <c r="QBE42" s="344"/>
      <c r="QBF42" s="344"/>
      <c r="QBG42" s="344"/>
      <c r="QBH42" s="344"/>
      <c r="QBI42" s="344"/>
      <c r="QBJ42" s="344"/>
      <c r="QBK42" s="344"/>
      <c r="QBL42" s="344"/>
      <c r="QBM42" s="344"/>
      <c r="QBN42" s="344"/>
      <c r="QBO42" s="344"/>
      <c r="QBP42" s="344"/>
      <c r="QBQ42" s="344"/>
      <c r="QBR42" s="344"/>
      <c r="QBS42" s="344"/>
      <c r="QBT42" s="344"/>
      <c r="QBU42" s="344"/>
      <c r="QBV42" s="344"/>
      <c r="QBW42" s="344"/>
      <c r="QBX42" s="344"/>
      <c r="QBY42" s="344"/>
      <c r="QBZ42" s="344"/>
      <c r="QCA42" s="344"/>
      <c r="QCB42" s="344"/>
      <c r="QCC42" s="344"/>
      <c r="QCD42" s="344"/>
      <c r="QCE42" s="344"/>
      <c r="QCF42" s="344"/>
      <c r="QCG42" s="344"/>
      <c r="QCH42" s="344"/>
      <c r="QCI42" s="344"/>
      <c r="QCJ42" s="344"/>
      <c r="QCK42" s="344"/>
      <c r="QCL42" s="344"/>
      <c r="QCM42" s="344"/>
      <c r="QCN42" s="344"/>
      <c r="QCO42" s="344"/>
      <c r="QCP42" s="344"/>
      <c r="QCQ42" s="344"/>
      <c r="QCR42" s="344"/>
      <c r="QCS42" s="344"/>
      <c r="QCT42" s="344"/>
      <c r="QCU42" s="344"/>
      <c r="QCV42" s="344"/>
      <c r="QCW42" s="344"/>
      <c r="QCX42" s="344"/>
      <c r="QCY42" s="344"/>
      <c r="QCZ42" s="344"/>
      <c r="QDA42" s="344"/>
      <c r="QDB42" s="344"/>
      <c r="QDC42" s="344"/>
      <c r="QDD42" s="344"/>
      <c r="QDE42" s="344"/>
      <c r="QDF42" s="344"/>
      <c r="QDG42" s="344"/>
      <c r="QDH42" s="344"/>
      <c r="QDI42" s="344"/>
      <c r="QDJ42" s="344"/>
      <c r="QDK42" s="344"/>
      <c r="QDL42" s="344"/>
      <c r="QDM42" s="344"/>
      <c r="QDN42" s="344"/>
      <c r="QDO42" s="344"/>
      <c r="QDP42" s="344"/>
      <c r="QDQ42" s="344"/>
      <c r="QDR42" s="344"/>
      <c r="QDS42" s="344"/>
      <c r="QDT42" s="344"/>
      <c r="QDU42" s="344"/>
      <c r="QDV42" s="344"/>
      <c r="QDW42" s="344"/>
      <c r="QDX42" s="344"/>
      <c r="QDY42" s="344"/>
      <c r="QDZ42" s="344"/>
      <c r="QEA42" s="344"/>
      <c r="QEB42" s="344"/>
      <c r="QEC42" s="344"/>
      <c r="QED42" s="344"/>
      <c r="QEE42" s="344"/>
      <c r="QEF42" s="344"/>
      <c r="QEG42" s="344"/>
      <c r="QEH42" s="344"/>
      <c r="QEI42" s="344"/>
      <c r="QEJ42" s="344"/>
      <c r="QEK42" s="344"/>
      <c r="QEL42" s="344"/>
      <c r="QEM42" s="344"/>
      <c r="QEN42" s="344"/>
      <c r="QEO42" s="344"/>
      <c r="QEP42" s="344"/>
      <c r="QEQ42" s="344"/>
      <c r="QER42" s="344"/>
      <c r="QES42" s="344"/>
      <c r="QET42" s="344"/>
      <c r="QEU42" s="344"/>
      <c r="QEV42" s="344"/>
      <c r="QEW42" s="344"/>
      <c r="QEX42" s="344"/>
      <c r="QEY42" s="344"/>
      <c r="QEZ42" s="344"/>
      <c r="QFA42" s="344"/>
      <c r="QFB42" s="344"/>
      <c r="QFC42" s="344"/>
      <c r="QFD42" s="344"/>
      <c r="QFE42" s="344"/>
      <c r="QFF42" s="344"/>
      <c r="QFG42" s="344"/>
      <c r="QFH42" s="344"/>
      <c r="QFI42" s="344"/>
      <c r="QFJ42" s="344"/>
      <c r="QFK42" s="344"/>
      <c r="QFL42" s="344"/>
      <c r="QFM42" s="344"/>
      <c r="QFN42" s="344"/>
      <c r="QFO42" s="344"/>
      <c r="QFP42" s="344"/>
      <c r="QFQ42" s="344"/>
      <c r="QFR42" s="344"/>
      <c r="QFS42" s="344"/>
      <c r="QFT42" s="344"/>
      <c r="QFU42" s="344"/>
      <c r="QFV42" s="344"/>
      <c r="QFW42" s="344"/>
      <c r="QFX42" s="344"/>
      <c r="QFY42" s="344"/>
      <c r="QFZ42" s="344"/>
      <c r="QGA42" s="344"/>
      <c r="QGB42" s="344"/>
      <c r="QGC42" s="344"/>
      <c r="QGD42" s="344"/>
      <c r="QGE42" s="344"/>
      <c r="QGF42" s="344"/>
      <c r="QGG42" s="344"/>
      <c r="QGH42" s="344"/>
      <c r="QGI42" s="344"/>
      <c r="QGJ42" s="344"/>
      <c r="QGK42" s="344"/>
      <c r="QGL42" s="344"/>
      <c r="QGM42" s="344"/>
      <c r="QGN42" s="344"/>
      <c r="QGO42" s="344"/>
      <c r="QGP42" s="344"/>
      <c r="QGQ42" s="344"/>
      <c r="QGR42" s="344"/>
      <c r="QGS42" s="344"/>
      <c r="QGT42" s="344"/>
      <c r="QGU42" s="344"/>
      <c r="QGV42" s="344"/>
      <c r="QGW42" s="344"/>
      <c r="QGX42" s="344"/>
      <c r="QGY42" s="344"/>
      <c r="QGZ42" s="344"/>
      <c r="QHA42" s="344"/>
      <c r="QHB42" s="344"/>
      <c r="QHC42" s="344"/>
      <c r="QHD42" s="344"/>
      <c r="QHE42" s="344"/>
      <c r="QHF42" s="344"/>
      <c r="QHG42" s="344"/>
      <c r="QHH42" s="344"/>
      <c r="QHI42" s="344"/>
      <c r="QHJ42" s="344"/>
      <c r="QHK42" s="344"/>
      <c r="QHL42" s="344"/>
      <c r="QHM42" s="344"/>
      <c r="QHN42" s="344"/>
      <c r="QHO42" s="344"/>
      <c r="QHP42" s="344"/>
      <c r="QHQ42" s="344"/>
      <c r="QHR42" s="344"/>
      <c r="QHS42" s="344"/>
      <c r="QHT42" s="344"/>
      <c r="QHU42" s="344"/>
      <c r="QHV42" s="344"/>
      <c r="QHW42" s="344"/>
      <c r="QHX42" s="344"/>
      <c r="QHY42" s="344"/>
      <c r="QHZ42" s="344"/>
      <c r="QIA42" s="344"/>
      <c r="QIB42" s="344"/>
      <c r="QIC42" s="344"/>
      <c r="QID42" s="344"/>
      <c r="QIE42" s="344"/>
      <c r="QIF42" s="344"/>
      <c r="QIG42" s="344"/>
      <c r="QIH42" s="344"/>
      <c r="QII42" s="344"/>
      <c r="QIJ42" s="344"/>
      <c r="QIK42" s="344"/>
      <c r="QIL42" s="344"/>
      <c r="QIM42" s="344"/>
      <c r="QIN42" s="344"/>
      <c r="QIO42" s="344"/>
      <c r="QIP42" s="344"/>
      <c r="QIQ42" s="344"/>
      <c r="QIR42" s="344"/>
      <c r="QIS42" s="344"/>
      <c r="QIT42" s="344"/>
      <c r="QIU42" s="344"/>
      <c r="QIV42" s="344"/>
      <c r="QIW42" s="344"/>
      <c r="QIX42" s="344"/>
      <c r="QIY42" s="344"/>
      <c r="QIZ42" s="344"/>
      <c r="QJA42" s="344"/>
      <c r="QJB42" s="344"/>
      <c r="QJC42" s="344"/>
      <c r="QJD42" s="344"/>
      <c r="QJE42" s="344"/>
      <c r="QJF42" s="344"/>
      <c r="QJG42" s="344"/>
      <c r="QJH42" s="344"/>
      <c r="QJI42" s="344"/>
      <c r="QJJ42" s="344"/>
      <c r="QJK42" s="344"/>
      <c r="QJL42" s="344"/>
      <c r="QJM42" s="344"/>
      <c r="QJN42" s="344"/>
      <c r="QJO42" s="344"/>
      <c r="QJP42" s="344"/>
      <c r="QJQ42" s="344"/>
      <c r="QJR42" s="344"/>
      <c r="QJS42" s="344"/>
      <c r="QJT42" s="344"/>
      <c r="QJU42" s="344"/>
      <c r="QJV42" s="344"/>
      <c r="QJW42" s="344"/>
      <c r="QJX42" s="344"/>
      <c r="QJY42" s="344"/>
      <c r="QJZ42" s="344"/>
      <c r="QKA42" s="344"/>
      <c r="QKB42" s="344"/>
      <c r="QKC42" s="344"/>
      <c r="QKD42" s="344"/>
      <c r="QKE42" s="344"/>
      <c r="QKF42" s="344"/>
      <c r="QKG42" s="344"/>
      <c r="QKH42" s="344"/>
      <c r="QKI42" s="344"/>
      <c r="QKJ42" s="344"/>
      <c r="QKK42" s="344"/>
      <c r="QKL42" s="344"/>
      <c r="QKM42" s="344"/>
      <c r="QKN42" s="344"/>
      <c r="QKO42" s="344"/>
      <c r="QKP42" s="344"/>
      <c r="QKQ42" s="344"/>
      <c r="QKR42" s="344"/>
      <c r="QKS42" s="344"/>
      <c r="QKT42" s="344"/>
      <c r="QKU42" s="344"/>
      <c r="QKV42" s="344"/>
      <c r="QKW42" s="344"/>
      <c r="QKX42" s="344"/>
      <c r="QKY42" s="344"/>
      <c r="QKZ42" s="344"/>
      <c r="QLA42" s="344"/>
      <c r="QLB42" s="344"/>
      <c r="QLC42" s="344"/>
      <c r="QLD42" s="344"/>
      <c r="QLE42" s="344"/>
      <c r="QLF42" s="344"/>
      <c r="QLG42" s="344"/>
      <c r="QLH42" s="344"/>
      <c r="QLI42" s="344"/>
      <c r="QLJ42" s="344"/>
      <c r="QLK42" s="344"/>
      <c r="QLL42" s="344"/>
      <c r="QLM42" s="344"/>
      <c r="QLN42" s="344"/>
      <c r="QLO42" s="344"/>
      <c r="QLP42" s="344"/>
      <c r="QLQ42" s="344"/>
      <c r="QLR42" s="344"/>
      <c r="QLS42" s="344"/>
      <c r="QLT42" s="344"/>
      <c r="QLU42" s="344"/>
      <c r="QLV42" s="344"/>
      <c r="QLW42" s="344"/>
      <c r="QLX42" s="344"/>
      <c r="QLY42" s="344"/>
      <c r="QLZ42" s="344"/>
      <c r="QMA42" s="344"/>
      <c r="QMB42" s="344"/>
      <c r="QMC42" s="344"/>
      <c r="QMD42" s="344"/>
      <c r="QME42" s="344"/>
      <c r="QMF42" s="344"/>
      <c r="QMG42" s="344"/>
      <c r="QMH42" s="344"/>
      <c r="QMI42" s="344"/>
      <c r="QMJ42" s="344"/>
      <c r="QMK42" s="344"/>
      <c r="QML42" s="344"/>
      <c r="QMM42" s="344"/>
      <c r="QMN42" s="344"/>
      <c r="QMO42" s="344"/>
      <c r="QMP42" s="344"/>
      <c r="QMQ42" s="344"/>
      <c r="QMR42" s="344"/>
      <c r="QMS42" s="344"/>
      <c r="QMT42" s="344"/>
      <c r="QMU42" s="344"/>
      <c r="QMV42" s="344"/>
      <c r="QMW42" s="344"/>
      <c r="QMX42" s="344"/>
      <c r="QMY42" s="344"/>
      <c r="QMZ42" s="344"/>
      <c r="QNA42" s="344"/>
      <c r="QNB42" s="344"/>
      <c r="QNC42" s="344"/>
      <c r="QND42" s="344"/>
      <c r="QNE42" s="344"/>
      <c r="QNF42" s="344"/>
      <c r="QNG42" s="344"/>
      <c r="QNH42" s="344"/>
      <c r="QNI42" s="344"/>
      <c r="QNJ42" s="344"/>
      <c r="QNK42" s="344"/>
      <c r="QNL42" s="344"/>
      <c r="QNM42" s="344"/>
      <c r="QNN42" s="344"/>
      <c r="QNO42" s="344"/>
      <c r="QNP42" s="344"/>
      <c r="QNQ42" s="344"/>
      <c r="QNR42" s="344"/>
      <c r="QNS42" s="344"/>
      <c r="QNT42" s="344"/>
      <c r="QNU42" s="344"/>
      <c r="QNV42" s="344"/>
      <c r="QNW42" s="344"/>
      <c r="QNX42" s="344"/>
      <c r="QNY42" s="344"/>
      <c r="QNZ42" s="344"/>
      <c r="QOA42" s="344"/>
      <c r="QOB42" s="344"/>
      <c r="QOC42" s="344"/>
      <c r="QOD42" s="344"/>
      <c r="QOE42" s="344"/>
      <c r="QOF42" s="344"/>
      <c r="QOG42" s="344"/>
      <c r="QOH42" s="344"/>
      <c r="QOI42" s="344"/>
      <c r="QOJ42" s="344"/>
      <c r="QOK42" s="344"/>
      <c r="QOL42" s="344"/>
      <c r="QOM42" s="344"/>
      <c r="QON42" s="344"/>
      <c r="QOO42" s="344"/>
      <c r="QOP42" s="344"/>
      <c r="QOQ42" s="344"/>
      <c r="QOR42" s="344"/>
      <c r="QOS42" s="344"/>
      <c r="QOT42" s="344"/>
      <c r="QOU42" s="344"/>
      <c r="QOV42" s="344"/>
      <c r="QOW42" s="344"/>
      <c r="QOX42" s="344"/>
      <c r="QOY42" s="344"/>
      <c r="QOZ42" s="344"/>
      <c r="QPA42" s="344"/>
      <c r="QPB42" s="344"/>
      <c r="QPC42" s="344"/>
      <c r="QPD42" s="344"/>
      <c r="QPE42" s="344"/>
      <c r="QPF42" s="344"/>
      <c r="QPG42" s="344"/>
      <c r="QPH42" s="344"/>
      <c r="QPI42" s="344"/>
      <c r="QPJ42" s="344"/>
      <c r="QPK42" s="344"/>
      <c r="QPL42" s="344"/>
      <c r="QPM42" s="344"/>
      <c r="QPN42" s="344"/>
      <c r="QPO42" s="344"/>
      <c r="QPP42" s="344"/>
      <c r="QPQ42" s="344"/>
      <c r="QPR42" s="344"/>
      <c r="QPS42" s="344"/>
      <c r="QPT42" s="344"/>
      <c r="QPU42" s="344"/>
      <c r="QPV42" s="344"/>
      <c r="QPW42" s="344"/>
      <c r="QPX42" s="344"/>
      <c r="QPY42" s="344"/>
      <c r="QPZ42" s="344"/>
      <c r="QQA42" s="344"/>
      <c r="QQB42" s="344"/>
      <c r="QQC42" s="344"/>
      <c r="QQD42" s="344"/>
      <c r="QQE42" s="344"/>
      <c r="QQF42" s="344"/>
      <c r="QQG42" s="344"/>
      <c r="QQH42" s="344"/>
      <c r="QQI42" s="344"/>
      <c r="QQJ42" s="344"/>
      <c r="QQK42" s="344"/>
      <c r="QQL42" s="344"/>
      <c r="QQM42" s="344"/>
      <c r="QQN42" s="344"/>
      <c r="QQO42" s="344"/>
      <c r="QQP42" s="344"/>
      <c r="QQQ42" s="344"/>
      <c r="QQR42" s="344"/>
      <c r="QQS42" s="344"/>
      <c r="QQT42" s="344"/>
      <c r="QQU42" s="344"/>
      <c r="QQV42" s="344"/>
      <c r="QQW42" s="344"/>
      <c r="QQX42" s="344"/>
      <c r="QQY42" s="344"/>
      <c r="QQZ42" s="344"/>
      <c r="QRA42" s="344"/>
      <c r="QRB42" s="344"/>
      <c r="QRC42" s="344"/>
      <c r="QRD42" s="344"/>
      <c r="QRE42" s="344"/>
      <c r="QRF42" s="344"/>
      <c r="QRG42" s="344"/>
      <c r="QRH42" s="344"/>
      <c r="QRI42" s="344"/>
      <c r="QRJ42" s="344"/>
      <c r="QRK42" s="344"/>
      <c r="QRL42" s="344"/>
      <c r="QRM42" s="344"/>
      <c r="QRN42" s="344"/>
      <c r="QRO42" s="344"/>
      <c r="QRP42" s="344"/>
      <c r="QRQ42" s="344"/>
      <c r="QRR42" s="344"/>
      <c r="QRS42" s="344"/>
      <c r="QRT42" s="344"/>
      <c r="QRU42" s="344"/>
      <c r="QRV42" s="344"/>
      <c r="QRW42" s="344"/>
      <c r="QRX42" s="344"/>
      <c r="QRY42" s="344"/>
      <c r="QRZ42" s="344"/>
      <c r="QSA42" s="344"/>
      <c r="QSB42" s="344"/>
      <c r="QSC42" s="344"/>
      <c r="QSD42" s="344"/>
      <c r="QSE42" s="344"/>
      <c r="QSF42" s="344"/>
      <c r="QSG42" s="344"/>
      <c r="QSH42" s="344"/>
      <c r="QSI42" s="344"/>
      <c r="QSJ42" s="344"/>
      <c r="QSK42" s="344"/>
      <c r="QSL42" s="344"/>
      <c r="QSM42" s="344"/>
      <c r="QSN42" s="344"/>
      <c r="QSO42" s="344"/>
      <c r="QSP42" s="344"/>
      <c r="QSQ42" s="344"/>
      <c r="QSR42" s="344"/>
      <c r="QSS42" s="344"/>
      <c r="QST42" s="344"/>
      <c r="QSU42" s="344"/>
      <c r="QSV42" s="344"/>
      <c r="QSW42" s="344"/>
      <c r="QSX42" s="344"/>
      <c r="QSY42" s="344"/>
      <c r="QSZ42" s="344"/>
      <c r="QTA42" s="344"/>
      <c r="QTB42" s="344"/>
      <c r="QTC42" s="344"/>
      <c r="QTD42" s="344"/>
      <c r="QTE42" s="344"/>
      <c r="QTF42" s="344"/>
      <c r="QTG42" s="344"/>
      <c r="QTH42" s="344"/>
      <c r="QTI42" s="344"/>
      <c r="QTJ42" s="344"/>
      <c r="QTK42" s="344"/>
      <c r="QTL42" s="344"/>
      <c r="QTM42" s="344"/>
      <c r="QTN42" s="344"/>
      <c r="QTO42" s="344"/>
      <c r="QTP42" s="344"/>
      <c r="QTQ42" s="344"/>
      <c r="QTR42" s="344"/>
      <c r="QTS42" s="344"/>
      <c r="QTT42" s="344"/>
      <c r="QTU42" s="344"/>
      <c r="QTV42" s="344"/>
      <c r="QTW42" s="344"/>
      <c r="QTX42" s="344"/>
      <c r="QTY42" s="344"/>
      <c r="QTZ42" s="344"/>
      <c r="QUA42" s="344"/>
      <c r="QUB42" s="344"/>
      <c r="QUC42" s="344"/>
      <c r="QUD42" s="344"/>
      <c r="QUE42" s="344"/>
      <c r="QUF42" s="344"/>
      <c r="QUG42" s="344"/>
      <c r="QUH42" s="344"/>
      <c r="QUI42" s="344"/>
      <c r="QUJ42" s="344"/>
      <c r="QUK42" s="344"/>
      <c r="QUL42" s="344"/>
      <c r="QUM42" s="344"/>
      <c r="QUN42" s="344"/>
      <c r="QUO42" s="344"/>
      <c r="QUP42" s="344"/>
      <c r="QUQ42" s="344"/>
      <c r="QUR42" s="344"/>
      <c r="QUS42" s="344"/>
      <c r="QUT42" s="344"/>
      <c r="QUU42" s="344"/>
      <c r="QUV42" s="344"/>
      <c r="QUW42" s="344"/>
      <c r="QUX42" s="344"/>
      <c r="QUY42" s="344"/>
      <c r="QUZ42" s="344"/>
      <c r="QVA42" s="344"/>
      <c r="QVB42" s="344"/>
      <c r="QVC42" s="344"/>
      <c r="QVD42" s="344"/>
      <c r="QVE42" s="344"/>
      <c r="QVF42" s="344"/>
      <c r="QVG42" s="344"/>
      <c r="QVH42" s="344"/>
      <c r="QVI42" s="344"/>
      <c r="QVJ42" s="344"/>
      <c r="QVK42" s="344"/>
      <c r="QVL42" s="344"/>
      <c r="QVM42" s="344"/>
      <c r="QVN42" s="344"/>
      <c r="QVO42" s="344"/>
      <c r="QVP42" s="344"/>
      <c r="QVQ42" s="344"/>
      <c r="QVR42" s="344"/>
      <c r="QVS42" s="344"/>
      <c r="QVT42" s="344"/>
      <c r="QVU42" s="344"/>
      <c r="QVV42" s="344"/>
      <c r="QVW42" s="344"/>
      <c r="QVX42" s="344"/>
      <c r="QVY42" s="344"/>
      <c r="QVZ42" s="344"/>
      <c r="QWA42" s="344"/>
      <c r="QWB42" s="344"/>
      <c r="QWC42" s="344"/>
      <c r="QWD42" s="344"/>
      <c r="QWE42" s="344"/>
      <c r="QWF42" s="344"/>
      <c r="QWG42" s="344"/>
      <c r="QWH42" s="344"/>
      <c r="QWI42" s="344"/>
      <c r="QWJ42" s="344"/>
      <c r="QWK42" s="344"/>
      <c r="QWL42" s="344"/>
      <c r="QWM42" s="344"/>
      <c r="QWN42" s="344"/>
      <c r="QWO42" s="344"/>
      <c r="QWP42" s="344"/>
      <c r="QWQ42" s="344"/>
      <c r="QWR42" s="344"/>
      <c r="QWS42" s="344"/>
      <c r="QWT42" s="344"/>
      <c r="QWU42" s="344"/>
      <c r="QWV42" s="344"/>
      <c r="QWW42" s="344"/>
      <c r="QWX42" s="344"/>
      <c r="QWY42" s="344"/>
      <c r="QWZ42" s="344"/>
      <c r="QXA42" s="344"/>
      <c r="QXB42" s="344"/>
      <c r="QXC42" s="344"/>
      <c r="QXD42" s="344"/>
      <c r="QXE42" s="344"/>
      <c r="QXF42" s="344"/>
      <c r="QXG42" s="344"/>
      <c r="QXH42" s="344"/>
      <c r="QXI42" s="344"/>
      <c r="QXJ42" s="344"/>
      <c r="QXK42" s="344"/>
      <c r="QXL42" s="344"/>
      <c r="QXM42" s="344"/>
      <c r="QXN42" s="344"/>
      <c r="QXO42" s="344"/>
      <c r="QXP42" s="344"/>
      <c r="QXQ42" s="344"/>
      <c r="QXR42" s="344"/>
      <c r="QXS42" s="344"/>
      <c r="QXT42" s="344"/>
      <c r="QXU42" s="344"/>
      <c r="QXV42" s="344"/>
      <c r="QXW42" s="344"/>
      <c r="QXX42" s="344"/>
      <c r="QXY42" s="344"/>
      <c r="QXZ42" s="344"/>
      <c r="QYA42" s="344"/>
      <c r="QYB42" s="344"/>
      <c r="QYC42" s="344"/>
      <c r="QYD42" s="344"/>
      <c r="QYE42" s="344"/>
      <c r="QYF42" s="344"/>
      <c r="QYG42" s="344"/>
      <c r="QYH42" s="344"/>
      <c r="QYI42" s="344"/>
      <c r="QYJ42" s="344"/>
      <c r="QYK42" s="344"/>
      <c r="QYL42" s="344"/>
      <c r="QYM42" s="344"/>
      <c r="QYN42" s="344"/>
      <c r="QYO42" s="344"/>
      <c r="QYP42" s="344"/>
      <c r="QYQ42" s="344"/>
      <c r="QYR42" s="344"/>
      <c r="QYS42" s="344"/>
      <c r="QYT42" s="344"/>
      <c r="QYU42" s="344"/>
      <c r="QYV42" s="344"/>
      <c r="QYW42" s="344"/>
      <c r="QYX42" s="344"/>
      <c r="QYY42" s="344"/>
      <c r="QYZ42" s="344"/>
      <c r="QZA42" s="344"/>
      <c r="QZB42" s="344"/>
      <c r="QZC42" s="344"/>
      <c r="QZD42" s="344"/>
      <c r="QZE42" s="344"/>
      <c r="QZF42" s="344"/>
      <c r="QZG42" s="344"/>
      <c r="QZH42" s="344"/>
      <c r="QZI42" s="344"/>
      <c r="QZJ42" s="344"/>
      <c r="QZK42" s="344"/>
      <c r="QZL42" s="344"/>
      <c r="QZM42" s="344"/>
      <c r="QZN42" s="344"/>
      <c r="QZO42" s="344"/>
      <c r="QZP42" s="344"/>
      <c r="QZQ42" s="344"/>
      <c r="QZR42" s="344"/>
      <c r="QZS42" s="344"/>
      <c r="QZT42" s="344"/>
      <c r="QZU42" s="344"/>
      <c r="QZV42" s="344"/>
      <c r="QZW42" s="344"/>
      <c r="QZX42" s="344"/>
      <c r="QZY42" s="344"/>
      <c r="QZZ42" s="344"/>
      <c r="RAA42" s="344"/>
      <c r="RAB42" s="344"/>
      <c r="RAC42" s="344"/>
      <c r="RAD42" s="344"/>
      <c r="RAE42" s="344"/>
      <c r="RAF42" s="344"/>
      <c r="RAG42" s="344"/>
      <c r="RAH42" s="344"/>
      <c r="RAI42" s="344"/>
      <c r="RAJ42" s="344"/>
      <c r="RAK42" s="344"/>
      <c r="RAL42" s="344"/>
      <c r="RAM42" s="344"/>
      <c r="RAN42" s="344"/>
      <c r="RAO42" s="344"/>
      <c r="RAP42" s="344"/>
      <c r="RAQ42" s="344"/>
      <c r="RAR42" s="344"/>
      <c r="RAS42" s="344"/>
      <c r="RAT42" s="344"/>
      <c r="RAU42" s="344"/>
      <c r="RAV42" s="344"/>
      <c r="RAW42" s="344"/>
      <c r="RAX42" s="344"/>
      <c r="RAY42" s="344"/>
      <c r="RAZ42" s="344"/>
      <c r="RBA42" s="344"/>
      <c r="RBB42" s="344"/>
      <c r="RBC42" s="344"/>
      <c r="RBD42" s="344"/>
      <c r="RBE42" s="344"/>
      <c r="RBF42" s="344"/>
      <c r="RBG42" s="344"/>
      <c r="RBH42" s="344"/>
      <c r="RBI42" s="344"/>
      <c r="RBJ42" s="344"/>
      <c r="RBK42" s="344"/>
      <c r="RBL42" s="344"/>
      <c r="RBM42" s="344"/>
      <c r="RBN42" s="344"/>
      <c r="RBO42" s="344"/>
      <c r="RBP42" s="344"/>
      <c r="RBQ42" s="344"/>
      <c r="RBR42" s="344"/>
      <c r="RBS42" s="344"/>
      <c r="RBT42" s="344"/>
      <c r="RBU42" s="344"/>
      <c r="RBV42" s="344"/>
      <c r="RBW42" s="344"/>
      <c r="RBX42" s="344"/>
      <c r="RBY42" s="344"/>
      <c r="RBZ42" s="344"/>
      <c r="RCA42" s="344"/>
      <c r="RCB42" s="344"/>
      <c r="RCC42" s="344"/>
      <c r="RCD42" s="344"/>
      <c r="RCE42" s="344"/>
      <c r="RCF42" s="344"/>
      <c r="RCG42" s="344"/>
      <c r="RCH42" s="344"/>
      <c r="RCI42" s="344"/>
      <c r="RCJ42" s="344"/>
      <c r="RCK42" s="344"/>
      <c r="RCL42" s="344"/>
      <c r="RCM42" s="344"/>
      <c r="RCN42" s="344"/>
      <c r="RCO42" s="344"/>
      <c r="RCP42" s="344"/>
      <c r="RCQ42" s="344"/>
      <c r="RCR42" s="344"/>
      <c r="RCS42" s="344"/>
      <c r="RCT42" s="344"/>
      <c r="RCU42" s="344"/>
      <c r="RCV42" s="344"/>
      <c r="RCW42" s="344"/>
      <c r="RCX42" s="344"/>
      <c r="RCY42" s="344"/>
      <c r="RCZ42" s="344"/>
      <c r="RDA42" s="344"/>
      <c r="RDB42" s="344"/>
      <c r="RDC42" s="344"/>
      <c r="RDD42" s="344"/>
      <c r="RDE42" s="344"/>
      <c r="RDF42" s="344"/>
      <c r="RDG42" s="344"/>
      <c r="RDH42" s="344"/>
      <c r="RDI42" s="344"/>
      <c r="RDJ42" s="344"/>
      <c r="RDK42" s="344"/>
      <c r="RDL42" s="344"/>
      <c r="RDM42" s="344"/>
      <c r="RDN42" s="344"/>
      <c r="RDO42" s="344"/>
      <c r="RDP42" s="344"/>
      <c r="RDQ42" s="344"/>
      <c r="RDR42" s="344"/>
      <c r="RDS42" s="344"/>
      <c r="RDT42" s="344"/>
      <c r="RDU42" s="344"/>
      <c r="RDV42" s="344"/>
      <c r="RDW42" s="344"/>
      <c r="RDX42" s="344"/>
      <c r="RDY42" s="344"/>
      <c r="RDZ42" s="344"/>
      <c r="REA42" s="344"/>
      <c r="REB42" s="344"/>
      <c r="REC42" s="344"/>
      <c r="RED42" s="344"/>
      <c r="REE42" s="344"/>
      <c r="REF42" s="344"/>
      <c r="REG42" s="344"/>
      <c r="REH42" s="344"/>
      <c r="REI42" s="344"/>
      <c r="REJ42" s="344"/>
      <c r="REK42" s="344"/>
      <c r="REL42" s="344"/>
      <c r="REM42" s="344"/>
      <c r="REN42" s="344"/>
      <c r="REO42" s="344"/>
      <c r="REP42" s="344"/>
      <c r="REQ42" s="344"/>
      <c r="RER42" s="344"/>
      <c r="RES42" s="344"/>
      <c r="RET42" s="344"/>
      <c r="REU42" s="344"/>
      <c r="REV42" s="344"/>
      <c r="REW42" s="344"/>
      <c r="REX42" s="344"/>
      <c r="REY42" s="344"/>
      <c r="REZ42" s="344"/>
      <c r="RFA42" s="344"/>
      <c r="RFB42" s="344"/>
      <c r="RFC42" s="344"/>
      <c r="RFD42" s="344"/>
      <c r="RFE42" s="344"/>
      <c r="RFF42" s="344"/>
      <c r="RFG42" s="344"/>
      <c r="RFH42" s="344"/>
      <c r="RFI42" s="344"/>
      <c r="RFJ42" s="344"/>
      <c r="RFK42" s="344"/>
      <c r="RFL42" s="344"/>
      <c r="RFM42" s="344"/>
      <c r="RFN42" s="344"/>
      <c r="RFO42" s="344"/>
      <c r="RFP42" s="344"/>
      <c r="RFQ42" s="344"/>
      <c r="RFR42" s="344"/>
      <c r="RFS42" s="344"/>
      <c r="RFT42" s="344"/>
      <c r="RFU42" s="344"/>
      <c r="RFV42" s="344"/>
      <c r="RFW42" s="344"/>
      <c r="RFX42" s="344"/>
      <c r="RFY42" s="344"/>
      <c r="RFZ42" s="344"/>
      <c r="RGA42" s="344"/>
      <c r="RGB42" s="344"/>
      <c r="RGC42" s="344"/>
      <c r="RGD42" s="344"/>
      <c r="RGE42" s="344"/>
      <c r="RGF42" s="344"/>
      <c r="RGG42" s="344"/>
      <c r="RGH42" s="344"/>
      <c r="RGI42" s="344"/>
      <c r="RGJ42" s="344"/>
      <c r="RGK42" s="344"/>
      <c r="RGL42" s="344"/>
      <c r="RGM42" s="344"/>
      <c r="RGN42" s="344"/>
      <c r="RGO42" s="344"/>
      <c r="RGP42" s="344"/>
      <c r="RGQ42" s="344"/>
      <c r="RGR42" s="344"/>
      <c r="RGS42" s="344"/>
      <c r="RGT42" s="344"/>
      <c r="RGU42" s="344"/>
      <c r="RGV42" s="344"/>
      <c r="RGW42" s="344"/>
      <c r="RGX42" s="344"/>
      <c r="RGY42" s="344"/>
      <c r="RGZ42" s="344"/>
      <c r="RHA42" s="344"/>
      <c r="RHB42" s="344"/>
      <c r="RHC42" s="344"/>
      <c r="RHD42" s="344"/>
      <c r="RHE42" s="344"/>
      <c r="RHF42" s="344"/>
      <c r="RHG42" s="344"/>
      <c r="RHH42" s="344"/>
      <c r="RHI42" s="344"/>
      <c r="RHJ42" s="344"/>
      <c r="RHK42" s="344"/>
      <c r="RHL42" s="344"/>
      <c r="RHM42" s="344"/>
      <c r="RHN42" s="344"/>
      <c r="RHO42" s="344"/>
      <c r="RHP42" s="344"/>
      <c r="RHQ42" s="344"/>
      <c r="RHR42" s="344"/>
      <c r="RHS42" s="344"/>
      <c r="RHT42" s="344"/>
      <c r="RHU42" s="344"/>
      <c r="RHV42" s="344"/>
      <c r="RHW42" s="344"/>
      <c r="RHX42" s="344"/>
      <c r="RHY42" s="344"/>
      <c r="RHZ42" s="344"/>
      <c r="RIA42" s="344"/>
      <c r="RIB42" s="344"/>
      <c r="RIC42" s="344"/>
      <c r="RID42" s="344"/>
      <c r="RIE42" s="344"/>
      <c r="RIF42" s="344"/>
      <c r="RIG42" s="344"/>
      <c r="RIH42" s="344"/>
      <c r="RII42" s="344"/>
      <c r="RIJ42" s="344"/>
      <c r="RIK42" s="344"/>
      <c r="RIL42" s="344"/>
      <c r="RIM42" s="344"/>
      <c r="RIN42" s="344"/>
      <c r="RIO42" s="344"/>
      <c r="RIP42" s="344"/>
      <c r="RIQ42" s="344"/>
      <c r="RIR42" s="344"/>
      <c r="RIS42" s="344"/>
      <c r="RIT42" s="344"/>
      <c r="RIU42" s="344"/>
      <c r="RIV42" s="344"/>
      <c r="RIW42" s="344"/>
      <c r="RIX42" s="344"/>
      <c r="RIY42" s="344"/>
      <c r="RIZ42" s="344"/>
      <c r="RJA42" s="344"/>
      <c r="RJB42" s="344"/>
      <c r="RJC42" s="344"/>
      <c r="RJD42" s="344"/>
      <c r="RJE42" s="344"/>
      <c r="RJF42" s="344"/>
      <c r="RJG42" s="344"/>
      <c r="RJH42" s="344"/>
      <c r="RJI42" s="344"/>
      <c r="RJJ42" s="344"/>
      <c r="RJK42" s="344"/>
      <c r="RJL42" s="344"/>
      <c r="RJM42" s="344"/>
      <c r="RJN42" s="344"/>
      <c r="RJO42" s="344"/>
      <c r="RJP42" s="344"/>
      <c r="RJQ42" s="344"/>
      <c r="RJR42" s="344"/>
      <c r="RJS42" s="344"/>
      <c r="RJT42" s="344"/>
      <c r="RJU42" s="344"/>
      <c r="RJV42" s="344"/>
      <c r="RJW42" s="344"/>
      <c r="RJX42" s="344"/>
      <c r="RJY42" s="344"/>
      <c r="RJZ42" s="344"/>
      <c r="RKA42" s="344"/>
      <c r="RKB42" s="344"/>
      <c r="RKC42" s="344"/>
      <c r="RKD42" s="344"/>
      <c r="RKE42" s="344"/>
      <c r="RKF42" s="344"/>
      <c r="RKG42" s="344"/>
      <c r="RKH42" s="344"/>
      <c r="RKI42" s="344"/>
      <c r="RKJ42" s="344"/>
      <c r="RKK42" s="344"/>
      <c r="RKL42" s="344"/>
      <c r="RKM42" s="344"/>
      <c r="RKN42" s="344"/>
      <c r="RKO42" s="344"/>
      <c r="RKP42" s="344"/>
      <c r="RKQ42" s="344"/>
      <c r="RKR42" s="344"/>
      <c r="RKS42" s="344"/>
      <c r="RKT42" s="344"/>
      <c r="RKU42" s="344"/>
      <c r="RKV42" s="344"/>
      <c r="RKW42" s="344"/>
      <c r="RKX42" s="344"/>
      <c r="RKY42" s="344"/>
      <c r="RKZ42" s="344"/>
      <c r="RLA42" s="344"/>
      <c r="RLB42" s="344"/>
      <c r="RLC42" s="344"/>
      <c r="RLD42" s="344"/>
      <c r="RLE42" s="344"/>
      <c r="RLF42" s="344"/>
      <c r="RLG42" s="344"/>
      <c r="RLH42" s="344"/>
      <c r="RLI42" s="344"/>
      <c r="RLJ42" s="344"/>
      <c r="RLK42" s="344"/>
      <c r="RLL42" s="344"/>
      <c r="RLM42" s="344"/>
      <c r="RLN42" s="344"/>
      <c r="RLO42" s="344"/>
      <c r="RLP42" s="344"/>
      <c r="RLQ42" s="344"/>
      <c r="RLR42" s="344"/>
      <c r="RLS42" s="344"/>
      <c r="RLT42" s="344"/>
      <c r="RLU42" s="344"/>
      <c r="RLV42" s="344"/>
      <c r="RLW42" s="344"/>
      <c r="RLX42" s="344"/>
      <c r="RLY42" s="344"/>
      <c r="RLZ42" s="344"/>
      <c r="RMA42" s="344"/>
      <c r="RMB42" s="344"/>
      <c r="RMC42" s="344"/>
      <c r="RMD42" s="344"/>
      <c r="RME42" s="344"/>
      <c r="RMF42" s="344"/>
      <c r="RMG42" s="344"/>
      <c r="RMH42" s="344"/>
      <c r="RMI42" s="344"/>
      <c r="RMJ42" s="344"/>
      <c r="RMK42" s="344"/>
      <c r="RML42" s="344"/>
      <c r="RMM42" s="344"/>
      <c r="RMN42" s="344"/>
      <c r="RMO42" s="344"/>
      <c r="RMP42" s="344"/>
      <c r="RMQ42" s="344"/>
      <c r="RMR42" s="344"/>
      <c r="RMS42" s="344"/>
      <c r="RMT42" s="344"/>
      <c r="RMU42" s="344"/>
      <c r="RMV42" s="344"/>
      <c r="RMW42" s="344"/>
      <c r="RMX42" s="344"/>
      <c r="RMY42" s="344"/>
      <c r="RMZ42" s="344"/>
      <c r="RNA42" s="344"/>
      <c r="RNB42" s="344"/>
      <c r="RNC42" s="344"/>
      <c r="RND42" s="344"/>
      <c r="RNE42" s="344"/>
      <c r="RNF42" s="344"/>
      <c r="RNG42" s="344"/>
      <c r="RNH42" s="344"/>
      <c r="RNI42" s="344"/>
      <c r="RNJ42" s="344"/>
      <c r="RNK42" s="344"/>
      <c r="RNL42" s="344"/>
      <c r="RNM42" s="344"/>
      <c r="RNN42" s="344"/>
      <c r="RNO42" s="344"/>
      <c r="RNP42" s="344"/>
      <c r="RNQ42" s="344"/>
      <c r="RNR42" s="344"/>
      <c r="RNS42" s="344"/>
      <c r="RNT42" s="344"/>
      <c r="RNU42" s="344"/>
      <c r="RNV42" s="344"/>
      <c r="RNW42" s="344"/>
      <c r="RNX42" s="344"/>
      <c r="RNY42" s="344"/>
      <c r="RNZ42" s="344"/>
      <c r="ROA42" s="344"/>
      <c r="ROB42" s="344"/>
      <c r="ROC42" s="344"/>
      <c r="ROD42" s="344"/>
      <c r="ROE42" s="344"/>
      <c r="ROF42" s="344"/>
      <c r="ROG42" s="344"/>
      <c r="ROH42" s="344"/>
      <c r="ROI42" s="344"/>
      <c r="ROJ42" s="344"/>
      <c r="ROK42" s="344"/>
      <c r="ROL42" s="344"/>
      <c r="ROM42" s="344"/>
      <c r="RON42" s="344"/>
      <c r="ROO42" s="344"/>
      <c r="ROP42" s="344"/>
      <c r="ROQ42" s="344"/>
      <c r="ROR42" s="344"/>
      <c r="ROS42" s="344"/>
      <c r="ROT42" s="344"/>
      <c r="ROU42" s="344"/>
      <c r="ROV42" s="344"/>
      <c r="ROW42" s="344"/>
      <c r="ROX42" s="344"/>
      <c r="ROY42" s="344"/>
      <c r="ROZ42" s="344"/>
      <c r="RPA42" s="344"/>
      <c r="RPB42" s="344"/>
      <c r="RPC42" s="344"/>
      <c r="RPD42" s="344"/>
      <c r="RPE42" s="344"/>
      <c r="RPF42" s="344"/>
      <c r="RPG42" s="344"/>
      <c r="RPH42" s="344"/>
      <c r="RPI42" s="344"/>
      <c r="RPJ42" s="344"/>
      <c r="RPK42" s="344"/>
      <c r="RPL42" s="344"/>
      <c r="RPM42" s="344"/>
      <c r="RPN42" s="344"/>
      <c r="RPO42" s="344"/>
      <c r="RPP42" s="344"/>
      <c r="RPQ42" s="344"/>
      <c r="RPR42" s="344"/>
      <c r="RPS42" s="344"/>
      <c r="RPT42" s="344"/>
      <c r="RPU42" s="344"/>
      <c r="RPV42" s="344"/>
      <c r="RPW42" s="344"/>
      <c r="RPX42" s="344"/>
      <c r="RPY42" s="344"/>
      <c r="RPZ42" s="344"/>
      <c r="RQA42" s="344"/>
      <c r="RQB42" s="344"/>
      <c r="RQC42" s="344"/>
      <c r="RQD42" s="344"/>
      <c r="RQE42" s="344"/>
      <c r="RQF42" s="344"/>
      <c r="RQG42" s="344"/>
      <c r="RQH42" s="344"/>
      <c r="RQI42" s="344"/>
      <c r="RQJ42" s="344"/>
      <c r="RQK42" s="344"/>
      <c r="RQL42" s="344"/>
      <c r="RQM42" s="344"/>
      <c r="RQN42" s="344"/>
      <c r="RQO42" s="344"/>
      <c r="RQP42" s="344"/>
      <c r="RQQ42" s="344"/>
      <c r="RQR42" s="344"/>
      <c r="RQS42" s="344"/>
      <c r="RQT42" s="344"/>
      <c r="RQU42" s="344"/>
      <c r="RQV42" s="344"/>
      <c r="RQW42" s="344"/>
      <c r="RQX42" s="344"/>
      <c r="RQY42" s="344"/>
      <c r="RQZ42" s="344"/>
      <c r="RRA42" s="344"/>
      <c r="RRB42" s="344"/>
      <c r="RRC42" s="344"/>
      <c r="RRD42" s="344"/>
      <c r="RRE42" s="344"/>
      <c r="RRF42" s="344"/>
      <c r="RRG42" s="344"/>
      <c r="RRH42" s="344"/>
      <c r="RRI42" s="344"/>
      <c r="RRJ42" s="344"/>
      <c r="RRK42" s="344"/>
      <c r="RRL42" s="344"/>
      <c r="RRM42" s="344"/>
      <c r="RRN42" s="344"/>
      <c r="RRO42" s="344"/>
      <c r="RRP42" s="344"/>
      <c r="RRQ42" s="344"/>
      <c r="RRR42" s="344"/>
      <c r="RRS42" s="344"/>
      <c r="RRT42" s="344"/>
      <c r="RRU42" s="344"/>
      <c r="RRV42" s="344"/>
      <c r="RRW42" s="344"/>
      <c r="RRX42" s="344"/>
      <c r="RRY42" s="344"/>
      <c r="RRZ42" s="344"/>
      <c r="RSA42" s="344"/>
      <c r="RSB42" s="344"/>
      <c r="RSC42" s="344"/>
      <c r="RSD42" s="344"/>
      <c r="RSE42" s="344"/>
      <c r="RSF42" s="344"/>
      <c r="RSG42" s="344"/>
      <c r="RSH42" s="344"/>
      <c r="RSI42" s="344"/>
      <c r="RSJ42" s="344"/>
      <c r="RSK42" s="344"/>
      <c r="RSL42" s="344"/>
      <c r="RSM42" s="344"/>
      <c r="RSN42" s="344"/>
      <c r="RSO42" s="344"/>
      <c r="RSP42" s="344"/>
      <c r="RSQ42" s="344"/>
      <c r="RSR42" s="344"/>
      <c r="RSS42" s="344"/>
      <c r="RST42" s="344"/>
      <c r="RSU42" s="344"/>
      <c r="RSV42" s="344"/>
      <c r="RSW42" s="344"/>
      <c r="RSX42" s="344"/>
      <c r="RSY42" s="344"/>
      <c r="RSZ42" s="344"/>
      <c r="RTA42" s="344"/>
      <c r="RTB42" s="344"/>
      <c r="RTC42" s="344"/>
      <c r="RTD42" s="344"/>
      <c r="RTE42" s="344"/>
      <c r="RTF42" s="344"/>
      <c r="RTG42" s="344"/>
      <c r="RTH42" s="344"/>
      <c r="RTI42" s="344"/>
      <c r="RTJ42" s="344"/>
      <c r="RTK42" s="344"/>
      <c r="RTL42" s="344"/>
      <c r="RTM42" s="344"/>
      <c r="RTN42" s="344"/>
      <c r="RTO42" s="344"/>
      <c r="RTP42" s="344"/>
      <c r="RTQ42" s="344"/>
      <c r="RTR42" s="344"/>
      <c r="RTS42" s="344"/>
      <c r="RTT42" s="344"/>
      <c r="RTU42" s="344"/>
      <c r="RTV42" s="344"/>
      <c r="RTW42" s="344"/>
      <c r="RTX42" s="344"/>
      <c r="RTY42" s="344"/>
      <c r="RTZ42" s="344"/>
      <c r="RUA42" s="344"/>
      <c r="RUB42" s="344"/>
      <c r="RUC42" s="344"/>
      <c r="RUD42" s="344"/>
      <c r="RUE42" s="344"/>
      <c r="RUF42" s="344"/>
      <c r="RUG42" s="344"/>
      <c r="RUH42" s="344"/>
      <c r="RUI42" s="344"/>
      <c r="RUJ42" s="344"/>
      <c r="RUK42" s="344"/>
      <c r="RUL42" s="344"/>
      <c r="RUM42" s="344"/>
      <c r="RUN42" s="344"/>
      <c r="RUO42" s="344"/>
      <c r="RUP42" s="344"/>
      <c r="RUQ42" s="344"/>
      <c r="RUR42" s="344"/>
      <c r="RUS42" s="344"/>
      <c r="RUT42" s="344"/>
      <c r="RUU42" s="344"/>
      <c r="RUV42" s="344"/>
      <c r="RUW42" s="344"/>
      <c r="RUX42" s="344"/>
      <c r="RUY42" s="344"/>
      <c r="RUZ42" s="344"/>
      <c r="RVA42" s="344"/>
      <c r="RVB42" s="344"/>
      <c r="RVC42" s="344"/>
      <c r="RVD42" s="344"/>
      <c r="RVE42" s="344"/>
      <c r="RVF42" s="344"/>
      <c r="RVG42" s="344"/>
      <c r="RVH42" s="344"/>
      <c r="RVI42" s="344"/>
      <c r="RVJ42" s="344"/>
      <c r="RVK42" s="344"/>
      <c r="RVL42" s="344"/>
      <c r="RVM42" s="344"/>
      <c r="RVN42" s="344"/>
      <c r="RVO42" s="344"/>
      <c r="RVP42" s="344"/>
      <c r="RVQ42" s="344"/>
      <c r="RVR42" s="344"/>
      <c r="RVS42" s="344"/>
      <c r="RVT42" s="344"/>
      <c r="RVU42" s="344"/>
      <c r="RVV42" s="344"/>
      <c r="RVW42" s="344"/>
      <c r="RVX42" s="344"/>
      <c r="RVY42" s="344"/>
      <c r="RVZ42" s="344"/>
      <c r="RWA42" s="344"/>
      <c r="RWB42" s="344"/>
      <c r="RWC42" s="344"/>
      <c r="RWD42" s="344"/>
      <c r="RWE42" s="344"/>
      <c r="RWF42" s="344"/>
      <c r="RWG42" s="344"/>
      <c r="RWH42" s="344"/>
      <c r="RWI42" s="344"/>
      <c r="RWJ42" s="344"/>
      <c r="RWK42" s="344"/>
      <c r="RWL42" s="344"/>
      <c r="RWM42" s="344"/>
      <c r="RWN42" s="344"/>
      <c r="RWO42" s="344"/>
      <c r="RWP42" s="344"/>
      <c r="RWQ42" s="344"/>
      <c r="RWR42" s="344"/>
      <c r="RWS42" s="344"/>
      <c r="RWT42" s="344"/>
      <c r="RWU42" s="344"/>
      <c r="RWV42" s="344"/>
      <c r="RWW42" s="344"/>
      <c r="RWX42" s="344"/>
      <c r="RWY42" s="344"/>
      <c r="RWZ42" s="344"/>
      <c r="RXA42" s="344"/>
      <c r="RXB42" s="344"/>
      <c r="RXC42" s="344"/>
      <c r="RXD42" s="344"/>
      <c r="RXE42" s="344"/>
      <c r="RXF42" s="344"/>
      <c r="RXG42" s="344"/>
      <c r="RXH42" s="344"/>
      <c r="RXI42" s="344"/>
      <c r="RXJ42" s="344"/>
      <c r="RXK42" s="344"/>
      <c r="RXL42" s="344"/>
      <c r="RXM42" s="344"/>
      <c r="RXN42" s="344"/>
      <c r="RXO42" s="344"/>
      <c r="RXP42" s="344"/>
      <c r="RXQ42" s="344"/>
      <c r="RXR42" s="344"/>
      <c r="RXS42" s="344"/>
      <c r="RXT42" s="344"/>
      <c r="RXU42" s="344"/>
      <c r="RXV42" s="344"/>
      <c r="RXW42" s="344"/>
      <c r="RXX42" s="344"/>
      <c r="RXY42" s="344"/>
      <c r="RXZ42" s="344"/>
      <c r="RYA42" s="344"/>
      <c r="RYB42" s="344"/>
      <c r="RYC42" s="344"/>
      <c r="RYD42" s="344"/>
      <c r="RYE42" s="344"/>
      <c r="RYF42" s="344"/>
      <c r="RYG42" s="344"/>
      <c r="RYH42" s="344"/>
      <c r="RYI42" s="344"/>
      <c r="RYJ42" s="344"/>
      <c r="RYK42" s="344"/>
      <c r="RYL42" s="344"/>
      <c r="RYM42" s="344"/>
      <c r="RYN42" s="344"/>
      <c r="RYO42" s="344"/>
      <c r="RYP42" s="344"/>
      <c r="RYQ42" s="344"/>
      <c r="RYR42" s="344"/>
      <c r="RYS42" s="344"/>
      <c r="RYT42" s="344"/>
      <c r="RYU42" s="344"/>
      <c r="RYV42" s="344"/>
      <c r="RYW42" s="344"/>
      <c r="RYX42" s="344"/>
      <c r="RYY42" s="344"/>
      <c r="RYZ42" s="344"/>
      <c r="RZA42" s="344"/>
      <c r="RZB42" s="344"/>
      <c r="RZC42" s="344"/>
      <c r="RZD42" s="344"/>
      <c r="RZE42" s="344"/>
      <c r="RZF42" s="344"/>
      <c r="RZG42" s="344"/>
      <c r="RZH42" s="344"/>
      <c r="RZI42" s="344"/>
      <c r="RZJ42" s="344"/>
      <c r="RZK42" s="344"/>
      <c r="RZL42" s="344"/>
      <c r="RZM42" s="344"/>
      <c r="RZN42" s="344"/>
      <c r="RZO42" s="344"/>
      <c r="RZP42" s="344"/>
      <c r="RZQ42" s="344"/>
      <c r="RZR42" s="344"/>
      <c r="RZS42" s="344"/>
      <c r="RZT42" s="344"/>
      <c r="RZU42" s="344"/>
      <c r="RZV42" s="344"/>
      <c r="RZW42" s="344"/>
      <c r="RZX42" s="344"/>
      <c r="RZY42" s="344"/>
      <c r="RZZ42" s="344"/>
      <c r="SAA42" s="344"/>
      <c r="SAB42" s="344"/>
      <c r="SAC42" s="344"/>
      <c r="SAD42" s="344"/>
      <c r="SAE42" s="344"/>
      <c r="SAF42" s="344"/>
      <c r="SAG42" s="344"/>
      <c r="SAH42" s="344"/>
      <c r="SAI42" s="344"/>
      <c r="SAJ42" s="344"/>
      <c r="SAK42" s="344"/>
      <c r="SAL42" s="344"/>
      <c r="SAM42" s="344"/>
      <c r="SAN42" s="344"/>
      <c r="SAO42" s="344"/>
      <c r="SAP42" s="344"/>
      <c r="SAQ42" s="344"/>
      <c r="SAR42" s="344"/>
      <c r="SAS42" s="344"/>
      <c r="SAT42" s="344"/>
      <c r="SAU42" s="344"/>
      <c r="SAV42" s="344"/>
      <c r="SAW42" s="344"/>
      <c r="SAX42" s="344"/>
      <c r="SAY42" s="344"/>
      <c r="SAZ42" s="344"/>
      <c r="SBA42" s="344"/>
      <c r="SBB42" s="344"/>
      <c r="SBC42" s="344"/>
      <c r="SBD42" s="344"/>
      <c r="SBE42" s="344"/>
      <c r="SBF42" s="344"/>
      <c r="SBG42" s="344"/>
      <c r="SBH42" s="344"/>
      <c r="SBI42" s="344"/>
      <c r="SBJ42" s="344"/>
      <c r="SBK42" s="344"/>
      <c r="SBL42" s="344"/>
      <c r="SBM42" s="344"/>
      <c r="SBN42" s="344"/>
      <c r="SBO42" s="344"/>
      <c r="SBP42" s="344"/>
      <c r="SBQ42" s="344"/>
      <c r="SBR42" s="344"/>
      <c r="SBS42" s="344"/>
      <c r="SBT42" s="344"/>
      <c r="SBU42" s="344"/>
      <c r="SBV42" s="344"/>
      <c r="SBW42" s="344"/>
      <c r="SBX42" s="344"/>
      <c r="SBY42" s="344"/>
      <c r="SBZ42" s="344"/>
      <c r="SCA42" s="344"/>
      <c r="SCB42" s="344"/>
      <c r="SCC42" s="344"/>
      <c r="SCD42" s="344"/>
      <c r="SCE42" s="344"/>
      <c r="SCF42" s="344"/>
      <c r="SCG42" s="344"/>
      <c r="SCH42" s="344"/>
      <c r="SCI42" s="344"/>
      <c r="SCJ42" s="344"/>
      <c r="SCK42" s="344"/>
      <c r="SCL42" s="344"/>
      <c r="SCM42" s="344"/>
      <c r="SCN42" s="344"/>
      <c r="SCO42" s="344"/>
      <c r="SCP42" s="344"/>
      <c r="SCQ42" s="344"/>
      <c r="SCR42" s="344"/>
      <c r="SCS42" s="344"/>
      <c r="SCT42" s="344"/>
      <c r="SCU42" s="344"/>
      <c r="SCV42" s="344"/>
      <c r="SCW42" s="344"/>
      <c r="SCX42" s="344"/>
      <c r="SCY42" s="344"/>
      <c r="SCZ42" s="344"/>
      <c r="SDA42" s="344"/>
      <c r="SDB42" s="344"/>
      <c r="SDC42" s="344"/>
      <c r="SDD42" s="344"/>
      <c r="SDE42" s="344"/>
      <c r="SDF42" s="344"/>
      <c r="SDG42" s="344"/>
      <c r="SDH42" s="344"/>
      <c r="SDI42" s="344"/>
      <c r="SDJ42" s="344"/>
      <c r="SDK42" s="344"/>
      <c r="SDL42" s="344"/>
      <c r="SDM42" s="344"/>
      <c r="SDN42" s="344"/>
      <c r="SDO42" s="344"/>
      <c r="SDP42" s="344"/>
      <c r="SDQ42" s="344"/>
      <c r="SDR42" s="344"/>
      <c r="SDS42" s="344"/>
      <c r="SDT42" s="344"/>
      <c r="SDU42" s="344"/>
      <c r="SDV42" s="344"/>
      <c r="SDW42" s="344"/>
      <c r="SDX42" s="344"/>
      <c r="SDY42" s="344"/>
      <c r="SDZ42" s="344"/>
      <c r="SEA42" s="344"/>
      <c r="SEB42" s="344"/>
      <c r="SEC42" s="344"/>
      <c r="SED42" s="344"/>
      <c r="SEE42" s="344"/>
      <c r="SEF42" s="344"/>
      <c r="SEG42" s="344"/>
      <c r="SEH42" s="344"/>
      <c r="SEI42" s="344"/>
      <c r="SEJ42" s="344"/>
      <c r="SEK42" s="344"/>
      <c r="SEL42" s="344"/>
      <c r="SEM42" s="344"/>
      <c r="SEN42" s="344"/>
      <c r="SEO42" s="344"/>
      <c r="SEP42" s="344"/>
      <c r="SEQ42" s="344"/>
      <c r="SER42" s="344"/>
      <c r="SES42" s="344"/>
      <c r="SET42" s="344"/>
      <c r="SEU42" s="344"/>
      <c r="SEV42" s="344"/>
      <c r="SEW42" s="344"/>
      <c r="SEX42" s="344"/>
      <c r="SEY42" s="344"/>
      <c r="SEZ42" s="344"/>
      <c r="SFA42" s="344"/>
      <c r="SFB42" s="344"/>
      <c r="SFC42" s="344"/>
      <c r="SFD42" s="344"/>
      <c r="SFE42" s="344"/>
      <c r="SFF42" s="344"/>
      <c r="SFG42" s="344"/>
      <c r="SFH42" s="344"/>
      <c r="SFI42" s="344"/>
      <c r="SFJ42" s="344"/>
      <c r="SFK42" s="344"/>
      <c r="SFL42" s="344"/>
      <c r="SFM42" s="344"/>
      <c r="SFN42" s="344"/>
      <c r="SFO42" s="344"/>
      <c r="SFP42" s="344"/>
      <c r="SFQ42" s="344"/>
      <c r="SFR42" s="344"/>
      <c r="SFS42" s="344"/>
      <c r="SFT42" s="344"/>
      <c r="SFU42" s="344"/>
      <c r="SFV42" s="344"/>
      <c r="SFW42" s="344"/>
      <c r="SFX42" s="344"/>
      <c r="SFY42" s="344"/>
      <c r="SFZ42" s="344"/>
      <c r="SGA42" s="344"/>
      <c r="SGB42" s="344"/>
      <c r="SGC42" s="344"/>
      <c r="SGD42" s="344"/>
      <c r="SGE42" s="344"/>
      <c r="SGF42" s="344"/>
      <c r="SGG42" s="344"/>
      <c r="SGH42" s="344"/>
      <c r="SGI42" s="344"/>
      <c r="SGJ42" s="344"/>
      <c r="SGK42" s="344"/>
      <c r="SGL42" s="344"/>
      <c r="SGM42" s="344"/>
      <c r="SGN42" s="344"/>
      <c r="SGO42" s="344"/>
      <c r="SGP42" s="344"/>
      <c r="SGQ42" s="344"/>
      <c r="SGR42" s="344"/>
      <c r="SGS42" s="344"/>
      <c r="SGT42" s="344"/>
      <c r="SGU42" s="344"/>
      <c r="SGV42" s="344"/>
      <c r="SGW42" s="344"/>
      <c r="SGX42" s="344"/>
      <c r="SGY42" s="344"/>
      <c r="SGZ42" s="344"/>
      <c r="SHA42" s="344"/>
      <c r="SHB42" s="344"/>
      <c r="SHC42" s="344"/>
      <c r="SHD42" s="344"/>
      <c r="SHE42" s="344"/>
      <c r="SHF42" s="344"/>
      <c r="SHG42" s="344"/>
      <c r="SHH42" s="344"/>
      <c r="SHI42" s="344"/>
      <c r="SHJ42" s="344"/>
      <c r="SHK42" s="344"/>
      <c r="SHL42" s="344"/>
      <c r="SHM42" s="344"/>
      <c r="SHN42" s="344"/>
      <c r="SHO42" s="344"/>
      <c r="SHP42" s="344"/>
      <c r="SHQ42" s="344"/>
      <c r="SHR42" s="344"/>
      <c r="SHS42" s="344"/>
      <c r="SHT42" s="344"/>
      <c r="SHU42" s="344"/>
      <c r="SHV42" s="344"/>
      <c r="SHW42" s="344"/>
      <c r="SHX42" s="344"/>
      <c r="SHY42" s="344"/>
      <c r="SHZ42" s="344"/>
      <c r="SIA42" s="344"/>
      <c r="SIB42" s="344"/>
      <c r="SIC42" s="344"/>
      <c r="SID42" s="344"/>
      <c r="SIE42" s="344"/>
      <c r="SIF42" s="344"/>
      <c r="SIG42" s="344"/>
      <c r="SIH42" s="344"/>
      <c r="SII42" s="344"/>
      <c r="SIJ42" s="344"/>
      <c r="SIK42" s="344"/>
      <c r="SIL42" s="344"/>
      <c r="SIM42" s="344"/>
      <c r="SIN42" s="344"/>
      <c r="SIO42" s="344"/>
      <c r="SIP42" s="344"/>
      <c r="SIQ42" s="344"/>
      <c r="SIR42" s="344"/>
      <c r="SIS42" s="344"/>
      <c r="SIT42" s="344"/>
      <c r="SIU42" s="344"/>
      <c r="SIV42" s="344"/>
      <c r="SIW42" s="344"/>
      <c r="SIX42" s="344"/>
      <c r="SIY42" s="344"/>
      <c r="SIZ42" s="344"/>
      <c r="SJA42" s="344"/>
      <c r="SJB42" s="344"/>
      <c r="SJC42" s="344"/>
      <c r="SJD42" s="344"/>
      <c r="SJE42" s="344"/>
      <c r="SJF42" s="344"/>
      <c r="SJG42" s="344"/>
      <c r="SJH42" s="344"/>
      <c r="SJI42" s="344"/>
      <c r="SJJ42" s="344"/>
      <c r="SJK42" s="344"/>
      <c r="SJL42" s="344"/>
      <c r="SJM42" s="344"/>
      <c r="SJN42" s="344"/>
      <c r="SJO42" s="344"/>
      <c r="SJP42" s="344"/>
      <c r="SJQ42" s="344"/>
      <c r="SJR42" s="344"/>
      <c r="SJS42" s="344"/>
      <c r="SJT42" s="344"/>
      <c r="SJU42" s="344"/>
      <c r="SJV42" s="344"/>
      <c r="SJW42" s="344"/>
      <c r="SJX42" s="344"/>
      <c r="SJY42" s="344"/>
      <c r="SJZ42" s="344"/>
      <c r="SKA42" s="344"/>
      <c r="SKB42" s="344"/>
      <c r="SKC42" s="344"/>
      <c r="SKD42" s="344"/>
      <c r="SKE42" s="344"/>
      <c r="SKF42" s="344"/>
      <c r="SKG42" s="344"/>
      <c r="SKH42" s="344"/>
      <c r="SKI42" s="344"/>
      <c r="SKJ42" s="344"/>
      <c r="SKK42" s="344"/>
      <c r="SKL42" s="344"/>
      <c r="SKM42" s="344"/>
      <c r="SKN42" s="344"/>
      <c r="SKO42" s="344"/>
      <c r="SKP42" s="344"/>
      <c r="SKQ42" s="344"/>
      <c r="SKR42" s="344"/>
      <c r="SKS42" s="344"/>
      <c r="SKT42" s="344"/>
      <c r="SKU42" s="344"/>
      <c r="SKV42" s="344"/>
      <c r="SKW42" s="344"/>
      <c r="SKX42" s="344"/>
      <c r="SKY42" s="344"/>
      <c r="SKZ42" s="344"/>
      <c r="SLA42" s="344"/>
      <c r="SLB42" s="344"/>
      <c r="SLC42" s="344"/>
      <c r="SLD42" s="344"/>
      <c r="SLE42" s="344"/>
      <c r="SLF42" s="344"/>
      <c r="SLG42" s="344"/>
      <c r="SLH42" s="344"/>
      <c r="SLI42" s="344"/>
      <c r="SLJ42" s="344"/>
      <c r="SLK42" s="344"/>
      <c r="SLL42" s="344"/>
      <c r="SLM42" s="344"/>
      <c r="SLN42" s="344"/>
      <c r="SLO42" s="344"/>
      <c r="SLP42" s="344"/>
      <c r="SLQ42" s="344"/>
      <c r="SLR42" s="344"/>
      <c r="SLS42" s="344"/>
      <c r="SLT42" s="344"/>
      <c r="SLU42" s="344"/>
      <c r="SLV42" s="344"/>
      <c r="SLW42" s="344"/>
      <c r="SLX42" s="344"/>
      <c r="SLY42" s="344"/>
      <c r="SLZ42" s="344"/>
      <c r="SMA42" s="344"/>
      <c r="SMB42" s="344"/>
      <c r="SMC42" s="344"/>
      <c r="SMD42" s="344"/>
      <c r="SME42" s="344"/>
      <c r="SMF42" s="344"/>
      <c r="SMG42" s="344"/>
      <c r="SMH42" s="344"/>
      <c r="SMI42" s="344"/>
      <c r="SMJ42" s="344"/>
      <c r="SMK42" s="344"/>
      <c r="SML42" s="344"/>
      <c r="SMM42" s="344"/>
      <c r="SMN42" s="344"/>
      <c r="SMO42" s="344"/>
      <c r="SMP42" s="344"/>
      <c r="SMQ42" s="344"/>
      <c r="SMR42" s="344"/>
      <c r="SMS42" s="344"/>
      <c r="SMT42" s="344"/>
      <c r="SMU42" s="344"/>
      <c r="SMV42" s="344"/>
      <c r="SMW42" s="344"/>
      <c r="SMX42" s="344"/>
      <c r="SMY42" s="344"/>
      <c r="SMZ42" s="344"/>
      <c r="SNA42" s="344"/>
      <c r="SNB42" s="344"/>
      <c r="SNC42" s="344"/>
      <c r="SND42" s="344"/>
      <c r="SNE42" s="344"/>
      <c r="SNF42" s="344"/>
      <c r="SNG42" s="344"/>
      <c r="SNH42" s="344"/>
      <c r="SNI42" s="344"/>
      <c r="SNJ42" s="344"/>
      <c r="SNK42" s="344"/>
      <c r="SNL42" s="344"/>
      <c r="SNM42" s="344"/>
      <c r="SNN42" s="344"/>
      <c r="SNO42" s="344"/>
      <c r="SNP42" s="344"/>
      <c r="SNQ42" s="344"/>
      <c r="SNR42" s="344"/>
      <c r="SNS42" s="344"/>
      <c r="SNT42" s="344"/>
      <c r="SNU42" s="344"/>
      <c r="SNV42" s="344"/>
      <c r="SNW42" s="344"/>
      <c r="SNX42" s="344"/>
      <c r="SNY42" s="344"/>
      <c r="SNZ42" s="344"/>
      <c r="SOA42" s="344"/>
      <c r="SOB42" s="344"/>
      <c r="SOC42" s="344"/>
      <c r="SOD42" s="344"/>
      <c r="SOE42" s="344"/>
      <c r="SOF42" s="344"/>
      <c r="SOG42" s="344"/>
      <c r="SOH42" s="344"/>
      <c r="SOI42" s="344"/>
      <c r="SOJ42" s="344"/>
      <c r="SOK42" s="344"/>
      <c r="SOL42" s="344"/>
      <c r="SOM42" s="344"/>
      <c r="SON42" s="344"/>
      <c r="SOO42" s="344"/>
      <c r="SOP42" s="344"/>
      <c r="SOQ42" s="344"/>
      <c r="SOR42" s="344"/>
      <c r="SOS42" s="344"/>
      <c r="SOT42" s="344"/>
      <c r="SOU42" s="344"/>
      <c r="SOV42" s="344"/>
      <c r="SOW42" s="344"/>
      <c r="SOX42" s="344"/>
      <c r="SOY42" s="344"/>
      <c r="SOZ42" s="344"/>
      <c r="SPA42" s="344"/>
      <c r="SPB42" s="344"/>
      <c r="SPC42" s="344"/>
      <c r="SPD42" s="344"/>
      <c r="SPE42" s="344"/>
      <c r="SPF42" s="344"/>
      <c r="SPG42" s="344"/>
      <c r="SPH42" s="344"/>
      <c r="SPI42" s="344"/>
      <c r="SPJ42" s="344"/>
      <c r="SPK42" s="344"/>
      <c r="SPL42" s="344"/>
      <c r="SPM42" s="344"/>
      <c r="SPN42" s="344"/>
      <c r="SPO42" s="344"/>
      <c r="SPP42" s="344"/>
      <c r="SPQ42" s="344"/>
      <c r="SPR42" s="344"/>
      <c r="SPS42" s="344"/>
      <c r="SPT42" s="344"/>
      <c r="SPU42" s="344"/>
      <c r="SPV42" s="344"/>
      <c r="SPW42" s="344"/>
      <c r="SPX42" s="344"/>
      <c r="SPY42" s="344"/>
      <c r="SPZ42" s="344"/>
      <c r="SQA42" s="344"/>
      <c r="SQB42" s="344"/>
      <c r="SQC42" s="344"/>
      <c r="SQD42" s="344"/>
      <c r="SQE42" s="344"/>
      <c r="SQF42" s="344"/>
      <c r="SQG42" s="344"/>
      <c r="SQH42" s="344"/>
      <c r="SQI42" s="344"/>
      <c r="SQJ42" s="344"/>
      <c r="SQK42" s="344"/>
      <c r="SQL42" s="344"/>
      <c r="SQM42" s="344"/>
      <c r="SQN42" s="344"/>
      <c r="SQO42" s="344"/>
      <c r="SQP42" s="344"/>
      <c r="SQQ42" s="344"/>
      <c r="SQR42" s="344"/>
      <c r="SQS42" s="344"/>
      <c r="SQT42" s="344"/>
      <c r="SQU42" s="344"/>
      <c r="SQV42" s="344"/>
      <c r="SQW42" s="344"/>
      <c r="SQX42" s="344"/>
      <c r="SQY42" s="344"/>
      <c r="SQZ42" s="344"/>
      <c r="SRA42" s="344"/>
      <c r="SRB42" s="344"/>
      <c r="SRC42" s="344"/>
      <c r="SRD42" s="344"/>
      <c r="SRE42" s="344"/>
      <c r="SRF42" s="344"/>
      <c r="SRG42" s="344"/>
      <c r="SRH42" s="344"/>
      <c r="SRI42" s="344"/>
      <c r="SRJ42" s="344"/>
      <c r="SRK42" s="344"/>
      <c r="SRL42" s="344"/>
      <c r="SRM42" s="344"/>
      <c r="SRN42" s="344"/>
      <c r="SRO42" s="344"/>
      <c r="SRP42" s="344"/>
      <c r="SRQ42" s="344"/>
      <c r="SRR42" s="344"/>
      <c r="SRS42" s="344"/>
      <c r="SRT42" s="344"/>
      <c r="SRU42" s="344"/>
      <c r="SRV42" s="344"/>
      <c r="SRW42" s="344"/>
      <c r="SRX42" s="344"/>
      <c r="SRY42" s="344"/>
      <c r="SRZ42" s="344"/>
      <c r="SSA42" s="344"/>
      <c r="SSB42" s="344"/>
      <c r="SSC42" s="344"/>
      <c r="SSD42" s="344"/>
      <c r="SSE42" s="344"/>
      <c r="SSF42" s="344"/>
      <c r="SSG42" s="344"/>
      <c r="SSH42" s="344"/>
      <c r="SSI42" s="344"/>
      <c r="SSJ42" s="344"/>
      <c r="SSK42" s="344"/>
      <c r="SSL42" s="344"/>
      <c r="SSM42" s="344"/>
      <c r="SSN42" s="344"/>
      <c r="SSO42" s="344"/>
      <c r="SSP42" s="344"/>
      <c r="SSQ42" s="344"/>
      <c r="SSR42" s="344"/>
      <c r="SSS42" s="344"/>
      <c r="SST42" s="344"/>
      <c r="SSU42" s="344"/>
      <c r="SSV42" s="344"/>
      <c r="SSW42" s="344"/>
      <c r="SSX42" s="344"/>
      <c r="SSY42" s="344"/>
      <c r="SSZ42" s="344"/>
      <c r="STA42" s="344"/>
      <c r="STB42" s="344"/>
      <c r="STC42" s="344"/>
      <c r="STD42" s="344"/>
      <c r="STE42" s="344"/>
      <c r="STF42" s="344"/>
      <c r="STG42" s="344"/>
      <c r="STH42" s="344"/>
      <c r="STI42" s="344"/>
      <c r="STJ42" s="344"/>
      <c r="STK42" s="344"/>
      <c r="STL42" s="344"/>
      <c r="STM42" s="344"/>
      <c r="STN42" s="344"/>
      <c r="STO42" s="344"/>
      <c r="STP42" s="344"/>
      <c r="STQ42" s="344"/>
      <c r="STR42" s="344"/>
      <c r="STS42" s="344"/>
      <c r="STT42" s="344"/>
      <c r="STU42" s="344"/>
      <c r="STV42" s="344"/>
      <c r="STW42" s="344"/>
      <c r="STX42" s="344"/>
      <c r="STY42" s="344"/>
      <c r="STZ42" s="344"/>
      <c r="SUA42" s="344"/>
      <c r="SUB42" s="344"/>
      <c r="SUC42" s="344"/>
      <c r="SUD42" s="344"/>
      <c r="SUE42" s="344"/>
      <c r="SUF42" s="344"/>
      <c r="SUG42" s="344"/>
      <c r="SUH42" s="344"/>
      <c r="SUI42" s="344"/>
      <c r="SUJ42" s="344"/>
      <c r="SUK42" s="344"/>
      <c r="SUL42" s="344"/>
      <c r="SUM42" s="344"/>
      <c r="SUN42" s="344"/>
      <c r="SUO42" s="344"/>
      <c r="SUP42" s="344"/>
      <c r="SUQ42" s="344"/>
      <c r="SUR42" s="344"/>
      <c r="SUS42" s="344"/>
      <c r="SUT42" s="344"/>
      <c r="SUU42" s="344"/>
      <c r="SUV42" s="344"/>
      <c r="SUW42" s="344"/>
      <c r="SUX42" s="344"/>
      <c r="SUY42" s="344"/>
      <c r="SUZ42" s="344"/>
      <c r="SVA42" s="344"/>
      <c r="SVB42" s="344"/>
      <c r="SVC42" s="344"/>
      <c r="SVD42" s="344"/>
      <c r="SVE42" s="344"/>
      <c r="SVF42" s="344"/>
      <c r="SVG42" s="344"/>
      <c r="SVH42" s="344"/>
      <c r="SVI42" s="344"/>
      <c r="SVJ42" s="344"/>
      <c r="SVK42" s="344"/>
      <c r="SVL42" s="344"/>
      <c r="SVM42" s="344"/>
      <c r="SVN42" s="344"/>
      <c r="SVO42" s="344"/>
      <c r="SVP42" s="344"/>
      <c r="SVQ42" s="344"/>
      <c r="SVR42" s="344"/>
      <c r="SVS42" s="344"/>
      <c r="SVT42" s="344"/>
      <c r="SVU42" s="344"/>
      <c r="SVV42" s="344"/>
      <c r="SVW42" s="344"/>
      <c r="SVX42" s="344"/>
      <c r="SVY42" s="344"/>
      <c r="SVZ42" s="344"/>
      <c r="SWA42" s="344"/>
      <c r="SWB42" s="344"/>
      <c r="SWC42" s="344"/>
      <c r="SWD42" s="344"/>
      <c r="SWE42" s="344"/>
      <c r="SWF42" s="344"/>
      <c r="SWG42" s="344"/>
      <c r="SWH42" s="344"/>
      <c r="SWI42" s="344"/>
      <c r="SWJ42" s="344"/>
      <c r="SWK42" s="344"/>
      <c r="SWL42" s="344"/>
      <c r="SWM42" s="344"/>
      <c r="SWN42" s="344"/>
      <c r="SWO42" s="344"/>
      <c r="SWP42" s="344"/>
      <c r="SWQ42" s="344"/>
      <c r="SWR42" s="344"/>
      <c r="SWS42" s="344"/>
      <c r="SWT42" s="344"/>
      <c r="SWU42" s="344"/>
      <c r="SWV42" s="344"/>
      <c r="SWW42" s="344"/>
      <c r="SWX42" s="344"/>
      <c r="SWY42" s="344"/>
      <c r="SWZ42" s="344"/>
      <c r="SXA42" s="344"/>
      <c r="SXB42" s="344"/>
      <c r="SXC42" s="344"/>
      <c r="SXD42" s="344"/>
      <c r="SXE42" s="344"/>
      <c r="SXF42" s="344"/>
      <c r="SXG42" s="344"/>
      <c r="SXH42" s="344"/>
      <c r="SXI42" s="344"/>
      <c r="SXJ42" s="344"/>
      <c r="SXK42" s="344"/>
      <c r="SXL42" s="344"/>
      <c r="SXM42" s="344"/>
      <c r="SXN42" s="344"/>
      <c r="SXO42" s="344"/>
      <c r="SXP42" s="344"/>
      <c r="SXQ42" s="344"/>
      <c r="SXR42" s="344"/>
      <c r="SXS42" s="344"/>
      <c r="SXT42" s="344"/>
      <c r="SXU42" s="344"/>
      <c r="SXV42" s="344"/>
      <c r="SXW42" s="344"/>
      <c r="SXX42" s="344"/>
      <c r="SXY42" s="344"/>
      <c r="SXZ42" s="344"/>
      <c r="SYA42" s="344"/>
      <c r="SYB42" s="344"/>
      <c r="SYC42" s="344"/>
      <c r="SYD42" s="344"/>
      <c r="SYE42" s="344"/>
      <c r="SYF42" s="344"/>
      <c r="SYG42" s="344"/>
      <c r="SYH42" s="344"/>
      <c r="SYI42" s="344"/>
      <c r="SYJ42" s="344"/>
      <c r="SYK42" s="344"/>
      <c r="SYL42" s="344"/>
      <c r="SYM42" s="344"/>
      <c r="SYN42" s="344"/>
      <c r="SYO42" s="344"/>
      <c r="SYP42" s="344"/>
      <c r="SYQ42" s="344"/>
      <c r="SYR42" s="344"/>
      <c r="SYS42" s="344"/>
      <c r="SYT42" s="344"/>
      <c r="SYU42" s="344"/>
      <c r="SYV42" s="344"/>
      <c r="SYW42" s="344"/>
      <c r="SYX42" s="344"/>
      <c r="SYY42" s="344"/>
      <c r="SYZ42" s="344"/>
      <c r="SZA42" s="344"/>
      <c r="SZB42" s="344"/>
      <c r="SZC42" s="344"/>
      <c r="SZD42" s="344"/>
      <c r="SZE42" s="344"/>
      <c r="SZF42" s="344"/>
      <c r="SZG42" s="344"/>
      <c r="SZH42" s="344"/>
      <c r="SZI42" s="344"/>
      <c r="SZJ42" s="344"/>
      <c r="SZK42" s="344"/>
      <c r="SZL42" s="344"/>
      <c r="SZM42" s="344"/>
      <c r="SZN42" s="344"/>
      <c r="SZO42" s="344"/>
      <c r="SZP42" s="344"/>
      <c r="SZQ42" s="344"/>
      <c r="SZR42" s="344"/>
      <c r="SZS42" s="344"/>
      <c r="SZT42" s="344"/>
      <c r="SZU42" s="344"/>
      <c r="SZV42" s="344"/>
      <c r="SZW42" s="344"/>
      <c r="SZX42" s="344"/>
      <c r="SZY42" s="344"/>
      <c r="SZZ42" s="344"/>
      <c r="TAA42" s="344"/>
      <c r="TAB42" s="344"/>
      <c r="TAC42" s="344"/>
      <c r="TAD42" s="344"/>
      <c r="TAE42" s="344"/>
      <c r="TAF42" s="344"/>
      <c r="TAG42" s="344"/>
      <c r="TAH42" s="344"/>
      <c r="TAI42" s="344"/>
      <c r="TAJ42" s="344"/>
      <c r="TAK42" s="344"/>
      <c r="TAL42" s="344"/>
      <c r="TAM42" s="344"/>
      <c r="TAN42" s="344"/>
      <c r="TAO42" s="344"/>
      <c r="TAP42" s="344"/>
      <c r="TAQ42" s="344"/>
      <c r="TAR42" s="344"/>
      <c r="TAS42" s="344"/>
      <c r="TAT42" s="344"/>
      <c r="TAU42" s="344"/>
      <c r="TAV42" s="344"/>
      <c r="TAW42" s="344"/>
      <c r="TAX42" s="344"/>
      <c r="TAY42" s="344"/>
      <c r="TAZ42" s="344"/>
      <c r="TBA42" s="344"/>
      <c r="TBB42" s="344"/>
      <c r="TBC42" s="344"/>
      <c r="TBD42" s="344"/>
      <c r="TBE42" s="344"/>
      <c r="TBF42" s="344"/>
      <c r="TBG42" s="344"/>
      <c r="TBH42" s="344"/>
      <c r="TBI42" s="344"/>
      <c r="TBJ42" s="344"/>
      <c r="TBK42" s="344"/>
      <c r="TBL42" s="344"/>
      <c r="TBM42" s="344"/>
      <c r="TBN42" s="344"/>
      <c r="TBO42" s="344"/>
      <c r="TBP42" s="344"/>
      <c r="TBQ42" s="344"/>
      <c r="TBR42" s="344"/>
      <c r="TBS42" s="344"/>
      <c r="TBT42" s="344"/>
      <c r="TBU42" s="344"/>
      <c r="TBV42" s="344"/>
      <c r="TBW42" s="344"/>
      <c r="TBX42" s="344"/>
      <c r="TBY42" s="344"/>
      <c r="TBZ42" s="344"/>
      <c r="TCA42" s="344"/>
      <c r="TCB42" s="344"/>
      <c r="TCC42" s="344"/>
      <c r="TCD42" s="344"/>
      <c r="TCE42" s="344"/>
      <c r="TCF42" s="344"/>
      <c r="TCG42" s="344"/>
      <c r="TCH42" s="344"/>
      <c r="TCI42" s="344"/>
      <c r="TCJ42" s="344"/>
      <c r="TCK42" s="344"/>
      <c r="TCL42" s="344"/>
      <c r="TCM42" s="344"/>
      <c r="TCN42" s="344"/>
      <c r="TCO42" s="344"/>
      <c r="TCP42" s="344"/>
      <c r="TCQ42" s="344"/>
      <c r="TCR42" s="344"/>
      <c r="TCS42" s="344"/>
      <c r="TCT42" s="344"/>
      <c r="TCU42" s="344"/>
      <c r="TCV42" s="344"/>
      <c r="TCW42" s="344"/>
      <c r="TCX42" s="344"/>
      <c r="TCY42" s="344"/>
      <c r="TCZ42" s="344"/>
      <c r="TDA42" s="344"/>
      <c r="TDB42" s="344"/>
      <c r="TDC42" s="344"/>
      <c r="TDD42" s="344"/>
      <c r="TDE42" s="344"/>
      <c r="TDF42" s="344"/>
      <c r="TDG42" s="344"/>
      <c r="TDH42" s="344"/>
      <c r="TDI42" s="344"/>
      <c r="TDJ42" s="344"/>
      <c r="TDK42" s="344"/>
      <c r="TDL42" s="344"/>
      <c r="TDM42" s="344"/>
      <c r="TDN42" s="344"/>
      <c r="TDO42" s="344"/>
      <c r="TDP42" s="344"/>
      <c r="TDQ42" s="344"/>
      <c r="TDR42" s="344"/>
      <c r="TDS42" s="344"/>
      <c r="TDT42" s="344"/>
      <c r="TDU42" s="344"/>
      <c r="TDV42" s="344"/>
      <c r="TDW42" s="344"/>
      <c r="TDX42" s="344"/>
      <c r="TDY42" s="344"/>
      <c r="TDZ42" s="344"/>
      <c r="TEA42" s="344"/>
      <c r="TEB42" s="344"/>
      <c r="TEC42" s="344"/>
      <c r="TED42" s="344"/>
      <c r="TEE42" s="344"/>
      <c r="TEF42" s="344"/>
      <c r="TEG42" s="344"/>
      <c r="TEH42" s="344"/>
      <c r="TEI42" s="344"/>
      <c r="TEJ42" s="344"/>
      <c r="TEK42" s="344"/>
      <c r="TEL42" s="344"/>
      <c r="TEM42" s="344"/>
      <c r="TEN42" s="344"/>
      <c r="TEO42" s="344"/>
      <c r="TEP42" s="344"/>
      <c r="TEQ42" s="344"/>
      <c r="TER42" s="344"/>
      <c r="TES42" s="344"/>
      <c r="TET42" s="344"/>
      <c r="TEU42" s="344"/>
      <c r="TEV42" s="344"/>
      <c r="TEW42" s="344"/>
      <c r="TEX42" s="344"/>
      <c r="TEY42" s="344"/>
      <c r="TEZ42" s="344"/>
      <c r="TFA42" s="344"/>
      <c r="TFB42" s="344"/>
      <c r="TFC42" s="344"/>
      <c r="TFD42" s="344"/>
      <c r="TFE42" s="344"/>
      <c r="TFF42" s="344"/>
      <c r="TFG42" s="344"/>
      <c r="TFH42" s="344"/>
      <c r="TFI42" s="344"/>
      <c r="TFJ42" s="344"/>
      <c r="TFK42" s="344"/>
      <c r="TFL42" s="344"/>
      <c r="TFM42" s="344"/>
      <c r="TFN42" s="344"/>
      <c r="TFO42" s="344"/>
      <c r="TFP42" s="344"/>
      <c r="TFQ42" s="344"/>
      <c r="TFR42" s="344"/>
      <c r="TFS42" s="344"/>
      <c r="TFT42" s="344"/>
      <c r="TFU42" s="344"/>
      <c r="TFV42" s="344"/>
      <c r="TFW42" s="344"/>
      <c r="TFX42" s="344"/>
      <c r="TFY42" s="344"/>
      <c r="TFZ42" s="344"/>
      <c r="TGA42" s="344"/>
      <c r="TGB42" s="344"/>
      <c r="TGC42" s="344"/>
      <c r="TGD42" s="344"/>
      <c r="TGE42" s="344"/>
      <c r="TGF42" s="344"/>
      <c r="TGG42" s="344"/>
      <c r="TGH42" s="344"/>
      <c r="TGI42" s="344"/>
      <c r="TGJ42" s="344"/>
      <c r="TGK42" s="344"/>
      <c r="TGL42" s="344"/>
      <c r="TGM42" s="344"/>
      <c r="TGN42" s="344"/>
      <c r="TGO42" s="344"/>
      <c r="TGP42" s="344"/>
      <c r="TGQ42" s="344"/>
      <c r="TGR42" s="344"/>
      <c r="TGS42" s="344"/>
      <c r="TGT42" s="344"/>
      <c r="TGU42" s="344"/>
      <c r="TGV42" s="344"/>
      <c r="TGW42" s="344"/>
      <c r="TGX42" s="344"/>
      <c r="TGY42" s="344"/>
      <c r="TGZ42" s="344"/>
      <c r="THA42" s="344"/>
      <c r="THB42" s="344"/>
      <c r="THC42" s="344"/>
      <c r="THD42" s="344"/>
      <c r="THE42" s="344"/>
      <c r="THF42" s="344"/>
      <c r="THG42" s="344"/>
      <c r="THH42" s="344"/>
      <c r="THI42" s="344"/>
      <c r="THJ42" s="344"/>
      <c r="THK42" s="344"/>
      <c r="THL42" s="344"/>
      <c r="THM42" s="344"/>
      <c r="THN42" s="344"/>
      <c r="THO42" s="344"/>
      <c r="THP42" s="344"/>
      <c r="THQ42" s="344"/>
      <c r="THR42" s="344"/>
      <c r="THS42" s="344"/>
      <c r="THT42" s="344"/>
      <c r="THU42" s="344"/>
      <c r="THV42" s="344"/>
      <c r="THW42" s="344"/>
      <c r="THX42" s="344"/>
      <c r="THY42" s="344"/>
      <c r="THZ42" s="344"/>
      <c r="TIA42" s="344"/>
      <c r="TIB42" s="344"/>
      <c r="TIC42" s="344"/>
      <c r="TID42" s="344"/>
      <c r="TIE42" s="344"/>
      <c r="TIF42" s="344"/>
      <c r="TIG42" s="344"/>
      <c r="TIH42" s="344"/>
      <c r="TII42" s="344"/>
      <c r="TIJ42" s="344"/>
      <c r="TIK42" s="344"/>
      <c r="TIL42" s="344"/>
      <c r="TIM42" s="344"/>
      <c r="TIN42" s="344"/>
      <c r="TIO42" s="344"/>
      <c r="TIP42" s="344"/>
      <c r="TIQ42" s="344"/>
      <c r="TIR42" s="344"/>
      <c r="TIS42" s="344"/>
      <c r="TIT42" s="344"/>
      <c r="TIU42" s="344"/>
      <c r="TIV42" s="344"/>
      <c r="TIW42" s="344"/>
      <c r="TIX42" s="344"/>
      <c r="TIY42" s="344"/>
      <c r="TIZ42" s="344"/>
      <c r="TJA42" s="344"/>
      <c r="TJB42" s="344"/>
      <c r="TJC42" s="344"/>
      <c r="TJD42" s="344"/>
      <c r="TJE42" s="344"/>
      <c r="TJF42" s="344"/>
      <c r="TJG42" s="344"/>
      <c r="TJH42" s="344"/>
      <c r="TJI42" s="344"/>
      <c r="TJJ42" s="344"/>
      <c r="TJK42" s="344"/>
      <c r="TJL42" s="344"/>
      <c r="TJM42" s="344"/>
      <c r="TJN42" s="344"/>
      <c r="TJO42" s="344"/>
      <c r="TJP42" s="344"/>
      <c r="TJQ42" s="344"/>
      <c r="TJR42" s="344"/>
      <c r="TJS42" s="344"/>
      <c r="TJT42" s="344"/>
      <c r="TJU42" s="344"/>
      <c r="TJV42" s="344"/>
      <c r="TJW42" s="344"/>
      <c r="TJX42" s="344"/>
      <c r="TJY42" s="344"/>
      <c r="TJZ42" s="344"/>
      <c r="TKA42" s="344"/>
      <c r="TKB42" s="344"/>
      <c r="TKC42" s="344"/>
      <c r="TKD42" s="344"/>
      <c r="TKE42" s="344"/>
      <c r="TKF42" s="344"/>
      <c r="TKG42" s="344"/>
      <c r="TKH42" s="344"/>
      <c r="TKI42" s="344"/>
      <c r="TKJ42" s="344"/>
      <c r="TKK42" s="344"/>
      <c r="TKL42" s="344"/>
      <c r="TKM42" s="344"/>
      <c r="TKN42" s="344"/>
      <c r="TKO42" s="344"/>
      <c r="TKP42" s="344"/>
      <c r="TKQ42" s="344"/>
      <c r="TKR42" s="344"/>
      <c r="TKS42" s="344"/>
      <c r="TKT42" s="344"/>
      <c r="TKU42" s="344"/>
      <c r="TKV42" s="344"/>
      <c r="TKW42" s="344"/>
      <c r="TKX42" s="344"/>
      <c r="TKY42" s="344"/>
      <c r="TKZ42" s="344"/>
      <c r="TLA42" s="344"/>
      <c r="TLB42" s="344"/>
      <c r="TLC42" s="344"/>
      <c r="TLD42" s="344"/>
      <c r="TLE42" s="344"/>
      <c r="TLF42" s="344"/>
      <c r="TLG42" s="344"/>
      <c r="TLH42" s="344"/>
      <c r="TLI42" s="344"/>
      <c r="TLJ42" s="344"/>
      <c r="TLK42" s="344"/>
      <c r="TLL42" s="344"/>
      <c r="TLM42" s="344"/>
      <c r="TLN42" s="344"/>
      <c r="TLO42" s="344"/>
      <c r="TLP42" s="344"/>
      <c r="TLQ42" s="344"/>
      <c r="TLR42" s="344"/>
      <c r="TLS42" s="344"/>
      <c r="TLT42" s="344"/>
      <c r="TLU42" s="344"/>
      <c r="TLV42" s="344"/>
      <c r="TLW42" s="344"/>
      <c r="TLX42" s="344"/>
      <c r="TLY42" s="344"/>
      <c r="TLZ42" s="344"/>
      <c r="TMA42" s="344"/>
      <c r="TMB42" s="344"/>
      <c r="TMC42" s="344"/>
      <c r="TMD42" s="344"/>
      <c r="TME42" s="344"/>
      <c r="TMF42" s="344"/>
      <c r="TMG42" s="344"/>
      <c r="TMH42" s="344"/>
      <c r="TMI42" s="344"/>
      <c r="TMJ42" s="344"/>
      <c r="TMK42" s="344"/>
      <c r="TML42" s="344"/>
      <c r="TMM42" s="344"/>
      <c r="TMN42" s="344"/>
      <c r="TMO42" s="344"/>
      <c r="TMP42" s="344"/>
      <c r="TMQ42" s="344"/>
      <c r="TMR42" s="344"/>
      <c r="TMS42" s="344"/>
      <c r="TMT42" s="344"/>
      <c r="TMU42" s="344"/>
      <c r="TMV42" s="344"/>
      <c r="TMW42" s="344"/>
      <c r="TMX42" s="344"/>
      <c r="TMY42" s="344"/>
      <c r="TMZ42" s="344"/>
      <c r="TNA42" s="344"/>
      <c r="TNB42" s="344"/>
      <c r="TNC42" s="344"/>
      <c r="TND42" s="344"/>
      <c r="TNE42" s="344"/>
      <c r="TNF42" s="344"/>
      <c r="TNG42" s="344"/>
      <c r="TNH42" s="344"/>
      <c r="TNI42" s="344"/>
      <c r="TNJ42" s="344"/>
      <c r="TNK42" s="344"/>
      <c r="TNL42" s="344"/>
      <c r="TNM42" s="344"/>
      <c r="TNN42" s="344"/>
      <c r="TNO42" s="344"/>
      <c r="TNP42" s="344"/>
      <c r="TNQ42" s="344"/>
      <c r="TNR42" s="344"/>
      <c r="TNS42" s="344"/>
      <c r="TNT42" s="344"/>
      <c r="TNU42" s="344"/>
      <c r="TNV42" s="344"/>
      <c r="TNW42" s="344"/>
      <c r="TNX42" s="344"/>
      <c r="TNY42" s="344"/>
      <c r="TNZ42" s="344"/>
      <c r="TOA42" s="344"/>
      <c r="TOB42" s="344"/>
      <c r="TOC42" s="344"/>
      <c r="TOD42" s="344"/>
      <c r="TOE42" s="344"/>
      <c r="TOF42" s="344"/>
      <c r="TOG42" s="344"/>
      <c r="TOH42" s="344"/>
      <c r="TOI42" s="344"/>
      <c r="TOJ42" s="344"/>
      <c r="TOK42" s="344"/>
      <c r="TOL42" s="344"/>
      <c r="TOM42" s="344"/>
      <c r="TON42" s="344"/>
      <c r="TOO42" s="344"/>
      <c r="TOP42" s="344"/>
      <c r="TOQ42" s="344"/>
      <c r="TOR42" s="344"/>
      <c r="TOS42" s="344"/>
      <c r="TOT42" s="344"/>
      <c r="TOU42" s="344"/>
      <c r="TOV42" s="344"/>
      <c r="TOW42" s="344"/>
      <c r="TOX42" s="344"/>
      <c r="TOY42" s="344"/>
      <c r="TOZ42" s="344"/>
      <c r="TPA42" s="344"/>
      <c r="TPB42" s="344"/>
      <c r="TPC42" s="344"/>
      <c r="TPD42" s="344"/>
      <c r="TPE42" s="344"/>
      <c r="TPF42" s="344"/>
      <c r="TPG42" s="344"/>
      <c r="TPH42" s="344"/>
      <c r="TPI42" s="344"/>
      <c r="TPJ42" s="344"/>
      <c r="TPK42" s="344"/>
      <c r="TPL42" s="344"/>
      <c r="TPM42" s="344"/>
      <c r="TPN42" s="344"/>
      <c r="TPO42" s="344"/>
      <c r="TPP42" s="344"/>
      <c r="TPQ42" s="344"/>
      <c r="TPR42" s="344"/>
      <c r="TPS42" s="344"/>
      <c r="TPT42" s="344"/>
      <c r="TPU42" s="344"/>
      <c r="TPV42" s="344"/>
      <c r="TPW42" s="344"/>
      <c r="TPX42" s="344"/>
      <c r="TPY42" s="344"/>
      <c r="TPZ42" s="344"/>
      <c r="TQA42" s="344"/>
      <c r="TQB42" s="344"/>
      <c r="TQC42" s="344"/>
      <c r="TQD42" s="344"/>
      <c r="TQE42" s="344"/>
      <c r="TQF42" s="344"/>
      <c r="TQG42" s="344"/>
      <c r="TQH42" s="344"/>
      <c r="TQI42" s="344"/>
      <c r="TQJ42" s="344"/>
      <c r="TQK42" s="344"/>
      <c r="TQL42" s="344"/>
      <c r="TQM42" s="344"/>
      <c r="TQN42" s="344"/>
      <c r="TQO42" s="344"/>
      <c r="TQP42" s="344"/>
      <c r="TQQ42" s="344"/>
      <c r="TQR42" s="344"/>
      <c r="TQS42" s="344"/>
      <c r="TQT42" s="344"/>
      <c r="TQU42" s="344"/>
      <c r="TQV42" s="344"/>
      <c r="TQW42" s="344"/>
      <c r="TQX42" s="344"/>
      <c r="TQY42" s="344"/>
      <c r="TQZ42" s="344"/>
      <c r="TRA42" s="344"/>
      <c r="TRB42" s="344"/>
      <c r="TRC42" s="344"/>
      <c r="TRD42" s="344"/>
      <c r="TRE42" s="344"/>
      <c r="TRF42" s="344"/>
      <c r="TRG42" s="344"/>
      <c r="TRH42" s="344"/>
      <c r="TRI42" s="344"/>
      <c r="TRJ42" s="344"/>
      <c r="TRK42" s="344"/>
      <c r="TRL42" s="344"/>
      <c r="TRM42" s="344"/>
      <c r="TRN42" s="344"/>
      <c r="TRO42" s="344"/>
      <c r="TRP42" s="344"/>
      <c r="TRQ42" s="344"/>
      <c r="TRR42" s="344"/>
      <c r="TRS42" s="344"/>
      <c r="TRT42" s="344"/>
      <c r="TRU42" s="344"/>
      <c r="TRV42" s="344"/>
      <c r="TRW42" s="344"/>
      <c r="TRX42" s="344"/>
      <c r="TRY42" s="344"/>
      <c r="TRZ42" s="344"/>
      <c r="TSA42" s="344"/>
      <c r="TSB42" s="344"/>
      <c r="TSC42" s="344"/>
      <c r="TSD42" s="344"/>
      <c r="TSE42" s="344"/>
      <c r="TSF42" s="344"/>
      <c r="TSG42" s="344"/>
      <c r="TSH42" s="344"/>
      <c r="TSI42" s="344"/>
      <c r="TSJ42" s="344"/>
      <c r="TSK42" s="344"/>
      <c r="TSL42" s="344"/>
      <c r="TSM42" s="344"/>
      <c r="TSN42" s="344"/>
      <c r="TSO42" s="344"/>
      <c r="TSP42" s="344"/>
      <c r="TSQ42" s="344"/>
      <c r="TSR42" s="344"/>
      <c r="TSS42" s="344"/>
      <c r="TST42" s="344"/>
      <c r="TSU42" s="344"/>
      <c r="TSV42" s="344"/>
      <c r="TSW42" s="344"/>
      <c r="TSX42" s="344"/>
      <c r="TSY42" s="344"/>
      <c r="TSZ42" s="344"/>
      <c r="TTA42" s="344"/>
      <c r="TTB42" s="344"/>
      <c r="TTC42" s="344"/>
      <c r="TTD42" s="344"/>
      <c r="TTE42" s="344"/>
      <c r="TTF42" s="344"/>
      <c r="TTG42" s="344"/>
      <c r="TTH42" s="344"/>
      <c r="TTI42" s="344"/>
      <c r="TTJ42" s="344"/>
      <c r="TTK42" s="344"/>
      <c r="TTL42" s="344"/>
      <c r="TTM42" s="344"/>
      <c r="TTN42" s="344"/>
      <c r="TTO42" s="344"/>
      <c r="TTP42" s="344"/>
      <c r="TTQ42" s="344"/>
      <c r="TTR42" s="344"/>
      <c r="TTS42" s="344"/>
      <c r="TTT42" s="344"/>
      <c r="TTU42" s="344"/>
      <c r="TTV42" s="344"/>
      <c r="TTW42" s="344"/>
      <c r="TTX42" s="344"/>
      <c r="TTY42" s="344"/>
      <c r="TTZ42" s="344"/>
      <c r="TUA42" s="344"/>
      <c r="TUB42" s="344"/>
      <c r="TUC42" s="344"/>
      <c r="TUD42" s="344"/>
      <c r="TUE42" s="344"/>
      <c r="TUF42" s="344"/>
      <c r="TUG42" s="344"/>
      <c r="TUH42" s="344"/>
      <c r="TUI42" s="344"/>
      <c r="TUJ42" s="344"/>
      <c r="TUK42" s="344"/>
      <c r="TUL42" s="344"/>
      <c r="TUM42" s="344"/>
      <c r="TUN42" s="344"/>
      <c r="TUO42" s="344"/>
      <c r="TUP42" s="344"/>
      <c r="TUQ42" s="344"/>
      <c r="TUR42" s="344"/>
      <c r="TUS42" s="344"/>
      <c r="TUT42" s="344"/>
      <c r="TUU42" s="344"/>
      <c r="TUV42" s="344"/>
      <c r="TUW42" s="344"/>
      <c r="TUX42" s="344"/>
      <c r="TUY42" s="344"/>
      <c r="TUZ42" s="344"/>
      <c r="TVA42" s="344"/>
      <c r="TVB42" s="344"/>
      <c r="TVC42" s="344"/>
      <c r="TVD42" s="344"/>
      <c r="TVE42" s="344"/>
      <c r="TVF42" s="344"/>
      <c r="TVG42" s="344"/>
      <c r="TVH42" s="344"/>
      <c r="TVI42" s="344"/>
      <c r="TVJ42" s="344"/>
      <c r="TVK42" s="344"/>
      <c r="TVL42" s="344"/>
      <c r="TVM42" s="344"/>
      <c r="TVN42" s="344"/>
      <c r="TVO42" s="344"/>
      <c r="TVP42" s="344"/>
      <c r="TVQ42" s="344"/>
      <c r="TVR42" s="344"/>
      <c r="TVS42" s="344"/>
      <c r="TVT42" s="344"/>
      <c r="TVU42" s="344"/>
      <c r="TVV42" s="344"/>
      <c r="TVW42" s="344"/>
      <c r="TVX42" s="344"/>
      <c r="TVY42" s="344"/>
      <c r="TVZ42" s="344"/>
      <c r="TWA42" s="344"/>
      <c r="TWB42" s="344"/>
      <c r="TWC42" s="344"/>
      <c r="TWD42" s="344"/>
      <c r="TWE42" s="344"/>
      <c r="TWF42" s="344"/>
      <c r="TWG42" s="344"/>
      <c r="TWH42" s="344"/>
      <c r="TWI42" s="344"/>
      <c r="TWJ42" s="344"/>
      <c r="TWK42" s="344"/>
      <c r="TWL42" s="344"/>
      <c r="TWM42" s="344"/>
      <c r="TWN42" s="344"/>
      <c r="TWO42" s="344"/>
      <c r="TWP42" s="344"/>
      <c r="TWQ42" s="344"/>
      <c r="TWR42" s="344"/>
      <c r="TWS42" s="344"/>
      <c r="TWT42" s="344"/>
      <c r="TWU42" s="344"/>
      <c r="TWV42" s="344"/>
      <c r="TWW42" s="344"/>
      <c r="TWX42" s="344"/>
      <c r="TWY42" s="344"/>
      <c r="TWZ42" s="344"/>
      <c r="TXA42" s="344"/>
      <c r="TXB42" s="344"/>
      <c r="TXC42" s="344"/>
      <c r="TXD42" s="344"/>
      <c r="TXE42" s="344"/>
      <c r="TXF42" s="344"/>
      <c r="TXG42" s="344"/>
      <c r="TXH42" s="344"/>
      <c r="TXI42" s="344"/>
      <c r="TXJ42" s="344"/>
      <c r="TXK42" s="344"/>
      <c r="TXL42" s="344"/>
      <c r="TXM42" s="344"/>
      <c r="TXN42" s="344"/>
      <c r="TXO42" s="344"/>
      <c r="TXP42" s="344"/>
      <c r="TXQ42" s="344"/>
      <c r="TXR42" s="344"/>
      <c r="TXS42" s="344"/>
      <c r="TXT42" s="344"/>
      <c r="TXU42" s="344"/>
      <c r="TXV42" s="344"/>
      <c r="TXW42" s="344"/>
      <c r="TXX42" s="344"/>
      <c r="TXY42" s="344"/>
      <c r="TXZ42" s="344"/>
      <c r="TYA42" s="344"/>
      <c r="TYB42" s="344"/>
      <c r="TYC42" s="344"/>
      <c r="TYD42" s="344"/>
      <c r="TYE42" s="344"/>
      <c r="TYF42" s="344"/>
      <c r="TYG42" s="344"/>
      <c r="TYH42" s="344"/>
      <c r="TYI42" s="344"/>
      <c r="TYJ42" s="344"/>
      <c r="TYK42" s="344"/>
      <c r="TYL42" s="344"/>
      <c r="TYM42" s="344"/>
      <c r="TYN42" s="344"/>
      <c r="TYO42" s="344"/>
      <c r="TYP42" s="344"/>
      <c r="TYQ42" s="344"/>
      <c r="TYR42" s="344"/>
      <c r="TYS42" s="344"/>
      <c r="TYT42" s="344"/>
      <c r="TYU42" s="344"/>
      <c r="TYV42" s="344"/>
      <c r="TYW42" s="344"/>
      <c r="TYX42" s="344"/>
      <c r="TYY42" s="344"/>
      <c r="TYZ42" s="344"/>
      <c r="TZA42" s="344"/>
      <c r="TZB42" s="344"/>
      <c r="TZC42" s="344"/>
      <c r="TZD42" s="344"/>
      <c r="TZE42" s="344"/>
      <c r="TZF42" s="344"/>
      <c r="TZG42" s="344"/>
      <c r="TZH42" s="344"/>
      <c r="TZI42" s="344"/>
      <c r="TZJ42" s="344"/>
      <c r="TZK42" s="344"/>
      <c r="TZL42" s="344"/>
      <c r="TZM42" s="344"/>
      <c r="TZN42" s="344"/>
      <c r="TZO42" s="344"/>
      <c r="TZP42" s="344"/>
      <c r="TZQ42" s="344"/>
      <c r="TZR42" s="344"/>
      <c r="TZS42" s="344"/>
      <c r="TZT42" s="344"/>
      <c r="TZU42" s="344"/>
      <c r="TZV42" s="344"/>
      <c r="TZW42" s="344"/>
      <c r="TZX42" s="344"/>
      <c r="TZY42" s="344"/>
      <c r="TZZ42" s="344"/>
      <c r="UAA42" s="344"/>
      <c r="UAB42" s="344"/>
      <c r="UAC42" s="344"/>
      <c r="UAD42" s="344"/>
      <c r="UAE42" s="344"/>
      <c r="UAF42" s="344"/>
      <c r="UAG42" s="344"/>
      <c r="UAH42" s="344"/>
      <c r="UAI42" s="344"/>
      <c r="UAJ42" s="344"/>
      <c r="UAK42" s="344"/>
      <c r="UAL42" s="344"/>
      <c r="UAM42" s="344"/>
      <c r="UAN42" s="344"/>
      <c r="UAO42" s="344"/>
      <c r="UAP42" s="344"/>
      <c r="UAQ42" s="344"/>
      <c r="UAR42" s="344"/>
      <c r="UAS42" s="344"/>
      <c r="UAT42" s="344"/>
      <c r="UAU42" s="344"/>
      <c r="UAV42" s="344"/>
      <c r="UAW42" s="344"/>
      <c r="UAX42" s="344"/>
      <c r="UAY42" s="344"/>
      <c r="UAZ42" s="344"/>
      <c r="UBA42" s="344"/>
      <c r="UBB42" s="344"/>
      <c r="UBC42" s="344"/>
      <c r="UBD42" s="344"/>
      <c r="UBE42" s="344"/>
      <c r="UBF42" s="344"/>
      <c r="UBG42" s="344"/>
      <c r="UBH42" s="344"/>
      <c r="UBI42" s="344"/>
      <c r="UBJ42" s="344"/>
      <c r="UBK42" s="344"/>
      <c r="UBL42" s="344"/>
      <c r="UBM42" s="344"/>
      <c r="UBN42" s="344"/>
      <c r="UBO42" s="344"/>
      <c r="UBP42" s="344"/>
      <c r="UBQ42" s="344"/>
      <c r="UBR42" s="344"/>
      <c r="UBS42" s="344"/>
      <c r="UBT42" s="344"/>
      <c r="UBU42" s="344"/>
      <c r="UBV42" s="344"/>
      <c r="UBW42" s="344"/>
      <c r="UBX42" s="344"/>
      <c r="UBY42" s="344"/>
      <c r="UBZ42" s="344"/>
      <c r="UCA42" s="344"/>
      <c r="UCB42" s="344"/>
      <c r="UCC42" s="344"/>
      <c r="UCD42" s="344"/>
      <c r="UCE42" s="344"/>
      <c r="UCF42" s="344"/>
      <c r="UCG42" s="344"/>
      <c r="UCH42" s="344"/>
      <c r="UCI42" s="344"/>
      <c r="UCJ42" s="344"/>
      <c r="UCK42" s="344"/>
      <c r="UCL42" s="344"/>
      <c r="UCM42" s="344"/>
      <c r="UCN42" s="344"/>
      <c r="UCO42" s="344"/>
      <c r="UCP42" s="344"/>
      <c r="UCQ42" s="344"/>
      <c r="UCR42" s="344"/>
      <c r="UCS42" s="344"/>
      <c r="UCT42" s="344"/>
      <c r="UCU42" s="344"/>
      <c r="UCV42" s="344"/>
      <c r="UCW42" s="344"/>
      <c r="UCX42" s="344"/>
      <c r="UCY42" s="344"/>
      <c r="UCZ42" s="344"/>
      <c r="UDA42" s="344"/>
      <c r="UDB42" s="344"/>
      <c r="UDC42" s="344"/>
      <c r="UDD42" s="344"/>
      <c r="UDE42" s="344"/>
      <c r="UDF42" s="344"/>
      <c r="UDG42" s="344"/>
      <c r="UDH42" s="344"/>
      <c r="UDI42" s="344"/>
      <c r="UDJ42" s="344"/>
      <c r="UDK42" s="344"/>
      <c r="UDL42" s="344"/>
      <c r="UDM42" s="344"/>
      <c r="UDN42" s="344"/>
      <c r="UDO42" s="344"/>
      <c r="UDP42" s="344"/>
      <c r="UDQ42" s="344"/>
      <c r="UDR42" s="344"/>
      <c r="UDS42" s="344"/>
      <c r="UDT42" s="344"/>
      <c r="UDU42" s="344"/>
      <c r="UDV42" s="344"/>
      <c r="UDW42" s="344"/>
      <c r="UDX42" s="344"/>
      <c r="UDY42" s="344"/>
      <c r="UDZ42" s="344"/>
      <c r="UEA42" s="344"/>
      <c r="UEB42" s="344"/>
      <c r="UEC42" s="344"/>
      <c r="UED42" s="344"/>
      <c r="UEE42" s="344"/>
      <c r="UEF42" s="344"/>
      <c r="UEG42" s="344"/>
      <c r="UEH42" s="344"/>
      <c r="UEI42" s="344"/>
      <c r="UEJ42" s="344"/>
      <c r="UEK42" s="344"/>
      <c r="UEL42" s="344"/>
      <c r="UEM42" s="344"/>
      <c r="UEN42" s="344"/>
      <c r="UEO42" s="344"/>
      <c r="UEP42" s="344"/>
      <c r="UEQ42" s="344"/>
      <c r="UER42" s="344"/>
      <c r="UES42" s="344"/>
      <c r="UET42" s="344"/>
      <c r="UEU42" s="344"/>
      <c r="UEV42" s="344"/>
      <c r="UEW42" s="344"/>
      <c r="UEX42" s="344"/>
      <c r="UEY42" s="344"/>
      <c r="UEZ42" s="344"/>
      <c r="UFA42" s="344"/>
      <c r="UFB42" s="344"/>
      <c r="UFC42" s="344"/>
      <c r="UFD42" s="344"/>
      <c r="UFE42" s="344"/>
      <c r="UFF42" s="344"/>
      <c r="UFG42" s="344"/>
      <c r="UFH42" s="344"/>
      <c r="UFI42" s="344"/>
      <c r="UFJ42" s="344"/>
      <c r="UFK42" s="344"/>
      <c r="UFL42" s="344"/>
      <c r="UFM42" s="344"/>
      <c r="UFN42" s="344"/>
      <c r="UFO42" s="344"/>
      <c r="UFP42" s="344"/>
      <c r="UFQ42" s="344"/>
      <c r="UFR42" s="344"/>
      <c r="UFS42" s="344"/>
      <c r="UFT42" s="344"/>
      <c r="UFU42" s="344"/>
      <c r="UFV42" s="344"/>
      <c r="UFW42" s="344"/>
      <c r="UFX42" s="344"/>
      <c r="UFY42" s="344"/>
      <c r="UFZ42" s="344"/>
      <c r="UGA42" s="344"/>
      <c r="UGB42" s="344"/>
      <c r="UGC42" s="344"/>
      <c r="UGD42" s="344"/>
      <c r="UGE42" s="344"/>
      <c r="UGF42" s="344"/>
      <c r="UGG42" s="344"/>
      <c r="UGH42" s="344"/>
      <c r="UGI42" s="344"/>
      <c r="UGJ42" s="344"/>
      <c r="UGK42" s="344"/>
      <c r="UGL42" s="344"/>
      <c r="UGM42" s="344"/>
      <c r="UGN42" s="344"/>
      <c r="UGO42" s="344"/>
      <c r="UGP42" s="344"/>
      <c r="UGQ42" s="344"/>
      <c r="UGR42" s="344"/>
      <c r="UGS42" s="344"/>
      <c r="UGT42" s="344"/>
      <c r="UGU42" s="344"/>
      <c r="UGV42" s="344"/>
      <c r="UGW42" s="344"/>
      <c r="UGX42" s="344"/>
      <c r="UGY42" s="344"/>
      <c r="UGZ42" s="344"/>
      <c r="UHA42" s="344"/>
      <c r="UHB42" s="344"/>
      <c r="UHC42" s="344"/>
      <c r="UHD42" s="344"/>
      <c r="UHE42" s="344"/>
      <c r="UHF42" s="344"/>
      <c r="UHG42" s="344"/>
      <c r="UHH42" s="344"/>
      <c r="UHI42" s="344"/>
      <c r="UHJ42" s="344"/>
      <c r="UHK42" s="344"/>
      <c r="UHL42" s="344"/>
      <c r="UHM42" s="344"/>
      <c r="UHN42" s="344"/>
      <c r="UHO42" s="344"/>
      <c r="UHP42" s="344"/>
      <c r="UHQ42" s="344"/>
      <c r="UHR42" s="344"/>
      <c r="UHS42" s="344"/>
      <c r="UHT42" s="344"/>
      <c r="UHU42" s="344"/>
      <c r="UHV42" s="344"/>
      <c r="UHW42" s="344"/>
      <c r="UHX42" s="344"/>
      <c r="UHY42" s="344"/>
      <c r="UHZ42" s="344"/>
      <c r="UIA42" s="344"/>
      <c r="UIB42" s="344"/>
      <c r="UIC42" s="344"/>
      <c r="UID42" s="344"/>
      <c r="UIE42" s="344"/>
      <c r="UIF42" s="344"/>
      <c r="UIG42" s="344"/>
      <c r="UIH42" s="344"/>
      <c r="UII42" s="344"/>
      <c r="UIJ42" s="344"/>
      <c r="UIK42" s="344"/>
      <c r="UIL42" s="344"/>
      <c r="UIM42" s="344"/>
      <c r="UIN42" s="344"/>
      <c r="UIO42" s="344"/>
      <c r="UIP42" s="344"/>
      <c r="UIQ42" s="344"/>
      <c r="UIR42" s="344"/>
      <c r="UIS42" s="344"/>
      <c r="UIT42" s="344"/>
      <c r="UIU42" s="344"/>
      <c r="UIV42" s="344"/>
      <c r="UIW42" s="344"/>
      <c r="UIX42" s="344"/>
      <c r="UIY42" s="344"/>
      <c r="UIZ42" s="344"/>
      <c r="UJA42" s="344"/>
      <c r="UJB42" s="344"/>
      <c r="UJC42" s="344"/>
      <c r="UJD42" s="344"/>
      <c r="UJE42" s="344"/>
      <c r="UJF42" s="344"/>
      <c r="UJG42" s="344"/>
      <c r="UJH42" s="344"/>
      <c r="UJI42" s="344"/>
      <c r="UJJ42" s="344"/>
      <c r="UJK42" s="344"/>
      <c r="UJL42" s="344"/>
      <c r="UJM42" s="344"/>
      <c r="UJN42" s="344"/>
      <c r="UJO42" s="344"/>
      <c r="UJP42" s="344"/>
      <c r="UJQ42" s="344"/>
      <c r="UJR42" s="344"/>
      <c r="UJS42" s="344"/>
      <c r="UJT42" s="344"/>
      <c r="UJU42" s="344"/>
      <c r="UJV42" s="344"/>
      <c r="UJW42" s="344"/>
      <c r="UJX42" s="344"/>
      <c r="UJY42" s="344"/>
      <c r="UJZ42" s="344"/>
      <c r="UKA42" s="344"/>
      <c r="UKB42" s="344"/>
      <c r="UKC42" s="344"/>
      <c r="UKD42" s="344"/>
      <c r="UKE42" s="344"/>
      <c r="UKF42" s="344"/>
      <c r="UKG42" s="344"/>
      <c r="UKH42" s="344"/>
      <c r="UKI42" s="344"/>
      <c r="UKJ42" s="344"/>
      <c r="UKK42" s="344"/>
      <c r="UKL42" s="344"/>
      <c r="UKM42" s="344"/>
      <c r="UKN42" s="344"/>
      <c r="UKO42" s="344"/>
      <c r="UKP42" s="344"/>
      <c r="UKQ42" s="344"/>
      <c r="UKR42" s="344"/>
      <c r="UKS42" s="344"/>
      <c r="UKT42" s="344"/>
      <c r="UKU42" s="344"/>
      <c r="UKV42" s="344"/>
      <c r="UKW42" s="344"/>
      <c r="UKX42" s="344"/>
      <c r="UKY42" s="344"/>
      <c r="UKZ42" s="344"/>
      <c r="ULA42" s="344"/>
      <c r="ULB42" s="344"/>
      <c r="ULC42" s="344"/>
      <c r="ULD42" s="344"/>
      <c r="ULE42" s="344"/>
      <c r="ULF42" s="344"/>
      <c r="ULG42" s="344"/>
      <c r="ULH42" s="344"/>
      <c r="ULI42" s="344"/>
      <c r="ULJ42" s="344"/>
      <c r="ULK42" s="344"/>
      <c r="ULL42" s="344"/>
      <c r="ULM42" s="344"/>
      <c r="ULN42" s="344"/>
      <c r="ULO42" s="344"/>
      <c r="ULP42" s="344"/>
      <c r="ULQ42" s="344"/>
      <c r="ULR42" s="344"/>
      <c r="ULS42" s="344"/>
      <c r="ULT42" s="344"/>
      <c r="ULU42" s="344"/>
      <c r="ULV42" s="344"/>
      <c r="ULW42" s="344"/>
      <c r="ULX42" s="344"/>
      <c r="ULY42" s="344"/>
      <c r="ULZ42" s="344"/>
      <c r="UMA42" s="344"/>
      <c r="UMB42" s="344"/>
      <c r="UMC42" s="344"/>
      <c r="UMD42" s="344"/>
      <c r="UME42" s="344"/>
      <c r="UMF42" s="344"/>
      <c r="UMG42" s="344"/>
      <c r="UMH42" s="344"/>
      <c r="UMI42" s="344"/>
      <c r="UMJ42" s="344"/>
      <c r="UMK42" s="344"/>
      <c r="UML42" s="344"/>
      <c r="UMM42" s="344"/>
      <c r="UMN42" s="344"/>
      <c r="UMO42" s="344"/>
      <c r="UMP42" s="344"/>
      <c r="UMQ42" s="344"/>
      <c r="UMR42" s="344"/>
      <c r="UMS42" s="344"/>
      <c r="UMT42" s="344"/>
      <c r="UMU42" s="344"/>
      <c r="UMV42" s="344"/>
      <c r="UMW42" s="344"/>
      <c r="UMX42" s="344"/>
      <c r="UMY42" s="344"/>
      <c r="UMZ42" s="344"/>
      <c r="UNA42" s="344"/>
      <c r="UNB42" s="344"/>
      <c r="UNC42" s="344"/>
      <c r="UND42" s="344"/>
      <c r="UNE42" s="344"/>
      <c r="UNF42" s="344"/>
      <c r="UNG42" s="344"/>
      <c r="UNH42" s="344"/>
      <c r="UNI42" s="344"/>
      <c r="UNJ42" s="344"/>
      <c r="UNK42" s="344"/>
      <c r="UNL42" s="344"/>
      <c r="UNM42" s="344"/>
      <c r="UNN42" s="344"/>
      <c r="UNO42" s="344"/>
      <c r="UNP42" s="344"/>
      <c r="UNQ42" s="344"/>
      <c r="UNR42" s="344"/>
      <c r="UNS42" s="344"/>
      <c r="UNT42" s="344"/>
      <c r="UNU42" s="344"/>
      <c r="UNV42" s="344"/>
      <c r="UNW42" s="344"/>
      <c r="UNX42" s="344"/>
      <c r="UNY42" s="344"/>
      <c r="UNZ42" s="344"/>
      <c r="UOA42" s="344"/>
      <c r="UOB42" s="344"/>
      <c r="UOC42" s="344"/>
      <c r="UOD42" s="344"/>
      <c r="UOE42" s="344"/>
      <c r="UOF42" s="344"/>
      <c r="UOG42" s="344"/>
      <c r="UOH42" s="344"/>
      <c r="UOI42" s="344"/>
      <c r="UOJ42" s="344"/>
      <c r="UOK42" s="344"/>
      <c r="UOL42" s="344"/>
      <c r="UOM42" s="344"/>
      <c r="UON42" s="344"/>
      <c r="UOO42" s="344"/>
      <c r="UOP42" s="344"/>
      <c r="UOQ42" s="344"/>
      <c r="UOR42" s="344"/>
      <c r="UOS42" s="344"/>
      <c r="UOT42" s="344"/>
      <c r="UOU42" s="344"/>
      <c r="UOV42" s="344"/>
      <c r="UOW42" s="344"/>
      <c r="UOX42" s="344"/>
      <c r="UOY42" s="344"/>
      <c r="UOZ42" s="344"/>
      <c r="UPA42" s="344"/>
      <c r="UPB42" s="344"/>
      <c r="UPC42" s="344"/>
      <c r="UPD42" s="344"/>
      <c r="UPE42" s="344"/>
      <c r="UPF42" s="344"/>
      <c r="UPG42" s="344"/>
      <c r="UPH42" s="344"/>
      <c r="UPI42" s="344"/>
      <c r="UPJ42" s="344"/>
      <c r="UPK42" s="344"/>
      <c r="UPL42" s="344"/>
      <c r="UPM42" s="344"/>
      <c r="UPN42" s="344"/>
      <c r="UPO42" s="344"/>
      <c r="UPP42" s="344"/>
      <c r="UPQ42" s="344"/>
      <c r="UPR42" s="344"/>
      <c r="UPS42" s="344"/>
      <c r="UPT42" s="344"/>
      <c r="UPU42" s="344"/>
      <c r="UPV42" s="344"/>
      <c r="UPW42" s="344"/>
      <c r="UPX42" s="344"/>
      <c r="UPY42" s="344"/>
      <c r="UPZ42" s="344"/>
      <c r="UQA42" s="344"/>
      <c r="UQB42" s="344"/>
      <c r="UQC42" s="344"/>
      <c r="UQD42" s="344"/>
      <c r="UQE42" s="344"/>
      <c r="UQF42" s="344"/>
      <c r="UQG42" s="344"/>
      <c r="UQH42" s="344"/>
      <c r="UQI42" s="344"/>
      <c r="UQJ42" s="344"/>
      <c r="UQK42" s="344"/>
      <c r="UQL42" s="344"/>
      <c r="UQM42" s="344"/>
      <c r="UQN42" s="344"/>
      <c r="UQO42" s="344"/>
      <c r="UQP42" s="344"/>
      <c r="UQQ42" s="344"/>
      <c r="UQR42" s="344"/>
      <c r="UQS42" s="344"/>
      <c r="UQT42" s="344"/>
      <c r="UQU42" s="344"/>
      <c r="UQV42" s="344"/>
      <c r="UQW42" s="344"/>
      <c r="UQX42" s="344"/>
      <c r="UQY42" s="344"/>
      <c r="UQZ42" s="344"/>
      <c r="URA42" s="344"/>
      <c r="URB42" s="344"/>
      <c r="URC42" s="344"/>
      <c r="URD42" s="344"/>
      <c r="URE42" s="344"/>
      <c r="URF42" s="344"/>
      <c r="URG42" s="344"/>
      <c r="URH42" s="344"/>
      <c r="URI42" s="344"/>
      <c r="URJ42" s="344"/>
      <c r="URK42" s="344"/>
      <c r="URL42" s="344"/>
      <c r="URM42" s="344"/>
      <c r="URN42" s="344"/>
      <c r="URO42" s="344"/>
      <c r="URP42" s="344"/>
      <c r="URQ42" s="344"/>
      <c r="URR42" s="344"/>
      <c r="URS42" s="344"/>
      <c r="URT42" s="344"/>
      <c r="URU42" s="344"/>
      <c r="URV42" s="344"/>
      <c r="URW42" s="344"/>
      <c r="URX42" s="344"/>
      <c r="URY42" s="344"/>
      <c r="URZ42" s="344"/>
      <c r="USA42" s="344"/>
      <c r="USB42" s="344"/>
      <c r="USC42" s="344"/>
      <c r="USD42" s="344"/>
      <c r="USE42" s="344"/>
      <c r="USF42" s="344"/>
      <c r="USG42" s="344"/>
      <c r="USH42" s="344"/>
      <c r="USI42" s="344"/>
      <c r="USJ42" s="344"/>
      <c r="USK42" s="344"/>
      <c r="USL42" s="344"/>
      <c r="USM42" s="344"/>
      <c r="USN42" s="344"/>
      <c r="USO42" s="344"/>
      <c r="USP42" s="344"/>
      <c r="USQ42" s="344"/>
      <c r="USR42" s="344"/>
      <c r="USS42" s="344"/>
      <c r="UST42" s="344"/>
      <c r="USU42" s="344"/>
      <c r="USV42" s="344"/>
      <c r="USW42" s="344"/>
      <c r="USX42" s="344"/>
      <c r="USY42" s="344"/>
      <c r="USZ42" s="344"/>
      <c r="UTA42" s="344"/>
      <c r="UTB42" s="344"/>
      <c r="UTC42" s="344"/>
      <c r="UTD42" s="344"/>
      <c r="UTE42" s="344"/>
      <c r="UTF42" s="344"/>
      <c r="UTG42" s="344"/>
      <c r="UTH42" s="344"/>
      <c r="UTI42" s="344"/>
      <c r="UTJ42" s="344"/>
      <c r="UTK42" s="344"/>
      <c r="UTL42" s="344"/>
      <c r="UTM42" s="344"/>
      <c r="UTN42" s="344"/>
      <c r="UTO42" s="344"/>
      <c r="UTP42" s="344"/>
      <c r="UTQ42" s="344"/>
      <c r="UTR42" s="344"/>
      <c r="UTS42" s="344"/>
      <c r="UTT42" s="344"/>
      <c r="UTU42" s="344"/>
      <c r="UTV42" s="344"/>
      <c r="UTW42" s="344"/>
      <c r="UTX42" s="344"/>
      <c r="UTY42" s="344"/>
      <c r="UTZ42" s="344"/>
      <c r="UUA42" s="344"/>
      <c r="UUB42" s="344"/>
      <c r="UUC42" s="344"/>
      <c r="UUD42" s="344"/>
      <c r="UUE42" s="344"/>
      <c r="UUF42" s="344"/>
      <c r="UUG42" s="344"/>
      <c r="UUH42" s="344"/>
      <c r="UUI42" s="344"/>
      <c r="UUJ42" s="344"/>
      <c r="UUK42" s="344"/>
      <c r="UUL42" s="344"/>
      <c r="UUM42" s="344"/>
      <c r="UUN42" s="344"/>
      <c r="UUO42" s="344"/>
      <c r="UUP42" s="344"/>
      <c r="UUQ42" s="344"/>
      <c r="UUR42" s="344"/>
      <c r="UUS42" s="344"/>
      <c r="UUT42" s="344"/>
      <c r="UUU42" s="344"/>
      <c r="UUV42" s="344"/>
      <c r="UUW42" s="344"/>
      <c r="UUX42" s="344"/>
      <c r="UUY42" s="344"/>
      <c r="UUZ42" s="344"/>
      <c r="UVA42" s="344"/>
      <c r="UVB42" s="344"/>
      <c r="UVC42" s="344"/>
      <c r="UVD42" s="344"/>
      <c r="UVE42" s="344"/>
      <c r="UVF42" s="344"/>
      <c r="UVG42" s="344"/>
      <c r="UVH42" s="344"/>
      <c r="UVI42" s="344"/>
      <c r="UVJ42" s="344"/>
      <c r="UVK42" s="344"/>
      <c r="UVL42" s="344"/>
      <c r="UVM42" s="344"/>
      <c r="UVN42" s="344"/>
      <c r="UVO42" s="344"/>
      <c r="UVP42" s="344"/>
      <c r="UVQ42" s="344"/>
      <c r="UVR42" s="344"/>
      <c r="UVS42" s="344"/>
      <c r="UVT42" s="344"/>
      <c r="UVU42" s="344"/>
      <c r="UVV42" s="344"/>
      <c r="UVW42" s="344"/>
      <c r="UVX42" s="344"/>
      <c r="UVY42" s="344"/>
      <c r="UVZ42" s="344"/>
      <c r="UWA42" s="344"/>
      <c r="UWB42" s="344"/>
      <c r="UWC42" s="344"/>
      <c r="UWD42" s="344"/>
      <c r="UWE42" s="344"/>
      <c r="UWF42" s="344"/>
      <c r="UWG42" s="344"/>
      <c r="UWH42" s="344"/>
      <c r="UWI42" s="344"/>
      <c r="UWJ42" s="344"/>
      <c r="UWK42" s="344"/>
      <c r="UWL42" s="344"/>
      <c r="UWM42" s="344"/>
      <c r="UWN42" s="344"/>
      <c r="UWO42" s="344"/>
      <c r="UWP42" s="344"/>
      <c r="UWQ42" s="344"/>
      <c r="UWR42" s="344"/>
      <c r="UWS42" s="344"/>
      <c r="UWT42" s="344"/>
      <c r="UWU42" s="344"/>
      <c r="UWV42" s="344"/>
      <c r="UWW42" s="344"/>
      <c r="UWX42" s="344"/>
      <c r="UWY42" s="344"/>
      <c r="UWZ42" s="344"/>
      <c r="UXA42" s="344"/>
      <c r="UXB42" s="344"/>
      <c r="UXC42" s="344"/>
      <c r="UXD42" s="344"/>
      <c r="UXE42" s="344"/>
      <c r="UXF42" s="344"/>
      <c r="UXG42" s="344"/>
      <c r="UXH42" s="344"/>
      <c r="UXI42" s="344"/>
      <c r="UXJ42" s="344"/>
      <c r="UXK42" s="344"/>
      <c r="UXL42" s="344"/>
      <c r="UXM42" s="344"/>
      <c r="UXN42" s="344"/>
      <c r="UXO42" s="344"/>
      <c r="UXP42" s="344"/>
      <c r="UXQ42" s="344"/>
      <c r="UXR42" s="344"/>
      <c r="UXS42" s="344"/>
      <c r="UXT42" s="344"/>
      <c r="UXU42" s="344"/>
      <c r="UXV42" s="344"/>
      <c r="UXW42" s="344"/>
      <c r="UXX42" s="344"/>
      <c r="UXY42" s="344"/>
      <c r="UXZ42" s="344"/>
      <c r="UYA42" s="344"/>
      <c r="UYB42" s="344"/>
      <c r="UYC42" s="344"/>
      <c r="UYD42" s="344"/>
      <c r="UYE42" s="344"/>
      <c r="UYF42" s="344"/>
      <c r="UYG42" s="344"/>
      <c r="UYH42" s="344"/>
      <c r="UYI42" s="344"/>
      <c r="UYJ42" s="344"/>
      <c r="UYK42" s="344"/>
      <c r="UYL42" s="344"/>
      <c r="UYM42" s="344"/>
      <c r="UYN42" s="344"/>
      <c r="UYO42" s="344"/>
      <c r="UYP42" s="344"/>
      <c r="UYQ42" s="344"/>
      <c r="UYR42" s="344"/>
      <c r="UYS42" s="344"/>
      <c r="UYT42" s="344"/>
      <c r="UYU42" s="344"/>
      <c r="UYV42" s="344"/>
      <c r="UYW42" s="344"/>
      <c r="UYX42" s="344"/>
      <c r="UYY42" s="344"/>
      <c r="UYZ42" s="344"/>
      <c r="UZA42" s="344"/>
      <c r="UZB42" s="344"/>
      <c r="UZC42" s="344"/>
      <c r="UZD42" s="344"/>
      <c r="UZE42" s="344"/>
      <c r="UZF42" s="344"/>
      <c r="UZG42" s="344"/>
      <c r="UZH42" s="344"/>
      <c r="UZI42" s="344"/>
      <c r="UZJ42" s="344"/>
      <c r="UZK42" s="344"/>
      <c r="UZL42" s="344"/>
      <c r="UZM42" s="344"/>
      <c r="UZN42" s="344"/>
      <c r="UZO42" s="344"/>
      <c r="UZP42" s="344"/>
      <c r="UZQ42" s="344"/>
      <c r="UZR42" s="344"/>
      <c r="UZS42" s="344"/>
      <c r="UZT42" s="344"/>
      <c r="UZU42" s="344"/>
      <c r="UZV42" s="344"/>
      <c r="UZW42" s="344"/>
      <c r="UZX42" s="344"/>
      <c r="UZY42" s="344"/>
      <c r="UZZ42" s="344"/>
      <c r="VAA42" s="344"/>
      <c r="VAB42" s="344"/>
      <c r="VAC42" s="344"/>
      <c r="VAD42" s="344"/>
      <c r="VAE42" s="344"/>
      <c r="VAF42" s="344"/>
      <c r="VAG42" s="344"/>
      <c r="VAH42" s="344"/>
      <c r="VAI42" s="344"/>
      <c r="VAJ42" s="344"/>
      <c r="VAK42" s="344"/>
      <c r="VAL42" s="344"/>
      <c r="VAM42" s="344"/>
      <c r="VAN42" s="344"/>
      <c r="VAO42" s="344"/>
      <c r="VAP42" s="344"/>
      <c r="VAQ42" s="344"/>
      <c r="VAR42" s="344"/>
      <c r="VAS42" s="344"/>
      <c r="VAT42" s="344"/>
      <c r="VAU42" s="344"/>
      <c r="VAV42" s="344"/>
      <c r="VAW42" s="344"/>
      <c r="VAX42" s="344"/>
      <c r="VAY42" s="344"/>
      <c r="VAZ42" s="344"/>
      <c r="VBA42" s="344"/>
      <c r="VBB42" s="344"/>
      <c r="VBC42" s="344"/>
      <c r="VBD42" s="344"/>
      <c r="VBE42" s="344"/>
      <c r="VBF42" s="344"/>
      <c r="VBG42" s="344"/>
      <c r="VBH42" s="344"/>
      <c r="VBI42" s="344"/>
      <c r="VBJ42" s="344"/>
      <c r="VBK42" s="344"/>
      <c r="VBL42" s="344"/>
      <c r="VBM42" s="344"/>
      <c r="VBN42" s="344"/>
      <c r="VBO42" s="344"/>
      <c r="VBP42" s="344"/>
      <c r="VBQ42" s="344"/>
      <c r="VBR42" s="344"/>
      <c r="VBS42" s="344"/>
      <c r="VBT42" s="344"/>
      <c r="VBU42" s="344"/>
      <c r="VBV42" s="344"/>
      <c r="VBW42" s="344"/>
      <c r="VBX42" s="344"/>
      <c r="VBY42" s="344"/>
      <c r="VBZ42" s="344"/>
      <c r="VCA42" s="344"/>
      <c r="VCB42" s="344"/>
      <c r="VCC42" s="344"/>
      <c r="VCD42" s="344"/>
      <c r="VCE42" s="344"/>
      <c r="VCF42" s="344"/>
      <c r="VCG42" s="344"/>
      <c r="VCH42" s="344"/>
      <c r="VCI42" s="344"/>
      <c r="VCJ42" s="344"/>
      <c r="VCK42" s="344"/>
      <c r="VCL42" s="344"/>
      <c r="VCM42" s="344"/>
      <c r="VCN42" s="344"/>
      <c r="VCO42" s="344"/>
      <c r="VCP42" s="344"/>
      <c r="VCQ42" s="344"/>
      <c r="VCR42" s="344"/>
      <c r="VCS42" s="344"/>
      <c r="VCT42" s="344"/>
      <c r="VCU42" s="344"/>
      <c r="VCV42" s="344"/>
      <c r="VCW42" s="344"/>
      <c r="VCX42" s="344"/>
      <c r="VCY42" s="344"/>
      <c r="VCZ42" s="344"/>
      <c r="VDA42" s="344"/>
      <c r="VDB42" s="344"/>
      <c r="VDC42" s="344"/>
      <c r="VDD42" s="344"/>
      <c r="VDE42" s="344"/>
      <c r="VDF42" s="344"/>
      <c r="VDG42" s="344"/>
      <c r="VDH42" s="344"/>
      <c r="VDI42" s="344"/>
      <c r="VDJ42" s="344"/>
      <c r="VDK42" s="344"/>
      <c r="VDL42" s="344"/>
      <c r="VDM42" s="344"/>
      <c r="VDN42" s="344"/>
      <c r="VDO42" s="344"/>
      <c r="VDP42" s="344"/>
      <c r="VDQ42" s="344"/>
      <c r="VDR42" s="344"/>
      <c r="VDS42" s="344"/>
      <c r="VDT42" s="344"/>
      <c r="VDU42" s="344"/>
      <c r="VDV42" s="344"/>
      <c r="VDW42" s="344"/>
      <c r="VDX42" s="344"/>
      <c r="VDY42" s="344"/>
      <c r="VDZ42" s="344"/>
      <c r="VEA42" s="344"/>
      <c r="VEB42" s="344"/>
      <c r="VEC42" s="344"/>
      <c r="VED42" s="344"/>
      <c r="VEE42" s="344"/>
      <c r="VEF42" s="344"/>
      <c r="VEG42" s="344"/>
      <c r="VEH42" s="344"/>
      <c r="VEI42" s="344"/>
      <c r="VEJ42" s="344"/>
      <c r="VEK42" s="344"/>
      <c r="VEL42" s="344"/>
      <c r="VEM42" s="344"/>
      <c r="VEN42" s="344"/>
      <c r="VEO42" s="344"/>
      <c r="VEP42" s="344"/>
      <c r="VEQ42" s="344"/>
      <c r="VER42" s="344"/>
      <c r="VES42" s="344"/>
      <c r="VET42" s="344"/>
      <c r="VEU42" s="344"/>
      <c r="VEV42" s="344"/>
      <c r="VEW42" s="344"/>
      <c r="VEX42" s="344"/>
      <c r="VEY42" s="344"/>
      <c r="VEZ42" s="344"/>
      <c r="VFA42" s="344"/>
      <c r="VFB42" s="344"/>
      <c r="VFC42" s="344"/>
      <c r="VFD42" s="344"/>
      <c r="VFE42" s="344"/>
      <c r="VFF42" s="344"/>
      <c r="VFG42" s="344"/>
      <c r="VFH42" s="344"/>
      <c r="VFI42" s="344"/>
      <c r="VFJ42" s="344"/>
      <c r="VFK42" s="344"/>
      <c r="VFL42" s="344"/>
      <c r="VFM42" s="344"/>
      <c r="VFN42" s="344"/>
      <c r="VFO42" s="344"/>
      <c r="VFP42" s="344"/>
      <c r="VFQ42" s="344"/>
      <c r="VFR42" s="344"/>
      <c r="VFS42" s="344"/>
      <c r="VFT42" s="344"/>
      <c r="VFU42" s="344"/>
      <c r="VFV42" s="344"/>
      <c r="VFW42" s="344"/>
      <c r="VFX42" s="344"/>
      <c r="VFY42" s="344"/>
      <c r="VFZ42" s="344"/>
      <c r="VGA42" s="344"/>
      <c r="VGB42" s="344"/>
      <c r="VGC42" s="344"/>
      <c r="VGD42" s="344"/>
      <c r="VGE42" s="344"/>
      <c r="VGF42" s="344"/>
      <c r="VGG42" s="344"/>
      <c r="VGH42" s="344"/>
      <c r="VGI42" s="344"/>
      <c r="VGJ42" s="344"/>
      <c r="VGK42" s="344"/>
      <c r="VGL42" s="344"/>
      <c r="VGM42" s="344"/>
      <c r="VGN42" s="344"/>
      <c r="VGO42" s="344"/>
      <c r="VGP42" s="344"/>
      <c r="VGQ42" s="344"/>
      <c r="VGR42" s="344"/>
      <c r="VGS42" s="344"/>
      <c r="VGT42" s="344"/>
      <c r="VGU42" s="344"/>
      <c r="VGV42" s="344"/>
      <c r="VGW42" s="344"/>
      <c r="VGX42" s="344"/>
      <c r="VGY42" s="344"/>
      <c r="VGZ42" s="344"/>
      <c r="VHA42" s="344"/>
      <c r="VHB42" s="344"/>
      <c r="VHC42" s="344"/>
      <c r="VHD42" s="344"/>
      <c r="VHE42" s="344"/>
      <c r="VHF42" s="344"/>
      <c r="VHG42" s="344"/>
      <c r="VHH42" s="344"/>
      <c r="VHI42" s="344"/>
      <c r="VHJ42" s="344"/>
      <c r="VHK42" s="344"/>
      <c r="VHL42" s="344"/>
      <c r="VHM42" s="344"/>
      <c r="VHN42" s="344"/>
      <c r="VHO42" s="344"/>
      <c r="VHP42" s="344"/>
      <c r="VHQ42" s="344"/>
      <c r="VHR42" s="344"/>
      <c r="VHS42" s="344"/>
      <c r="VHT42" s="344"/>
      <c r="VHU42" s="344"/>
      <c r="VHV42" s="344"/>
      <c r="VHW42" s="344"/>
      <c r="VHX42" s="344"/>
      <c r="VHY42" s="344"/>
      <c r="VHZ42" s="344"/>
      <c r="VIA42" s="344"/>
      <c r="VIB42" s="344"/>
      <c r="VIC42" s="344"/>
      <c r="VID42" s="344"/>
      <c r="VIE42" s="344"/>
      <c r="VIF42" s="344"/>
      <c r="VIG42" s="344"/>
      <c r="VIH42" s="344"/>
      <c r="VII42" s="344"/>
      <c r="VIJ42" s="344"/>
      <c r="VIK42" s="344"/>
      <c r="VIL42" s="344"/>
      <c r="VIM42" s="344"/>
      <c r="VIN42" s="344"/>
      <c r="VIO42" s="344"/>
      <c r="VIP42" s="344"/>
      <c r="VIQ42" s="344"/>
      <c r="VIR42" s="344"/>
      <c r="VIS42" s="344"/>
      <c r="VIT42" s="344"/>
      <c r="VIU42" s="344"/>
      <c r="VIV42" s="344"/>
      <c r="VIW42" s="344"/>
      <c r="VIX42" s="344"/>
      <c r="VIY42" s="344"/>
      <c r="VIZ42" s="344"/>
      <c r="VJA42" s="344"/>
      <c r="VJB42" s="344"/>
      <c r="VJC42" s="344"/>
      <c r="VJD42" s="344"/>
      <c r="VJE42" s="344"/>
      <c r="VJF42" s="344"/>
      <c r="VJG42" s="344"/>
      <c r="VJH42" s="344"/>
      <c r="VJI42" s="344"/>
      <c r="VJJ42" s="344"/>
      <c r="VJK42" s="344"/>
      <c r="VJL42" s="344"/>
      <c r="VJM42" s="344"/>
      <c r="VJN42" s="344"/>
      <c r="VJO42" s="344"/>
      <c r="VJP42" s="344"/>
      <c r="VJQ42" s="344"/>
      <c r="VJR42" s="344"/>
      <c r="VJS42" s="344"/>
      <c r="VJT42" s="344"/>
      <c r="VJU42" s="344"/>
      <c r="VJV42" s="344"/>
      <c r="VJW42" s="344"/>
      <c r="VJX42" s="344"/>
      <c r="VJY42" s="344"/>
      <c r="VJZ42" s="344"/>
      <c r="VKA42" s="344"/>
      <c r="VKB42" s="344"/>
      <c r="VKC42" s="344"/>
      <c r="VKD42" s="344"/>
      <c r="VKE42" s="344"/>
      <c r="VKF42" s="344"/>
      <c r="VKG42" s="344"/>
      <c r="VKH42" s="344"/>
      <c r="VKI42" s="344"/>
      <c r="VKJ42" s="344"/>
      <c r="VKK42" s="344"/>
      <c r="VKL42" s="344"/>
      <c r="VKM42" s="344"/>
      <c r="VKN42" s="344"/>
      <c r="VKO42" s="344"/>
      <c r="VKP42" s="344"/>
      <c r="VKQ42" s="344"/>
      <c r="VKR42" s="344"/>
      <c r="VKS42" s="344"/>
      <c r="VKT42" s="344"/>
      <c r="VKU42" s="344"/>
      <c r="VKV42" s="344"/>
      <c r="VKW42" s="344"/>
      <c r="VKX42" s="344"/>
      <c r="VKY42" s="344"/>
      <c r="VKZ42" s="344"/>
      <c r="VLA42" s="344"/>
      <c r="VLB42" s="344"/>
      <c r="VLC42" s="344"/>
      <c r="VLD42" s="344"/>
      <c r="VLE42" s="344"/>
      <c r="VLF42" s="344"/>
      <c r="VLG42" s="344"/>
      <c r="VLH42" s="344"/>
      <c r="VLI42" s="344"/>
      <c r="VLJ42" s="344"/>
      <c r="VLK42" s="344"/>
      <c r="VLL42" s="344"/>
      <c r="VLM42" s="344"/>
      <c r="VLN42" s="344"/>
      <c r="VLO42" s="344"/>
      <c r="VLP42" s="344"/>
      <c r="VLQ42" s="344"/>
      <c r="VLR42" s="344"/>
      <c r="VLS42" s="344"/>
      <c r="VLT42" s="344"/>
      <c r="VLU42" s="344"/>
      <c r="VLV42" s="344"/>
      <c r="VLW42" s="344"/>
      <c r="VLX42" s="344"/>
      <c r="VLY42" s="344"/>
      <c r="VLZ42" s="344"/>
      <c r="VMA42" s="344"/>
      <c r="VMB42" s="344"/>
      <c r="VMC42" s="344"/>
      <c r="VMD42" s="344"/>
      <c r="VME42" s="344"/>
      <c r="VMF42" s="344"/>
      <c r="VMG42" s="344"/>
      <c r="VMH42" s="344"/>
      <c r="VMI42" s="344"/>
      <c r="VMJ42" s="344"/>
      <c r="VMK42" s="344"/>
      <c r="VML42" s="344"/>
      <c r="VMM42" s="344"/>
      <c r="VMN42" s="344"/>
      <c r="VMO42" s="344"/>
      <c r="VMP42" s="344"/>
      <c r="VMQ42" s="344"/>
      <c r="VMR42" s="344"/>
      <c r="VMS42" s="344"/>
      <c r="VMT42" s="344"/>
      <c r="VMU42" s="344"/>
      <c r="VMV42" s="344"/>
      <c r="VMW42" s="344"/>
      <c r="VMX42" s="344"/>
      <c r="VMY42" s="344"/>
      <c r="VMZ42" s="344"/>
      <c r="VNA42" s="344"/>
      <c r="VNB42" s="344"/>
      <c r="VNC42" s="344"/>
      <c r="VND42" s="344"/>
      <c r="VNE42" s="344"/>
      <c r="VNF42" s="344"/>
      <c r="VNG42" s="344"/>
      <c r="VNH42" s="344"/>
      <c r="VNI42" s="344"/>
      <c r="VNJ42" s="344"/>
      <c r="VNK42" s="344"/>
      <c r="VNL42" s="344"/>
      <c r="VNM42" s="344"/>
      <c r="VNN42" s="344"/>
      <c r="VNO42" s="344"/>
      <c r="VNP42" s="344"/>
      <c r="VNQ42" s="344"/>
      <c r="VNR42" s="344"/>
      <c r="VNS42" s="344"/>
      <c r="VNT42" s="344"/>
      <c r="VNU42" s="344"/>
      <c r="VNV42" s="344"/>
      <c r="VNW42" s="344"/>
      <c r="VNX42" s="344"/>
      <c r="VNY42" s="344"/>
      <c r="VNZ42" s="344"/>
      <c r="VOA42" s="344"/>
      <c r="VOB42" s="344"/>
      <c r="VOC42" s="344"/>
      <c r="VOD42" s="344"/>
      <c r="VOE42" s="344"/>
      <c r="VOF42" s="344"/>
      <c r="VOG42" s="344"/>
      <c r="VOH42" s="344"/>
      <c r="VOI42" s="344"/>
      <c r="VOJ42" s="344"/>
      <c r="VOK42" s="344"/>
      <c r="VOL42" s="344"/>
      <c r="VOM42" s="344"/>
      <c r="VON42" s="344"/>
      <c r="VOO42" s="344"/>
      <c r="VOP42" s="344"/>
      <c r="VOQ42" s="344"/>
      <c r="VOR42" s="344"/>
      <c r="VOS42" s="344"/>
      <c r="VOT42" s="344"/>
      <c r="VOU42" s="344"/>
      <c r="VOV42" s="344"/>
      <c r="VOW42" s="344"/>
      <c r="VOX42" s="344"/>
      <c r="VOY42" s="344"/>
      <c r="VOZ42" s="344"/>
      <c r="VPA42" s="344"/>
      <c r="VPB42" s="344"/>
      <c r="VPC42" s="344"/>
      <c r="VPD42" s="344"/>
      <c r="VPE42" s="344"/>
      <c r="VPF42" s="344"/>
      <c r="VPG42" s="344"/>
      <c r="VPH42" s="344"/>
      <c r="VPI42" s="344"/>
      <c r="VPJ42" s="344"/>
      <c r="VPK42" s="344"/>
      <c r="VPL42" s="344"/>
      <c r="VPM42" s="344"/>
      <c r="VPN42" s="344"/>
      <c r="VPO42" s="344"/>
      <c r="VPP42" s="344"/>
      <c r="VPQ42" s="344"/>
      <c r="VPR42" s="344"/>
      <c r="VPS42" s="344"/>
      <c r="VPT42" s="344"/>
      <c r="VPU42" s="344"/>
      <c r="VPV42" s="344"/>
      <c r="VPW42" s="344"/>
      <c r="VPX42" s="344"/>
      <c r="VPY42" s="344"/>
      <c r="VPZ42" s="344"/>
      <c r="VQA42" s="344"/>
      <c r="VQB42" s="344"/>
      <c r="VQC42" s="344"/>
      <c r="VQD42" s="344"/>
      <c r="VQE42" s="344"/>
      <c r="VQF42" s="344"/>
      <c r="VQG42" s="344"/>
      <c r="VQH42" s="344"/>
      <c r="VQI42" s="344"/>
      <c r="VQJ42" s="344"/>
      <c r="VQK42" s="344"/>
      <c r="VQL42" s="344"/>
      <c r="VQM42" s="344"/>
      <c r="VQN42" s="344"/>
      <c r="VQO42" s="344"/>
      <c r="VQP42" s="344"/>
      <c r="VQQ42" s="344"/>
      <c r="VQR42" s="344"/>
      <c r="VQS42" s="344"/>
      <c r="VQT42" s="344"/>
      <c r="VQU42" s="344"/>
      <c r="VQV42" s="344"/>
      <c r="VQW42" s="344"/>
      <c r="VQX42" s="344"/>
      <c r="VQY42" s="344"/>
      <c r="VQZ42" s="344"/>
      <c r="VRA42" s="344"/>
      <c r="VRB42" s="344"/>
      <c r="VRC42" s="344"/>
      <c r="VRD42" s="344"/>
      <c r="VRE42" s="344"/>
      <c r="VRF42" s="344"/>
      <c r="VRG42" s="344"/>
      <c r="VRH42" s="344"/>
      <c r="VRI42" s="344"/>
      <c r="VRJ42" s="344"/>
      <c r="VRK42" s="344"/>
      <c r="VRL42" s="344"/>
      <c r="VRM42" s="344"/>
      <c r="VRN42" s="344"/>
      <c r="VRO42" s="344"/>
      <c r="VRP42" s="344"/>
      <c r="VRQ42" s="344"/>
      <c r="VRR42" s="344"/>
      <c r="VRS42" s="344"/>
      <c r="VRT42" s="344"/>
      <c r="VRU42" s="344"/>
      <c r="VRV42" s="344"/>
      <c r="VRW42" s="344"/>
      <c r="VRX42" s="344"/>
      <c r="VRY42" s="344"/>
      <c r="VRZ42" s="344"/>
      <c r="VSA42" s="344"/>
      <c r="VSB42" s="344"/>
      <c r="VSC42" s="344"/>
      <c r="VSD42" s="344"/>
      <c r="VSE42" s="344"/>
      <c r="VSF42" s="344"/>
      <c r="VSG42" s="344"/>
      <c r="VSH42" s="344"/>
      <c r="VSI42" s="344"/>
      <c r="VSJ42" s="344"/>
      <c r="VSK42" s="344"/>
      <c r="VSL42" s="344"/>
      <c r="VSM42" s="344"/>
      <c r="VSN42" s="344"/>
      <c r="VSO42" s="344"/>
      <c r="VSP42" s="344"/>
      <c r="VSQ42" s="344"/>
      <c r="VSR42" s="344"/>
      <c r="VSS42" s="344"/>
      <c r="VST42" s="344"/>
      <c r="VSU42" s="344"/>
      <c r="VSV42" s="344"/>
      <c r="VSW42" s="344"/>
      <c r="VSX42" s="344"/>
      <c r="VSY42" s="344"/>
      <c r="VSZ42" s="344"/>
      <c r="VTA42" s="344"/>
      <c r="VTB42" s="344"/>
      <c r="VTC42" s="344"/>
      <c r="VTD42" s="344"/>
      <c r="VTE42" s="344"/>
      <c r="VTF42" s="344"/>
      <c r="VTG42" s="344"/>
      <c r="VTH42" s="344"/>
      <c r="VTI42" s="344"/>
      <c r="VTJ42" s="344"/>
      <c r="VTK42" s="344"/>
      <c r="VTL42" s="344"/>
      <c r="VTM42" s="344"/>
      <c r="VTN42" s="344"/>
      <c r="VTO42" s="344"/>
      <c r="VTP42" s="344"/>
      <c r="VTQ42" s="344"/>
      <c r="VTR42" s="344"/>
      <c r="VTS42" s="344"/>
      <c r="VTT42" s="344"/>
      <c r="VTU42" s="344"/>
      <c r="VTV42" s="344"/>
      <c r="VTW42" s="344"/>
      <c r="VTX42" s="344"/>
      <c r="VTY42" s="344"/>
      <c r="VTZ42" s="344"/>
      <c r="VUA42" s="344"/>
      <c r="VUB42" s="344"/>
      <c r="VUC42" s="344"/>
      <c r="VUD42" s="344"/>
      <c r="VUE42" s="344"/>
      <c r="VUF42" s="344"/>
      <c r="VUG42" s="344"/>
      <c r="VUH42" s="344"/>
      <c r="VUI42" s="344"/>
      <c r="VUJ42" s="344"/>
      <c r="VUK42" s="344"/>
      <c r="VUL42" s="344"/>
      <c r="VUM42" s="344"/>
      <c r="VUN42" s="344"/>
      <c r="VUO42" s="344"/>
      <c r="VUP42" s="344"/>
      <c r="VUQ42" s="344"/>
      <c r="VUR42" s="344"/>
      <c r="VUS42" s="344"/>
      <c r="VUT42" s="344"/>
      <c r="VUU42" s="344"/>
      <c r="VUV42" s="344"/>
      <c r="VUW42" s="344"/>
      <c r="VUX42" s="344"/>
      <c r="VUY42" s="344"/>
      <c r="VUZ42" s="344"/>
      <c r="VVA42" s="344"/>
      <c r="VVB42" s="344"/>
      <c r="VVC42" s="344"/>
      <c r="VVD42" s="344"/>
      <c r="VVE42" s="344"/>
      <c r="VVF42" s="344"/>
      <c r="VVG42" s="344"/>
      <c r="VVH42" s="344"/>
      <c r="VVI42" s="344"/>
      <c r="VVJ42" s="344"/>
      <c r="VVK42" s="344"/>
      <c r="VVL42" s="344"/>
      <c r="VVM42" s="344"/>
      <c r="VVN42" s="344"/>
      <c r="VVO42" s="344"/>
      <c r="VVP42" s="344"/>
      <c r="VVQ42" s="344"/>
      <c r="VVR42" s="344"/>
      <c r="VVS42" s="344"/>
      <c r="VVT42" s="344"/>
      <c r="VVU42" s="344"/>
      <c r="VVV42" s="344"/>
      <c r="VVW42" s="344"/>
      <c r="VVX42" s="344"/>
      <c r="VVY42" s="344"/>
      <c r="VVZ42" s="344"/>
      <c r="VWA42" s="344"/>
      <c r="VWB42" s="344"/>
      <c r="VWC42" s="344"/>
      <c r="VWD42" s="344"/>
      <c r="VWE42" s="344"/>
      <c r="VWF42" s="344"/>
      <c r="VWG42" s="344"/>
      <c r="VWH42" s="344"/>
      <c r="VWI42" s="344"/>
      <c r="VWJ42" s="344"/>
      <c r="VWK42" s="344"/>
      <c r="VWL42" s="344"/>
      <c r="VWM42" s="344"/>
      <c r="VWN42" s="344"/>
      <c r="VWO42" s="344"/>
      <c r="VWP42" s="344"/>
      <c r="VWQ42" s="344"/>
      <c r="VWR42" s="344"/>
      <c r="VWS42" s="344"/>
      <c r="VWT42" s="344"/>
      <c r="VWU42" s="344"/>
      <c r="VWV42" s="344"/>
      <c r="VWW42" s="344"/>
      <c r="VWX42" s="344"/>
      <c r="VWY42" s="344"/>
      <c r="VWZ42" s="344"/>
      <c r="VXA42" s="344"/>
      <c r="VXB42" s="344"/>
      <c r="VXC42" s="344"/>
      <c r="VXD42" s="344"/>
      <c r="VXE42" s="344"/>
      <c r="VXF42" s="344"/>
      <c r="VXG42" s="344"/>
      <c r="VXH42" s="344"/>
      <c r="VXI42" s="344"/>
      <c r="VXJ42" s="344"/>
      <c r="VXK42" s="344"/>
      <c r="VXL42" s="344"/>
      <c r="VXM42" s="344"/>
      <c r="VXN42" s="344"/>
      <c r="VXO42" s="344"/>
      <c r="VXP42" s="344"/>
      <c r="VXQ42" s="344"/>
      <c r="VXR42" s="344"/>
      <c r="VXS42" s="344"/>
      <c r="VXT42" s="344"/>
      <c r="VXU42" s="344"/>
      <c r="VXV42" s="344"/>
      <c r="VXW42" s="344"/>
      <c r="VXX42" s="344"/>
      <c r="VXY42" s="344"/>
      <c r="VXZ42" s="344"/>
      <c r="VYA42" s="344"/>
      <c r="VYB42" s="344"/>
      <c r="VYC42" s="344"/>
      <c r="VYD42" s="344"/>
      <c r="VYE42" s="344"/>
      <c r="VYF42" s="344"/>
      <c r="VYG42" s="344"/>
      <c r="VYH42" s="344"/>
      <c r="VYI42" s="344"/>
      <c r="VYJ42" s="344"/>
      <c r="VYK42" s="344"/>
      <c r="VYL42" s="344"/>
      <c r="VYM42" s="344"/>
      <c r="VYN42" s="344"/>
      <c r="VYO42" s="344"/>
      <c r="VYP42" s="344"/>
      <c r="VYQ42" s="344"/>
      <c r="VYR42" s="344"/>
      <c r="VYS42" s="344"/>
      <c r="VYT42" s="344"/>
      <c r="VYU42" s="344"/>
      <c r="VYV42" s="344"/>
      <c r="VYW42" s="344"/>
      <c r="VYX42" s="344"/>
      <c r="VYY42" s="344"/>
      <c r="VYZ42" s="344"/>
      <c r="VZA42" s="344"/>
      <c r="VZB42" s="344"/>
      <c r="VZC42" s="344"/>
      <c r="VZD42" s="344"/>
      <c r="VZE42" s="344"/>
      <c r="VZF42" s="344"/>
      <c r="VZG42" s="344"/>
      <c r="VZH42" s="344"/>
      <c r="VZI42" s="344"/>
      <c r="VZJ42" s="344"/>
      <c r="VZK42" s="344"/>
      <c r="VZL42" s="344"/>
      <c r="VZM42" s="344"/>
      <c r="VZN42" s="344"/>
      <c r="VZO42" s="344"/>
      <c r="VZP42" s="344"/>
      <c r="VZQ42" s="344"/>
      <c r="VZR42" s="344"/>
      <c r="VZS42" s="344"/>
      <c r="VZT42" s="344"/>
      <c r="VZU42" s="344"/>
      <c r="VZV42" s="344"/>
      <c r="VZW42" s="344"/>
      <c r="VZX42" s="344"/>
      <c r="VZY42" s="344"/>
      <c r="VZZ42" s="344"/>
      <c r="WAA42" s="344"/>
      <c r="WAB42" s="344"/>
      <c r="WAC42" s="344"/>
      <c r="WAD42" s="344"/>
      <c r="WAE42" s="344"/>
      <c r="WAF42" s="344"/>
      <c r="WAG42" s="344"/>
      <c r="WAH42" s="344"/>
      <c r="WAI42" s="344"/>
      <c r="WAJ42" s="344"/>
      <c r="WAK42" s="344"/>
      <c r="WAL42" s="344"/>
      <c r="WAM42" s="344"/>
      <c r="WAN42" s="344"/>
      <c r="WAO42" s="344"/>
      <c r="WAP42" s="344"/>
      <c r="WAQ42" s="344"/>
      <c r="WAR42" s="344"/>
      <c r="WAS42" s="344"/>
      <c r="WAT42" s="344"/>
      <c r="WAU42" s="344"/>
      <c r="WAV42" s="344"/>
      <c r="WAW42" s="344"/>
      <c r="WAX42" s="344"/>
      <c r="WAY42" s="344"/>
      <c r="WAZ42" s="344"/>
      <c r="WBA42" s="344"/>
      <c r="WBB42" s="344"/>
      <c r="WBC42" s="344"/>
      <c r="WBD42" s="344"/>
      <c r="WBE42" s="344"/>
      <c r="WBF42" s="344"/>
      <c r="WBG42" s="344"/>
      <c r="WBH42" s="344"/>
      <c r="WBI42" s="344"/>
      <c r="WBJ42" s="344"/>
      <c r="WBK42" s="344"/>
      <c r="WBL42" s="344"/>
      <c r="WBM42" s="344"/>
      <c r="WBN42" s="344"/>
      <c r="WBO42" s="344"/>
      <c r="WBP42" s="344"/>
      <c r="WBQ42" s="344"/>
      <c r="WBR42" s="344"/>
      <c r="WBS42" s="344"/>
      <c r="WBT42" s="344"/>
      <c r="WBU42" s="344"/>
      <c r="WBV42" s="344"/>
      <c r="WBW42" s="344"/>
      <c r="WBX42" s="344"/>
      <c r="WBY42" s="344"/>
      <c r="WBZ42" s="344"/>
      <c r="WCA42" s="344"/>
      <c r="WCB42" s="344"/>
      <c r="WCC42" s="344"/>
      <c r="WCD42" s="344"/>
      <c r="WCE42" s="344"/>
      <c r="WCF42" s="344"/>
      <c r="WCG42" s="344"/>
      <c r="WCH42" s="344"/>
      <c r="WCI42" s="344"/>
      <c r="WCJ42" s="344"/>
      <c r="WCK42" s="344"/>
      <c r="WCL42" s="344"/>
      <c r="WCM42" s="344"/>
      <c r="WCN42" s="344"/>
      <c r="WCO42" s="344"/>
      <c r="WCP42" s="344"/>
      <c r="WCQ42" s="344"/>
      <c r="WCR42" s="344"/>
      <c r="WCS42" s="344"/>
      <c r="WCT42" s="344"/>
      <c r="WCU42" s="344"/>
      <c r="WCV42" s="344"/>
      <c r="WCW42" s="344"/>
      <c r="WCX42" s="344"/>
      <c r="WCY42" s="344"/>
      <c r="WCZ42" s="344"/>
      <c r="WDA42" s="344"/>
      <c r="WDB42" s="344"/>
      <c r="WDC42" s="344"/>
      <c r="WDD42" s="344"/>
      <c r="WDE42" s="344"/>
      <c r="WDF42" s="344"/>
      <c r="WDG42" s="344"/>
      <c r="WDH42" s="344"/>
      <c r="WDI42" s="344"/>
      <c r="WDJ42" s="344"/>
      <c r="WDK42" s="344"/>
      <c r="WDL42" s="344"/>
      <c r="WDM42" s="344"/>
      <c r="WDN42" s="344"/>
      <c r="WDO42" s="344"/>
      <c r="WDP42" s="344"/>
      <c r="WDQ42" s="344"/>
      <c r="WDR42" s="344"/>
      <c r="WDS42" s="344"/>
      <c r="WDT42" s="344"/>
      <c r="WDU42" s="344"/>
      <c r="WDV42" s="344"/>
      <c r="WDW42" s="344"/>
      <c r="WDX42" s="344"/>
      <c r="WDY42" s="344"/>
      <c r="WDZ42" s="344"/>
      <c r="WEA42" s="344"/>
      <c r="WEB42" s="344"/>
      <c r="WEC42" s="344"/>
      <c r="WED42" s="344"/>
      <c r="WEE42" s="344"/>
      <c r="WEF42" s="344"/>
      <c r="WEG42" s="344"/>
      <c r="WEH42" s="344"/>
      <c r="WEI42" s="344"/>
      <c r="WEJ42" s="344"/>
      <c r="WEK42" s="344"/>
      <c r="WEL42" s="344"/>
      <c r="WEM42" s="344"/>
      <c r="WEN42" s="344"/>
      <c r="WEO42" s="344"/>
      <c r="WEP42" s="344"/>
      <c r="WEQ42" s="344"/>
      <c r="WER42" s="344"/>
      <c r="WES42" s="344"/>
      <c r="WET42" s="344"/>
      <c r="WEU42" s="344"/>
      <c r="WEV42" s="344"/>
      <c r="WEW42" s="344"/>
      <c r="WEX42" s="344"/>
      <c r="WEY42" s="344"/>
      <c r="WEZ42" s="344"/>
      <c r="WFA42" s="344"/>
      <c r="WFB42" s="344"/>
      <c r="WFC42" s="344"/>
      <c r="WFD42" s="344"/>
      <c r="WFE42" s="344"/>
      <c r="WFF42" s="344"/>
      <c r="WFG42" s="344"/>
      <c r="WFH42" s="344"/>
      <c r="WFI42" s="344"/>
      <c r="WFJ42" s="344"/>
      <c r="WFK42" s="344"/>
      <c r="WFL42" s="344"/>
      <c r="WFM42" s="344"/>
      <c r="WFN42" s="344"/>
      <c r="WFO42" s="344"/>
      <c r="WFP42" s="344"/>
      <c r="WFQ42" s="344"/>
      <c r="WFR42" s="344"/>
      <c r="WFS42" s="344"/>
      <c r="WFT42" s="344"/>
      <c r="WFU42" s="344"/>
      <c r="WFV42" s="344"/>
      <c r="WFW42" s="344"/>
      <c r="WFX42" s="344"/>
      <c r="WFY42" s="344"/>
      <c r="WFZ42" s="344"/>
      <c r="WGA42" s="344"/>
      <c r="WGB42" s="344"/>
      <c r="WGC42" s="344"/>
      <c r="WGD42" s="344"/>
      <c r="WGE42" s="344"/>
      <c r="WGF42" s="344"/>
      <c r="WGG42" s="344"/>
      <c r="WGH42" s="344"/>
      <c r="WGI42" s="344"/>
      <c r="WGJ42" s="344"/>
      <c r="WGK42" s="344"/>
      <c r="WGL42" s="344"/>
      <c r="WGM42" s="344"/>
      <c r="WGN42" s="344"/>
      <c r="WGO42" s="344"/>
      <c r="WGP42" s="344"/>
      <c r="WGQ42" s="344"/>
      <c r="WGR42" s="344"/>
      <c r="WGS42" s="344"/>
      <c r="WGT42" s="344"/>
      <c r="WGU42" s="344"/>
      <c r="WGV42" s="344"/>
      <c r="WGW42" s="344"/>
      <c r="WGX42" s="344"/>
      <c r="WGY42" s="344"/>
      <c r="WGZ42" s="344"/>
      <c r="WHA42" s="344"/>
      <c r="WHB42" s="344"/>
      <c r="WHC42" s="344"/>
      <c r="WHD42" s="344"/>
      <c r="WHE42" s="344"/>
      <c r="WHF42" s="344"/>
      <c r="WHG42" s="344"/>
      <c r="WHH42" s="344"/>
      <c r="WHI42" s="344"/>
      <c r="WHJ42" s="344"/>
      <c r="WHK42" s="344"/>
      <c r="WHL42" s="344"/>
      <c r="WHM42" s="344"/>
      <c r="WHN42" s="344"/>
      <c r="WHO42" s="344"/>
      <c r="WHP42" s="344"/>
      <c r="WHQ42" s="344"/>
      <c r="WHR42" s="344"/>
      <c r="WHS42" s="344"/>
      <c r="WHT42" s="344"/>
      <c r="WHU42" s="344"/>
      <c r="WHV42" s="344"/>
      <c r="WHW42" s="344"/>
      <c r="WHX42" s="344"/>
      <c r="WHY42" s="344"/>
      <c r="WHZ42" s="344"/>
      <c r="WIA42" s="344"/>
      <c r="WIB42" s="344"/>
      <c r="WIC42" s="344"/>
      <c r="WID42" s="344"/>
      <c r="WIE42" s="344"/>
      <c r="WIF42" s="344"/>
      <c r="WIG42" s="344"/>
      <c r="WIH42" s="344"/>
      <c r="WII42" s="344"/>
      <c r="WIJ42" s="344"/>
      <c r="WIK42" s="344"/>
      <c r="WIL42" s="344"/>
      <c r="WIM42" s="344"/>
      <c r="WIN42" s="344"/>
      <c r="WIO42" s="344"/>
      <c r="WIP42" s="344"/>
      <c r="WIQ42" s="344"/>
      <c r="WIR42" s="344"/>
      <c r="WIS42" s="344"/>
      <c r="WIT42" s="344"/>
      <c r="WIU42" s="344"/>
      <c r="WIV42" s="344"/>
      <c r="WIW42" s="344"/>
      <c r="WIX42" s="344"/>
      <c r="WIY42" s="344"/>
      <c r="WIZ42" s="344"/>
      <c r="WJA42" s="344"/>
      <c r="WJB42" s="344"/>
      <c r="WJC42" s="344"/>
      <c r="WJD42" s="344"/>
      <c r="WJE42" s="344"/>
      <c r="WJF42" s="344"/>
      <c r="WJG42" s="344"/>
      <c r="WJH42" s="344"/>
      <c r="WJI42" s="344"/>
      <c r="WJJ42" s="344"/>
      <c r="WJK42" s="344"/>
      <c r="WJL42" s="344"/>
      <c r="WJM42" s="344"/>
      <c r="WJN42" s="344"/>
      <c r="WJO42" s="344"/>
      <c r="WJP42" s="344"/>
      <c r="WJQ42" s="344"/>
      <c r="WJR42" s="344"/>
      <c r="WJS42" s="344"/>
      <c r="WJT42" s="344"/>
      <c r="WJU42" s="344"/>
      <c r="WJV42" s="344"/>
      <c r="WJW42" s="344"/>
      <c r="WJX42" s="344"/>
      <c r="WJY42" s="344"/>
      <c r="WJZ42" s="344"/>
      <c r="WKA42" s="344"/>
      <c r="WKB42" s="344"/>
      <c r="WKC42" s="344"/>
      <c r="WKD42" s="344"/>
      <c r="WKE42" s="344"/>
      <c r="WKF42" s="344"/>
      <c r="WKG42" s="344"/>
      <c r="WKH42" s="344"/>
      <c r="WKI42" s="344"/>
      <c r="WKJ42" s="344"/>
      <c r="WKK42" s="344"/>
      <c r="WKL42" s="344"/>
      <c r="WKM42" s="344"/>
      <c r="WKN42" s="344"/>
      <c r="WKO42" s="344"/>
      <c r="WKP42" s="344"/>
      <c r="WKQ42" s="344"/>
      <c r="WKR42" s="344"/>
      <c r="WKS42" s="344"/>
      <c r="WKT42" s="344"/>
      <c r="WKU42" s="344"/>
      <c r="WKV42" s="344"/>
      <c r="WKW42" s="344"/>
      <c r="WKX42" s="344"/>
      <c r="WKY42" s="344"/>
      <c r="WKZ42" s="344"/>
      <c r="WLA42" s="344"/>
      <c r="WLB42" s="344"/>
      <c r="WLC42" s="344"/>
      <c r="WLD42" s="344"/>
      <c r="WLE42" s="344"/>
      <c r="WLF42" s="344"/>
      <c r="WLG42" s="344"/>
      <c r="WLH42" s="344"/>
      <c r="WLI42" s="344"/>
      <c r="WLJ42" s="344"/>
      <c r="WLK42" s="344"/>
      <c r="WLL42" s="344"/>
      <c r="WLM42" s="344"/>
      <c r="WLN42" s="344"/>
      <c r="WLO42" s="344"/>
      <c r="WLP42" s="344"/>
      <c r="WLQ42" s="344"/>
      <c r="WLR42" s="344"/>
      <c r="WLS42" s="344"/>
      <c r="WLT42" s="344"/>
      <c r="WLU42" s="344"/>
      <c r="WLV42" s="344"/>
      <c r="WLW42" s="344"/>
      <c r="WLX42" s="344"/>
      <c r="WLY42" s="344"/>
      <c r="WLZ42" s="344"/>
      <c r="WMA42" s="344"/>
      <c r="WMB42" s="344"/>
      <c r="WMC42" s="344"/>
      <c r="WMD42" s="344"/>
      <c r="WME42" s="344"/>
      <c r="WMF42" s="344"/>
      <c r="WMG42" s="344"/>
      <c r="WMH42" s="344"/>
      <c r="WMI42" s="344"/>
      <c r="WMJ42" s="344"/>
      <c r="WMK42" s="344"/>
      <c r="WML42" s="344"/>
      <c r="WMM42" s="344"/>
      <c r="WMN42" s="344"/>
      <c r="WMO42" s="344"/>
      <c r="WMP42" s="344"/>
      <c r="WMQ42" s="344"/>
      <c r="WMR42" s="344"/>
      <c r="WMS42" s="344"/>
      <c r="WMT42" s="344"/>
      <c r="WMU42" s="344"/>
      <c r="WMV42" s="344"/>
      <c r="WMW42" s="344"/>
      <c r="WMX42" s="344"/>
      <c r="WMY42" s="344"/>
      <c r="WMZ42" s="344"/>
      <c r="WNA42" s="344"/>
      <c r="WNB42" s="344"/>
      <c r="WNC42" s="344"/>
      <c r="WND42" s="344"/>
      <c r="WNE42" s="344"/>
      <c r="WNF42" s="344"/>
      <c r="WNG42" s="344"/>
      <c r="WNH42" s="344"/>
      <c r="WNI42" s="344"/>
      <c r="WNJ42" s="344"/>
      <c r="WNK42" s="344"/>
      <c r="WNL42" s="344"/>
      <c r="WNM42" s="344"/>
      <c r="WNN42" s="344"/>
      <c r="WNO42" s="344"/>
      <c r="WNP42" s="344"/>
      <c r="WNQ42" s="344"/>
      <c r="WNR42" s="344"/>
      <c r="WNS42" s="344"/>
      <c r="WNT42" s="344"/>
      <c r="WNU42" s="344"/>
      <c r="WNV42" s="344"/>
      <c r="WNW42" s="344"/>
      <c r="WNX42" s="344"/>
      <c r="WNY42" s="344"/>
      <c r="WNZ42" s="344"/>
      <c r="WOA42" s="344"/>
      <c r="WOB42" s="344"/>
      <c r="WOC42" s="344"/>
      <c r="WOD42" s="344"/>
      <c r="WOE42" s="344"/>
      <c r="WOF42" s="344"/>
      <c r="WOG42" s="344"/>
      <c r="WOH42" s="344"/>
      <c r="WOI42" s="344"/>
      <c r="WOJ42" s="344"/>
      <c r="WOK42" s="344"/>
      <c r="WOL42" s="344"/>
      <c r="WOM42" s="344"/>
      <c r="WON42" s="344"/>
      <c r="WOO42" s="344"/>
      <c r="WOP42" s="344"/>
      <c r="WOQ42" s="344"/>
      <c r="WOR42" s="344"/>
      <c r="WOS42" s="344"/>
      <c r="WOT42" s="344"/>
      <c r="WOU42" s="344"/>
      <c r="WOV42" s="344"/>
      <c r="WOW42" s="344"/>
      <c r="WOX42" s="344"/>
      <c r="WOY42" s="344"/>
      <c r="WOZ42" s="344"/>
      <c r="WPA42" s="344"/>
      <c r="WPB42" s="344"/>
      <c r="WPC42" s="344"/>
      <c r="WPD42" s="344"/>
      <c r="WPE42" s="344"/>
      <c r="WPF42" s="344"/>
      <c r="WPG42" s="344"/>
      <c r="WPH42" s="344"/>
      <c r="WPI42" s="344"/>
      <c r="WPJ42" s="344"/>
      <c r="WPK42" s="344"/>
      <c r="WPL42" s="344"/>
      <c r="WPM42" s="344"/>
      <c r="WPN42" s="344"/>
      <c r="WPO42" s="344"/>
      <c r="WPP42" s="344"/>
      <c r="WPQ42" s="344"/>
      <c r="WPR42" s="344"/>
      <c r="WPS42" s="344"/>
      <c r="WPT42" s="344"/>
      <c r="WPU42" s="344"/>
      <c r="WPV42" s="344"/>
      <c r="WPW42" s="344"/>
      <c r="WPX42" s="344"/>
      <c r="WPY42" s="344"/>
      <c r="WPZ42" s="344"/>
      <c r="WQA42" s="344"/>
      <c r="WQB42" s="344"/>
      <c r="WQC42" s="344"/>
      <c r="WQD42" s="344"/>
      <c r="WQE42" s="344"/>
      <c r="WQF42" s="344"/>
      <c r="WQG42" s="344"/>
      <c r="WQH42" s="344"/>
      <c r="WQI42" s="344"/>
      <c r="WQJ42" s="344"/>
      <c r="WQK42" s="344"/>
      <c r="WQL42" s="344"/>
      <c r="WQM42" s="344"/>
      <c r="WQN42" s="344"/>
      <c r="WQO42" s="344"/>
      <c r="WQP42" s="344"/>
      <c r="WQQ42" s="344"/>
      <c r="WQR42" s="344"/>
      <c r="WQS42" s="344"/>
      <c r="WQT42" s="344"/>
      <c r="WQU42" s="344"/>
      <c r="WQV42" s="344"/>
      <c r="WQW42" s="344"/>
      <c r="WQX42" s="344"/>
      <c r="WQY42" s="344"/>
      <c r="WQZ42" s="344"/>
      <c r="WRA42" s="344"/>
      <c r="WRB42" s="344"/>
      <c r="WRC42" s="344"/>
      <c r="WRD42" s="344"/>
      <c r="WRE42" s="344"/>
      <c r="WRF42" s="344"/>
      <c r="WRG42" s="344"/>
      <c r="WRH42" s="344"/>
      <c r="WRI42" s="344"/>
      <c r="WRJ42" s="344"/>
      <c r="WRK42" s="344"/>
      <c r="WRL42" s="344"/>
      <c r="WRM42" s="344"/>
      <c r="WRN42" s="344"/>
      <c r="WRO42" s="344"/>
      <c r="WRP42" s="344"/>
      <c r="WRQ42" s="344"/>
      <c r="WRR42" s="344"/>
      <c r="WRS42" s="344"/>
      <c r="WRT42" s="344"/>
      <c r="WRU42" s="344"/>
      <c r="WRV42" s="344"/>
      <c r="WRW42" s="344"/>
      <c r="WRX42" s="344"/>
      <c r="WRY42" s="344"/>
      <c r="WRZ42" s="344"/>
      <c r="WSA42" s="344"/>
      <c r="WSB42" s="344"/>
      <c r="WSC42" s="344"/>
      <c r="WSD42" s="344"/>
      <c r="WSE42" s="344"/>
      <c r="WSF42" s="344"/>
      <c r="WSG42" s="344"/>
      <c r="WSH42" s="344"/>
      <c r="WSI42" s="344"/>
      <c r="WSJ42" s="344"/>
      <c r="WSK42" s="344"/>
      <c r="WSL42" s="344"/>
      <c r="WSM42" s="344"/>
      <c r="WSN42" s="344"/>
      <c r="WSO42" s="344"/>
      <c r="WSP42" s="344"/>
      <c r="WSQ42" s="344"/>
      <c r="WSR42" s="344"/>
      <c r="WSS42" s="344"/>
      <c r="WST42" s="344"/>
      <c r="WSU42" s="344"/>
      <c r="WSV42" s="344"/>
      <c r="WSW42" s="344"/>
      <c r="WSX42" s="344"/>
      <c r="WSY42" s="344"/>
      <c r="WSZ42" s="344"/>
      <c r="WTA42" s="344"/>
      <c r="WTB42" s="344"/>
      <c r="WTC42" s="344"/>
      <c r="WTD42" s="344"/>
      <c r="WTE42" s="344"/>
      <c r="WTF42" s="344"/>
      <c r="WTG42" s="344"/>
      <c r="WTH42" s="344"/>
      <c r="WTI42" s="344"/>
      <c r="WTJ42" s="344"/>
      <c r="WTK42" s="344"/>
      <c r="WTL42" s="344"/>
      <c r="WTM42" s="344"/>
      <c r="WTN42" s="344"/>
      <c r="WTO42" s="344"/>
      <c r="WTP42" s="344"/>
      <c r="WTQ42" s="344"/>
      <c r="WTR42" s="344"/>
      <c r="WTS42" s="344"/>
      <c r="WTT42" s="344"/>
      <c r="WTU42" s="344"/>
      <c r="WTV42" s="344"/>
      <c r="WTW42" s="344"/>
      <c r="WTX42" s="344"/>
      <c r="WTY42" s="344"/>
      <c r="WTZ42" s="344"/>
      <c r="WUA42" s="344"/>
      <c r="WUB42" s="344"/>
      <c r="WUC42" s="344"/>
      <c r="WUD42" s="344"/>
      <c r="WUE42" s="344"/>
      <c r="WUF42" s="344"/>
      <c r="WUG42" s="344"/>
      <c r="WUH42" s="344"/>
      <c r="WUI42" s="344"/>
      <c r="WUJ42" s="344"/>
      <c r="WUK42" s="344"/>
      <c r="WUL42" s="344"/>
      <c r="WUM42" s="344"/>
      <c r="WUN42" s="344"/>
      <c r="WUO42" s="344"/>
      <c r="WUP42" s="344"/>
      <c r="WUQ42" s="344"/>
      <c r="WUR42" s="344"/>
      <c r="WUS42" s="344"/>
      <c r="WUT42" s="344"/>
      <c r="WUU42" s="344"/>
      <c r="WUV42" s="344"/>
      <c r="WUW42" s="344"/>
      <c r="WUX42" s="344"/>
      <c r="WUY42" s="344"/>
      <c r="WUZ42" s="344"/>
      <c r="WVA42" s="344"/>
      <c r="WVB42" s="344"/>
      <c r="WVC42" s="344"/>
      <c r="WVD42" s="344"/>
      <c r="WVE42" s="344"/>
      <c r="WVF42" s="344"/>
      <c r="WVG42" s="344"/>
      <c r="WVH42" s="344"/>
      <c r="WVI42" s="344"/>
      <c r="WVJ42" s="344"/>
      <c r="WVK42" s="344"/>
      <c r="WVL42" s="344"/>
      <c r="WVM42" s="344"/>
      <c r="WVN42" s="344"/>
      <c r="WVO42" s="344"/>
      <c r="WVP42" s="344"/>
      <c r="WVQ42" s="344"/>
      <c r="WVR42" s="344"/>
      <c r="WVS42" s="344"/>
      <c r="WVT42" s="344"/>
      <c r="WVU42" s="344"/>
      <c r="WVV42" s="344"/>
      <c r="WVW42" s="344"/>
      <c r="WVX42" s="344"/>
      <c r="WVY42" s="344"/>
      <c r="WVZ42" s="344"/>
      <c r="WWA42" s="344"/>
      <c r="WWB42" s="344"/>
      <c r="WWC42" s="344"/>
      <c r="WWD42" s="344"/>
      <c r="WWE42" s="344"/>
      <c r="WWF42" s="344"/>
      <c r="WWG42" s="344"/>
      <c r="WWH42" s="344"/>
      <c r="WWI42" s="344"/>
      <c r="WWJ42" s="344"/>
      <c r="WWK42" s="344"/>
      <c r="WWL42" s="344"/>
      <c r="WWM42" s="344"/>
      <c r="WWN42" s="344"/>
      <c r="WWO42" s="344"/>
      <c r="WWP42" s="344"/>
      <c r="WWQ42" s="344"/>
      <c r="WWR42" s="344"/>
      <c r="WWS42" s="344"/>
      <c r="WWT42" s="344"/>
      <c r="WWU42" s="344"/>
      <c r="WWV42" s="344"/>
      <c r="WWW42" s="344"/>
      <c r="WWX42" s="344"/>
      <c r="WWY42" s="344"/>
      <c r="WWZ42" s="344"/>
      <c r="WXA42" s="344"/>
      <c r="WXB42" s="344"/>
      <c r="WXC42" s="344"/>
      <c r="WXD42" s="344"/>
      <c r="WXE42" s="344"/>
      <c r="WXF42" s="344"/>
      <c r="WXG42" s="344"/>
      <c r="WXH42" s="344"/>
      <c r="WXI42" s="344"/>
      <c r="WXJ42" s="344"/>
      <c r="WXK42" s="344"/>
      <c r="WXL42" s="344"/>
      <c r="WXM42" s="344"/>
      <c r="WXN42" s="344"/>
      <c r="WXO42" s="344"/>
      <c r="WXP42" s="344"/>
      <c r="WXQ42" s="344"/>
      <c r="WXR42" s="344"/>
      <c r="WXS42" s="344"/>
      <c r="WXT42" s="344"/>
      <c r="WXU42" s="344"/>
      <c r="WXV42" s="344"/>
      <c r="WXW42" s="344"/>
      <c r="WXX42" s="344"/>
      <c r="WXY42" s="344"/>
      <c r="WXZ42" s="344"/>
      <c r="WYA42" s="344"/>
      <c r="WYB42" s="344"/>
      <c r="WYC42" s="344"/>
      <c r="WYD42" s="344"/>
      <c r="WYE42" s="344"/>
      <c r="WYF42" s="344"/>
      <c r="WYG42" s="344"/>
      <c r="WYH42" s="344"/>
      <c r="WYI42" s="344"/>
      <c r="WYJ42" s="344"/>
      <c r="WYK42" s="344"/>
      <c r="WYL42" s="344"/>
      <c r="WYM42" s="344"/>
      <c r="WYN42" s="344"/>
      <c r="WYO42" s="344"/>
      <c r="WYP42" s="344"/>
      <c r="WYQ42" s="344"/>
      <c r="WYR42" s="344"/>
      <c r="WYS42" s="344"/>
      <c r="WYT42" s="344"/>
      <c r="WYU42" s="344"/>
      <c r="WYV42" s="344"/>
      <c r="WYW42" s="344"/>
      <c r="WYX42" s="344"/>
      <c r="WYY42" s="344"/>
      <c r="WYZ42" s="344"/>
      <c r="WZA42" s="344"/>
      <c r="WZB42" s="344"/>
      <c r="WZC42" s="344"/>
      <c r="WZD42" s="344"/>
      <c r="WZE42" s="344"/>
      <c r="WZF42" s="344"/>
      <c r="WZG42" s="344"/>
      <c r="WZH42" s="344"/>
      <c r="WZI42" s="344"/>
      <c r="WZJ42" s="344"/>
      <c r="WZK42" s="344"/>
      <c r="WZL42" s="344"/>
      <c r="WZM42" s="344"/>
      <c r="WZN42" s="344"/>
      <c r="WZO42" s="344"/>
      <c r="WZP42" s="344"/>
      <c r="WZQ42" s="344"/>
      <c r="WZR42" s="344"/>
      <c r="WZS42" s="344"/>
      <c r="WZT42" s="344"/>
      <c r="WZU42" s="344"/>
      <c r="WZV42" s="344"/>
      <c r="WZW42" s="344"/>
      <c r="WZX42" s="344"/>
      <c r="WZY42" s="344"/>
      <c r="WZZ42" s="344"/>
      <c r="XAA42" s="344"/>
      <c r="XAB42" s="344"/>
      <c r="XAC42" s="344"/>
      <c r="XAD42" s="344"/>
      <c r="XAE42" s="344"/>
      <c r="XAF42" s="344"/>
      <c r="XAG42" s="344"/>
      <c r="XAH42" s="344"/>
      <c r="XAI42" s="344"/>
      <c r="XAJ42" s="344"/>
      <c r="XAK42" s="344"/>
      <c r="XAL42" s="344"/>
      <c r="XAM42" s="344"/>
      <c r="XAN42" s="344"/>
      <c r="XAO42" s="344"/>
      <c r="XAP42" s="344"/>
      <c r="XAQ42" s="344"/>
      <c r="XAR42" s="344"/>
      <c r="XAS42" s="344"/>
      <c r="XAT42" s="344"/>
      <c r="XAU42" s="344"/>
      <c r="XAV42" s="344"/>
      <c r="XAW42" s="344"/>
      <c r="XAX42" s="344"/>
      <c r="XAY42" s="344"/>
      <c r="XAZ42" s="344"/>
      <c r="XBA42" s="344"/>
      <c r="XBB42" s="344"/>
      <c r="XBC42" s="344"/>
      <c r="XBD42" s="344"/>
      <c r="XBE42" s="344"/>
      <c r="XBF42" s="344"/>
      <c r="XBG42" s="344"/>
      <c r="XBH42" s="344"/>
      <c r="XBI42" s="344"/>
      <c r="XBJ42" s="344"/>
      <c r="XBK42" s="344"/>
      <c r="XBL42" s="344"/>
      <c r="XBM42" s="344"/>
      <c r="XBN42" s="344"/>
      <c r="XBO42" s="344"/>
      <c r="XBP42" s="344"/>
      <c r="XBQ42" s="344"/>
      <c r="XBR42" s="344"/>
      <c r="XBS42" s="344"/>
      <c r="XBT42" s="344"/>
      <c r="XBU42" s="344"/>
      <c r="XBV42" s="344"/>
      <c r="XBW42" s="344"/>
      <c r="XBX42" s="344"/>
      <c r="XBY42" s="344"/>
      <c r="XBZ42" s="344"/>
      <c r="XCA42" s="344"/>
      <c r="XCB42" s="344"/>
      <c r="XCC42" s="344"/>
      <c r="XCD42" s="344"/>
      <c r="XCE42" s="344"/>
      <c r="XCF42" s="344"/>
      <c r="XCG42" s="344"/>
      <c r="XCH42" s="344"/>
      <c r="XCI42" s="344"/>
      <c r="XCJ42" s="344"/>
      <c r="XCK42" s="344"/>
      <c r="XCL42" s="344"/>
      <c r="XCM42" s="344"/>
      <c r="XCN42" s="344"/>
      <c r="XCO42" s="344"/>
      <c r="XCP42" s="344"/>
      <c r="XCQ42" s="344"/>
      <c r="XCR42" s="344"/>
      <c r="XCS42" s="344"/>
      <c r="XCT42" s="344"/>
      <c r="XCU42" s="344"/>
      <c r="XCV42" s="344"/>
      <c r="XCW42" s="344"/>
      <c r="XCX42" s="344"/>
      <c r="XCY42" s="344"/>
      <c r="XCZ42" s="344"/>
      <c r="XDA42" s="344"/>
      <c r="XDB42" s="344"/>
      <c r="XDC42" s="344"/>
      <c r="XDD42" s="344"/>
      <c r="XDE42" s="344"/>
      <c r="XDF42" s="344"/>
      <c r="XDG42" s="344"/>
      <c r="XDH42" s="344"/>
      <c r="XDI42" s="344"/>
      <c r="XDJ42" s="344"/>
      <c r="XDK42" s="344"/>
      <c r="XDL42" s="344"/>
      <c r="XDM42" s="344"/>
      <c r="XDN42" s="344"/>
      <c r="XDO42" s="344"/>
      <c r="XDP42" s="344"/>
      <c r="XDQ42" s="344"/>
      <c r="XDR42" s="344"/>
      <c r="XDS42" s="344"/>
      <c r="XDT42" s="344"/>
      <c r="XDU42" s="344"/>
      <c r="XDV42" s="344"/>
      <c r="XDW42" s="344"/>
      <c r="XDX42" s="344"/>
      <c r="XDY42" s="344"/>
      <c r="XDZ42" s="344"/>
      <c r="XEA42" s="344"/>
      <c r="XEB42" s="344"/>
      <c r="XEC42" s="344"/>
      <c r="XED42" s="344"/>
      <c r="XEE42" s="344"/>
      <c r="XEF42" s="344"/>
      <c r="XEG42" s="344"/>
      <c r="XEH42" s="344"/>
      <c r="XEI42" s="344"/>
      <c r="XEJ42" s="344"/>
      <c r="XEK42" s="344"/>
      <c r="XEL42" s="344"/>
      <c r="XEM42" s="344"/>
      <c r="XEN42" s="344"/>
      <c r="XEO42" s="344"/>
      <c r="XEP42" s="344"/>
      <c r="XEQ42" s="344"/>
      <c r="XER42" s="344"/>
      <c r="XES42" s="344"/>
      <c r="XET42" s="344"/>
      <c r="XEU42" s="344"/>
      <c r="XEV42" s="344"/>
      <c r="XEW42" s="344"/>
      <c r="XEX42" s="344"/>
      <c r="XEY42" s="344"/>
      <c r="XEZ42" s="344"/>
      <c r="XFA42" s="344"/>
    </row>
    <row r="43" s="338" customFormat="1" ht="29.25" customHeight="1" spans="1:1024 1025:16381">
      <c r="A43" s="344"/>
      <c r="B43" s="382">
        <v>33</v>
      </c>
      <c r="C43" s="380" t="e">
        <f>_xlfn.XLOOKUP(D43,商品汇总表!$B:$B,商品汇总表!$A:$A,"")</f>
        <v>#N/A</v>
      </c>
      <c r="D43" s="362" t="e" cm="1">
        <f t="array" ref="D43">LOOKUP(1,0/(('5.21出货明细'!AR:AR=$D$52)*('5.21出货明细'!A:A=B43)),'5.21出货明细'!E:E)</f>
        <v>#N/A</v>
      </c>
      <c r="E43" s="358" t="e">
        <f>_xlfn.XLOOKUP(D43,商品汇总表!$B:$B,商品汇总表!$D:$D,"")</f>
        <v>#N/A</v>
      </c>
      <c r="F43" s="363" t="e" cm="1">
        <f t="array" ref="F43">_xlfn.LET(_xlpm.数组,B43&amp;D43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3" s="373"/>
      <c r="H43" s="364"/>
      <c r="I43" s="365"/>
      <c r="J43" s="366"/>
      <c r="K43" s="367"/>
      <c r="L43" s="368"/>
      <c r="M43" s="369" t="s">
        <v>2953</v>
      </c>
      <c r="N43" s="370"/>
      <c r="O43" s="370"/>
      <c r="P43" s="383"/>
      <c r="Q43" s="372"/>
      <c r="R43" s="372"/>
      <c r="S43" s="372"/>
      <c r="T43" s="372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4"/>
      <c r="AO43" s="344"/>
      <c r="AP43" s="344"/>
      <c r="AQ43" s="344"/>
      <c r="AR43" s="344"/>
      <c r="AS43" s="344"/>
      <c r="AT43" s="344"/>
      <c r="AU43" s="344"/>
      <c r="AV43" s="344"/>
      <c r="AW43" s="344"/>
      <c r="AX43" s="344"/>
      <c r="AY43" s="344"/>
      <c r="AZ43" s="344"/>
      <c r="BA43" s="344"/>
      <c r="BB43" s="344"/>
      <c r="BC43" s="344"/>
      <c r="BD43" s="344"/>
      <c r="BE43" s="344"/>
      <c r="BF43" s="344"/>
      <c r="BG43" s="344"/>
      <c r="BH43" s="344"/>
      <c r="BI43" s="344"/>
      <c r="BJ43" s="344"/>
      <c r="BK43" s="344"/>
      <c r="BL43" s="344"/>
      <c r="BM43" s="344"/>
      <c r="BN43" s="344"/>
      <c r="BO43" s="344"/>
      <c r="BP43" s="344"/>
      <c r="BQ43" s="344"/>
      <c r="BR43" s="344"/>
      <c r="BS43" s="344"/>
      <c r="BT43" s="344"/>
      <c r="BU43" s="344"/>
      <c r="BV43" s="344"/>
      <c r="BW43" s="344"/>
      <c r="BX43" s="344"/>
      <c r="BY43" s="344"/>
      <c r="BZ43" s="344"/>
      <c r="CA43" s="344"/>
      <c r="CB43" s="344"/>
      <c r="CC43" s="344"/>
      <c r="CD43" s="344"/>
      <c r="CE43" s="344"/>
      <c r="CF43" s="344"/>
      <c r="CG43" s="344"/>
      <c r="CH43" s="344"/>
      <c r="CI43" s="344"/>
      <c r="CJ43" s="344"/>
      <c r="CK43" s="344"/>
      <c r="CL43" s="344"/>
      <c r="CM43" s="344"/>
      <c r="CN43" s="344"/>
      <c r="CO43" s="344"/>
      <c r="CP43" s="344"/>
      <c r="CQ43" s="344"/>
      <c r="CR43" s="344"/>
      <c r="CS43" s="344"/>
      <c r="CT43" s="344"/>
      <c r="CU43" s="344"/>
      <c r="CV43" s="344"/>
      <c r="CW43" s="344"/>
      <c r="CX43" s="344"/>
      <c r="CY43" s="344"/>
      <c r="CZ43" s="344"/>
      <c r="DA43" s="344"/>
      <c r="DB43" s="344"/>
      <c r="DC43" s="344"/>
      <c r="DD43" s="344"/>
      <c r="DE43" s="344"/>
      <c r="DF43" s="344"/>
      <c r="DG43" s="344"/>
      <c r="DH43" s="344"/>
      <c r="DI43" s="344"/>
      <c r="DJ43" s="344"/>
      <c r="DK43" s="344"/>
      <c r="DL43" s="344"/>
      <c r="DM43" s="344"/>
      <c r="DN43" s="344"/>
      <c r="DO43" s="344"/>
      <c r="DP43" s="344"/>
      <c r="DQ43" s="344"/>
      <c r="DR43" s="344"/>
      <c r="DS43" s="344"/>
      <c r="DT43" s="344"/>
      <c r="DU43" s="344"/>
      <c r="DV43" s="344"/>
      <c r="DW43" s="344"/>
      <c r="DX43" s="344"/>
      <c r="DY43" s="344"/>
      <c r="DZ43" s="344"/>
      <c r="EA43" s="344"/>
      <c r="EB43" s="344"/>
      <c r="EC43" s="344"/>
      <c r="ED43" s="344"/>
      <c r="EE43" s="344"/>
      <c r="EF43" s="344"/>
      <c r="EG43" s="344"/>
      <c r="EH43" s="344"/>
      <c r="EI43" s="344"/>
      <c r="EJ43" s="344"/>
      <c r="EK43" s="344"/>
      <c r="EL43" s="344"/>
      <c r="EM43" s="344"/>
      <c r="EN43" s="344"/>
      <c r="EO43" s="344"/>
      <c r="EP43" s="344"/>
      <c r="EQ43" s="344"/>
      <c r="ER43" s="344"/>
      <c r="ES43" s="344"/>
      <c r="ET43" s="344"/>
      <c r="EU43" s="344"/>
      <c r="EV43" s="344"/>
      <c r="EW43" s="344"/>
      <c r="EX43" s="344"/>
      <c r="EY43" s="344"/>
      <c r="EZ43" s="344"/>
      <c r="FA43" s="344"/>
      <c r="FB43" s="344"/>
      <c r="FC43" s="344"/>
      <c r="FD43" s="344"/>
      <c r="FE43" s="344"/>
      <c r="FF43" s="344"/>
      <c r="FG43" s="344"/>
      <c r="FH43" s="344"/>
      <c r="FI43" s="344"/>
      <c r="FJ43" s="344"/>
      <c r="FK43" s="344"/>
      <c r="FL43" s="344"/>
      <c r="FM43" s="344"/>
      <c r="FN43" s="344"/>
      <c r="FO43" s="344"/>
      <c r="FP43" s="344"/>
      <c r="FQ43" s="344"/>
      <c r="FR43" s="344"/>
      <c r="FS43" s="344"/>
      <c r="FT43" s="344"/>
      <c r="FU43" s="344"/>
      <c r="FV43" s="344"/>
      <c r="FW43" s="344"/>
      <c r="FX43" s="344"/>
      <c r="FY43" s="344"/>
      <c r="FZ43" s="344"/>
      <c r="GA43" s="344"/>
      <c r="GB43" s="344"/>
      <c r="GC43" s="344"/>
      <c r="GD43" s="344"/>
      <c r="GE43" s="344"/>
      <c r="GF43" s="344"/>
      <c r="GG43" s="344"/>
      <c r="GH43" s="344"/>
      <c r="GI43" s="344"/>
      <c r="GJ43" s="344"/>
      <c r="GK43" s="344"/>
      <c r="GL43" s="344"/>
      <c r="GM43" s="344"/>
      <c r="GN43" s="344"/>
      <c r="GO43" s="344"/>
      <c r="GP43" s="344"/>
      <c r="GQ43" s="344"/>
      <c r="GR43" s="344"/>
      <c r="GS43" s="344"/>
      <c r="GT43" s="344"/>
      <c r="GU43" s="344"/>
      <c r="GV43" s="344"/>
      <c r="GW43" s="344"/>
      <c r="GX43" s="344"/>
      <c r="GY43" s="344"/>
      <c r="GZ43" s="344"/>
      <c r="HA43" s="344"/>
      <c r="HB43" s="344"/>
      <c r="HC43" s="344"/>
      <c r="HD43" s="344"/>
      <c r="HE43" s="344"/>
      <c r="HF43" s="344"/>
      <c r="HG43" s="344"/>
      <c r="HH43" s="344"/>
      <c r="HI43" s="344"/>
      <c r="HJ43" s="344"/>
      <c r="HK43" s="344"/>
      <c r="HL43" s="344"/>
      <c r="HM43" s="344"/>
      <c r="HN43" s="344"/>
      <c r="HO43" s="344"/>
      <c r="HP43" s="344"/>
      <c r="HQ43" s="344"/>
      <c r="HR43" s="344"/>
      <c r="HS43" s="344"/>
      <c r="HT43" s="344"/>
      <c r="HU43" s="344"/>
      <c r="HV43" s="344"/>
      <c r="HW43" s="344"/>
      <c r="HX43" s="344"/>
      <c r="HY43" s="344"/>
      <c r="HZ43" s="344"/>
      <c r="IA43" s="344"/>
      <c r="IB43" s="344"/>
      <c r="IC43" s="344"/>
      <c r="ID43" s="344"/>
      <c r="IE43" s="344"/>
      <c r="IF43" s="344"/>
      <c r="IG43" s="344"/>
      <c r="IH43" s="344"/>
      <c r="II43" s="344"/>
      <c r="IJ43" s="344"/>
      <c r="IK43" s="344"/>
      <c r="IL43" s="344"/>
      <c r="IM43" s="344"/>
      <c r="IN43" s="344"/>
      <c r="IO43" s="344"/>
      <c r="IP43" s="344"/>
      <c r="IQ43" s="344"/>
      <c r="IR43" s="344"/>
      <c r="IS43" s="344"/>
      <c r="IT43" s="344"/>
      <c r="IU43" s="344"/>
      <c r="IV43" s="344"/>
      <c r="IW43" s="344"/>
      <c r="IX43" s="344"/>
      <c r="IY43" s="344"/>
      <c r="IZ43" s="344"/>
      <c r="JA43" s="344"/>
      <c r="JB43" s="344"/>
      <c r="JC43" s="344"/>
      <c r="JD43" s="344"/>
      <c r="JE43" s="344"/>
      <c r="JF43" s="344"/>
      <c r="JG43" s="344"/>
      <c r="JH43" s="344"/>
      <c r="JI43" s="344"/>
      <c r="JJ43" s="344"/>
      <c r="JK43" s="344"/>
      <c r="JL43" s="344"/>
      <c r="JM43" s="344"/>
      <c r="JN43" s="344"/>
      <c r="JO43" s="344"/>
      <c r="JP43" s="344"/>
      <c r="JQ43" s="344"/>
      <c r="JR43" s="344"/>
      <c r="JS43" s="344"/>
      <c r="JT43" s="344"/>
      <c r="JU43" s="344"/>
      <c r="JV43" s="344"/>
      <c r="JW43" s="344"/>
      <c r="JX43" s="344"/>
      <c r="JY43" s="344"/>
      <c r="JZ43" s="344"/>
      <c r="KA43" s="344"/>
      <c r="KB43" s="344"/>
      <c r="KC43" s="344"/>
      <c r="KD43" s="344"/>
      <c r="KE43" s="344"/>
      <c r="KF43" s="344"/>
      <c r="KG43" s="344"/>
      <c r="KH43" s="344"/>
      <c r="KI43" s="344"/>
      <c r="KJ43" s="344"/>
      <c r="KK43" s="344"/>
      <c r="KL43" s="344"/>
      <c r="KM43" s="344"/>
      <c r="KN43" s="344"/>
      <c r="KO43" s="344"/>
      <c r="KP43" s="344"/>
      <c r="KQ43" s="344"/>
      <c r="KR43" s="344"/>
      <c r="KS43" s="344"/>
      <c r="KT43" s="344"/>
      <c r="KU43" s="344"/>
      <c r="KV43" s="344"/>
      <c r="KW43" s="344"/>
      <c r="KX43" s="344"/>
      <c r="KY43" s="344"/>
      <c r="KZ43" s="344"/>
      <c r="LA43" s="344"/>
      <c r="LB43" s="344"/>
      <c r="LC43" s="344"/>
      <c r="LD43" s="344"/>
      <c r="LE43" s="344"/>
      <c r="LF43" s="344"/>
      <c r="LG43" s="344"/>
      <c r="LH43" s="344"/>
      <c r="LI43" s="344"/>
      <c r="LJ43" s="344"/>
      <c r="LK43" s="344"/>
      <c r="LL43" s="344"/>
      <c r="LM43" s="344"/>
      <c r="LN43" s="344"/>
      <c r="LO43" s="344"/>
      <c r="LP43" s="344"/>
      <c r="LQ43" s="344"/>
      <c r="LR43" s="344"/>
      <c r="LS43" s="344"/>
      <c r="LT43" s="344"/>
      <c r="LU43" s="344"/>
      <c r="LV43" s="344"/>
      <c r="LW43" s="344"/>
      <c r="LX43" s="344"/>
      <c r="LY43" s="344"/>
      <c r="LZ43" s="344"/>
      <c r="MA43" s="344"/>
      <c r="MB43" s="344"/>
      <c r="MC43" s="344"/>
      <c r="MD43" s="344"/>
      <c r="ME43" s="344"/>
      <c r="MF43" s="344"/>
      <c r="MG43" s="344"/>
      <c r="MH43" s="344"/>
      <c r="MI43" s="344"/>
      <c r="MJ43" s="344"/>
      <c r="MK43" s="344"/>
      <c r="ML43" s="344"/>
      <c r="MM43" s="344"/>
      <c r="MN43" s="344"/>
      <c r="MO43" s="344"/>
      <c r="MP43" s="344"/>
      <c r="MQ43" s="344"/>
      <c r="MR43" s="344"/>
      <c r="MS43" s="344"/>
      <c r="MT43" s="344"/>
      <c r="MU43" s="344"/>
      <c r="MV43" s="344"/>
      <c r="MW43" s="344"/>
      <c r="MX43" s="344"/>
      <c r="MY43" s="344"/>
      <c r="MZ43" s="344"/>
      <c r="NA43" s="344"/>
      <c r="NB43" s="344"/>
      <c r="NC43" s="344"/>
      <c r="ND43" s="344"/>
      <c r="NE43" s="344"/>
      <c r="NF43" s="344"/>
      <c r="NG43" s="344"/>
      <c r="NH43" s="344"/>
      <c r="NI43" s="344"/>
      <c r="NJ43" s="344"/>
      <c r="NK43" s="344"/>
      <c r="NL43" s="344"/>
      <c r="NM43" s="344"/>
      <c r="NN43" s="344"/>
      <c r="NO43" s="344"/>
      <c r="NP43" s="344"/>
      <c r="NQ43" s="344"/>
      <c r="NR43" s="344"/>
      <c r="NS43" s="344"/>
      <c r="NT43" s="344"/>
      <c r="NU43" s="344"/>
      <c r="NV43" s="344"/>
      <c r="NW43" s="344"/>
      <c r="NX43" s="344"/>
      <c r="NY43" s="344"/>
      <c r="NZ43" s="344"/>
      <c r="OA43" s="344"/>
      <c r="OB43" s="344"/>
      <c r="OC43" s="344"/>
      <c r="OD43" s="344"/>
      <c r="OE43" s="344"/>
      <c r="OF43" s="344"/>
      <c r="OG43" s="344"/>
      <c r="OH43" s="344"/>
      <c r="OI43" s="344"/>
      <c r="OJ43" s="344"/>
      <c r="OK43" s="344"/>
      <c r="OL43" s="344"/>
      <c r="OM43" s="344"/>
      <c r="ON43" s="344"/>
      <c r="OO43" s="344"/>
      <c r="OP43" s="344"/>
      <c r="OQ43" s="344"/>
      <c r="OR43" s="344"/>
      <c r="OS43" s="344"/>
      <c r="OT43" s="344"/>
      <c r="OU43" s="344"/>
      <c r="OV43" s="344"/>
      <c r="OW43" s="344"/>
      <c r="OX43" s="344"/>
      <c r="OY43" s="344"/>
      <c r="OZ43" s="344"/>
      <c r="PA43" s="344"/>
      <c r="PB43" s="344"/>
      <c r="PC43" s="344"/>
      <c r="PD43" s="344"/>
      <c r="PE43" s="344"/>
      <c r="PF43" s="344"/>
      <c r="PG43" s="344"/>
      <c r="PH43" s="344"/>
      <c r="PI43" s="344"/>
      <c r="PJ43" s="344"/>
      <c r="PK43" s="344"/>
      <c r="PL43" s="344"/>
      <c r="PM43" s="344"/>
      <c r="PN43" s="344"/>
      <c r="PO43" s="344"/>
      <c r="PP43" s="344"/>
      <c r="PQ43" s="344"/>
      <c r="PR43" s="344"/>
      <c r="PS43" s="344"/>
      <c r="PT43" s="344"/>
      <c r="PU43" s="344"/>
      <c r="PV43" s="344"/>
      <c r="PW43" s="344"/>
      <c r="PX43" s="344"/>
      <c r="PY43" s="344"/>
      <c r="PZ43" s="344"/>
      <c r="QA43" s="344"/>
      <c r="QB43" s="344"/>
      <c r="QC43" s="344"/>
      <c r="QD43" s="344"/>
      <c r="QE43" s="344"/>
      <c r="QF43" s="344"/>
      <c r="QG43" s="344"/>
      <c r="QH43" s="344"/>
      <c r="QI43" s="344"/>
      <c r="QJ43" s="344"/>
      <c r="QK43" s="344"/>
      <c r="QL43" s="344"/>
      <c r="QM43" s="344"/>
      <c r="QN43" s="344"/>
      <c r="QO43" s="344"/>
      <c r="QP43" s="344"/>
      <c r="QQ43" s="344"/>
      <c r="QR43" s="344"/>
      <c r="QS43" s="344"/>
      <c r="QT43" s="344"/>
      <c r="QU43" s="344"/>
      <c r="QV43" s="344"/>
      <c r="QW43" s="344"/>
      <c r="QX43" s="344"/>
      <c r="QY43" s="344"/>
      <c r="QZ43" s="344"/>
      <c r="RA43" s="344"/>
      <c r="RB43" s="344"/>
      <c r="RC43" s="344"/>
      <c r="RD43" s="344"/>
      <c r="RE43" s="344"/>
      <c r="RF43" s="344"/>
      <c r="RG43" s="344"/>
      <c r="RH43" s="344"/>
      <c r="RI43" s="344"/>
      <c r="RJ43" s="344"/>
      <c r="RK43" s="344"/>
      <c r="RL43" s="344"/>
      <c r="RM43" s="344"/>
      <c r="RN43" s="344"/>
      <c r="RO43" s="344"/>
      <c r="RP43" s="344"/>
      <c r="RQ43" s="344"/>
      <c r="RR43" s="344"/>
      <c r="RS43" s="344"/>
      <c r="RT43" s="344"/>
      <c r="RU43" s="344"/>
      <c r="RV43" s="344"/>
      <c r="RW43" s="344"/>
      <c r="RX43" s="344"/>
      <c r="RY43" s="344"/>
      <c r="RZ43" s="344"/>
      <c r="SA43" s="344"/>
      <c r="SB43" s="344"/>
      <c r="SC43" s="344"/>
      <c r="SD43" s="344"/>
      <c r="SE43" s="344"/>
      <c r="SF43" s="344"/>
      <c r="SG43" s="344"/>
      <c r="SH43" s="344"/>
      <c r="SI43" s="344"/>
      <c r="SJ43" s="344"/>
      <c r="SK43" s="344"/>
      <c r="SL43" s="344"/>
      <c r="SM43" s="344"/>
      <c r="SN43" s="344"/>
      <c r="SO43" s="344"/>
      <c r="SP43" s="344"/>
      <c r="SQ43" s="344"/>
      <c r="SR43" s="344"/>
      <c r="SS43" s="344"/>
      <c r="ST43" s="344"/>
      <c r="SU43" s="344"/>
      <c r="SV43" s="344"/>
      <c r="SW43" s="344"/>
      <c r="SX43" s="344"/>
      <c r="SY43" s="344"/>
      <c r="SZ43" s="344"/>
      <c r="TA43" s="344"/>
      <c r="TB43" s="344"/>
      <c r="TC43" s="344"/>
      <c r="TD43" s="344"/>
      <c r="TE43" s="344"/>
      <c r="TF43" s="344"/>
      <c r="TG43" s="344"/>
      <c r="TH43" s="344"/>
      <c r="TI43" s="344"/>
      <c r="TJ43" s="344"/>
      <c r="TK43" s="344"/>
      <c r="TL43" s="344"/>
      <c r="TM43" s="344"/>
      <c r="TN43" s="344"/>
      <c r="TO43" s="344"/>
      <c r="TP43" s="344"/>
      <c r="TQ43" s="344"/>
      <c r="TR43" s="344"/>
      <c r="TS43" s="344"/>
      <c r="TT43" s="344"/>
      <c r="TU43" s="344"/>
      <c r="TV43" s="344"/>
      <c r="TW43" s="344"/>
      <c r="TX43" s="344"/>
      <c r="TY43" s="344"/>
      <c r="TZ43" s="344"/>
      <c r="UA43" s="344"/>
      <c r="UB43" s="344"/>
      <c r="UC43" s="344"/>
      <c r="UD43" s="344"/>
      <c r="UE43" s="344"/>
      <c r="UF43" s="344"/>
      <c r="UG43" s="344"/>
      <c r="UH43" s="344"/>
      <c r="UI43" s="344"/>
      <c r="UJ43" s="344"/>
      <c r="UK43" s="344"/>
      <c r="UL43" s="344"/>
      <c r="UM43" s="344"/>
      <c r="UN43" s="344"/>
      <c r="UO43" s="344"/>
      <c r="UP43" s="344"/>
      <c r="UQ43" s="344"/>
      <c r="UR43" s="344"/>
      <c r="US43" s="344"/>
      <c r="UT43" s="344"/>
      <c r="UU43" s="344"/>
      <c r="UV43" s="344"/>
      <c r="UW43" s="344"/>
      <c r="UX43" s="344"/>
      <c r="UY43" s="344"/>
      <c r="UZ43" s="344"/>
      <c r="VA43" s="344"/>
      <c r="VB43" s="344"/>
      <c r="VC43" s="344"/>
      <c r="VD43" s="344"/>
      <c r="VE43" s="344"/>
      <c r="VF43" s="344"/>
      <c r="VG43" s="344"/>
      <c r="VH43" s="344"/>
      <c r="VI43" s="344"/>
      <c r="VJ43" s="344"/>
      <c r="VK43" s="344"/>
      <c r="VL43" s="344"/>
      <c r="VM43" s="344"/>
      <c r="VN43" s="344"/>
      <c r="VO43" s="344"/>
      <c r="VP43" s="344"/>
      <c r="VQ43" s="344"/>
      <c r="VR43" s="344"/>
      <c r="VS43" s="344"/>
      <c r="VT43" s="344"/>
      <c r="VU43" s="344"/>
      <c r="VV43" s="344"/>
      <c r="VW43" s="344"/>
      <c r="VX43" s="344"/>
      <c r="VY43" s="344"/>
      <c r="VZ43" s="344"/>
      <c r="WA43" s="344"/>
      <c r="WB43" s="344"/>
      <c r="WC43" s="344"/>
      <c r="WD43" s="344"/>
      <c r="WE43" s="344"/>
      <c r="WF43" s="344"/>
      <c r="WG43" s="344"/>
      <c r="WH43" s="344"/>
      <c r="WI43" s="344"/>
      <c r="WJ43" s="344"/>
      <c r="WK43" s="344"/>
      <c r="WL43" s="344"/>
      <c r="WM43" s="344"/>
      <c r="WN43" s="344"/>
      <c r="WO43" s="344"/>
      <c r="WP43" s="344"/>
      <c r="WQ43" s="344"/>
      <c r="WR43" s="344"/>
      <c r="WS43" s="344"/>
      <c r="WT43" s="344"/>
      <c r="WU43" s="344"/>
      <c r="WV43" s="344"/>
      <c r="WW43" s="344"/>
      <c r="WX43" s="344"/>
      <c r="WY43" s="344"/>
      <c r="WZ43" s="344"/>
      <c r="XA43" s="344"/>
      <c r="XB43" s="344"/>
      <c r="XC43" s="344"/>
      <c r="XD43" s="344"/>
      <c r="XE43" s="344"/>
      <c r="XF43" s="344"/>
      <c r="XG43" s="344"/>
      <c r="XH43" s="344"/>
      <c r="XI43" s="344"/>
      <c r="XJ43" s="344"/>
      <c r="XK43" s="344"/>
      <c r="XL43" s="344"/>
      <c r="XM43" s="344"/>
      <c r="XN43" s="344"/>
      <c r="XO43" s="344"/>
      <c r="XP43" s="344"/>
      <c r="XQ43" s="344"/>
      <c r="XR43" s="344"/>
      <c r="XS43" s="344"/>
      <c r="XT43" s="344"/>
      <c r="XU43" s="344"/>
      <c r="XV43" s="344"/>
      <c r="XW43" s="344"/>
      <c r="XX43" s="344"/>
      <c r="XY43" s="344"/>
      <c r="XZ43" s="344"/>
      <c r="YA43" s="344"/>
      <c r="YB43" s="344"/>
      <c r="YC43" s="344"/>
      <c r="YD43" s="344"/>
      <c r="YE43" s="344"/>
      <c r="YF43" s="344"/>
      <c r="YG43" s="344"/>
      <c r="YH43" s="344"/>
      <c r="YI43" s="344"/>
      <c r="YJ43" s="344"/>
      <c r="YK43" s="344"/>
      <c r="YL43" s="344"/>
      <c r="YM43" s="344"/>
      <c r="YN43" s="344"/>
      <c r="YO43" s="344"/>
      <c r="YP43" s="344"/>
      <c r="YQ43" s="344"/>
      <c r="YR43" s="344"/>
      <c r="YS43" s="344"/>
      <c r="YT43" s="344"/>
      <c r="YU43" s="344"/>
      <c r="YV43" s="344"/>
      <c r="YW43" s="344"/>
      <c r="YX43" s="344"/>
      <c r="YY43" s="344"/>
      <c r="YZ43" s="344"/>
      <c r="ZA43" s="344"/>
      <c r="ZB43" s="344"/>
      <c r="ZC43" s="344"/>
      <c r="ZD43" s="344"/>
      <c r="ZE43" s="344"/>
      <c r="ZF43" s="344"/>
      <c r="ZG43" s="344"/>
      <c r="ZH43" s="344"/>
      <c r="ZI43" s="344"/>
      <c r="ZJ43" s="344"/>
      <c r="ZK43" s="344"/>
      <c r="ZL43" s="344"/>
      <c r="ZM43" s="344"/>
      <c r="ZN43" s="344"/>
      <c r="ZO43" s="344"/>
      <c r="ZP43" s="344"/>
      <c r="ZQ43" s="344"/>
      <c r="ZR43" s="344"/>
      <c r="ZS43" s="344"/>
      <c r="ZT43" s="344"/>
      <c r="ZU43" s="344"/>
      <c r="ZV43" s="344"/>
      <c r="ZW43" s="344"/>
      <c r="ZX43" s="344"/>
      <c r="ZY43" s="344"/>
      <c r="ZZ43" s="344"/>
      <c r="AAA43" s="344"/>
      <c r="AAB43" s="344"/>
      <c r="AAC43" s="344"/>
      <c r="AAD43" s="344"/>
      <c r="AAE43" s="344"/>
      <c r="AAF43" s="344"/>
      <c r="AAG43" s="344"/>
      <c r="AAH43" s="344"/>
      <c r="AAI43" s="344"/>
      <c r="AAJ43" s="344"/>
      <c r="AAK43" s="344"/>
      <c r="AAL43" s="344"/>
      <c r="AAM43" s="344"/>
      <c r="AAN43" s="344"/>
      <c r="AAO43" s="344"/>
      <c r="AAP43" s="344"/>
      <c r="AAQ43" s="344"/>
      <c r="AAR43" s="344"/>
      <c r="AAS43" s="344"/>
      <c r="AAT43" s="344"/>
      <c r="AAU43" s="344"/>
      <c r="AAV43" s="344"/>
      <c r="AAW43" s="344"/>
      <c r="AAX43" s="344"/>
      <c r="AAY43" s="344"/>
      <c r="AAZ43" s="344"/>
      <c r="ABA43" s="344"/>
      <c r="ABB43" s="344"/>
      <c r="ABC43" s="344"/>
      <c r="ABD43" s="344"/>
      <c r="ABE43" s="344"/>
      <c r="ABF43" s="344"/>
      <c r="ABG43" s="344"/>
      <c r="ABH43" s="344"/>
      <c r="ABI43" s="344"/>
      <c r="ABJ43" s="344"/>
      <c r="ABK43" s="344"/>
      <c r="ABL43" s="344"/>
      <c r="ABM43" s="344"/>
      <c r="ABN43" s="344"/>
      <c r="ABO43" s="344"/>
      <c r="ABP43" s="344"/>
      <c r="ABQ43" s="344"/>
      <c r="ABR43" s="344"/>
      <c r="ABS43" s="344"/>
      <c r="ABT43" s="344"/>
      <c r="ABU43" s="344"/>
      <c r="ABV43" s="344"/>
      <c r="ABW43" s="344"/>
      <c r="ABX43" s="344"/>
      <c r="ABY43" s="344"/>
      <c r="ABZ43" s="344"/>
      <c r="ACA43" s="344"/>
      <c r="ACB43" s="344"/>
      <c r="ACC43" s="344"/>
      <c r="ACD43" s="344"/>
      <c r="ACE43" s="344"/>
      <c r="ACF43" s="344"/>
      <c r="ACG43" s="344"/>
      <c r="ACH43" s="344"/>
      <c r="ACI43" s="344"/>
      <c r="ACJ43" s="344"/>
      <c r="ACK43" s="344"/>
      <c r="ACL43" s="344"/>
      <c r="ACM43" s="344"/>
      <c r="ACN43" s="344"/>
      <c r="ACO43" s="344"/>
      <c r="ACP43" s="344"/>
      <c r="ACQ43" s="344"/>
      <c r="ACR43" s="344"/>
      <c r="ACS43" s="344"/>
      <c r="ACT43" s="344"/>
      <c r="ACU43" s="344"/>
      <c r="ACV43" s="344"/>
      <c r="ACW43" s="344"/>
      <c r="ACX43" s="344"/>
      <c r="ACY43" s="344"/>
      <c r="ACZ43" s="344"/>
      <c r="ADA43" s="344"/>
      <c r="ADB43" s="344"/>
      <c r="ADC43" s="344"/>
      <c r="ADD43" s="344"/>
      <c r="ADE43" s="344"/>
      <c r="ADF43" s="344"/>
      <c r="ADG43" s="344"/>
      <c r="ADH43" s="344"/>
      <c r="ADI43" s="344"/>
      <c r="ADJ43" s="344"/>
      <c r="ADK43" s="344"/>
      <c r="ADL43" s="344"/>
      <c r="ADM43" s="344"/>
      <c r="ADN43" s="344"/>
      <c r="ADO43" s="344"/>
      <c r="ADP43" s="344"/>
      <c r="ADQ43" s="344"/>
      <c r="ADR43" s="344"/>
      <c r="ADS43" s="344"/>
      <c r="ADT43" s="344"/>
      <c r="ADU43" s="344"/>
      <c r="ADV43" s="344"/>
      <c r="ADW43" s="344"/>
      <c r="ADX43" s="344"/>
      <c r="ADY43" s="344"/>
      <c r="ADZ43" s="344"/>
      <c r="AEA43" s="344"/>
      <c r="AEB43" s="344"/>
      <c r="AEC43" s="344"/>
      <c r="AED43" s="344"/>
      <c r="AEE43" s="344"/>
      <c r="AEF43" s="344"/>
      <c r="AEG43" s="344"/>
      <c r="AEH43" s="344"/>
      <c r="AEI43" s="344"/>
      <c r="AEJ43" s="344"/>
      <c r="AEK43" s="344"/>
      <c r="AEL43" s="344"/>
      <c r="AEM43" s="344"/>
      <c r="AEN43" s="344"/>
      <c r="AEO43" s="344"/>
      <c r="AEP43" s="344"/>
      <c r="AEQ43" s="344"/>
      <c r="AER43" s="344"/>
      <c r="AES43" s="344"/>
      <c r="AET43" s="344"/>
      <c r="AEU43" s="344"/>
      <c r="AEV43" s="344"/>
      <c r="AEW43" s="344"/>
      <c r="AEX43" s="344"/>
      <c r="AEY43" s="344"/>
      <c r="AEZ43" s="344"/>
      <c r="AFA43" s="344"/>
      <c r="AFB43" s="344"/>
      <c r="AFC43" s="344"/>
      <c r="AFD43" s="344"/>
      <c r="AFE43" s="344"/>
      <c r="AFF43" s="344"/>
      <c r="AFG43" s="344"/>
      <c r="AFH43" s="344"/>
      <c r="AFI43" s="344"/>
      <c r="AFJ43" s="344"/>
      <c r="AFK43" s="344"/>
      <c r="AFL43" s="344"/>
      <c r="AFM43" s="344"/>
      <c r="AFN43" s="344"/>
      <c r="AFO43" s="344"/>
      <c r="AFP43" s="344"/>
      <c r="AFQ43" s="344"/>
      <c r="AFR43" s="344"/>
      <c r="AFS43" s="344"/>
      <c r="AFT43" s="344"/>
      <c r="AFU43" s="344"/>
      <c r="AFV43" s="344"/>
      <c r="AFW43" s="344"/>
      <c r="AFX43" s="344"/>
      <c r="AFY43" s="344"/>
      <c r="AFZ43" s="344"/>
      <c r="AGA43" s="344"/>
      <c r="AGB43" s="344"/>
      <c r="AGC43" s="344"/>
      <c r="AGD43" s="344"/>
      <c r="AGE43" s="344"/>
      <c r="AGF43" s="344"/>
      <c r="AGG43" s="344"/>
      <c r="AGH43" s="344"/>
      <c r="AGI43" s="344"/>
      <c r="AGJ43" s="344"/>
      <c r="AGK43" s="344"/>
      <c r="AGL43" s="344"/>
      <c r="AGM43" s="344"/>
      <c r="AGN43" s="344"/>
      <c r="AGO43" s="344"/>
      <c r="AGP43" s="344"/>
      <c r="AGQ43" s="344"/>
      <c r="AGR43" s="344"/>
      <c r="AGS43" s="344"/>
      <c r="AGT43" s="344"/>
      <c r="AGU43" s="344"/>
      <c r="AGV43" s="344"/>
      <c r="AGW43" s="344"/>
      <c r="AGX43" s="344"/>
      <c r="AGY43" s="344"/>
      <c r="AGZ43" s="344"/>
      <c r="AHA43" s="344"/>
      <c r="AHB43" s="344"/>
      <c r="AHC43" s="344"/>
      <c r="AHD43" s="344"/>
      <c r="AHE43" s="344"/>
      <c r="AHF43" s="344"/>
      <c r="AHG43" s="344"/>
      <c r="AHH43" s="344"/>
      <c r="AHI43" s="344"/>
      <c r="AHJ43" s="344"/>
      <c r="AHK43" s="344"/>
      <c r="AHL43" s="344"/>
      <c r="AHM43" s="344"/>
      <c r="AHN43" s="344"/>
      <c r="AHO43" s="344"/>
      <c r="AHP43" s="344"/>
      <c r="AHQ43" s="344"/>
      <c r="AHR43" s="344"/>
      <c r="AHS43" s="344"/>
      <c r="AHT43" s="344"/>
      <c r="AHU43" s="344"/>
      <c r="AHV43" s="344"/>
      <c r="AHW43" s="344"/>
      <c r="AHX43" s="344"/>
      <c r="AHY43" s="344"/>
      <c r="AHZ43" s="344"/>
      <c r="AIA43" s="344"/>
      <c r="AIB43" s="344"/>
      <c r="AIC43" s="344"/>
      <c r="AID43" s="344"/>
      <c r="AIE43" s="344"/>
      <c r="AIF43" s="344"/>
      <c r="AIG43" s="344"/>
      <c r="AIH43" s="344"/>
      <c r="AII43" s="344"/>
      <c r="AIJ43" s="344"/>
      <c r="AIK43" s="344"/>
      <c r="AIL43" s="344"/>
      <c r="AIM43" s="344"/>
      <c r="AIN43" s="344"/>
      <c r="AIO43" s="344"/>
      <c r="AIP43" s="344"/>
      <c r="AIQ43" s="344"/>
      <c r="AIR43" s="344"/>
      <c r="AIS43" s="344"/>
      <c r="AIT43" s="344"/>
      <c r="AIU43" s="344"/>
      <c r="AIV43" s="344"/>
      <c r="AIW43" s="344"/>
      <c r="AIX43" s="344"/>
      <c r="AIY43" s="344"/>
      <c r="AIZ43" s="344"/>
      <c r="AJA43" s="344"/>
      <c r="AJB43" s="344"/>
      <c r="AJC43" s="344"/>
      <c r="AJD43" s="344"/>
      <c r="AJE43" s="344"/>
      <c r="AJF43" s="344"/>
      <c r="AJG43" s="344"/>
      <c r="AJH43" s="344"/>
      <c r="AJI43" s="344"/>
      <c r="AJJ43" s="344"/>
      <c r="AJK43" s="344"/>
      <c r="AJL43" s="344"/>
      <c r="AJM43" s="344"/>
      <c r="AJN43" s="344"/>
      <c r="AJO43" s="344"/>
      <c r="AJP43" s="344"/>
      <c r="AJQ43" s="344"/>
      <c r="AJR43" s="344"/>
      <c r="AJS43" s="344"/>
      <c r="AJT43" s="344"/>
      <c r="AJU43" s="344"/>
      <c r="AJV43" s="344"/>
      <c r="AJW43" s="344"/>
      <c r="AJX43" s="344"/>
      <c r="AJY43" s="344"/>
      <c r="AJZ43" s="344"/>
      <c r="AKA43" s="344"/>
      <c r="AKB43" s="344"/>
      <c r="AKC43" s="344"/>
      <c r="AKD43" s="344"/>
      <c r="AKE43" s="344"/>
      <c r="AKF43" s="344"/>
      <c r="AKG43" s="344"/>
      <c r="AKH43" s="344"/>
      <c r="AKI43" s="344"/>
      <c r="AKJ43" s="344"/>
      <c r="AKK43" s="344"/>
      <c r="AKL43" s="344"/>
      <c r="AKM43" s="344"/>
      <c r="AKN43" s="344"/>
      <c r="AKO43" s="344"/>
      <c r="AKP43" s="344"/>
      <c r="AKQ43" s="344"/>
      <c r="AKR43" s="344"/>
      <c r="AKS43" s="344"/>
      <c r="AKT43" s="344"/>
      <c r="AKU43" s="344"/>
      <c r="AKV43" s="344"/>
      <c r="AKW43" s="344"/>
      <c r="AKX43" s="344"/>
      <c r="AKY43" s="344"/>
      <c r="AKZ43" s="344"/>
      <c r="ALA43" s="344"/>
      <c r="ALB43" s="344"/>
      <c r="ALC43" s="344"/>
      <c r="ALD43" s="344"/>
      <c r="ALE43" s="344"/>
      <c r="ALF43" s="344"/>
      <c r="ALG43" s="344"/>
      <c r="ALH43" s="344"/>
      <c r="ALI43" s="344"/>
      <c r="ALJ43" s="344"/>
      <c r="ALK43" s="344"/>
      <c r="ALL43" s="344"/>
      <c r="ALM43" s="344"/>
      <c r="ALN43" s="344"/>
      <c r="ALO43" s="344"/>
      <c r="ALP43" s="344"/>
      <c r="ALQ43" s="344"/>
      <c r="ALR43" s="344"/>
      <c r="ALS43" s="344"/>
      <c r="ALT43" s="344"/>
      <c r="ALU43" s="344"/>
      <c r="ALV43" s="344"/>
      <c r="ALW43" s="344"/>
      <c r="ALX43" s="344"/>
      <c r="ALY43" s="344"/>
      <c r="ALZ43" s="344"/>
      <c r="AMA43" s="344"/>
      <c r="AMB43" s="344"/>
      <c r="AMC43" s="344"/>
      <c r="AMD43" s="344"/>
      <c r="AME43" s="344"/>
      <c r="AMF43" s="344"/>
      <c r="AMG43" s="344"/>
      <c r="AMH43" s="344"/>
      <c r="AMI43" s="344"/>
      <c r="AMJ43" s="344"/>
      <c r="AMK43" s="344"/>
      <c r="AML43" s="344"/>
      <c r="AMM43" s="344"/>
      <c r="AMN43" s="344"/>
      <c r="AMO43" s="344"/>
      <c r="AMP43" s="344"/>
      <c r="AMQ43" s="344"/>
      <c r="AMR43" s="344"/>
      <c r="AMS43" s="344"/>
      <c r="AMT43" s="344"/>
      <c r="AMU43" s="344"/>
      <c r="AMV43" s="344"/>
      <c r="AMW43" s="344"/>
      <c r="AMX43" s="344"/>
      <c r="AMY43" s="344"/>
      <c r="AMZ43" s="344"/>
      <c r="ANA43" s="344"/>
      <c r="ANB43" s="344"/>
      <c r="ANC43" s="344"/>
      <c r="AND43" s="344"/>
      <c r="ANE43" s="344"/>
      <c r="ANF43" s="344"/>
      <c r="ANG43" s="344"/>
      <c r="ANH43" s="344"/>
      <c r="ANI43" s="344"/>
      <c r="ANJ43" s="344"/>
      <c r="ANK43" s="344"/>
      <c r="ANL43" s="344"/>
      <c r="ANM43" s="344"/>
      <c r="ANN43" s="344"/>
      <c r="ANO43" s="344"/>
      <c r="ANP43" s="344"/>
      <c r="ANQ43" s="344"/>
      <c r="ANR43" s="344"/>
      <c r="ANS43" s="344"/>
      <c r="ANT43" s="344"/>
      <c r="ANU43" s="344"/>
      <c r="ANV43" s="344"/>
      <c r="ANW43" s="344"/>
      <c r="ANX43" s="344"/>
      <c r="ANY43" s="344"/>
      <c r="ANZ43" s="344"/>
      <c r="AOA43" s="344"/>
      <c r="AOB43" s="344"/>
      <c r="AOC43" s="344"/>
      <c r="AOD43" s="344"/>
      <c r="AOE43" s="344"/>
      <c r="AOF43" s="344"/>
      <c r="AOG43" s="344"/>
      <c r="AOH43" s="344"/>
      <c r="AOI43" s="344"/>
      <c r="AOJ43" s="344"/>
      <c r="AOK43" s="344"/>
      <c r="AOL43" s="344"/>
      <c r="AOM43" s="344"/>
      <c r="AON43" s="344"/>
      <c r="AOO43" s="344"/>
      <c r="AOP43" s="344"/>
      <c r="AOQ43" s="344"/>
      <c r="AOR43" s="344"/>
      <c r="AOS43" s="344"/>
      <c r="AOT43" s="344"/>
      <c r="AOU43" s="344"/>
      <c r="AOV43" s="344"/>
      <c r="AOW43" s="344"/>
      <c r="AOX43" s="344"/>
      <c r="AOY43" s="344"/>
      <c r="AOZ43" s="344"/>
      <c r="APA43" s="344"/>
      <c r="APB43" s="344"/>
      <c r="APC43" s="344"/>
      <c r="APD43" s="344"/>
      <c r="APE43" s="344"/>
      <c r="APF43" s="344"/>
      <c r="APG43" s="344"/>
      <c r="APH43" s="344"/>
      <c r="API43" s="344"/>
      <c r="APJ43" s="344"/>
      <c r="APK43" s="344"/>
      <c r="APL43" s="344"/>
      <c r="APM43" s="344"/>
      <c r="APN43" s="344"/>
      <c r="APO43" s="344"/>
      <c r="APP43" s="344"/>
      <c r="APQ43" s="344"/>
      <c r="APR43" s="344"/>
      <c r="APS43" s="344"/>
      <c r="APT43" s="344"/>
      <c r="APU43" s="344"/>
      <c r="APV43" s="344"/>
      <c r="APW43" s="344"/>
      <c r="APX43" s="344"/>
      <c r="APY43" s="344"/>
      <c r="APZ43" s="344"/>
      <c r="AQA43" s="344"/>
      <c r="AQB43" s="344"/>
      <c r="AQC43" s="344"/>
      <c r="AQD43" s="344"/>
      <c r="AQE43" s="344"/>
      <c r="AQF43" s="344"/>
      <c r="AQG43" s="344"/>
      <c r="AQH43" s="344"/>
      <c r="AQI43" s="344"/>
      <c r="AQJ43" s="344"/>
      <c r="AQK43" s="344"/>
      <c r="AQL43" s="344"/>
      <c r="AQM43" s="344"/>
      <c r="AQN43" s="344"/>
      <c r="AQO43" s="344"/>
      <c r="AQP43" s="344"/>
      <c r="AQQ43" s="344"/>
      <c r="AQR43" s="344"/>
      <c r="AQS43" s="344"/>
      <c r="AQT43" s="344"/>
      <c r="AQU43" s="344"/>
      <c r="AQV43" s="344"/>
      <c r="AQW43" s="344"/>
      <c r="AQX43" s="344"/>
      <c r="AQY43" s="344"/>
      <c r="AQZ43" s="344"/>
      <c r="ARA43" s="344"/>
      <c r="ARB43" s="344"/>
      <c r="ARC43" s="344"/>
      <c r="ARD43" s="344"/>
      <c r="ARE43" s="344"/>
      <c r="ARF43" s="344"/>
      <c r="ARG43" s="344"/>
      <c r="ARH43" s="344"/>
      <c r="ARI43" s="344"/>
      <c r="ARJ43" s="344"/>
      <c r="ARK43" s="344"/>
      <c r="ARL43" s="344"/>
      <c r="ARM43" s="344"/>
      <c r="ARN43" s="344"/>
      <c r="ARO43" s="344"/>
      <c r="ARP43" s="344"/>
      <c r="ARQ43" s="344"/>
      <c r="ARR43" s="344"/>
      <c r="ARS43" s="344"/>
      <c r="ART43" s="344"/>
      <c r="ARU43" s="344"/>
      <c r="ARV43" s="344"/>
      <c r="ARW43" s="344"/>
      <c r="ARX43" s="344"/>
      <c r="ARY43" s="344"/>
      <c r="ARZ43" s="344"/>
      <c r="ASA43" s="344"/>
      <c r="ASB43" s="344"/>
      <c r="ASC43" s="344"/>
      <c r="ASD43" s="344"/>
      <c r="ASE43" s="344"/>
      <c r="ASF43" s="344"/>
      <c r="ASG43" s="344"/>
      <c r="ASH43" s="344"/>
      <c r="ASI43" s="344"/>
      <c r="ASJ43" s="344"/>
      <c r="ASK43" s="344"/>
      <c r="ASL43" s="344"/>
      <c r="ASM43" s="344"/>
      <c r="ASN43" s="344"/>
      <c r="ASO43" s="344"/>
      <c r="ASP43" s="344"/>
      <c r="ASQ43" s="344"/>
      <c r="ASR43" s="344"/>
      <c r="ASS43" s="344"/>
      <c r="AST43" s="344"/>
      <c r="ASU43" s="344"/>
      <c r="ASV43" s="344"/>
      <c r="ASW43" s="344"/>
      <c r="ASX43" s="344"/>
      <c r="ASY43" s="344"/>
      <c r="ASZ43" s="344"/>
      <c r="ATA43" s="344"/>
      <c r="ATB43" s="344"/>
      <c r="ATC43" s="344"/>
      <c r="ATD43" s="344"/>
      <c r="ATE43" s="344"/>
      <c r="ATF43" s="344"/>
      <c r="ATG43" s="344"/>
      <c r="ATH43" s="344"/>
      <c r="ATI43" s="344"/>
      <c r="ATJ43" s="344"/>
      <c r="ATK43" s="344"/>
      <c r="ATL43" s="344"/>
      <c r="ATM43" s="344"/>
      <c r="ATN43" s="344"/>
      <c r="ATO43" s="344"/>
      <c r="ATP43" s="344"/>
      <c r="ATQ43" s="344"/>
      <c r="ATR43" s="344"/>
      <c r="ATS43" s="344"/>
      <c r="ATT43" s="344"/>
      <c r="ATU43" s="344"/>
      <c r="ATV43" s="344"/>
      <c r="ATW43" s="344"/>
      <c r="ATX43" s="344"/>
      <c r="ATY43" s="344"/>
      <c r="ATZ43" s="344"/>
      <c r="AUA43" s="344"/>
      <c r="AUB43" s="344"/>
      <c r="AUC43" s="344"/>
      <c r="AUD43" s="344"/>
      <c r="AUE43" s="344"/>
      <c r="AUF43" s="344"/>
      <c r="AUG43" s="344"/>
      <c r="AUH43" s="344"/>
      <c r="AUI43" s="344"/>
      <c r="AUJ43" s="344"/>
      <c r="AUK43" s="344"/>
      <c r="AUL43" s="344"/>
      <c r="AUM43" s="344"/>
      <c r="AUN43" s="344"/>
      <c r="AUO43" s="344"/>
      <c r="AUP43" s="344"/>
      <c r="AUQ43" s="344"/>
      <c r="AUR43" s="344"/>
      <c r="AUS43" s="344"/>
      <c r="AUT43" s="344"/>
      <c r="AUU43" s="344"/>
      <c r="AUV43" s="344"/>
      <c r="AUW43" s="344"/>
      <c r="AUX43" s="344"/>
      <c r="AUY43" s="344"/>
      <c r="AUZ43" s="344"/>
      <c r="AVA43" s="344"/>
      <c r="AVB43" s="344"/>
      <c r="AVC43" s="344"/>
      <c r="AVD43" s="344"/>
      <c r="AVE43" s="344"/>
      <c r="AVF43" s="344"/>
      <c r="AVG43" s="344"/>
      <c r="AVH43" s="344"/>
      <c r="AVI43" s="344"/>
      <c r="AVJ43" s="344"/>
      <c r="AVK43" s="344"/>
      <c r="AVL43" s="344"/>
      <c r="AVM43" s="344"/>
      <c r="AVN43" s="344"/>
      <c r="AVO43" s="344"/>
      <c r="AVP43" s="344"/>
      <c r="AVQ43" s="344"/>
      <c r="AVR43" s="344"/>
      <c r="AVS43" s="344"/>
      <c r="AVT43" s="344"/>
      <c r="AVU43" s="344"/>
      <c r="AVV43" s="344"/>
      <c r="AVW43" s="344"/>
      <c r="AVX43" s="344"/>
      <c r="AVY43" s="344"/>
      <c r="AVZ43" s="344"/>
      <c r="AWA43" s="344"/>
      <c r="AWB43" s="344"/>
      <c r="AWC43" s="344"/>
      <c r="AWD43" s="344"/>
      <c r="AWE43" s="344"/>
      <c r="AWF43" s="344"/>
      <c r="AWG43" s="344"/>
      <c r="AWH43" s="344"/>
      <c r="AWI43" s="344"/>
      <c r="AWJ43" s="344"/>
      <c r="AWK43" s="344"/>
      <c r="AWL43" s="344"/>
      <c r="AWM43" s="344"/>
      <c r="AWN43" s="344"/>
      <c r="AWO43" s="344"/>
      <c r="AWP43" s="344"/>
      <c r="AWQ43" s="344"/>
      <c r="AWR43" s="344"/>
      <c r="AWS43" s="344"/>
      <c r="AWT43" s="344"/>
      <c r="AWU43" s="344"/>
      <c r="AWV43" s="344"/>
      <c r="AWW43" s="344"/>
      <c r="AWX43" s="344"/>
      <c r="AWY43" s="344"/>
      <c r="AWZ43" s="344"/>
      <c r="AXA43" s="344"/>
      <c r="AXB43" s="344"/>
      <c r="AXC43" s="344"/>
      <c r="AXD43" s="344"/>
      <c r="AXE43" s="344"/>
      <c r="AXF43" s="344"/>
      <c r="AXG43" s="344"/>
      <c r="AXH43" s="344"/>
      <c r="AXI43" s="344"/>
      <c r="AXJ43" s="344"/>
      <c r="AXK43" s="344"/>
      <c r="AXL43" s="344"/>
      <c r="AXM43" s="344"/>
      <c r="AXN43" s="344"/>
      <c r="AXO43" s="344"/>
      <c r="AXP43" s="344"/>
      <c r="AXQ43" s="344"/>
      <c r="AXR43" s="344"/>
      <c r="AXS43" s="344"/>
      <c r="AXT43" s="344"/>
      <c r="AXU43" s="344"/>
      <c r="AXV43" s="344"/>
      <c r="AXW43" s="344"/>
      <c r="AXX43" s="344"/>
      <c r="AXY43" s="344"/>
      <c r="AXZ43" s="344"/>
      <c r="AYA43" s="344"/>
      <c r="AYB43" s="344"/>
      <c r="AYC43" s="344"/>
      <c r="AYD43" s="344"/>
      <c r="AYE43" s="344"/>
      <c r="AYF43" s="344"/>
      <c r="AYG43" s="344"/>
      <c r="AYH43" s="344"/>
      <c r="AYI43" s="344"/>
      <c r="AYJ43" s="344"/>
      <c r="AYK43" s="344"/>
      <c r="AYL43" s="344"/>
      <c r="AYM43" s="344"/>
      <c r="AYN43" s="344"/>
      <c r="AYO43" s="344"/>
      <c r="AYP43" s="344"/>
      <c r="AYQ43" s="344"/>
      <c r="AYR43" s="344"/>
      <c r="AYS43" s="344"/>
      <c r="AYT43" s="344"/>
      <c r="AYU43" s="344"/>
      <c r="AYV43" s="344"/>
      <c r="AYW43" s="344"/>
      <c r="AYX43" s="344"/>
      <c r="AYY43" s="344"/>
      <c r="AYZ43" s="344"/>
      <c r="AZA43" s="344"/>
      <c r="AZB43" s="344"/>
      <c r="AZC43" s="344"/>
      <c r="AZD43" s="344"/>
      <c r="AZE43" s="344"/>
      <c r="AZF43" s="344"/>
      <c r="AZG43" s="344"/>
      <c r="AZH43" s="344"/>
      <c r="AZI43" s="344"/>
      <c r="AZJ43" s="344"/>
      <c r="AZK43" s="344"/>
      <c r="AZL43" s="344"/>
      <c r="AZM43" s="344"/>
      <c r="AZN43" s="344"/>
      <c r="AZO43" s="344"/>
      <c r="AZP43" s="344"/>
      <c r="AZQ43" s="344"/>
      <c r="AZR43" s="344"/>
      <c r="AZS43" s="344"/>
      <c r="AZT43" s="344"/>
      <c r="AZU43" s="344"/>
      <c r="AZV43" s="344"/>
      <c r="AZW43" s="344"/>
      <c r="AZX43" s="344"/>
      <c r="AZY43" s="344"/>
      <c r="AZZ43" s="344"/>
      <c r="BAA43" s="344"/>
      <c r="BAB43" s="344"/>
      <c r="BAC43" s="344"/>
      <c r="BAD43" s="344"/>
      <c r="BAE43" s="344"/>
      <c r="BAF43" s="344"/>
      <c r="BAG43" s="344"/>
      <c r="BAH43" s="344"/>
      <c r="BAI43" s="344"/>
      <c r="BAJ43" s="344"/>
      <c r="BAK43" s="344"/>
      <c r="BAL43" s="344"/>
      <c r="BAM43" s="344"/>
      <c r="BAN43" s="344"/>
      <c r="BAO43" s="344"/>
      <c r="BAP43" s="344"/>
      <c r="BAQ43" s="344"/>
      <c r="BAR43" s="344"/>
      <c r="BAS43" s="344"/>
      <c r="BAT43" s="344"/>
      <c r="BAU43" s="344"/>
      <c r="BAV43" s="344"/>
      <c r="BAW43" s="344"/>
      <c r="BAX43" s="344"/>
      <c r="BAY43" s="344"/>
      <c r="BAZ43" s="344"/>
      <c r="BBA43" s="344"/>
      <c r="BBB43" s="344"/>
      <c r="BBC43" s="344"/>
      <c r="BBD43" s="344"/>
      <c r="BBE43" s="344"/>
      <c r="BBF43" s="344"/>
      <c r="BBG43" s="344"/>
      <c r="BBH43" s="344"/>
      <c r="BBI43" s="344"/>
      <c r="BBJ43" s="344"/>
      <c r="BBK43" s="344"/>
      <c r="BBL43" s="344"/>
      <c r="BBM43" s="344"/>
      <c r="BBN43" s="344"/>
      <c r="BBO43" s="344"/>
      <c r="BBP43" s="344"/>
      <c r="BBQ43" s="344"/>
      <c r="BBR43" s="344"/>
      <c r="BBS43" s="344"/>
      <c r="BBT43" s="344"/>
      <c r="BBU43" s="344"/>
      <c r="BBV43" s="344"/>
      <c r="BBW43" s="344"/>
      <c r="BBX43" s="344"/>
      <c r="BBY43" s="344"/>
      <c r="BBZ43" s="344"/>
      <c r="BCA43" s="344"/>
      <c r="BCB43" s="344"/>
      <c r="BCC43" s="344"/>
      <c r="BCD43" s="344"/>
      <c r="BCE43" s="344"/>
      <c r="BCF43" s="344"/>
      <c r="BCG43" s="344"/>
      <c r="BCH43" s="344"/>
      <c r="BCI43" s="344"/>
      <c r="BCJ43" s="344"/>
      <c r="BCK43" s="344"/>
      <c r="BCL43" s="344"/>
      <c r="BCM43" s="344"/>
      <c r="BCN43" s="344"/>
      <c r="BCO43" s="344"/>
      <c r="BCP43" s="344"/>
      <c r="BCQ43" s="344"/>
      <c r="BCR43" s="344"/>
      <c r="BCS43" s="344"/>
      <c r="BCT43" s="344"/>
      <c r="BCU43" s="344"/>
      <c r="BCV43" s="344"/>
      <c r="BCW43" s="344"/>
      <c r="BCX43" s="344"/>
      <c r="BCY43" s="344"/>
      <c r="BCZ43" s="344"/>
      <c r="BDA43" s="344"/>
      <c r="BDB43" s="344"/>
      <c r="BDC43" s="344"/>
      <c r="BDD43" s="344"/>
      <c r="BDE43" s="344"/>
      <c r="BDF43" s="344"/>
      <c r="BDG43" s="344"/>
      <c r="BDH43" s="344"/>
      <c r="BDI43" s="344"/>
      <c r="BDJ43" s="344"/>
      <c r="BDK43" s="344"/>
      <c r="BDL43" s="344"/>
      <c r="BDM43" s="344"/>
      <c r="BDN43" s="344"/>
      <c r="BDO43" s="344"/>
      <c r="BDP43" s="344"/>
      <c r="BDQ43" s="344"/>
      <c r="BDR43" s="344"/>
      <c r="BDS43" s="344"/>
      <c r="BDT43" s="344"/>
      <c r="BDU43" s="344"/>
      <c r="BDV43" s="344"/>
      <c r="BDW43" s="344"/>
      <c r="BDX43" s="344"/>
      <c r="BDY43" s="344"/>
      <c r="BDZ43" s="344"/>
      <c r="BEA43" s="344"/>
      <c r="BEB43" s="344"/>
      <c r="BEC43" s="344"/>
      <c r="BED43" s="344"/>
      <c r="BEE43" s="344"/>
      <c r="BEF43" s="344"/>
      <c r="BEG43" s="344"/>
      <c r="BEH43" s="344"/>
      <c r="BEI43" s="344"/>
      <c r="BEJ43" s="344"/>
      <c r="BEK43" s="344"/>
      <c r="BEL43" s="344"/>
      <c r="BEM43" s="344"/>
      <c r="BEN43" s="344"/>
      <c r="BEO43" s="344"/>
      <c r="BEP43" s="344"/>
      <c r="BEQ43" s="344"/>
      <c r="BER43" s="344"/>
      <c r="BES43" s="344"/>
      <c r="BET43" s="344"/>
      <c r="BEU43" s="344"/>
      <c r="BEV43" s="344"/>
      <c r="BEW43" s="344"/>
      <c r="BEX43" s="344"/>
      <c r="BEY43" s="344"/>
      <c r="BEZ43" s="344"/>
      <c r="BFA43" s="344"/>
      <c r="BFB43" s="344"/>
      <c r="BFC43" s="344"/>
      <c r="BFD43" s="344"/>
      <c r="BFE43" s="344"/>
      <c r="BFF43" s="344"/>
      <c r="BFG43" s="344"/>
      <c r="BFH43" s="344"/>
      <c r="BFI43" s="344"/>
      <c r="BFJ43" s="344"/>
      <c r="BFK43" s="344"/>
      <c r="BFL43" s="344"/>
      <c r="BFM43" s="344"/>
      <c r="BFN43" s="344"/>
      <c r="BFO43" s="344"/>
      <c r="BFP43" s="344"/>
      <c r="BFQ43" s="344"/>
      <c r="BFR43" s="344"/>
      <c r="BFS43" s="344"/>
      <c r="BFT43" s="344"/>
      <c r="BFU43" s="344"/>
      <c r="BFV43" s="344"/>
      <c r="BFW43" s="344"/>
      <c r="BFX43" s="344"/>
      <c r="BFY43" s="344"/>
      <c r="BFZ43" s="344"/>
      <c r="BGA43" s="344"/>
      <c r="BGB43" s="344"/>
      <c r="BGC43" s="344"/>
      <c r="BGD43" s="344"/>
      <c r="BGE43" s="344"/>
      <c r="BGF43" s="344"/>
      <c r="BGG43" s="344"/>
      <c r="BGH43" s="344"/>
      <c r="BGI43" s="344"/>
      <c r="BGJ43" s="344"/>
      <c r="BGK43" s="344"/>
      <c r="BGL43" s="344"/>
      <c r="BGM43" s="344"/>
      <c r="BGN43" s="344"/>
      <c r="BGO43" s="344"/>
      <c r="BGP43" s="344"/>
      <c r="BGQ43" s="344"/>
      <c r="BGR43" s="344"/>
      <c r="BGS43" s="344"/>
      <c r="BGT43" s="344"/>
      <c r="BGU43" s="344"/>
      <c r="BGV43" s="344"/>
      <c r="BGW43" s="344"/>
      <c r="BGX43" s="344"/>
      <c r="BGY43" s="344"/>
      <c r="BGZ43" s="344"/>
      <c r="BHA43" s="344"/>
      <c r="BHB43" s="344"/>
      <c r="BHC43" s="344"/>
      <c r="BHD43" s="344"/>
      <c r="BHE43" s="344"/>
      <c r="BHF43" s="344"/>
      <c r="BHG43" s="344"/>
      <c r="BHH43" s="344"/>
      <c r="BHI43" s="344"/>
      <c r="BHJ43" s="344"/>
      <c r="BHK43" s="344"/>
      <c r="BHL43" s="344"/>
      <c r="BHM43" s="344"/>
      <c r="BHN43" s="344"/>
      <c r="BHO43" s="344"/>
      <c r="BHP43" s="344"/>
      <c r="BHQ43" s="344"/>
      <c r="BHR43" s="344"/>
      <c r="BHS43" s="344"/>
      <c r="BHT43" s="344"/>
      <c r="BHU43" s="344"/>
      <c r="BHV43" s="344"/>
      <c r="BHW43" s="344"/>
      <c r="BHX43" s="344"/>
      <c r="BHY43" s="344"/>
      <c r="BHZ43" s="344"/>
      <c r="BIA43" s="344"/>
      <c r="BIB43" s="344"/>
      <c r="BIC43" s="344"/>
      <c r="BID43" s="344"/>
      <c r="BIE43" s="344"/>
      <c r="BIF43" s="344"/>
      <c r="BIG43" s="344"/>
      <c r="BIH43" s="344"/>
      <c r="BII43" s="344"/>
      <c r="BIJ43" s="344"/>
      <c r="BIK43" s="344"/>
      <c r="BIL43" s="344"/>
      <c r="BIM43" s="344"/>
      <c r="BIN43" s="344"/>
      <c r="BIO43" s="344"/>
      <c r="BIP43" s="344"/>
      <c r="BIQ43" s="344"/>
      <c r="BIR43" s="344"/>
      <c r="BIS43" s="344"/>
      <c r="BIT43" s="344"/>
      <c r="BIU43" s="344"/>
      <c r="BIV43" s="344"/>
      <c r="BIW43" s="344"/>
      <c r="BIX43" s="344"/>
      <c r="BIY43" s="344"/>
      <c r="BIZ43" s="344"/>
      <c r="BJA43" s="344"/>
      <c r="BJB43" s="344"/>
      <c r="BJC43" s="344"/>
      <c r="BJD43" s="344"/>
      <c r="BJE43" s="344"/>
      <c r="BJF43" s="344"/>
      <c r="BJG43" s="344"/>
      <c r="BJH43" s="344"/>
      <c r="BJI43" s="344"/>
      <c r="BJJ43" s="344"/>
      <c r="BJK43" s="344"/>
      <c r="BJL43" s="344"/>
      <c r="BJM43" s="344"/>
      <c r="BJN43" s="344"/>
      <c r="BJO43" s="344"/>
      <c r="BJP43" s="344"/>
      <c r="BJQ43" s="344"/>
      <c r="BJR43" s="344"/>
      <c r="BJS43" s="344"/>
      <c r="BJT43" s="344"/>
      <c r="BJU43" s="344"/>
      <c r="BJV43" s="344"/>
      <c r="BJW43" s="344"/>
      <c r="BJX43" s="344"/>
      <c r="BJY43" s="344"/>
      <c r="BJZ43" s="344"/>
      <c r="BKA43" s="344"/>
      <c r="BKB43" s="344"/>
      <c r="BKC43" s="344"/>
      <c r="BKD43" s="344"/>
      <c r="BKE43" s="344"/>
      <c r="BKF43" s="344"/>
      <c r="BKG43" s="344"/>
      <c r="BKH43" s="344"/>
      <c r="BKI43" s="344"/>
      <c r="BKJ43" s="344"/>
      <c r="BKK43" s="344"/>
      <c r="BKL43" s="344"/>
      <c r="BKM43" s="344"/>
      <c r="BKN43" s="344"/>
      <c r="BKO43" s="344"/>
      <c r="BKP43" s="344"/>
      <c r="BKQ43" s="344"/>
      <c r="BKR43" s="344"/>
      <c r="BKS43" s="344"/>
      <c r="BKT43" s="344"/>
      <c r="BKU43" s="344"/>
      <c r="BKV43" s="344"/>
      <c r="BKW43" s="344"/>
      <c r="BKX43" s="344"/>
      <c r="BKY43" s="344"/>
      <c r="BKZ43" s="344"/>
      <c r="BLA43" s="344"/>
      <c r="BLB43" s="344"/>
      <c r="BLC43" s="344"/>
      <c r="BLD43" s="344"/>
      <c r="BLE43" s="344"/>
      <c r="BLF43" s="344"/>
      <c r="BLG43" s="344"/>
      <c r="BLH43" s="344"/>
      <c r="BLI43" s="344"/>
      <c r="BLJ43" s="344"/>
      <c r="BLK43" s="344"/>
      <c r="BLL43" s="344"/>
      <c r="BLM43" s="344"/>
      <c r="BLN43" s="344"/>
      <c r="BLO43" s="344"/>
      <c r="BLP43" s="344"/>
      <c r="BLQ43" s="344"/>
      <c r="BLR43" s="344"/>
      <c r="BLS43" s="344"/>
      <c r="BLT43" s="344"/>
      <c r="BLU43" s="344"/>
      <c r="BLV43" s="344"/>
      <c r="BLW43" s="344"/>
      <c r="BLX43" s="344"/>
      <c r="BLY43" s="344"/>
      <c r="BLZ43" s="344"/>
      <c r="BMA43" s="344"/>
      <c r="BMB43" s="344"/>
      <c r="BMC43" s="344"/>
      <c r="BMD43" s="344"/>
      <c r="BME43" s="344"/>
      <c r="BMF43" s="344"/>
      <c r="BMG43" s="344"/>
      <c r="BMH43" s="344"/>
      <c r="BMI43" s="344"/>
      <c r="BMJ43" s="344"/>
      <c r="BMK43" s="344"/>
      <c r="BML43" s="344"/>
      <c r="BMM43" s="344"/>
      <c r="BMN43" s="344"/>
      <c r="BMO43" s="344"/>
      <c r="BMP43" s="344"/>
      <c r="BMQ43" s="344"/>
      <c r="BMR43" s="344"/>
      <c r="BMS43" s="344"/>
      <c r="BMT43" s="344"/>
      <c r="BMU43" s="344"/>
      <c r="BMV43" s="344"/>
      <c r="BMW43" s="344"/>
      <c r="BMX43" s="344"/>
      <c r="BMY43" s="344"/>
      <c r="BMZ43" s="344"/>
      <c r="BNA43" s="344"/>
      <c r="BNB43" s="344"/>
      <c r="BNC43" s="344"/>
      <c r="BND43" s="344"/>
      <c r="BNE43" s="344"/>
      <c r="BNF43" s="344"/>
      <c r="BNG43" s="344"/>
      <c r="BNH43" s="344"/>
      <c r="BNI43" s="344"/>
      <c r="BNJ43" s="344"/>
      <c r="BNK43" s="344"/>
      <c r="BNL43" s="344"/>
      <c r="BNM43" s="344"/>
      <c r="BNN43" s="344"/>
      <c r="BNO43" s="344"/>
      <c r="BNP43" s="344"/>
      <c r="BNQ43" s="344"/>
      <c r="BNR43" s="344"/>
      <c r="BNS43" s="344"/>
      <c r="BNT43" s="344"/>
      <c r="BNU43" s="344"/>
      <c r="BNV43" s="344"/>
      <c r="BNW43" s="344"/>
      <c r="BNX43" s="344"/>
      <c r="BNY43" s="344"/>
      <c r="BNZ43" s="344"/>
      <c r="BOA43" s="344"/>
      <c r="BOB43" s="344"/>
      <c r="BOC43" s="344"/>
      <c r="BOD43" s="344"/>
      <c r="BOE43" s="344"/>
      <c r="BOF43" s="344"/>
      <c r="BOG43" s="344"/>
      <c r="BOH43" s="344"/>
      <c r="BOI43" s="344"/>
      <c r="BOJ43" s="344"/>
      <c r="BOK43" s="344"/>
      <c r="BOL43" s="344"/>
      <c r="BOM43" s="344"/>
      <c r="BON43" s="344"/>
      <c r="BOO43" s="344"/>
      <c r="BOP43" s="344"/>
      <c r="BOQ43" s="344"/>
      <c r="BOR43" s="344"/>
      <c r="BOS43" s="344"/>
      <c r="BOT43" s="344"/>
      <c r="BOU43" s="344"/>
      <c r="BOV43" s="344"/>
      <c r="BOW43" s="344"/>
      <c r="BOX43" s="344"/>
      <c r="BOY43" s="344"/>
      <c r="BOZ43" s="344"/>
      <c r="BPA43" s="344"/>
      <c r="BPB43" s="344"/>
      <c r="BPC43" s="344"/>
      <c r="BPD43" s="344"/>
      <c r="BPE43" s="344"/>
      <c r="BPF43" s="344"/>
      <c r="BPG43" s="344"/>
      <c r="BPH43" s="344"/>
      <c r="BPI43" s="344"/>
      <c r="BPJ43" s="344"/>
      <c r="BPK43" s="344"/>
      <c r="BPL43" s="344"/>
      <c r="BPM43" s="344"/>
      <c r="BPN43" s="344"/>
      <c r="BPO43" s="344"/>
      <c r="BPP43" s="344"/>
      <c r="BPQ43" s="344"/>
      <c r="BPR43" s="344"/>
      <c r="BPS43" s="344"/>
      <c r="BPT43" s="344"/>
      <c r="BPU43" s="344"/>
      <c r="BPV43" s="344"/>
      <c r="BPW43" s="344"/>
      <c r="BPX43" s="344"/>
      <c r="BPY43" s="344"/>
      <c r="BPZ43" s="344"/>
      <c r="BQA43" s="344"/>
      <c r="BQB43" s="344"/>
      <c r="BQC43" s="344"/>
      <c r="BQD43" s="344"/>
      <c r="BQE43" s="344"/>
      <c r="BQF43" s="344"/>
      <c r="BQG43" s="344"/>
      <c r="BQH43" s="344"/>
      <c r="BQI43" s="344"/>
      <c r="BQJ43" s="344"/>
      <c r="BQK43" s="344"/>
      <c r="BQL43" s="344"/>
      <c r="BQM43" s="344"/>
      <c r="BQN43" s="344"/>
      <c r="BQO43" s="344"/>
      <c r="BQP43" s="344"/>
      <c r="BQQ43" s="344"/>
      <c r="BQR43" s="344"/>
      <c r="BQS43" s="344"/>
      <c r="BQT43" s="344"/>
      <c r="BQU43" s="344"/>
      <c r="BQV43" s="344"/>
      <c r="BQW43" s="344"/>
      <c r="BQX43" s="344"/>
      <c r="BQY43" s="344"/>
      <c r="BQZ43" s="344"/>
      <c r="BRA43" s="344"/>
      <c r="BRB43" s="344"/>
      <c r="BRC43" s="344"/>
      <c r="BRD43" s="344"/>
      <c r="BRE43" s="344"/>
      <c r="BRF43" s="344"/>
      <c r="BRG43" s="344"/>
      <c r="BRH43" s="344"/>
      <c r="BRI43" s="344"/>
      <c r="BRJ43" s="344"/>
      <c r="BRK43" s="344"/>
      <c r="BRL43" s="344"/>
      <c r="BRM43" s="344"/>
      <c r="BRN43" s="344"/>
      <c r="BRO43" s="344"/>
      <c r="BRP43" s="344"/>
      <c r="BRQ43" s="344"/>
      <c r="BRR43" s="344"/>
      <c r="BRS43" s="344"/>
      <c r="BRT43" s="344"/>
      <c r="BRU43" s="344"/>
      <c r="BRV43" s="344"/>
      <c r="BRW43" s="344"/>
      <c r="BRX43" s="344"/>
      <c r="BRY43" s="344"/>
      <c r="BRZ43" s="344"/>
      <c r="BSA43" s="344"/>
      <c r="BSB43" s="344"/>
      <c r="BSC43" s="344"/>
      <c r="BSD43" s="344"/>
      <c r="BSE43" s="344"/>
      <c r="BSF43" s="344"/>
      <c r="BSG43" s="344"/>
      <c r="BSH43" s="344"/>
      <c r="BSI43" s="344"/>
      <c r="BSJ43" s="344"/>
      <c r="BSK43" s="344"/>
      <c r="BSL43" s="344"/>
      <c r="BSM43" s="344"/>
      <c r="BSN43" s="344"/>
      <c r="BSO43" s="344"/>
      <c r="BSP43" s="344"/>
      <c r="BSQ43" s="344"/>
      <c r="BSR43" s="344"/>
      <c r="BSS43" s="344"/>
      <c r="BST43" s="344"/>
      <c r="BSU43" s="344"/>
      <c r="BSV43" s="344"/>
      <c r="BSW43" s="344"/>
      <c r="BSX43" s="344"/>
      <c r="BSY43" s="344"/>
      <c r="BSZ43" s="344"/>
      <c r="BTA43" s="344"/>
      <c r="BTB43" s="344"/>
      <c r="BTC43" s="344"/>
      <c r="BTD43" s="344"/>
      <c r="BTE43" s="344"/>
      <c r="BTF43" s="344"/>
      <c r="BTG43" s="344"/>
      <c r="BTH43" s="344"/>
      <c r="BTI43" s="344"/>
      <c r="BTJ43" s="344"/>
      <c r="BTK43" s="344"/>
      <c r="BTL43" s="344"/>
      <c r="BTM43" s="344"/>
      <c r="BTN43" s="344"/>
      <c r="BTO43" s="344"/>
      <c r="BTP43" s="344"/>
      <c r="BTQ43" s="344"/>
      <c r="BTR43" s="344"/>
      <c r="BTS43" s="344"/>
      <c r="BTT43" s="344"/>
      <c r="BTU43" s="344"/>
      <c r="BTV43" s="344"/>
      <c r="BTW43" s="344"/>
      <c r="BTX43" s="344"/>
      <c r="BTY43" s="344"/>
      <c r="BTZ43" s="344"/>
      <c r="BUA43" s="344"/>
      <c r="BUB43" s="344"/>
      <c r="BUC43" s="344"/>
      <c r="BUD43" s="344"/>
      <c r="BUE43" s="344"/>
      <c r="BUF43" s="344"/>
      <c r="BUG43" s="344"/>
      <c r="BUH43" s="344"/>
      <c r="BUI43" s="344"/>
      <c r="BUJ43" s="344"/>
      <c r="BUK43" s="344"/>
      <c r="BUL43" s="344"/>
      <c r="BUM43" s="344"/>
      <c r="BUN43" s="344"/>
      <c r="BUO43" s="344"/>
      <c r="BUP43" s="344"/>
      <c r="BUQ43" s="344"/>
      <c r="BUR43" s="344"/>
      <c r="BUS43" s="344"/>
      <c r="BUT43" s="344"/>
      <c r="BUU43" s="344"/>
      <c r="BUV43" s="344"/>
      <c r="BUW43" s="344"/>
      <c r="BUX43" s="344"/>
      <c r="BUY43" s="344"/>
      <c r="BUZ43" s="344"/>
      <c r="BVA43" s="344"/>
      <c r="BVB43" s="344"/>
      <c r="BVC43" s="344"/>
      <c r="BVD43" s="344"/>
      <c r="BVE43" s="344"/>
      <c r="BVF43" s="344"/>
      <c r="BVG43" s="344"/>
      <c r="BVH43" s="344"/>
      <c r="BVI43" s="344"/>
      <c r="BVJ43" s="344"/>
      <c r="BVK43" s="344"/>
      <c r="BVL43" s="344"/>
      <c r="BVM43" s="344"/>
      <c r="BVN43" s="344"/>
      <c r="BVO43" s="344"/>
      <c r="BVP43" s="344"/>
      <c r="BVQ43" s="344"/>
      <c r="BVR43" s="344"/>
      <c r="BVS43" s="344"/>
      <c r="BVT43" s="344"/>
      <c r="BVU43" s="344"/>
      <c r="BVV43" s="344"/>
      <c r="BVW43" s="344"/>
      <c r="BVX43" s="344"/>
      <c r="BVY43" s="344"/>
      <c r="BVZ43" s="344"/>
      <c r="BWA43" s="344"/>
      <c r="BWB43" s="344"/>
      <c r="BWC43" s="344"/>
      <c r="BWD43" s="344"/>
      <c r="BWE43" s="344"/>
      <c r="BWF43" s="344"/>
      <c r="BWG43" s="344"/>
      <c r="BWH43" s="344"/>
      <c r="BWI43" s="344"/>
      <c r="BWJ43" s="344"/>
      <c r="BWK43" s="344"/>
      <c r="BWL43" s="344"/>
      <c r="BWM43" s="344"/>
      <c r="BWN43" s="344"/>
      <c r="BWO43" s="344"/>
      <c r="BWP43" s="344"/>
      <c r="BWQ43" s="344"/>
      <c r="BWR43" s="344"/>
      <c r="BWS43" s="344"/>
      <c r="BWT43" s="344"/>
      <c r="BWU43" s="344"/>
      <c r="BWV43" s="344"/>
      <c r="BWW43" s="344"/>
      <c r="BWX43" s="344"/>
      <c r="BWY43" s="344"/>
      <c r="BWZ43" s="344"/>
      <c r="BXA43" s="344"/>
      <c r="BXB43" s="344"/>
      <c r="BXC43" s="344"/>
      <c r="BXD43" s="344"/>
      <c r="BXE43" s="344"/>
      <c r="BXF43" s="344"/>
      <c r="BXG43" s="344"/>
      <c r="BXH43" s="344"/>
      <c r="BXI43" s="344"/>
      <c r="BXJ43" s="344"/>
      <c r="BXK43" s="344"/>
      <c r="BXL43" s="344"/>
      <c r="BXM43" s="344"/>
      <c r="BXN43" s="344"/>
      <c r="BXO43" s="344"/>
      <c r="BXP43" s="344"/>
      <c r="BXQ43" s="344"/>
      <c r="BXR43" s="344"/>
      <c r="BXS43" s="344"/>
      <c r="BXT43" s="344"/>
      <c r="BXU43" s="344"/>
      <c r="BXV43" s="344"/>
      <c r="BXW43" s="344"/>
      <c r="BXX43" s="344"/>
      <c r="BXY43" s="344"/>
      <c r="BXZ43" s="344"/>
      <c r="BYA43" s="344"/>
      <c r="BYB43" s="344"/>
      <c r="BYC43" s="344"/>
      <c r="BYD43" s="344"/>
      <c r="BYE43" s="344"/>
      <c r="BYF43" s="344"/>
      <c r="BYG43" s="344"/>
      <c r="BYH43" s="344"/>
      <c r="BYI43" s="344"/>
      <c r="BYJ43" s="344"/>
      <c r="BYK43" s="344"/>
      <c r="BYL43" s="344"/>
      <c r="BYM43" s="344"/>
      <c r="BYN43" s="344"/>
      <c r="BYO43" s="344"/>
      <c r="BYP43" s="344"/>
      <c r="BYQ43" s="344"/>
      <c r="BYR43" s="344"/>
      <c r="BYS43" s="344"/>
      <c r="BYT43" s="344"/>
      <c r="BYU43" s="344"/>
      <c r="BYV43" s="344"/>
      <c r="BYW43" s="344"/>
      <c r="BYX43" s="344"/>
      <c r="BYY43" s="344"/>
      <c r="BYZ43" s="344"/>
      <c r="BZA43" s="344"/>
      <c r="BZB43" s="344"/>
      <c r="BZC43" s="344"/>
      <c r="BZD43" s="344"/>
      <c r="BZE43" s="344"/>
      <c r="BZF43" s="344"/>
      <c r="BZG43" s="344"/>
      <c r="BZH43" s="344"/>
      <c r="BZI43" s="344"/>
      <c r="BZJ43" s="344"/>
      <c r="BZK43" s="344"/>
      <c r="BZL43" s="344"/>
      <c r="BZM43" s="344"/>
      <c r="BZN43" s="344"/>
      <c r="BZO43" s="344"/>
      <c r="BZP43" s="344"/>
      <c r="BZQ43" s="344"/>
      <c r="BZR43" s="344"/>
      <c r="BZS43" s="344"/>
      <c r="BZT43" s="344"/>
      <c r="BZU43" s="344"/>
      <c r="BZV43" s="344"/>
      <c r="BZW43" s="344"/>
      <c r="BZX43" s="344"/>
      <c r="BZY43" s="344"/>
      <c r="BZZ43" s="344"/>
      <c r="CAA43" s="344"/>
      <c r="CAB43" s="344"/>
      <c r="CAC43" s="344"/>
      <c r="CAD43" s="344"/>
      <c r="CAE43" s="344"/>
      <c r="CAF43" s="344"/>
      <c r="CAG43" s="344"/>
      <c r="CAH43" s="344"/>
      <c r="CAI43" s="344"/>
      <c r="CAJ43" s="344"/>
      <c r="CAK43" s="344"/>
      <c r="CAL43" s="344"/>
      <c r="CAM43" s="344"/>
      <c r="CAN43" s="344"/>
      <c r="CAO43" s="344"/>
      <c r="CAP43" s="344"/>
      <c r="CAQ43" s="344"/>
      <c r="CAR43" s="344"/>
      <c r="CAS43" s="344"/>
      <c r="CAT43" s="344"/>
      <c r="CAU43" s="344"/>
      <c r="CAV43" s="344"/>
      <c r="CAW43" s="344"/>
      <c r="CAX43" s="344"/>
      <c r="CAY43" s="344"/>
      <c r="CAZ43" s="344"/>
      <c r="CBA43" s="344"/>
      <c r="CBB43" s="344"/>
      <c r="CBC43" s="344"/>
      <c r="CBD43" s="344"/>
      <c r="CBE43" s="344"/>
      <c r="CBF43" s="344"/>
      <c r="CBG43" s="344"/>
      <c r="CBH43" s="344"/>
      <c r="CBI43" s="344"/>
      <c r="CBJ43" s="344"/>
      <c r="CBK43" s="344"/>
      <c r="CBL43" s="344"/>
      <c r="CBM43" s="344"/>
      <c r="CBN43" s="344"/>
      <c r="CBO43" s="344"/>
      <c r="CBP43" s="344"/>
      <c r="CBQ43" s="344"/>
      <c r="CBR43" s="344"/>
      <c r="CBS43" s="344"/>
      <c r="CBT43" s="344"/>
      <c r="CBU43" s="344"/>
      <c r="CBV43" s="344"/>
      <c r="CBW43" s="344"/>
      <c r="CBX43" s="344"/>
      <c r="CBY43" s="344"/>
      <c r="CBZ43" s="344"/>
      <c r="CCA43" s="344"/>
      <c r="CCB43" s="344"/>
      <c r="CCC43" s="344"/>
      <c r="CCD43" s="344"/>
      <c r="CCE43" s="344"/>
      <c r="CCF43" s="344"/>
      <c r="CCG43" s="344"/>
      <c r="CCH43" s="344"/>
      <c r="CCI43" s="344"/>
      <c r="CCJ43" s="344"/>
      <c r="CCK43" s="344"/>
      <c r="CCL43" s="344"/>
      <c r="CCM43" s="344"/>
      <c r="CCN43" s="344"/>
      <c r="CCO43" s="344"/>
      <c r="CCP43" s="344"/>
      <c r="CCQ43" s="344"/>
      <c r="CCR43" s="344"/>
      <c r="CCS43" s="344"/>
      <c r="CCT43" s="344"/>
      <c r="CCU43" s="344"/>
      <c r="CCV43" s="344"/>
      <c r="CCW43" s="344"/>
      <c r="CCX43" s="344"/>
      <c r="CCY43" s="344"/>
      <c r="CCZ43" s="344"/>
      <c r="CDA43" s="344"/>
      <c r="CDB43" s="344"/>
      <c r="CDC43" s="344"/>
      <c r="CDD43" s="344"/>
      <c r="CDE43" s="344"/>
      <c r="CDF43" s="344"/>
      <c r="CDG43" s="344"/>
      <c r="CDH43" s="344"/>
      <c r="CDI43" s="344"/>
      <c r="CDJ43" s="344"/>
      <c r="CDK43" s="344"/>
      <c r="CDL43" s="344"/>
      <c r="CDM43" s="344"/>
      <c r="CDN43" s="344"/>
      <c r="CDO43" s="344"/>
      <c r="CDP43" s="344"/>
      <c r="CDQ43" s="344"/>
      <c r="CDR43" s="344"/>
      <c r="CDS43" s="344"/>
      <c r="CDT43" s="344"/>
      <c r="CDU43" s="344"/>
      <c r="CDV43" s="344"/>
      <c r="CDW43" s="344"/>
      <c r="CDX43" s="344"/>
      <c r="CDY43" s="344"/>
      <c r="CDZ43" s="344"/>
      <c r="CEA43" s="344"/>
      <c r="CEB43" s="344"/>
      <c r="CEC43" s="344"/>
      <c r="CED43" s="344"/>
      <c r="CEE43" s="344"/>
      <c r="CEF43" s="344"/>
      <c r="CEG43" s="344"/>
      <c r="CEH43" s="344"/>
      <c r="CEI43" s="344"/>
      <c r="CEJ43" s="344"/>
      <c r="CEK43" s="344"/>
      <c r="CEL43" s="344"/>
      <c r="CEM43" s="344"/>
      <c r="CEN43" s="344"/>
      <c r="CEO43" s="344"/>
      <c r="CEP43" s="344"/>
      <c r="CEQ43" s="344"/>
      <c r="CER43" s="344"/>
      <c r="CES43" s="344"/>
      <c r="CET43" s="344"/>
      <c r="CEU43" s="344"/>
      <c r="CEV43" s="344"/>
      <c r="CEW43" s="344"/>
      <c r="CEX43" s="344"/>
      <c r="CEY43" s="344"/>
      <c r="CEZ43" s="344"/>
      <c r="CFA43" s="344"/>
      <c r="CFB43" s="344"/>
      <c r="CFC43" s="344"/>
      <c r="CFD43" s="344"/>
      <c r="CFE43" s="344"/>
      <c r="CFF43" s="344"/>
      <c r="CFG43" s="344"/>
      <c r="CFH43" s="344"/>
      <c r="CFI43" s="344"/>
      <c r="CFJ43" s="344"/>
      <c r="CFK43" s="344"/>
      <c r="CFL43" s="344"/>
      <c r="CFM43" s="344"/>
      <c r="CFN43" s="344"/>
      <c r="CFO43" s="344"/>
      <c r="CFP43" s="344"/>
      <c r="CFQ43" s="344"/>
      <c r="CFR43" s="344"/>
      <c r="CFS43" s="344"/>
      <c r="CFT43" s="344"/>
      <c r="CFU43" s="344"/>
      <c r="CFV43" s="344"/>
      <c r="CFW43" s="344"/>
      <c r="CFX43" s="344"/>
      <c r="CFY43" s="344"/>
      <c r="CFZ43" s="344"/>
      <c r="CGA43" s="344"/>
      <c r="CGB43" s="344"/>
      <c r="CGC43" s="344"/>
      <c r="CGD43" s="344"/>
      <c r="CGE43" s="344"/>
      <c r="CGF43" s="344"/>
      <c r="CGG43" s="344"/>
      <c r="CGH43" s="344"/>
      <c r="CGI43" s="344"/>
      <c r="CGJ43" s="344"/>
      <c r="CGK43" s="344"/>
      <c r="CGL43" s="344"/>
      <c r="CGM43" s="344"/>
      <c r="CGN43" s="344"/>
      <c r="CGO43" s="344"/>
      <c r="CGP43" s="344"/>
      <c r="CGQ43" s="344"/>
      <c r="CGR43" s="344"/>
      <c r="CGS43" s="344"/>
      <c r="CGT43" s="344"/>
      <c r="CGU43" s="344"/>
      <c r="CGV43" s="344"/>
      <c r="CGW43" s="344"/>
      <c r="CGX43" s="344"/>
      <c r="CGY43" s="344"/>
      <c r="CGZ43" s="344"/>
      <c r="CHA43" s="344"/>
      <c r="CHB43" s="344"/>
      <c r="CHC43" s="344"/>
      <c r="CHD43" s="344"/>
      <c r="CHE43" s="344"/>
      <c r="CHF43" s="344"/>
      <c r="CHG43" s="344"/>
      <c r="CHH43" s="344"/>
      <c r="CHI43" s="344"/>
      <c r="CHJ43" s="344"/>
      <c r="CHK43" s="344"/>
      <c r="CHL43" s="344"/>
      <c r="CHM43" s="344"/>
      <c r="CHN43" s="344"/>
      <c r="CHO43" s="344"/>
      <c r="CHP43" s="344"/>
      <c r="CHQ43" s="344"/>
      <c r="CHR43" s="344"/>
      <c r="CHS43" s="344"/>
      <c r="CHT43" s="344"/>
      <c r="CHU43" s="344"/>
      <c r="CHV43" s="344"/>
      <c r="CHW43" s="344"/>
      <c r="CHX43" s="344"/>
      <c r="CHY43" s="344"/>
      <c r="CHZ43" s="344"/>
      <c r="CIA43" s="344"/>
      <c r="CIB43" s="344"/>
      <c r="CIC43" s="344"/>
      <c r="CID43" s="344"/>
      <c r="CIE43" s="344"/>
      <c r="CIF43" s="344"/>
      <c r="CIG43" s="344"/>
      <c r="CIH43" s="344"/>
      <c r="CII43" s="344"/>
      <c r="CIJ43" s="344"/>
      <c r="CIK43" s="344"/>
      <c r="CIL43" s="344"/>
      <c r="CIM43" s="344"/>
      <c r="CIN43" s="344"/>
      <c r="CIO43" s="344"/>
      <c r="CIP43" s="344"/>
      <c r="CIQ43" s="344"/>
      <c r="CIR43" s="344"/>
      <c r="CIS43" s="344"/>
      <c r="CIT43" s="344"/>
      <c r="CIU43" s="344"/>
      <c r="CIV43" s="344"/>
      <c r="CIW43" s="344"/>
      <c r="CIX43" s="344"/>
      <c r="CIY43" s="344"/>
      <c r="CIZ43" s="344"/>
      <c r="CJA43" s="344"/>
      <c r="CJB43" s="344"/>
      <c r="CJC43" s="344"/>
      <c r="CJD43" s="344"/>
      <c r="CJE43" s="344"/>
      <c r="CJF43" s="344"/>
      <c r="CJG43" s="344"/>
      <c r="CJH43" s="344"/>
      <c r="CJI43" s="344"/>
      <c r="CJJ43" s="344"/>
      <c r="CJK43" s="344"/>
      <c r="CJL43" s="344"/>
      <c r="CJM43" s="344"/>
      <c r="CJN43" s="344"/>
      <c r="CJO43" s="344"/>
      <c r="CJP43" s="344"/>
      <c r="CJQ43" s="344"/>
      <c r="CJR43" s="344"/>
      <c r="CJS43" s="344"/>
      <c r="CJT43" s="344"/>
      <c r="CJU43" s="344"/>
      <c r="CJV43" s="344"/>
      <c r="CJW43" s="344"/>
      <c r="CJX43" s="344"/>
      <c r="CJY43" s="344"/>
      <c r="CJZ43" s="344"/>
      <c r="CKA43" s="344"/>
      <c r="CKB43" s="344"/>
      <c r="CKC43" s="344"/>
      <c r="CKD43" s="344"/>
      <c r="CKE43" s="344"/>
      <c r="CKF43" s="344"/>
      <c r="CKG43" s="344"/>
      <c r="CKH43" s="344"/>
      <c r="CKI43" s="344"/>
      <c r="CKJ43" s="344"/>
      <c r="CKK43" s="344"/>
      <c r="CKL43" s="344"/>
      <c r="CKM43" s="344"/>
      <c r="CKN43" s="344"/>
      <c r="CKO43" s="344"/>
      <c r="CKP43" s="344"/>
      <c r="CKQ43" s="344"/>
      <c r="CKR43" s="344"/>
      <c r="CKS43" s="344"/>
      <c r="CKT43" s="344"/>
      <c r="CKU43" s="344"/>
      <c r="CKV43" s="344"/>
      <c r="CKW43" s="344"/>
      <c r="CKX43" s="344"/>
      <c r="CKY43" s="344"/>
      <c r="CKZ43" s="344"/>
      <c r="CLA43" s="344"/>
      <c r="CLB43" s="344"/>
      <c r="CLC43" s="344"/>
      <c r="CLD43" s="344"/>
      <c r="CLE43" s="344"/>
      <c r="CLF43" s="344"/>
      <c r="CLG43" s="344"/>
      <c r="CLH43" s="344"/>
      <c r="CLI43" s="344"/>
      <c r="CLJ43" s="344"/>
      <c r="CLK43" s="344"/>
      <c r="CLL43" s="344"/>
      <c r="CLM43" s="344"/>
      <c r="CLN43" s="344"/>
      <c r="CLO43" s="344"/>
      <c r="CLP43" s="344"/>
      <c r="CLQ43" s="344"/>
      <c r="CLR43" s="344"/>
      <c r="CLS43" s="344"/>
      <c r="CLT43" s="344"/>
      <c r="CLU43" s="344"/>
      <c r="CLV43" s="344"/>
      <c r="CLW43" s="344"/>
      <c r="CLX43" s="344"/>
      <c r="CLY43" s="344"/>
      <c r="CLZ43" s="344"/>
      <c r="CMA43" s="344"/>
      <c r="CMB43" s="344"/>
      <c r="CMC43" s="344"/>
      <c r="CMD43" s="344"/>
      <c r="CME43" s="344"/>
      <c r="CMF43" s="344"/>
      <c r="CMG43" s="344"/>
      <c r="CMH43" s="344"/>
      <c r="CMI43" s="344"/>
      <c r="CMJ43" s="344"/>
      <c r="CMK43" s="344"/>
      <c r="CML43" s="344"/>
      <c r="CMM43" s="344"/>
      <c r="CMN43" s="344"/>
      <c r="CMO43" s="344"/>
      <c r="CMP43" s="344"/>
      <c r="CMQ43" s="344"/>
      <c r="CMR43" s="344"/>
      <c r="CMS43" s="344"/>
      <c r="CMT43" s="344"/>
      <c r="CMU43" s="344"/>
      <c r="CMV43" s="344"/>
      <c r="CMW43" s="344"/>
      <c r="CMX43" s="344"/>
      <c r="CMY43" s="344"/>
      <c r="CMZ43" s="344"/>
      <c r="CNA43" s="344"/>
      <c r="CNB43" s="344"/>
      <c r="CNC43" s="344"/>
      <c r="CND43" s="344"/>
      <c r="CNE43" s="344"/>
      <c r="CNF43" s="344"/>
      <c r="CNG43" s="344"/>
      <c r="CNH43" s="344"/>
      <c r="CNI43" s="344"/>
      <c r="CNJ43" s="344"/>
      <c r="CNK43" s="344"/>
      <c r="CNL43" s="344"/>
      <c r="CNM43" s="344"/>
      <c r="CNN43" s="344"/>
      <c r="CNO43" s="344"/>
      <c r="CNP43" s="344"/>
      <c r="CNQ43" s="344"/>
      <c r="CNR43" s="344"/>
      <c r="CNS43" s="344"/>
      <c r="CNT43" s="344"/>
      <c r="CNU43" s="344"/>
      <c r="CNV43" s="344"/>
      <c r="CNW43" s="344"/>
      <c r="CNX43" s="344"/>
      <c r="CNY43" s="344"/>
      <c r="CNZ43" s="344"/>
      <c r="COA43" s="344"/>
      <c r="COB43" s="344"/>
      <c r="COC43" s="344"/>
      <c r="COD43" s="344"/>
      <c r="COE43" s="344"/>
      <c r="COF43" s="344"/>
      <c r="COG43" s="344"/>
      <c r="COH43" s="344"/>
      <c r="COI43" s="344"/>
      <c r="COJ43" s="344"/>
      <c r="COK43" s="344"/>
      <c r="COL43" s="344"/>
      <c r="COM43" s="344"/>
      <c r="CON43" s="344"/>
      <c r="COO43" s="344"/>
      <c r="COP43" s="344"/>
      <c r="COQ43" s="344"/>
      <c r="COR43" s="344"/>
      <c r="COS43" s="344"/>
      <c r="COT43" s="344"/>
      <c r="COU43" s="344"/>
      <c r="COV43" s="344"/>
      <c r="COW43" s="344"/>
      <c r="COX43" s="344"/>
      <c r="COY43" s="344"/>
      <c r="COZ43" s="344"/>
      <c r="CPA43" s="344"/>
      <c r="CPB43" s="344"/>
      <c r="CPC43" s="344"/>
      <c r="CPD43" s="344"/>
      <c r="CPE43" s="344"/>
      <c r="CPF43" s="344"/>
      <c r="CPG43" s="344"/>
      <c r="CPH43" s="344"/>
      <c r="CPI43" s="344"/>
      <c r="CPJ43" s="344"/>
      <c r="CPK43" s="344"/>
      <c r="CPL43" s="344"/>
      <c r="CPM43" s="344"/>
      <c r="CPN43" s="344"/>
      <c r="CPO43" s="344"/>
      <c r="CPP43" s="344"/>
      <c r="CPQ43" s="344"/>
      <c r="CPR43" s="344"/>
      <c r="CPS43" s="344"/>
      <c r="CPT43" s="344"/>
      <c r="CPU43" s="344"/>
      <c r="CPV43" s="344"/>
      <c r="CPW43" s="344"/>
      <c r="CPX43" s="344"/>
      <c r="CPY43" s="344"/>
      <c r="CPZ43" s="344"/>
      <c r="CQA43" s="344"/>
      <c r="CQB43" s="344"/>
      <c r="CQC43" s="344"/>
      <c r="CQD43" s="344"/>
      <c r="CQE43" s="344"/>
      <c r="CQF43" s="344"/>
      <c r="CQG43" s="344"/>
      <c r="CQH43" s="344"/>
      <c r="CQI43" s="344"/>
      <c r="CQJ43" s="344"/>
      <c r="CQK43" s="344"/>
      <c r="CQL43" s="344"/>
      <c r="CQM43" s="344"/>
      <c r="CQN43" s="344"/>
      <c r="CQO43" s="344"/>
      <c r="CQP43" s="344"/>
      <c r="CQQ43" s="344"/>
      <c r="CQR43" s="344"/>
      <c r="CQS43" s="344"/>
      <c r="CQT43" s="344"/>
      <c r="CQU43" s="344"/>
      <c r="CQV43" s="344"/>
      <c r="CQW43" s="344"/>
      <c r="CQX43" s="344"/>
      <c r="CQY43" s="344"/>
      <c r="CQZ43" s="344"/>
      <c r="CRA43" s="344"/>
      <c r="CRB43" s="344"/>
      <c r="CRC43" s="344"/>
      <c r="CRD43" s="344"/>
      <c r="CRE43" s="344"/>
      <c r="CRF43" s="344"/>
      <c r="CRG43" s="344"/>
      <c r="CRH43" s="344"/>
      <c r="CRI43" s="344"/>
      <c r="CRJ43" s="344"/>
      <c r="CRK43" s="344"/>
      <c r="CRL43" s="344"/>
      <c r="CRM43" s="344"/>
      <c r="CRN43" s="344"/>
      <c r="CRO43" s="344"/>
      <c r="CRP43" s="344"/>
      <c r="CRQ43" s="344"/>
      <c r="CRR43" s="344"/>
      <c r="CRS43" s="344"/>
      <c r="CRT43" s="344"/>
      <c r="CRU43" s="344"/>
      <c r="CRV43" s="344"/>
      <c r="CRW43" s="344"/>
      <c r="CRX43" s="344"/>
      <c r="CRY43" s="344"/>
      <c r="CRZ43" s="344"/>
      <c r="CSA43" s="344"/>
      <c r="CSB43" s="344"/>
      <c r="CSC43" s="344"/>
      <c r="CSD43" s="344"/>
      <c r="CSE43" s="344"/>
      <c r="CSF43" s="344"/>
      <c r="CSG43" s="344"/>
      <c r="CSH43" s="344"/>
      <c r="CSI43" s="344"/>
      <c r="CSJ43" s="344"/>
      <c r="CSK43" s="344"/>
      <c r="CSL43" s="344"/>
      <c r="CSM43" s="344"/>
      <c r="CSN43" s="344"/>
      <c r="CSO43" s="344"/>
      <c r="CSP43" s="344"/>
      <c r="CSQ43" s="344"/>
      <c r="CSR43" s="344"/>
      <c r="CSS43" s="344"/>
      <c r="CST43" s="344"/>
      <c r="CSU43" s="344"/>
      <c r="CSV43" s="344"/>
      <c r="CSW43" s="344"/>
      <c r="CSX43" s="344"/>
      <c r="CSY43" s="344"/>
      <c r="CSZ43" s="344"/>
      <c r="CTA43" s="344"/>
      <c r="CTB43" s="344"/>
      <c r="CTC43" s="344"/>
      <c r="CTD43" s="344"/>
      <c r="CTE43" s="344"/>
      <c r="CTF43" s="344"/>
      <c r="CTG43" s="344"/>
      <c r="CTH43" s="344"/>
      <c r="CTI43" s="344"/>
      <c r="CTJ43" s="344"/>
      <c r="CTK43" s="344"/>
      <c r="CTL43" s="344"/>
      <c r="CTM43" s="344"/>
      <c r="CTN43" s="344"/>
      <c r="CTO43" s="344"/>
      <c r="CTP43" s="344"/>
      <c r="CTQ43" s="344"/>
      <c r="CTR43" s="344"/>
      <c r="CTS43" s="344"/>
      <c r="CTT43" s="344"/>
      <c r="CTU43" s="344"/>
      <c r="CTV43" s="344"/>
      <c r="CTW43" s="344"/>
      <c r="CTX43" s="344"/>
      <c r="CTY43" s="344"/>
      <c r="CTZ43" s="344"/>
      <c r="CUA43" s="344"/>
      <c r="CUB43" s="344"/>
      <c r="CUC43" s="344"/>
      <c r="CUD43" s="344"/>
      <c r="CUE43" s="344"/>
      <c r="CUF43" s="344"/>
      <c r="CUG43" s="344"/>
      <c r="CUH43" s="344"/>
      <c r="CUI43" s="344"/>
      <c r="CUJ43" s="344"/>
      <c r="CUK43" s="344"/>
      <c r="CUL43" s="344"/>
      <c r="CUM43" s="344"/>
      <c r="CUN43" s="344"/>
      <c r="CUO43" s="344"/>
      <c r="CUP43" s="344"/>
      <c r="CUQ43" s="344"/>
      <c r="CUR43" s="344"/>
      <c r="CUS43" s="344"/>
      <c r="CUT43" s="344"/>
      <c r="CUU43" s="344"/>
      <c r="CUV43" s="344"/>
      <c r="CUW43" s="344"/>
      <c r="CUX43" s="344"/>
      <c r="CUY43" s="344"/>
      <c r="CUZ43" s="344"/>
      <c r="CVA43" s="344"/>
      <c r="CVB43" s="344"/>
      <c r="CVC43" s="344"/>
      <c r="CVD43" s="344"/>
      <c r="CVE43" s="344"/>
      <c r="CVF43" s="344"/>
      <c r="CVG43" s="344"/>
      <c r="CVH43" s="344"/>
      <c r="CVI43" s="344"/>
      <c r="CVJ43" s="344"/>
      <c r="CVK43" s="344"/>
      <c r="CVL43" s="344"/>
      <c r="CVM43" s="344"/>
      <c r="CVN43" s="344"/>
      <c r="CVO43" s="344"/>
      <c r="CVP43" s="344"/>
      <c r="CVQ43" s="344"/>
      <c r="CVR43" s="344"/>
      <c r="CVS43" s="344"/>
      <c r="CVT43" s="344"/>
      <c r="CVU43" s="344"/>
      <c r="CVV43" s="344"/>
      <c r="CVW43" s="344"/>
      <c r="CVX43" s="344"/>
      <c r="CVY43" s="344"/>
      <c r="CVZ43" s="344"/>
      <c r="CWA43" s="344"/>
      <c r="CWB43" s="344"/>
      <c r="CWC43" s="344"/>
      <c r="CWD43" s="344"/>
      <c r="CWE43" s="344"/>
      <c r="CWF43" s="344"/>
      <c r="CWG43" s="344"/>
      <c r="CWH43" s="344"/>
      <c r="CWI43" s="344"/>
      <c r="CWJ43" s="344"/>
      <c r="CWK43" s="344"/>
      <c r="CWL43" s="344"/>
      <c r="CWM43" s="344"/>
      <c r="CWN43" s="344"/>
      <c r="CWO43" s="344"/>
      <c r="CWP43" s="344"/>
      <c r="CWQ43" s="344"/>
      <c r="CWR43" s="344"/>
      <c r="CWS43" s="344"/>
      <c r="CWT43" s="344"/>
      <c r="CWU43" s="344"/>
      <c r="CWV43" s="344"/>
      <c r="CWW43" s="344"/>
      <c r="CWX43" s="344"/>
      <c r="CWY43" s="344"/>
      <c r="CWZ43" s="344"/>
      <c r="CXA43" s="344"/>
      <c r="CXB43" s="344"/>
      <c r="CXC43" s="344"/>
      <c r="CXD43" s="344"/>
      <c r="CXE43" s="344"/>
      <c r="CXF43" s="344"/>
      <c r="CXG43" s="344"/>
      <c r="CXH43" s="344"/>
      <c r="CXI43" s="344"/>
      <c r="CXJ43" s="344"/>
      <c r="CXK43" s="344"/>
      <c r="CXL43" s="344"/>
      <c r="CXM43" s="344"/>
      <c r="CXN43" s="344"/>
      <c r="CXO43" s="344"/>
      <c r="CXP43" s="344"/>
      <c r="CXQ43" s="344"/>
      <c r="CXR43" s="344"/>
      <c r="CXS43" s="344"/>
      <c r="CXT43" s="344"/>
      <c r="CXU43" s="344"/>
      <c r="CXV43" s="344"/>
      <c r="CXW43" s="344"/>
      <c r="CXX43" s="344"/>
      <c r="CXY43" s="344"/>
      <c r="CXZ43" s="344"/>
      <c r="CYA43" s="344"/>
      <c r="CYB43" s="344"/>
      <c r="CYC43" s="344"/>
      <c r="CYD43" s="344"/>
      <c r="CYE43" s="344"/>
      <c r="CYF43" s="344"/>
      <c r="CYG43" s="344"/>
      <c r="CYH43" s="344"/>
      <c r="CYI43" s="344"/>
      <c r="CYJ43" s="344"/>
      <c r="CYK43" s="344"/>
      <c r="CYL43" s="344"/>
      <c r="CYM43" s="344"/>
      <c r="CYN43" s="344"/>
      <c r="CYO43" s="344"/>
      <c r="CYP43" s="344"/>
      <c r="CYQ43" s="344"/>
      <c r="CYR43" s="344"/>
      <c r="CYS43" s="344"/>
      <c r="CYT43" s="344"/>
      <c r="CYU43" s="344"/>
      <c r="CYV43" s="344"/>
      <c r="CYW43" s="344"/>
      <c r="CYX43" s="344"/>
      <c r="CYY43" s="344"/>
      <c r="CYZ43" s="344"/>
      <c r="CZA43" s="344"/>
      <c r="CZB43" s="344"/>
      <c r="CZC43" s="344"/>
      <c r="CZD43" s="344"/>
      <c r="CZE43" s="344"/>
      <c r="CZF43" s="344"/>
      <c r="CZG43" s="344"/>
      <c r="CZH43" s="344"/>
      <c r="CZI43" s="344"/>
      <c r="CZJ43" s="344"/>
      <c r="CZK43" s="344"/>
      <c r="CZL43" s="344"/>
      <c r="CZM43" s="344"/>
      <c r="CZN43" s="344"/>
      <c r="CZO43" s="344"/>
      <c r="CZP43" s="344"/>
      <c r="CZQ43" s="344"/>
      <c r="CZR43" s="344"/>
      <c r="CZS43" s="344"/>
      <c r="CZT43" s="344"/>
      <c r="CZU43" s="344"/>
      <c r="CZV43" s="344"/>
      <c r="CZW43" s="344"/>
      <c r="CZX43" s="344"/>
      <c r="CZY43" s="344"/>
      <c r="CZZ43" s="344"/>
      <c r="DAA43" s="344"/>
      <c r="DAB43" s="344"/>
      <c r="DAC43" s="344"/>
      <c r="DAD43" s="344"/>
      <c r="DAE43" s="344"/>
      <c r="DAF43" s="344"/>
      <c r="DAG43" s="344"/>
      <c r="DAH43" s="344"/>
      <c r="DAI43" s="344"/>
      <c r="DAJ43" s="344"/>
      <c r="DAK43" s="344"/>
      <c r="DAL43" s="344"/>
      <c r="DAM43" s="344"/>
      <c r="DAN43" s="344"/>
      <c r="DAO43" s="344"/>
      <c r="DAP43" s="344"/>
      <c r="DAQ43" s="344"/>
      <c r="DAR43" s="344"/>
      <c r="DAS43" s="344"/>
      <c r="DAT43" s="344"/>
      <c r="DAU43" s="344"/>
      <c r="DAV43" s="344"/>
      <c r="DAW43" s="344"/>
      <c r="DAX43" s="344"/>
      <c r="DAY43" s="344"/>
      <c r="DAZ43" s="344"/>
      <c r="DBA43" s="344"/>
      <c r="DBB43" s="344"/>
      <c r="DBC43" s="344"/>
      <c r="DBD43" s="344"/>
      <c r="DBE43" s="344"/>
      <c r="DBF43" s="344"/>
      <c r="DBG43" s="344"/>
      <c r="DBH43" s="344"/>
      <c r="DBI43" s="344"/>
      <c r="DBJ43" s="344"/>
      <c r="DBK43" s="344"/>
      <c r="DBL43" s="344"/>
      <c r="DBM43" s="344"/>
      <c r="DBN43" s="344"/>
      <c r="DBO43" s="344"/>
      <c r="DBP43" s="344"/>
      <c r="DBQ43" s="344"/>
      <c r="DBR43" s="344"/>
      <c r="DBS43" s="344"/>
      <c r="DBT43" s="344"/>
      <c r="DBU43" s="344"/>
      <c r="DBV43" s="344"/>
      <c r="DBW43" s="344"/>
      <c r="DBX43" s="344"/>
      <c r="DBY43" s="344"/>
      <c r="DBZ43" s="344"/>
      <c r="DCA43" s="344"/>
      <c r="DCB43" s="344"/>
      <c r="DCC43" s="344"/>
      <c r="DCD43" s="344"/>
      <c r="DCE43" s="344"/>
      <c r="DCF43" s="344"/>
      <c r="DCG43" s="344"/>
      <c r="DCH43" s="344"/>
      <c r="DCI43" s="344"/>
      <c r="DCJ43" s="344"/>
      <c r="DCK43" s="344"/>
      <c r="DCL43" s="344"/>
      <c r="DCM43" s="344"/>
      <c r="DCN43" s="344"/>
      <c r="DCO43" s="344"/>
      <c r="DCP43" s="344"/>
      <c r="DCQ43" s="344"/>
      <c r="DCR43" s="344"/>
      <c r="DCS43" s="344"/>
      <c r="DCT43" s="344"/>
      <c r="DCU43" s="344"/>
      <c r="DCV43" s="344"/>
      <c r="DCW43" s="344"/>
      <c r="DCX43" s="344"/>
      <c r="DCY43" s="344"/>
      <c r="DCZ43" s="344"/>
      <c r="DDA43" s="344"/>
      <c r="DDB43" s="344"/>
      <c r="DDC43" s="344"/>
      <c r="DDD43" s="344"/>
      <c r="DDE43" s="344"/>
      <c r="DDF43" s="344"/>
      <c r="DDG43" s="344"/>
      <c r="DDH43" s="344"/>
      <c r="DDI43" s="344"/>
      <c r="DDJ43" s="344"/>
      <c r="DDK43" s="344"/>
      <c r="DDL43" s="344"/>
      <c r="DDM43" s="344"/>
      <c r="DDN43" s="344"/>
      <c r="DDO43" s="344"/>
      <c r="DDP43" s="344"/>
      <c r="DDQ43" s="344"/>
      <c r="DDR43" s="344"/>
      <c r="DDS43" s="344"/>
      <c r="DDT43" s="344"/>
      <c r="DDU43" s="344"/>
      <c r="DDV43" s="344"/>
      <c r="DDW43" s="344"/>
      <c r="DDX43" s="344"/>
      <c r="DDY43" s="344"/>
      <c r="DDZ43" s="344"/>
      <c r="DEA43" s="344"/>
      <c r="DEB43" s="344"/>
      <c r="DEC43" s="344"/>
      <c r="DED43" s="344"/>
      <c r="DEE43" s="344"/>
      <c r="DEF43" s="344"/>
      <c r="DEG43" s="344"/>
      <c r="DEH43" s="344"/>
      <c r="DEI43" s="344"/>
      <c r="DEJ43" s="344"/>
      <c r="DEK43" s="344"/>
      <c r="DEL43" s="344"/>
      <c r="DEM43" s="344"/>
      <c r="DEN43" s="344"/>
      <c r="DEO43" s="344"/>
      <c r="DEP43" s="344"/>
      <c r="DEQ43" s="344"/>
      <c r="DER43" s="344"/>
      <c r="DES43" s="344"/>
      <c r="DET43" s="344"/>
      <c r="DEU43" s="344"/>
      <c r="DEV43" s="344"/>
      <c r="DEW43" s="344"/>
      <c r="DEX43" s="344"/>
      <c r="DEY43" s="344"/>
      <c r="DEZ43" s="344"/>
      <c r="DFA43" s="344"/>
      <c r="DFB43" s="344"/>
      <c r="DFC43" s="344"/>
      <c r="DFD43" s="344"/>
      <c r="DFE43" s="344"/>
      <c r="DFF43" s="344"/>
      <c r="DFG43" s="344"/>
      <c r="DFH43" s="344"/>
      <c r="DFI43" s="344"/>
      <c r="DFJ43" s="344"/>
      <c r="DFK43" s="344"/>
      <c r="DFL43" s="344"/>
      <c r="DFM43" s="344"/>
      <c r="DFN43" s="344"/>
      <c r="DFO43" s="344"/>
      <c r="DFP43" s="344"/>
      <c r="DFQ43" s="344"/>
      <c r="DFR43" s="344"/>
      <c r="DFS43" s="344"/>
      <c r="DFT43" s="344"/>
      <c r="DFU43" s="344"/>
      <c r="DFV43" s="344"/>
      <c r="DFW43" s="344"/>
      <c r="DFX43" s="344"/>
      <c r="DFY43" s="344"/>
      <c r="DFZ43" s="344"/>
      <c r="DGA43" s="344"/>
      <c r="DGB43" s="344"/>
      <c r="DGC43" s="344"/>
      <c r="DGD43" s="344"/>
      <c r="DGE43" s="344"/>
      <c r="DGF43" s="344"/>
      <c r="DGG43" s="344"/>
      <c r="DGH43" s="344"/>
      <c r="DGI43" s="344"/>
      <c r="DGJ43" s="344"/>
      <c r="DGK43" s="344"/>
      <c r="DGL43" s="344"/>
      <c r="DGM43" s="344"/>
      <c r="DGN43" s="344"/>
      <c r="DGO43" s="344"/>
      <c r="DGP43" s="344"/>
      <c r="DGQ43" s="344"/>
      <c r="DGR43" s="344"/>
      <c r="DGS43" s="344"/>
      <c r="DGT43" s="344"/>
      <c r="DGU43" s="344"/>
      <c r="DGV43" s="344"/>
      <c r="DGW43" s="344"/>
      <c r="DGX43" s="344"/>
      <c r="DGY43" s="344"/>
      <c r="DGZ43" s="344"/>
      <c r="DHA43" s="344"/>
      <c r="DHB43" s="344"/>
      <c r="DHC43" s="344"/>
      <c r="DHD43" s="344"/>
      <c r="DHE43" s="344"/>
      <c r="DHF43" s="344"/>
      <c r="DHG43" s="344"/>
      <c r="DHH43" s="344"/>
      <c r="DHI43" s="344"/>
      <c r="DHJ43" s="344"/>
      <c r="DHK43" s="344"/>
      <c r="DHL43" s="344"/>
      <c r="DHM43" s="344"/>
      <c r="DHN43" s="344"/>
      <c r="DHO43" s="344"/>
      <c r="DHP43" s="344"/>
      <c r="DHQ43" s="344"/>
      <c r="DHR43" s="344"/>
      <c r="DHS43" s="344"/>
      <c r="DHT43" s="344"/>
      <c r="DHU43" s="344"/>
      <c r="DHV43" s="344"/>
      <c r="DHW43" s="344"/>
      <c r="DHX43" s="344"/>
      <c r="DHY43" s="344"/>
      <c r="DHZ43" s="344"/>
      <c r="DIA43" s="344"/>
      <c r="DIB43" s="344"/>
      <c r="DIC43" s="344"/>
      <c r="DID43" s="344"/>
      <c r="DIE43" s="344"/>
      <c r="DIF43" s="344"/>
      <c r="DIG43" s="344"/>
      <c r="DIH43" s="344"/>
      <c r="DII43" s="344"/>
      <c r="DIJ43" s="344"/>
      <c r="DIK43" s="344"/>
      <c r="DIL43" s="344"/>
      <c r="DIM43" s="344"/>
      <c r="DIN43" s="344"/>
      <c r="DIO43" s="344"/>
      <c r="DIP43" s="344"/>
      <c r="DIQ43" s="344"/>
      <c r="DIR43" s="344"/>
      <c r="DIS43" s="344"/>
      <c r="DIT43" s="344"/>
      <c r="DIU43" s="344"/>
      <c r="DIV43" s="344"/>
      <c r="DIW43" s="344"/>
      <c r="DIX43" s="344"/>
      <c r="DIY43" s="344"/>
      <c r="DIZ43" s="344"/>
      <c r="DJA43" s="344"/>
      <c r="DJB43" s="344"/>
      <c r="DJC43" s="344"/>
      <c r="DJD43" s="344"/>
      <c r="DJE43" s="344"/>
      <c r="DJF43" s="344"/>
      <c r="DJG43" s="344"/>
      <c r="DJH43" s="344"/>
      <c r="DJI43" s="344"/>
      <c r="DJJ43" s="344"/>
      <c r="DJK43" s="344"/>
      <c r="DJL43" s="344"/>
      <c r="DJM43" s="344"/>
      <c r="DJN43" s="344"/>
      <c r="DJO43" s="344"/>
      <c r="DJP43" s="344"/>
      <c r="DJQ43" s="344"/>
      <c r="DJR43" s="344"/>
      <c r="DJS43" s="344"/>
      <c r="DJT43" s="344"/>
      <c r="DJU43" s="344"/>
      <c r="DJV43" s="344"/>
      <c r="DJW43" s="344"/>
      <c r="DJX43" s="344"/>
      <c r="DJY43" s="344"/>
      <c r="DJZ43" s="344"/>
      <c r="DKA43" s="344"/>
      <c r="DKB43" s="344"/>
      <c r="DKC43" s="344"/>
      <c r="DKD43" s="344"/>
      <c r="DKE43" s="344"/>
      <c r="DKF43" s="344"/>
      <c r="DKG43" s="344"/>
      <c r="DKH43" s="344"/>
      <c r="DKI43" s="344"/>
      <c r="DKJ43" s="344"/>
      <c r="DKK43" s="344"/>
      <c r="DKL43" s="344"/>
      <c r="DKM43" s="344"/>
      <c r="DKN43" s="344"/>
      <c r="DKO43" s="344"/>
      <c r="DKP43" s="344"/>
      <c r="DKQ43" s="344"/>
      <c r="DKR43" s="344"/>
      <c r="DKS43" s="344"/>
      <c r="DKT43" s="344"/>
      <c r="DKU43" s="344"/>
      <c r="DKV43" s="344"/>
      <c r="DKW43" s="344"/>
      <c r="DKX43" s="344"/>
      <c r="DKY43" s="344"/>
      <c r="DKZ43" s="344"/>
      <c r="DLA43" s="344"/>
      <c r="DLB43" s="344"/>
      <c r="DLC43" s="344"/>
      <c r="DLD43" s="344"/>
      <c r="DLE43" s="344"/>
      <c r="DLF43" s="344"/>
      <c r="DLG43" s="344"/>
      <c r="DLH43" s="344"/>
      <c r="DLI43" s="344"/>
      <c r="DLJ43" s="344"/>
      <c r="DLK43" s="344"/>
      <c r="DLL43" s="344"/>
      <c r="DLM43" s="344"/>
      <c r="DLN43" s="344"/>
      <c r="DLO43" s="344"/>
      <c r="DLP43" s="344"/>
      <c r="DLQ43" s="344"/>
      <c r="DLR43" s="344"/>
      <c r="DLS43" s="344"/>
      <c r="DLT43" s="344"/>
      <c r="DLU43" s="344"/>
      <c r="DLV43" s="344"/>
      <c r="DLW43" s="344"/>
      <c r="DLX43" s="344"/>
      <c r="DLY43" s="344"/>
      <c r="DLZ43" s="344"/>
      <c r="DMA43" s="344"/>
      <c r="DMB43" s="344"/>
      <c r="DMC43" s="344"/>
      <c r="DMD43" s="344"/>
      <c r="DME43" s="344"/>
      <c r="DMF43" s="344"/>
      <c r="DMG43" s="344"/>
      <c r="DMH43" s="344"/>
      <c r="DMI43" s="344"/>
      <c r="DMJ43" s="344"/>
      <c r="DMK43" s="344"/>
      <c r="DML43" s="344"/>
      <c r="DMM43" s="344"/>
      <c r="DMN43" s="344"/>
      <c r="DMO43" s="344"/>
      <c r="DMP43" s="344"/>
      <c r="DMQ43" s="344"/>
      <c r="DMR43" s="344"/>
      <c r="DMS43" s="344"/>
      <c r="DMT43" s="344"/>
      <c r="DMU43" s="344"/>
      <c r="DMV43" s="344"/>
      <c r="DMW43" s="344"/>
      <c r="DMX43" s="344"/>
      <c r="DMY43" s="344"/>
      <c r="DMZ43" s="344"/>
      <c r="DNA43" s="344"/>
      <c r="DNB43" s="344"/>
      <c r="DNC43" s="344"/>
      <c r="DND43" s="344"/>
      <c r="DNE43" s="344"/>
      <c r="DNF43" s="344"/>
      <c r="DNG43" s="344"/>
      <c r="DNH43" s="344"/>
      <c r="DNI43" s="344"/>
      <c r="DNJ43" s="344"/>
      <c r="DNK43" s="344"/>
      <c r="DNL43" s="344"/>
      <c r="DNM43" s="344"/>
      <c r="DNN43" s="344"/>
      <c r="DNO43" s="344"/>
      <c r="DNP43" s="344"/>
      <c r="DNQ43" s="344"/>
      <c r="DNR43" s="344"/>
      <c r="DNS43" s="344"/>
      <c r="DNT43" s="344"/>
      <c r="DNU43" s="344"/>
      <c r="DNV43" s="344"/>
      <c r="DNW43" s="344"/>
      <c r="DNX43" s="344"/>
      <c r="DNY43" s="344"/>
      <c r="DNZ43" s="344"/>
      <c r="DOA43" s="344"/>
      <c r="DOB43" s="344"/>
      <c r="DOC43" s="344"/>
      <c r="DOD43" s="344"/>
      <c r="DOE43" s="344"/>
      <c r="DOF43" s="344"/>
      <c r="DOG43" s="344"/>
      <c r="DOH43" s="344"/>
      <c r="DOI43" s="344"/>
      <c r="DOJ43" s="344"/>
      <c r="DOK43" s="344"/>
      <c r="DOL43" s="344"/>
      <c r="DOM43" s="344"/>
      <c r="DON43" s="344"/>
      <c r="DOO43" s="344"/>
      <c r="DOP43" s="344"/>
      <c r="DOQ43" s="344"/>
      <c r="DOR43" s="344"/>
      <c r="DOS43" s="344"/>
      <c r="DOT43" s="344"/>
      <c r="DOU43" s="344"/>
      <c r="DOV43" s="344"/>
      <c r="DOW43" s="344"/>
      <c r="DOX43" s="344"/>
      <c r="DOY43" s="344"/>
      <c r="DOZ43" s="344"/>
      <c r="DPA43" s="344"/>
      <c r="DPB43" s="344"/>
      <c r="DPC43" s="344"/>
      <c r="DPD43" s="344"/>
      <c r="DPE43" s="344"/>
      <c r="DPF43" s="344"/>
      <c r="DPG43" s="344"/>
      <c r="DPH43" s="344"/>
      <c r="DPI43" s="344"/>
      <c r="DPJ43" s="344"/>
      <c r="DPK43" s="344"/>
      <c r="DPL43" s="344"/>
      <c r="DPM43" s="344"/>
      <c r="DPN43" s="344"/>
      <c r="DPO43" s="344"/>
      <c r="DPP43" s="344"/>
      <c r="DPQ43" s="344"/>
      <c r="DPR43" s="344"/>
      <c r="DPS43" s="344"/>
      <c r="DPT43" s="344"/>
      <c r="DPU43" s="344"/>
      <c r="DPV43" s="344"/>
      <c r="DPW43" s="344"/>
      <c r="DPX43" s="344"/>
      <c r="DPY43" s="344"/>
      <c r="DPZ43" s="344"/>
      <c r="DQA43" s="344"/>
      <c r="DQB43" s="344"/>
      <c r="DQC43" s="344"/>
      <c r="DQD43" s="344"/>
      <c r="DQE43" s="344"/>
      <c r="DQF43" s="344"/>
      <c r="DQG43" s="344"/>
      <c r="DQH43" s="344"/>
      <c r="DQI43" s="344"/>
      <c r="DQJ43" s="344"/>
      <c r="DQK43" s="344"/>
      <c r="DQL43" s="344"/>
      <c r="DQM43" s="344"/>
      <c r="DQN43" s="344"/>
      <c r="DQO43" s="344"/>
      <c r="DQP43" s="344"/>
      <c r="DQQ43" s="344"/>
      <c r="DQR43" s="344"/>
      <c r="DQS43" s="344"/>
      <c r="DQT43" s="344"/>
      <c r="DQU43" s="344"/>
      <c r="DQV43" s="344"/>
      <c r="DQW43" s="344"/>
      <c r="DQX43" s="344"/>
      <c r="DQY43" s="344"/>
      <c r="DQZ43" s="344"/>
      <c r="DRA43" s="344"/>
      <c r="DRB43" s="344"/>
      <c r="DRC43" s="344"/>
      <c r="DRD43" s="344"/>
      <c r="DRE43" s="344"/>
      <c r="DRF43" s="344"/>
      <c r="DRG43" s="344"/>
      <c r="DRH43" s="344"/>
      <c r="DRI43" s="344"/>
      <c r="DRJ43" s="344"/>
      <c r="DRK43" s="344"/>
      <c r="DRL43" s="344"/>
      <c r="DRM43" s="344"/>
      <c r="DRN43" s="344"/>
      <c r="DRO43" s="344"/>
      <c r="DRP43" s="344"/>
      <c r="DRQ43" s="344"/>
      <c r="DRR43" s="344"/>
      <c r="DRS43" s="344"/>
      <c r="DRT43" s="344"/>
      <c r="DRU43" s="344"/>
      <c r="DRV43" s="344"/>
      <c r="DRW43" s="344"/>
      <c r="DRX43" s="344"/>
      <c r="DRY43" s="344"/>
      <c r="DRZ43" s="344"/>
      <c r="DSA43" s="344"/>
      <c r="DSB43" s="344"/>
      <c r="DSC43" s="344"/>
      <c r="DSD43" s="344"/>
      <c r="DSE43" s="344"/>
      <c r="DSF43" s="344"/>
      <c r="DSG43" s="344"/>
      <c r="DSH43" s="344"/>
      <c r="DSI43" s="344"/>
      <c r="DSJ43" s="344"/>
      <c r="DSK43" s="344"/>
      <c r="DSL43" s="344"/>
      <c r="DSM43" s="344"/>
      <c r="DSN43" s="344"/>
      <c r="DSO43" s="344"/>
      <c r="DSP43" s="344"/>
      <c r="DSQ43" s="344"/>
      <c r="DSR43" s="344"/>
      <c r="DSS43" s="344"/>
      <c r="DST43" s="344"/>
      <c r="DSU43" s="344"/>
      <c r="DSV43" s="344"/>
      <c r="DSW43" s="344"/>
      <c r="DSX43" s="344"/>
      <c r="DSY43" s="344"/>
      <c r="DSZ43" s="344"/>
      <c r="DTA43" s="344"/>
      <c r="DTB43" s="344"/>
      <c r="DTC43" s="344"/>
      <c r="DTD43" s="344"/>
      <c r="DTE43" s="344"/>
      <c r="DTF43" s="344"/>
      <c r="DTG43" s="344"/>
      <c r="DTH43" s="344"/>
      <c r="DTI43" s="344"/>
      <c r="DTJ43" s="344"/>
      <c r="DTK43" s="344"/>
      <c r="DTL43" s="344"/>
      <c r="DTM43" s="344"/>
      <c r="DTN43" s="344"/>
      <c r="DTO43" s="344"/>
      <c r="DTP43" s="344"/>
      <c r="DTQ43" s="344"/>
      <c r="DTR43" s="344"/>
      <c r="DTS43" s="344"/>
      <c r="DTT43" s="344"/>
      <c r="DTU43" s="344"/>
      <c r="DTV43" s="344"/>
      <c r="DTW43" s="344"/>
      <c r="DTX43" s="344"/>
      <c r="DTY43" s="344"/>
      <c r="DTZ43" s="344"/>
      <c r="DUA43" s="344"/>
      <c r="DUB43" s="344"/>
      <c r="DUC43" s="344"/>
      <c r="DUD43" s="344"/>
      <c r="DUE43" s="344"/>
      <c r="DUF43" s="344"/>
      <c r="DUG43" s="344"/>
      <c r="DUH43" s="344"/>
      <c r="DUI43" s="344"/>
      <c r="DUJ43" s="344"/>
      <c r="DUK43" s="344"/>
      <c r="DUL43" s="344"/>
      <c r="DUM43" s="344"/>
      <c r="DUN43" s="344"/>
      <c r="DUO43" s="344"/>
      <c r="DUP43" s="344"/>
      <c r="DUQ43" s="344"/>
      <c r="DUR43" s="344"/>
      <c r="DUS43" s="344"/>
      <c r="DUT43" s="344"/>
      <c r="DUU43" s="344"/>
      <c r="DUV43" s="344"/>
      <c r="DUW43" s="344"/>
      <c r="DUX43" s="344"/>
      <c r="DUY43" s="344"/>
      <c r="DUZ43" s="344"/>
      <c r="DVA43" s="344"/>
      <c r="DVB43" s="344"/>
      <c r="DVC43" s="344"/>
      <c r="DVD43" s="344"/>
      <c r="DVE43" s="344"/>
      <c r="DVF43" s="344"/>
      <c r="DVG43" s="344"/>
      <c r="DVH43" s="344"/>
      <c r="DVI43" s="344"/>
      <c r="DVJ43" s="344"/>
      <c r="DVK43" s="344"/>
      <c r="DVL43" s="344"/>
      <c r="DVM43" s="344"/>
      <c r="DVN43" s="344"/>
      <c r="DVO43" s="344"/>
      <c r="DVP43" s="344"/>
      <c r="DVQ43" s="344"/>
      <c r="DVR43" s="344"/>
      <c r="DVS43" s="344"/>
      <c r="DVT43" s="344"/>
      <c r="DVU43" s="344"/>
      <c r="DVV43" s="344"/>
      <c r="DVW43" s="344"/>
      <c r="DVX43" s="344"/>
      <c r="DVY43" s="344"/>
      <c r="DVZ43" s="344"/>
      <c r="DWA43" s="344"/>
      <c r="DWB43" s="344"/>
      <c r="DWC43" s="344"/>
      <c r="DWD43" s="344"/>
      <c r="DWE43" s="344"/>
      <c r="DWF43" s="344"/>
      <c r="DWG43" s="344"/>
      <c r="DWH43" s="344"/>
      <c r="DWI43" s="344"/>
      <c r="DWJ43" s="344"/>
      <c r="DWK43" s="344"/>
      <c r="DWL43" s="344"/>
      <c r="DWM43" s="344"/>
      <c r="DWN43" s="344"/>
      <c r="DWO43" s="344"/>
      <c r="DWP43" s="344"/>
      <c r="DWQ43" s="344"/>
      <c r="DWR43" s="344"/>
      <c r="DWS43" s="344"/>
      <c r="DWT43" s="344"/>
      <c r="DWU43" s="344"/>
      <c r="DWV43" s="344"/>
      <c r="DWW43" s="344"/>
      <c r="DWX43" s="344"/>
      <c r="DWY43" s="344"/>
      <c r="DWZ43" s="344"/>
      <c r="DXA43" s="344"/>
      <c r="DXB43" s="344"/>
      <c r="DXC43" s="344"/>
      <c r="DXD43" s="344"/>
      <c r="DXE43" s="344"/>
      <c r="DXF43" s="344"/>
      <c r="DXG43" s="344"/>
      <c r="DXH43" s="344"/>
      <c r="DXI43" s="344"/>
      <c r="DXJ43" s="344"/>
      <c r="DXK43" s="344"/>
      <c r="DXL43" s="344"/>
      <c r="DXM43" s="344"/>
      <c r="DXN43" s="344"/>
      <c r="DXO43" s="344"/>
      <c r="DXP43" s="344"/>
      <c r="DXQ43" s="344"/>
      <c r="DXR43" s="344"/>
      <c r="DXS43" s="344"/>
      <c r="DXT43" s="344"/>
      <c r="DXU43" s="344"/>
      <c r="DXV43" s="344"/>
      <c r="DXW43" s="344"/>
      <c r="DXX43" s="344"/>
      <c r="DXY43" s="344"/>
      <c r="DXZ43" s="344"/>
      <c r="DYA43" s="344"/>
      <c r="DYB43" s="344"/>
      <c r="DYC43" s="344"/>
      <c r="DYD43" s="344"/>
      <c r="DYE43" s="344"/>
      <c r="DYF43" s="344"/>
      <c r="DYG43" s="344"/>
      <c r="DYH43" s="344"/>
      <c r="DYI43" s="344"/>
      <c r="DYJ43" s="344"/>
      <c r="DYK43" s="344"/>
      <c r="DYL43" s="344"/>
      <c r="DYM43" s="344"/>
      <c r="DYN43" s="344"/>
      <c r="DYO43" s="344"/>
      <c r="DYP43" s="344"/>
      <c r="DYQ43" s="344"/>
      <c r="DYR43" s="344"/>
      <c r="DYS43" s="344"/>
      <c r="DYT43" s="344"/>
      <c r="DYU43" s="344"/>
      <c r="DYV43" s="344"/>
      <c r="DYW43" s="344"/>
      <c r="DYX43" s="344"/>
      <c r="DYY43" s="344"/>
      <c r="DYZ43" s="344"/>
      <c r="DZA43" s="344"/>
      <c r="DZB43" s="344"/>
      <c r="DZC43" s="344"/>
      <c r="DZD43" s="344"/>
      <c r="DZE43" s="344"/>
      <c r="DZF43" s="344"/>
      <c r="DZG43" s="344"/>
      <c r="DZH43" s="344"/>
      <c r="DZI43" s="344"/>
      <c r="DZJ43" s="344"/>
      <c r="DZK43" s="344"/>
      <c r="DZL43" s="344"/>
      <c r="DZM43" s="344"/>
      <c r="DZN43" s="344"/>
      <c r="DZO43" s="344"/>
      <c r="DZP43" s="344"/>
      <c r="DZQ43" s="344"/>
      <c r="DZR43" s="344"/>
      <c r="DZS43" s="344"/>
      <c r="DZT43" s="344"/>
      <c r="DZU43" s="344"/>
      <c r="DZV43" s="344"/>
      <c r="DZW43" s="344"/>
      <c r="DZX43" s="344"/>
      <c r="DZY43" s="344"/>
      <c r="DZZ43" s="344"/>
      <c r="EAA43" s="344"/>
      <c r="EAB43" s="344"/>
      <c r="EAC43" s="344"/>
      <c r="EAD43" s="344"/>
      <c r="EAE43" s="344"/>
      <c r="EAF43" s="344"/>
      <c r="EAG43" s="344"/>
      <c r="EAH43" s="344"/>
      <c r="EAI43" s="344"/>
      <c r="EAJ43" s="344"/>
      <c r="EAK43" s="344"/>
      <c r="EAL43" s="344"/>
      <c r="EAM43" s="344"/>
      <c r="EAN43" s="344"/>
      <c r="EAO43" s="344"/>
      <c r="EAP43" s="344"/>
      <c r="EAQ43" s="344"/>
      <c r="EAR43" s="344"/>
      <c r="EAS43" s="344"/>
      <c r="EAT43" s="344"/>
      <c r="EAU43" s="344"/>
      <c r="EAV43" s="344"/>
      <c r="EAW43" s="344"/>
      <c r="EAX43" s="344"/>
      <c r="EAY43" s="344"/>
      <c r="EAZ43" s="344"/>
      <c r="EBA43" s="344"/>
      <c r="EBB43" s="344"/>
      <c r="EBC43" s="344"/>
      <c r="EBD43" s="344"/>
      <c r="EBE43" s="344"/>
      <c r="EBF43" s="344"/>
      <c r="EBG43" s="344"/>
      <c r="EBH43" s="344"/>
      <c r="EBI43" s="344"/>
      <c r="EBJ43" s="344"/>
      <c r="EBK43" s="344"/>
      <c r="EBL43" s="344"/>
      <c r="EBM43" s="344"/>
      <c r="EBN43" s="344"/>
      <c r="EBO43" s="344"/>
      <c r="EBP43" s="344"/>
      <c r="EBQ43" s="344"/>
      <c r="EBR43" s="344"/>
      <c r="EBS43" s="344"/>
      <c r="EBT43" s="344"/>
      <c r="EBU43" s="344"/>
      <c r="EBV43" s="344"/>
      <c r="EBW43" s="344"/>
      <c r="EBX43" s="344"/>
      <c r="EBY43" s="344"/>
      <c r="EBZ43" s="344"/>
      <c r="ECA43" s="344"/>
      <c r="ECB43" s="344"/>
      <c r="ECC43" s="344"/>
      <c r="ECD43" s="344"/>
      <c r="ECE43" s="344"/>
      <c r="ECF43" s="344"/>
      <c r="ECG43" s="344"/>
      <c r="ECH43" s="344"/>
      <c r="ECI43" s="344"/>
      <c r="ECJ43" s="344"/>
      <c r="ECK43" s="344"/>
      <c r="ECL43" s="344"/>
      <c r="ECM43" s="344"/>
      <c r="ECN43" s="344"/>
      <c r="ECO43" s="344"/>
      <c r="ECP43" s="344"/>
      <c r="ECQ43" s="344"/>
      <c r="ECR43" s="344"/>
      <c r="ECS43" s="344"/>
      <c r="ECT43" s="344"/>
      <c r="ECU43" s="344"/>
      <c r="ECV43" s="344"/>
      <c r="ECW43" s="344"/>
      <c r="ECX43" s="344"/>
      <c r="ECY43" s="344"/>
      <c r="ECZ43" s="344"/>
      <c r="EDA43" s="344"/>
      <c r="EDB43" s="344"/>
      <c r="EDC43" s="344"/>
      <c r="EDD43" s="344"/>
      <c r="EDE43" s="344"/>
      <c r="EDF43" s="344"/>
      <c r="EDG43" s="344"/>
      <c r="EDH43" s="344"/>
      <c r="EDI43" s="344"/>
      <c r="EDJ43" s="344"/>
      <c r="EDK43" s="344"/>
      <c r="EDL43" s="344"/>
      <c r="EDM43" s="344"/>
      <c r="EDN43" s="344"/>
      <c r="EDO43" s="344"/>
      <c r="EDP43" s="344"/>
      <c r="EDQ43" s="344"/>
      <c r="EDR43" s="344"/>
      <c r="EDS43" s="344"/>
      <c r="EDT43" s="344"/>
      <c r="EDU43" s="344"/>
      <c r="EDV43" s="344"/>
      <c r="EDW43" s="344"/>
      <c r="EDX43" s="344"/>
      <c r="EDY43" s="344"/>
      <c r="EDZ43" s="344"/>
      <c r="EEA43" s="344"/>
      <c r="EEB43" s="344"/>
      <c r="EEC43" s="344"/>
      <c r="EED43" s="344"/>
      <c r="EEE43" s="344"/>
      <c r="EEF43" s="344"/>
      <c r="EEG43" s="344"/>
      <c r="EEH43" s="344"/>
      <c r="EEI43" s="344"/>
      <c r="EEJ43" s="344"/>
      <c r="EEK43" s="344"/>
      <c r="EEL43" s="344"/>
      <c r="EEM43" s="344"/>
      <c r="EEN43" s="344"/>
      <c r="EEO43" s="344"/>
      <c r="EEP43" s="344"/>
      <c r="EEQ43" s="344"/>
      <c r="EER43" s="344"/>
      <c r="EES43" s="344"/>
      <c r="EET43" s="344"/>
      <c r="EEU43" s="344"/>
      <c r="EEV43" s="344"/>
      <c r="EEW43" s="344"/>
      <c r="EEX43" s="344"/>
      <c r="EEY43" s="344"/>
      <c r="EEZ43" s="344"/>
      <c r="EFA43" s="344"/>
      <c r="EFB43" s="344"/>
      <c r="EFC43" s="344"/>
      <c r="EFD43" s="344"/>
      <c r="EFE43" s="344"/>
      <c r="EFF43" s="344"/>
      <c r="EFG43" s="344"/>
      <c r="EFH43" s="344"/>
      <c r="EFI43" s="344"/>
      <c r="EFJ43" s="344"/>
      <c r="EFK43" s="344"/>
      <c r="EFL43" s="344"/>
      <c r="EFM43" s="344"/>
      <c r="EFN43" s="344"/>
      <c r="EFO43" s="344"/>
      <c r="EFP43" s="344"/>
      <c r="EFQ43" s="344"/>
      <c r="EFR43" s="344"/>
      <c r="EFS43" s="344"/>
      <c r="EFT43" s="344"/>
      <c r="EFU43" s="344"/>
      <c r="EFV43" s="344"/>
      <c r="EFW43" s="344"/>
      <c r="EFX43" s="344"/>
      <c r="EFY43" s="344"/>
      <c r="EFZ43" s="344"/>
      <c r="EGA43" s="344"/>
      <c r="EGB43" s="344"/>
      <c r="EGC43" s="344"/>
      <c r="EGD43" s="344"/>
      <c r="EGE43" s="344"/>
      <c r="EGF43" s="344"/>
      <c r="EGG43" s="344"/>
      <c r="EGH43" s="344"/>
      <c r="EGI43" s="344"/>
      <c r="EGJ43" s="344"/>
      <c r="EGK43" s="344"/>
      <c r="EGL43" s="344"/>
      <c r="EGM43" s="344"/>
      <c r="EGN43" s="344"/>
      <c r="EGO43" s="344"/>
      <c r="EGP43" s="344"/>
      <c r="EGQ43" s="344"/>
      <c r="EGR43" s="344"/>
      <c r="EGS43" s="344"/>
      <c r="EGT43" s="344"/>
      <c r="EGU43" s="344"/>
      <c r="EGV43" s="344"/>
      <c r="EGW43" s="344"/>
      <c r="EGX43" s="344"/>
      <c r="EGY43" s="344"/>
      <c r="EGZ43" s="344"/>
      <c r="EHA43" s="344"/>
      <c r="EHB43" s="344"/>
      <c r="EHC43" s="344"/>
      <c r="EHD43" s="344"/>
      <c r="EHE43" s="344"/>
      <c r="EHF43" s="344"/>
      <c r="EHG43" s="344"/>
      <c r="EHH43" s="344"/>
      <c r="EHI43" s="344"/>
      <c r="EHJ43" s="344"/>
      <c r="EHK43" s="344"/>
      <c r="EHL43" s="344"/>
      <c r="EHM43" s="344"/>
      <c r="EHN43" s="344"/>
      <c r="EHO43" s="344"/>
      <c r="EHP43" s="344"/>
      <c r="EHQ43" s="344"/>
      <c r="EHR43" s="344"/>
      <c r="EHS43" s="344"/>
      <c r="EHT43" s="344"/>
      <c r="EHU43" s="344"/>
      <c r="EHV43" s="344"/>
      <c r="EHW43" s="344"/>
      <c r="EHX43" s="344"/>
      <c r="EHY43" s="344"/>
      <c r="EHZ43" s="344"/>
      <c r="EIA43" s="344"/>
      <c r="EIB43" s="344"/>
      <c r="EIC43" s="344"/>
      <c r="EID43" s="344"/>
      <c r="EIE43" s="344"/>
      <c r="EIF43" s="344"/>
      <c r="EIG43" s="344"/>
      <c r="EIH43" s="344"/>
      <c r="EII43" s="344"/>
      <c r="EIJ43" s="344"/>
      <c r="EIK43" s="344"/>
      <c r="EIL43" s="344"/>
      <c r="EIM43" s="344"/>
      <c r="EIN43" s="344"/>
      <c r="EIO43" s="344"/>
      <c r="EIP43" s="344"/>
      <c r="EIQ43" s="344"/>
      <c r="EIR43" s="344"/>
      <c r="EIS43" s="344"/>
      <c r="EIT43" s="344"/>
      <c r="EIU43" s="344"/>
      <c r="EIV43" s="344"/>
      <c r="EIW43" s="344"/>
      <c r="EIX43" s="344"/>
      <c r="EIY43" s="344"/>
      <c r="EIZ43" s="344"/>
      <c r="EJA43" s="344"/>
      <c r="EJB43" s="344"/>
      <c r="EJC43" s="344"/>
      <c r="EJD43" s="344"/>
      <c r="EJE43" s="344"/>
      <c r="EJF43" s="344"/>
      <c r="EJG43" s="344"/>
      <c r="EJH43" s="344"/>
      <c r="EJI43" s="344"/>
      <c r="EJJ43" s="344"/>
      <c r="EJK43" s="344"/>
      <c r="EJL43" s="344"/>
      <c r="EJM43" s="344"/>
      <c r="EJN43" s="344"/>
      <c r="EJO43" s="344"/>
      <c r="EJP43" s="344"/>
      <c r="EJQ43" s="344"/>
      <c r="EJR43" s="344"/>
      <c r="EJS43" s="344"/>
      <c r="EJT43" s="344"/>
      <c r="EJU43" s="344"/>
      <c r="EJV43" s="344"/>
      <c r="EJW43" s="344"/>
      <c r="EJX43" s="344"/>
      <c r="EJY43" s="344"/>
      <c r="EJZ43" s="344"/>
      <c r="EKA43" s="344"/>
      <c r="EKB43" s="344"/>
      <c r="EKC43" s="344"/>
      <c r="EKD43" s="344"/>
      <c r="EKE43" s="344"/>
      <c r="EKF43" s="344"/>
      <c r="EKG43" s="344"/>
      <c r="EKH43" s="344"/>
      <c r="EKI43" s="344"/>
      <c r="EKJ43" s="344"/>
      <c r="EKK43" s="344"/>
      <c r="EKL43" s="344"/>
      <c r="EKM43" s="344"/>
      <c r="EKN43" s="344"/>
      <c r="EKO43" s="344"/>
      <c r="EKP43" s="344"/>
      <c r="EKQ43" s="344"/>
      <c r="EKR43" s="344"/>
      <c r="EKS43" s="344"/>
      <c r="EKT43" s="344"/>
      <c r="EKU43" s="344"/>
      <c r="EKV43" s="344"/>
      <c r="EKW43" s="344"/>
      <c r="EKX43" s="344"/>
      <c r="EKY43" s="344"/>
      <c r="EKZ43" s="344"/>
      <c r="ELA43" s="344"/>
      <c r="ELB43" s="344"/>
      <c r="ELC43" s="344"/>
      <c r="ELD43" s="344"/>
      <c r="ELE43" s="344"/>
      <c r="ELF43" s="344"/>
      <c r="ELG43" s="344"/>
      <c r="ELH43" s="344"/>
      <c r="ELI43" s="344"/>
      <c r="ELJ43" s="344"/>
      <c r="ELK43" s="344"/>
      <c r="ELL43" s="344"/>
      <c r="ELM43" s="344"/>
      <c r="ELN43" s="344"/>
      <c r="ELO43" s="344"/>
      <c r="ELP43" s="344"/>
      <c r="ELQ43" s="344"/>
      <c r="ELR43" s="344"/>
      <c r="ELS43" s="344"/>
      <c r="ELT43" s="344"/>
      <c r="ELU43" s="344"/>
      <c r="ELV43" s="344"/>
      <c r="ELW43" s="344"/>
      <c r="ELX43" s="344"/>
      <c r="ELY43" s="344"/>
      <c r="ELZ43" s="344"/>
      <c r="EMA43" s="344"/>
      <c r="EMB43" s="344"/>
      <c r="EMC43" s="344"/>
      <c r="EMD43" s="344"/>
      <c r="EME43" s="344"/>
      <c r="EMF43" s="344"/>
      <c r="EMG43" s="344"/>
      <c r="EMH43" s="344"/>
      <c r="EMI43" s="344"/>
      <c r="EMJ43" s="344"/>
      <c r="EMK43" s="344"/>
      <c r="EML43" s="344"/>
      <c r="EMM43" s="344"/>
      <c r="EMN43" s="344"/>
      <c r="EMO43" s="344"/>
      <c r="EMP43" s="344"/>
      <c r="EMQ43" s="344"/>
      <c r="EMR43" s="344"/>
      <c r="EMS43" s="344"/>
      <c r="EMT43" s="344"/>
      <c r="EMU43" s="344"/>
      <c r="EMV43" s="344"/>
      <c r="EMW43" s="344"/>
      <c r="EMX43" s="344"/>
      <c r="EMY43" s="344"/>
      <c r="EMZ43" s="344"/>
      <c r="ENA43" s="344"/>
      <c r="ENB43" s="344"/>
      <c r="ENC43" s="344"/>
      <c r="END43" s="344"/>
      <c r="ENE43" s="344"/>
      <c r="ENF43" s="344"/>
      <c r="ENG43" s="344"/>
      <c r="ENH43" s="344"/>
      <c r="ENI43" s="344"/>
      <c r="ENJ43" s="344"/>
      <c r="ENK43" s="344"/>
      <c r="ENL43" s="344"/>
      <c r="ENM43" s="344"/>
      <c r="ENN43" s="344"/>
      <c r="ENO43" s="344"/>
      <c r="ENP43" s="344"/>
      <c r="ENQ43" s="344"/>
      <c r="ENR43" s="344"/>
      <c r="ENS43" s="344"/>
      <c r="ENT43" s="344"/>
      <c r="ENU43" s="344"/>
      <c r="ENV43" s="344"/>
      <c r="ENW43" s="344"/>
      <c r="ENX43" s="344"/>
      <c r="ENY43" s="344"/>
      <c r="ENZ43" s="344"/>
      <c r="EOA43" s="344"/>
      <c r="EOB43" s="344"/>
      <c r="EOC43" s="344"/>
      <c r="EOD43" s="344"/>
      <c r="EOE43" s="344"/>
      <c r="EOF43" s="344"/>
      <c r="EOG43" s="344"/>
      <c r="EOH43" s="344"/>
      <c r="EOI43" s="344"/>
      <c r="EOJ43" s="344"/>
      <c r="EOK43" s="344"/>
      <c r="EOL43" s="344"/>
      <c r="EOM43" s="344"/>
      <c r="EON43" s="344"/>
      <c r="EOO43" s="344"/>
      <c r="EOP43" s="344"/>
      <c r="EOQ43" s="344"/>
      <c r="EOR43" s="344"/>
      <c r="EOS43" s="344"/>
      <c r="EOT43" s="344"/>
      <c r="EOU43" s="344"/>
      <c r="EOV43" s="344"/>
      <c r="EOW43" s="344"/>
      <c r="EOX43" s="344"/>
      <c r="EOY43" s="344"/>
      <c r="EOZ43" s="344"/>
      <c r="EPA43" s="344"/>
      <c r="EPB43" s="344"/>
      <c r="EPC43" s="344"/>
      <c r="EPD43" s="344"/>
      <c r="EPE43" s="344"/>
      <c r="EPF43" s="344"/>
      <c r="EPG43" s="344"/>
      <c r="EPH43" s="344"/>
      <c r="EPI43" s="344"/>
      <c r="EPJ43" s="344"/>
      <c r="EPK43" s="344"/>
      <c r="EPL43" s="344"/>
      <c r="EPM43" s="344"/>
      <c r="EPN43" s="344"/>
      <c r="EPO43" s="344"/>
      <c r="EPP43" s="344"/>
      <c r="EPQ43" s="344"/>
      <c r="EPR43" s="344"/>
      <c r="EPS43" s="344"/>
      <c r="EPT43" s="344"/>
      <c r="EPU43" s="344"/>
      <c r="EPV43" s="344"/>
      <c r="EPW43" s="344"/>
      <c r="EPX43" s="344"/>
      <c r="EPY43" s="344"/>
      <c r="EPZ43" s="344"/>
      <c r="EQA43" s="344"/>
      <c r="EQB43" s="344"/>
      <c r="EQC43" s="344"/>
      <c r="EQD43" s="344"/>
      <c r="EQE43" s="344"/>
      <c r="EQF43" s="344"/>
      <c r="EQG43" s="344"/>
      <c r="EQH43" s="344"/>
      <c r="EQI43" s="344"/>
      <c r="EQJ43" s="344"/>
      <c r="EQK43" s="344"/>
      <c r="EQL43" s="344"/>
      <c r="EQM43" s="344"/>
      <c r="EQN43" s="344"/>
      <c r="EQO43" s="344"/>
      <c r="EQP43" s="344"/>
      <c r="EQQ43" s="344"/>
      <c r="EQR43" s="344"/>
      <c r="EQS43" s="344"/>
      <c r="EQT43" s="344"/>
      <c r="EQU43" s="344"/>
      <c r="EQV43" s="344"/>
      <c r="EQW43" s="344"/>
      <c r="EQX43" s="344"/>
      <c r="EQY43" s="344"/>
      <c r="EQZ43" s="344"/>
      <c r="ERA43" s="344"/>
      <c r="ERB43" s="344"/>
      <c r="ERC43" s="344"/>
      <c r="ERD43" s="344"/>
      <c r="ERE43" s="344"/>
      <c r="ERF43" s="344"/>
      <c r="ERG43" s="344"/>
      <c r="ERH43" s="344"/>
      <c r="ERI43" s="344"/>
      <c r="ERJ43" s="344"/>
      <c r="ERK43" s="344"/>
      <c r="ERL43" s="344"/>
      <c r="ERM43" s="344"/>
      <c r="ERN43" s="344"/>
      <c r="ERO43" s="344"/>
      <c r="ERP43" s="344"/>
      <c r="ERQ43" s="344"/>
      <c r="ERR43" s="344"/>
      <c r="ERS43" s="344"/>
      <c r="ERT43" s="344"/>
      <c r="ERU43" s="344"/>
      <c r="ERV43" s="344"/>
      <c r="ERW43" s="344"/>
      <c r="ERX43" s="344"/>
      <c r="ERY43" s="344"/>
      <c r="ERZ43" s="344"/>
      <c r="ESA43" s="344"/>
      <c r="ESB43" s="344"/>
      <c r="ESC43" s="344"/>
      <c r="ESD43" s="344"/>
      <c r="ESE43" s="344"/>
      <c r="ESF43" s="344"/>
      <c r="ESG43" s="344"/>
      <c r="ESH43" s="344"/>
      <c r="ESI43" s="344"/>
      <c r="ESJ43" s="344"/>
      <c r="ESK43" s="344"/>
      <c r="ESL43" s="344"/>
      <c r="ESM43" s="344"/>
      <c r="ESN43" s="344"/>
      <c r="ESO43" s="344"/>
      <c r="ESP43" s="344"/>
      <c r="ESQ43" s="344"/>
      <c r="ESR43" s="344"/>
      <c r="ESS43" s="344"/>
      <c r="EST43" s="344"/>
      <c r="ESU43" s="344"/>
      <c r="ESV43" s="344"/>
      <c r="ESW43" s="344"/>
      <c r="ESX43" s="344"/>
      <c r="ESY43" s="344"/>
      <c r="ESZ43" s="344"/>
      <c r="ETA43" s="344"/>
      <c r="ETB43" s="344"/>
      <c r="ETC43" s="344"/>
      <c r="ETD43" s="344"/>
      <c r="ETE43" s="344"/>
      <c r="ETF43" s="344"/>
      <c r="ETG43" s="344"/>
      <c r="ETH43" s="344"/>
      <c r="ETI43" s="344"/>
      <c r="ETJ43" s="344"/>
      <c r="ETK43" s="344"/>
      <c r="ETL43" s="344"/>
      <c r="ETM43" s="344"/>
      <c r="ETN43" s="344"/>
      <c r="ETO43" s="344"/>
      <c r="ETP43" s="344"/>
      <c r="ETQ43" s="344"/>
      <c r="ETR43" s="344"/>
      <c r="ETS43" s="344"/>
      <c r="ETT43" s="344"/>
      <c r="ETU43" s="344"/>
      <c r="ETV43" s="344"/>
      <c r="ETW43" s="344"/>
      <c r="ETX43" s="344"/>
      <c r="ETY43" s="344"/>
      <c r="ETZ43" s="344"/>
      <c r="EUA43" s="344"/>
      <c r="EUB43" s="344"/>
      <c r="EUC43" s="344"/>
      <c r="EUD43" s="344"/>
      <c r="EUE43" s="344"/>
      <c r="EUF43" s="344"/>
      <c r="EUG43" s="344"/>
      <c r="EUH43" s="344"/>
      <c r="EUI43" s="344"/>
      <c r="EUJ43" s="344"/>
      <c r="EUK43" s="344"/>
      <c r="EUL43" s="344"/>
      <c r="EUM43" s="344"/>
      <c r="EUN43" s="344"/>
      <c r="EUO43" s="344"/>
      <c r="EUP43" s="344"/>
      <c r="EUQ43" s="344"/>
      <c r="EUR43" s="344"/>
      <c r="EUS43" s="344"/>
      <c r="EUT43" s="344"/>
      <c r="EUU43" s="344"/>
      <c r="EUV43" s="344"/>
      <c r="EUW43" s="344"/>
      <c r="EUX43" s="344"/>
      <c r="EUY43" s="344"/>
      <c r="EUZ43" s="344"/>
      <c r="EVA43" s="344"/>
      <c r="EVB43" s="344"/>
      <c r="EVC43" s="344"/>
      <c r="EVD43" s="344"/>
      <c r="EVE43" s="344"/>
      <c r="EVF43" s="344"/>
      <c r="EVG43" s="344"/>
      <c r="EVH43" s="344"/>
      <c r="EVI43" s="344"/>
      <c r="EVJ43" s="344"/>
      <c r="EVK43" s="344"/>
      <c r="EVL43" s="344"/>
      <c r="EVM43" s="344"/>
      <c r="EVN43" s="344"/>
      <c r="EVO43" s="344"/>
      <c r="EVP43" s="344"/>
      <c r="EVQ43" s="344"/>
      <c r="EVR43" s="344"/>
      <c r="EVS43" s="344"/>
      <c r="EVT43" s="344"/>
      <c r="EVU43" s="344"/>
      <c r="EVV43" s="344"/>
      <c r="EVW43" s="344"/>
      <c r="EVX43" s="344"/>
      <c r="EVY43" s="344"/>
      <c r="EVZ43" s="344"/>
      <c r="EWA43" s="344"/>
      <c r="EWB43" s="344"/>
      <c r="EWC43" s="344"/>
      <c r="EWD43" s="344"/>
      <c r="EWE43" s="344"/>
      <c r="EWF43" s="344"/>
      <c r="EWG43" s="344"/>
      <c r="EWH43" s="344"/>
      <c r="EWI43" s="344"/>
      <c r="EWJ43" s="344"/>
      <c r="EWK43" s="344"/>
      <c r="EWL43" s="344"/>
      <c r="EWM43" s="344"/>
      <c r="EWN43" s="344"/>
      <c r="EWO43" s="344"/>
      <c r="EWP43" s="344"/>
      <c r="EWQ43" s="344"/>
      <c r="EWR43" s="344"/>
      <c r="EWS43" s="344"/>
      <c r="EWT43" s="344"/>
      <c r="EWU43" s="344"/>
      <c r="EWV43" s="344"/>
      <c r="EWW43" s="344"/>
      <c r="EWX43" s="344"/>
      <c r="EWY43" s="344"/>
      <c r="EWZ43" s="344"/>
      <c r="EXA43" s="344"/>
      <c r="EXB43" s="344"/>
      <c r="EXC43" s="344"/>
      <c r="EXD43" s="344"/>
      <c r="EXE43" s="344"/>
      <c r="EXF43" s="344"/>
      <c r="EXG43" s="344"/>
      <c r="EXH43" s="344"/>
      <c r="EXI43" s="344"/>
      <c r="EXJ43" s="344"/>
      <c r="EXK43" s="344"/>
      <c r="EXL43" s="344"/>
      <c r="EXM43" s="344"/>
      <c r="EXN43" s="344"/>
      <c r="EXO43" s="344"/>
      <c r="EXP43" s="344"/>
      <c r="EXQ43" s="344"/>
      <c r="EXR43" s="344"/>
      <c r="EXS43" s="344"/>
      <c r="EXT43" s="344"/>
      <c r="EXU43" s="344"/>
      <c r="EXV43" s="344"/>
      <c r="EXW43" s="344"/>
      <c r="EXX43" s="344"/>
      <c r="EXY43" s="344"/>
      <c r="EXZ43" s="344"/>
      <c r="EYA43" s="344"/>
      <c r="EYB43" s="344"/>
      <c r="EYC43" s="344"/>
      <c r="EYD43" s="344"/>
      <c r="EYE43" s="344"/>
      <c r="EYF43" s="344"/>
      <c r="EYG43" s="344"/>
      <c r="EYH43" s="344"/>
      <c r="EYI43" s="344"/>
      <c r="EYJ43" s="344"/>
      <c r="EYK43" s="344"/>
      <c r="EYL43" s="344"/>
      <c r="EYM43" s="344"/>
      <c r="EYN43" s="344"/>
      <c r="EYO43" s="344"/>
      <c r="EYP43" s="344"/>
      <c r="EYQ43" s="344"/>
      <c r="EYR43" s="344"/>
      <c r="EYS43" s="344"/>
      <c r="EYT43" s="344"/>
      <c r="EYU43" s="344"/>
      <c r="EYV43" s="344"/>
      <c r="EYW43" s="344"/>
      <c r="EYX43" s="344"/>
      <c r="EYY43" s="344"/>
      <c r="EYZ43" s="344"/>
      <c r="EZA43" s="344"/>
      <c r="EZB43" s="344"/>
      <c r="EZC43" s="344"/>
      <c r="EZD43" s="344"/>
      <c r="EZE43" s="344"/>
      <c r="EZF43" s="344"/>
      <c r="EZG43" s="344"/>
      <c r="EZH43" s="344"/>
      <c r="EZI43" s="344"/>
      <c r="EZJ43" s="344"/>
      <c r="EZK43" s="344"/>
      <c r="EZL43" s="344"/>
      <c r="EZM43" s="344"/>
      <c r="EZN43" s="344"/>
      <c r="EZO43" s="344"/>
      <c r="EZP43" s="344"/>
      <c r="EZQ43" s="344"/>
      <c r="EZR43" s="344"/>
      <c r="EZS43" s="344"/>
      <c r="EZT43" s="344"/>
      <c r="EZU43" s="344"/>
      <c r="EZV43" s="344"/>
      <c r="EZW43" s="344"/>
      <c r="EZX43" s="344"/>
      <c r="EZY43" s="344"/>
      <c r="EZZ43" s="344"/>
      <c r="FAA43" s="344"/>
      <c r="FAB43" s="344"/>
      <c r="FAC43" s="344"/>
      <c r="FAD43" s="344"/>
      <c r="FAE43" s="344"/>
      <c r="FAF43" s="344"/>
      <c r="FAG43" s="344"/>
      <c r="FAH43" s="344"/>
      <c r="FAI43" s="344"/>
      <c r="FAJ43" s="344"/>
      <c r="FAK43" s="344"/>
      <c r="FAL43" s="344"/>
      <c r="FAM43" s="344"/>
      <c r="FAN43" s="344"/>
      <c r="FAO43" s="344"/>
      <c r="FAP43" s="344"/>
      <c r="FAQ43" s="344"/>
      <c r="FAR43" s="344"/>
      <c r="FAS43" s="344"/>
      <c r="FAT43" s="344"/>
      <c r="FAU43" s="344"/>
      <c r="FAV43" s="344"/>
      <c r="FAW43" s="344"/>
      <c r="FAX43" s="344"/>
      <c r="FAY43" s="344"/>
      <c r="FAZ43" s="344"/>
      <c r="FBA43" s="344"/>
      <c r="FBB43" s="344"/>
      <c r="FBC43" s="344"/>
      <c r="FBD43" s="344"/>
      <c r="FBE43" s="344"/>
      <c r="FBF43" s="344"/>
      <c r="FBG43" s="344"/>
      <c r="FBH43" s="344"/>
      <c r="FBI43" s="344"/>
      <c r="FBJ43" s="344"/>
      <c r="FBK43" s="344"/>
      <c r="FBL43" s="344"/>
      <c r="FBM43" s="344"/>
      <c r="FBN43" s="344"/>
      <c r="FBO43" s="344"/>
      <c r="FBP43" s="344"/>
      <c r="FBQ43" s="344"/>
      <c r="FBR43" s="344"/>
      <c r="FBS43" s="344"/>
      <c r="FBT43" s="344"/>
      <c r="FBU43" s="344"/>
      <c r="FBV43" s="344"/>
      <c r="FBW43" s="344"/>
      <c r="FBX43" s="344"/>
      <c r="FBY43" s="344"/>
      <c r="FBZ43" s="344"/>
      <c r="FCA43" s="344"/>
      <c r="FCB43" s="344"/>
      <c r="FCC43" s="344"/>
      <c r="FCD43" s="344"/>
      <c r="FCE43" s="344"/>
      <c r="FCF43" s="344"/>
      <c r="FCG43" s="344"/>
      <c r="FCH43" s="344"/>
      <c r="FCI43" s="344"/>
      <c r="FCJ43" s="344"/>
      <c r="FCK43" s="344"/>
      <c r="FCL43" s="344"/>
      <c r="FCM43" s="344"/>
      <c r="FCN43" s="344"/>
      <c r="FCO43" s="344"/>
      <c r="FCP43" s="344"/>
      <c r="FCQ43" s="344"/>
      <c r="FCR43" s="344"/>
      <c r="FCS43" s="344"/>
      <c r="FCT43" s="344"/>
      <c r="FCU43" s="344"/>
      <c r="FCV43" s="344"/>
      <c r="FCW43" s="344"/>
      <c r="FCX43" s="344"/>
      <c r="FCY43" s="344"/>
      <c r="FCZ43" s="344"/>
      <c r="FDA43" s="344"/>
      <c r="FDB43" s="344"/>
      <c r="FDC43" s="344"/>
      <c r="FDD43" s="344"/>
      <c r="FDE43" s="344"/>
      <c r="FDF43" s="344"/>
      <c r="FDG43" s="344"/>
      <c r="FDH43" s="344"/>
      <c r="FDI43" s="344"/>
      <c r="FDJ43" s="344"/>
      <c r="FDK43" s="344"/>
      <c r="FDL43" s="344"/>
      <c r="FDM43" s="344"/>
      <c r="FDN43" s="344"/>
      <c r="FDO43" s="344"/>
      <c r="FDP43" s="344"/>
      <c r="FDQ43" s="344"/>
      <c r="FDR43" s="344"/>
      <c r="FDS43" s="344"/>
      <c r="FDT43" s="344"/>
      <c r="FDU43" s="344"/>
      <c r="FDV43" s="344"/>
      <c r="FDW43" s="344"/>
      <c r="FDX43" s="344"/>
      <c r="FDY43" s="344"/>
      <c r="FDZ43" s="344"/>
      <c r="FEA43" s="344"/>
      <c r="FEB43" s="344"/>
      <c r="FEC43" s="344"/>
      <c r="FED43" s="344"/>
      <c r="FEE43" s="344"/>
      <c r="FEF43" s="344"/>
      <c r="FEG43" s="344"/>
      <c r="FEH43" s="344"/>
      <c r="FEI43" s="344"/>
      <c r="FEJ43" s="344"/>
      <c r="FEK43" s="344"/>
      <c r="FEL43" s="344"/>
      <c r="FEM43" s="344"/>
      <c r="FEN43" s="344"/>
      <c r="FEO43" s="344"/>
      <c r="FEP43" s="344"/>
      <c r="FEQ43" s="344"/>
      <c r="FER43" s="344"/>
      <c r="FES43" s="344"/>
      <c r="FET43" s="344"/>
      <c r="FEU43" s="344"/>
      <c r="FEV43" s="344"/>
      <c r="FEW43" s="344"/>
      <c r="FEX43" s="344"/>
      <c r="FEY43" s="344"/>
      <c r="FEZ43" s="344"/>
      <c r="FFA43" s="344"/>
      <c r="FFB43" s="344"/>
      <c r="FFC43" s="344"/>
      <c r="FFD43" s="344"/>
      <c r="FFE43" s="344"/>
      <c r="FFF43" s="344"/>
      <c r="FFG43" s="344"/>
      <c r="FFH43" s="344"/>
      <c r="FFI43" s="344"/>
      <c r="FFJ43" s="344"/>
      <c r="FFK43" s="344"/>
      <c r="FFL43" s="344"/>
      <c r="FFM43" s="344"/>
      <c r="FFN43" s="344"/>
      <c r="FFO43" s="344"/>
      <c r="FFP43" s="344"/>
      <c r="FFQ43" s="344"/>
      <c r="FFR43" s="344"/>
      <c r="FFS43" s="344"/>
      <c r="FFT43" s="344"/>
      <c r="FFU43" s="344"/>
      <c r="FFV43" s="344"/>
      <c r="FFW43" s="344"/>
      <c r="FFX43" s="344"/>
      <c r="FFY43" s="344"/>
      <c r="FFZ43" s="344"/>
      <c r="FGA43" s="344"/>
      <c r="FGB43" s="344"/>
      <c r="FGC43" s="344"/>
      <c r="FGD43" s="344"/>
      <c r="FGE43" s="344"/>
      <c r="FGF43" s="344"/>
      <c r="FGG43" s="344"/>
      <c r="FGH43" s="344"/>
      <c r="FGI43" s="344"/>
      <c r="FGJ43" s="344"/>
      <c r="FGK43" s="344"/>
      <c r="FGL43" s="344"/>
      <c r="FGM43" s="344"/>
      <c r="FGN43" s="344"/>
      <c r="FGO43" s="344"/>
      <c r="FGP43" s="344"/>
      <c r="FGQ43" s="344"/>
      <c r="FGR43" s="344"/>
      <c r="FGS43" s="344"/>
      <c r="FGT43" s="344"/>
      <c r="FGU43" s="344"/>
      <c r="FGV43" s="344"/>
      <c r="FGW43" s="344"/>
      <c r="FGX43" s="344"/>
      <c r="FGY43" s="344"/>
      <c r="FGZ43" s="344"/>
      <c r="FHA43" s="344"/>
      <c r="FHB43" s="344"/>
      <c r="FHC43" s="344"/>
      <c r="FHD43" s="344"/>
      <c r="FHE43" s="344"/>
      <c r="FHF43" s="344"/>
      <c r="FHG43" s="344"/>
      <c r="FHH43" s="344"/>
      <c r="FHI43" s="344"/>
      <c r="FHJ43" s="344"/>
      <c r="FHK43" s="344"/>
      <c r="FHL43" s="344"/>
      <c r="FHM43" s="344"/>
      <c r="FHN43" s="344"/>
      <c r="FHO43" s="344"/>
      <c r="FHP43" s="344"/>
      <c r="FHQ43" s="344"/>
      <c r="FHR43" s="344"/>
      <c r="FHS43" s="344"/>
      <c r="FHT43" s="344"/>
      <c r="FHU43" s="344"/>
      <c r="FHV43" s="344"/>
      <c r="FHW43" s="344"/>
      <c r="FHX43" s="344"/>
      <c r="FHY43" s="344"/>
      <c r="FHZ43" s="344"/>
      <c r="FIA43" s="344"/>
      <c r="FIB43" s="344"/>
      <c r="FIC43" s="344"/>
      <c r="FID43" s="344"/>
      <c r="FIE43" s="344"/>
      <c r="FIF43" s="344"/>
      <c r="FIG43" s="344"/>
      <c r="FIH43" s="344"/>
      <c r="FII43" s="344"/>
      <c r="FIJ43" s="344"/>
      <c r="FIK43" s="344"/>
      <c r="FIL43" s="344"/>
      <c r="FIM43" s="344"/>
      <c r="FIN43" s="344"/>
      <c r="FIO43" s="344"/>
      <c r="FIP43" s="344"/>
      <c r="FIQ43" s="344"/>
      <c r="FIR43" s="344"/>
      <c r="FIS43" s="344"/>
      <c r="FIT43" s="344"/>
      <c r="FIU43" s="344"/>
      <c r="FIV43" s="344"/>
      <c r="FIW43" s="344"/>
      <c r="FIX43" s="344"/>
      <c r="FIY43" s="344"/>
      <c r="FIZ43" s="344"/>
      <c r="FJA43" s="344"/>
      <c r="FJB43" s="344"/>
      <c r="FJC43" s="344"/>
      <c r="FJD43" s="344"/>
      <c r="FJE43" s="344"/>
      <c r="FJF43" s="344"/>
      <c r="FJG43" s="344"/>
      <c r="FJH43" s="344"/>
      <c r="FJI43" s="344"/>
      <c r="FJJ43" s="344"/>
      <c r="FJK43" s="344"/>
      <c r="FJL43" s="344"/>
      <c r="FJM43" s="344"/>
      <c r="FJN43" s="344"/>
      <c r="FJO43" s="344"/>
      <c r="FJP43" s="344"/>
      <c r="FJQ43" s="344"/>
      <c r="FJR43" s="344"/>
      <c r="FJS43" s="344"/>
      <c r="FJT43" s="344"/>
      <c r="FJU43" s="344"/>
      <c r="FJV43" s="344"/>
      <c r="FJW43" s="344"/>
      <c r="FJX43" s="344"/>
      <c r="FJY43" s="344"/>
      <c r="FJZ43" s="344"/>
      <c r="FKA43" s="344"/>
      <c r="FKB43" s="344"/>
      <c r="FKC43" s="344"/>
      <c r="FKD43" s="344"/>
      <c r="FKE43" s="344"/>
      <c r="FKF43" s="344"/>
      <c r="FKG43" s="344"/>
      <c r="FKH43" s="344"/>
      <c r="FKI43" s="344"/>
      <c r="FKJ43" s="344"/>
      <c r="FKK43" s="344"/>
      <c r="FKL43" s="344"/>
      <c r="FKM43" s="344"/>
      <c r="FKN43" s="344"/>
      <c r="FKO43" s="344"/>
      <c r="FKP43" s="344"/>
      <c r="FKQ43" s="344"/>
      <c r="FKR43" s="344"/>
      <c r="FKS43" s="344"/>
      <c r="FKT43" s="344"/>
      <c r="FKU43" s="344"/>
      <c r="FKV43" s="344"/>
      <c r="FKW43" s="344"/>
      <c r="FKX43" s="344"/>
      <c r="FKY43" s="344"/>
      <c r="FKZ43" s="344"/>
      <c r="FLA43" s="344"/>
      <c r="FLB43" s="344"/>
      <c r="FLC43" s="344"/>
      <c r="FLD43" s="344"/>
      <c r="FLE43" s="344"/>
      <c r="FLF43" s="344"/>
      <c r="FLG43" s="344"/>
      <c r="FLH43" s="344"/>
      <c r="FLI43" s="344"/>
      <c r="FLJ43" s="344"/>
      <c r="FLK43" s="344"/>
      <c r="FLL43" s="344"/>
      <c r="FLM43" s="344"/>
      <c r="FLN43" s="344"/>
      <c r="FLO43" s="344"/>
      <c r="FLP43" s="344"/>
      <c r="FLQ43" s="344"/>
      <c r="FLR43" s="344"/>
      <c r="FLS43" s="344"/>
      <c r="FLT43" s="344"/>
      <c r="FLU43" s="344"/>
      <c r="FLV43" s="344"/>
      <c r="FLW43" s="344"/>
      <c r="FLX43" s="344"/>
      <c r="FLY43" s="344"/>
      <c r="FLZ43" s="344"/>
      <c r="FMA43" s="344"/>
      <c r="FMB43" s="344"/>
      <c r="FMC43" s="344"/>
      <c r="FMD43" s="344"/>
      <c r="FME43" s="344"/>
      <c r="FMF43" s="344"/>
      <c r="FMG43" s="344"/>
      <c r="FMH43" s="344"/>
      <c r="FMI43" s="344"/>
      <c r="FMJ43" s="344"/>
      <c r="FMK43" s="344"/>
      <c r="FML43" s="344"/>
      <c r="FMM43" s="344"/>
      <c r="FMN43" s="344"/>
      <c r="FMO43" s="344"/>
      <c r="FMP43" s="344"/>
      <c r="FMQ43" s="344"/>
      <c r="FMR43" s="344"/>
      <c r="FMS43" s="344"/>
      <c r="FMT43" s="344"/>
      <c r="FMU43" s="344"/>
      <c r="FMV43" s="344"/>
      <c r="FMW43" s="344"/>
      <c r="FMX43" s="344"/>
      <c r="FMY43" s="344"/>
      <c r="FMZ43" s="344"/>
      <c r="FNA43" s="344"/>
      <c r="FNB43" s="344"/>
      <c r="FNC43" s="344"/>
      <c r="FND43" s="344"/>
      <c r="FNE43" s="344"/>
      <c r="FNF43" s="344"/>
      <c r="FNG43" s="344"/>
      <c r="FNH43" s="344"/>
      <c r="FNI43" s="344"/>
      <c r="FNJ43" s="344"/>
      <c r="FNK43" s="344"/>
      <c r="FNL43" s="344"/>
      <c r="FNM43" s="344"/>
      <c r="FNN43" s="344"/>
      <c r="FNO43" s="344"/>
      <c r="FNP43" s="344"/>
      <c r="FNQ43" s="344"/>
      <c r="FNR43" s="344"/>
      <c r="FNS43" s="344"/>
      <c r="FNT43" s="344"/>
      <c r="FNU43" s="344"/>
      <c r="FNV43" s="344"/>
      <c r="FNW43" s="344"/>
      <c r="FNX43" s="344"/>
      <c r="FNY43" s="344"/>
      <c r="FNZ43" s="344"/>
      <c r="FOA43" s="344"/>
      <c r="FOB43" s="344"/>
      <c r="FOC43" s="344"/>
      <c r="FOD43" s="344"/>
      <c r="FOE43" s="344"/>
      <c r="FOF43" s="344"/>
      <c r="FOG43" s="344"/>
      <c r="FOH43" s="344"/>
      <c r="FOI43" s="344"/>
      <c r="FOJ43" s="344"/>
      <c r="FOK43" s="344"/>
      <c r="FOL43" s="344"/>
      <c r="FOM43" s="344"/>
      <c r="FON43" s="344"/>
      <c r="FOO43" s="344"/>
      <c r="FOP43" s="344"/>
      <c r="FOQ43" s="344"/>
      <c r="FOR43" s="344"/>
      <c r="FOS43" s="344"/>
      <c r="FOT43" s="344"/>
      <c r="FOU43" s="344"/>
      <c r="FOV43" s="344"/>
      <c r="FOW43" s="344"/>
      <c r="FOX43" s="344"/>
      <c r="FOY43" s="344"/>
      <c r="FOZ43" s="344"/>
      <c r="FPA43" s="344"/>
      <c r="FPB43" s="344"/>
      <c r="FPC43" s="344"/>
      <c r="FPD43" s="344"/>
      <c r="FPE43" s="344"/>
      <c r="FPF43" s="344"/>
      <c r="FPG43" s="344"/>
      <c r="FPH43" s="344"/>
      <c r="FPI43" s="344"/>
      <c r="FPJ43" s="344"/>
      <c r="FPK43" s="344"/>
      <c r="FPL43" s="344"/>
      <c r="FPM43" s="344"/>
      <c r="FPN43" s="344"/>
      <c r="FPO43" s="344"/>
      <c r="FPP43" s="344"/>
      <c r="FPQ43" s="344"/>
      <c r="FPR43" s="344"/>
      <c r="FPS43" s="344"/>
      <c r="FPT43" s="344"/>
      <c r="FPU43" s="344"/>
      <c r="FPV43" s="344"/>
      <c r="FPW43" s="344"/>
      <c r="FPX43" s="344"/>
      <c r="FPY43" s="344"/>
      <c r="FPZ43" s="344"/>
      <c r="FQA43" s="344"/>
      <c r="FQB43" s="344"/>
      <c r="FQC43" s="344"/>
      <c r="FQD43" s="344"/>
      <c r="FQE43" s="344"/>
      <c r="FQF43" s="344"/>
      <c r="FQG43" s="344"/>
      <c r="FQH43" s="344"/>
      <c r="FQI43" s="344"/>
      <c r="FQJ43" s="344"/>
      <c r="FQK43" s="344"/>
      <c r="FQL43" s="344"/>
      <c r="FQM43" s="344"/>
      <c r="FQN43" s="344"/>
      <c r="FQO43" s="344"/>
      <c r="FQP43" s="344"/>
      <c r="FQQ43" s="344"/>
      <c r="FQR43" s="344"/>
      <c r="FQS43" s="344"/>
      <c r="FQT43" s="344"/>
      <c r="FQU43" s="344"/>
      <c r="FQV43" s="344"/>
      <c r="FQW43" s="344"/>
      <c r="FQX43" s="344"/>
      <c r="FQY43" s="344"/>
      <c r="FQZ43" s="344"/>
      <c r="FRA43" s="344"/>
      <c r="FRB43" s="344"/>
      <c r="FRC43" s="344"/>
      <c r="FRD43" s="344"/>
      <c r="FRE43" s="344"/>
      <c r="FRF43" s="344"/>
      <c r="FRG43" s="344"/>
      <c r="FRH43" s="344"/>
      <c r="FRI43" s="344"/>
      <c r="FRJ43" s="344"/>
      <c r="FRK43" s="344"/>
      <c r="FRL43" s="344"/>
      <c r="FRM43" s="344"/>
      <c r="FRN43" s="344"/>
      <c r="FRO43" s="344"/>
      <c r="FRP43" s="344"/>
      <c r="FRQ43" s="344"/>
      <c r="FRR43" s="344"/>
      <c r="FRS43" s="344"/>
      <c r="FRT43" s="344"/>
      <c r="FRU43" s="344"/>
      <c r="FRV43" s="344"/>
      <c r="FRW43" s="344"/>
      <c r="FRX43" s="344"/>
      <c r="FRY43" s="344"/>
      <c r="FRZ43" s="344"/>
      <c r="FSA43" s="344"/>
      <c r="FSB43" s="344"/>
      <c r="FSC43" s="344"/>
      <c r="FSD43" s="344"/>
      <c r="FSE43" s="344"/>
      <c r="FSF43" s="344"/>
      <c r="FSG43" s="344"/>
      <c r="FSH43" s="344"/>
      <c r="FSI43" s="344"/>
      <c r="FSJ43" s="344"/>
      <c r="FSK43" s="344"/>
      <c r="FSL43" s="344"/>
      <c r="FSM43" s="344"/>
      <c r="FSN43" s="344"/>
      <c r="FSO43" s="344"/>
      <c r="FSP43" s="344"/>
      <c r="FSQ43" s="344"/>
      <c r="FSR43" s="344"/>
      <c r="FSS43" s="344"/>
      <c r="FST43" s="344"/>
      <c r="FSU43" s="344"/>
      <c r="FSV43" s="344"/>
      <c r="FSW43" s="344"/>
      <c r="FSX43" s="344"/>
      <c r="FSY43" s="344"/>
      <c r="FSZ43" s="344"/>
      <c r="FTA43" s="344"/>
      <c r="FTB43" s="344"/>
      <c r="FTC43" s="344"/>
      <c r="FTD43" s="344"/>
      <c r="FTE43" s="344"/>
      <c r="FTF43" s="344"/>
      <c r="FTG43" s="344"/>
      <c r="FTH43" s="344"/>
      <c r="FTI43" s="344"/>
      <c r="FTJ43" s="344"/>
      <c r="FTK43" s="344"/>
      <c r="FTL43" s="344"/>
      <c r="FTM43" s="344"/>
      <c r="FTN43" s="344"/>
      <c r="FTO43" s="344"/>
      <c r="FTP43" s="344"/>
      <c r="FTQ43" s="344"/>
      <c r="FTR43" s="344"/>
      <c r="FTS43" s="344"/>
      <c r="FTT43" s="344"/>
      <c r="FTU43" s="344"/>
      <c r="FTV43" s="344"/>
      <c r="FTW43" s="344"/>
      <c r="FTX43" s="344"/>
      <c r="FTY43" s="344"/>
      <c r="FTZ43" s="344"/>
      <c r="FUA43" s="344"/>
      <c r="FUB43" s="344"/>
      <c r="FUC43" s="344"/>
      <c r="FUD43" s="344"/>
      <c r="FUE43" s="344"/>
      <c r="FUF43" s="344"/>
      <c r="FUG43" s="344"/>
      <c r="FUH43" s="344"/>
      <c r="FUI43" s="344"/>
      <c r="FUJ43" s="344"/>
      <c r="FUK43" s="344"/>
      <c r="FUL43" s="344"/>
      <c r="FUM43" s="344"/>
      <c r="FUN43" s="344"/>
      <c r="FUO43" s="344"/>
      <c r="FUP43" s="344"/>
      <c r="FUQ43" s="344"/>
      <c r="FUR43" s="344"/>
      <c r="FUS43" s="344"/>
      <c r="FUT43" s="344"/>
      <c r="FUU43" s="344"/>
      <c r="FUV43" s="344"/>
      <c r="FUW43" s="344"/>
      <c r="FUX43" s="344"/>
      <c r="FUY43" s="344"/>
      <c r="FUZ43" s="344"/>
      <c r="FVA43" s="344"/>
      <c r="FVB43" s="344"/>
      <c r="FVC43" s="344"/>
      <c r="FVD43" s="344"/>
      <c r="FVE43" s="344"/>
      <c r="FVF43" s="344"/>
      <c r="FVG43" s="344"/>
      <c r="FVH43" s="344"/>
      <c r="FVI43" s="344"/>
      <c r="FVJ43" s="344"/>
      <c r="FVK43" s="344"/>
      <c r="FVL43" s="344"/>
      <c r="FVM43" s="344"/>
      <c r="FVN43" s="344"/>
      <c r="FVO43" s="344"/>
      <c r="FVP43" s="344"/>
      <c r="FVQ43" s="344"/>
      <c r="FVR43" s="344"/>
      <c r="FVS43" s="344"/>
      <c r="FVT43" s="344"/>
      <c r="FVU43" s="344"/>
      <c r="FVV43" s="344"/>
      <c r="FVW43" s="344"/>
      <c r="FVX43" s="344"/>
      <c r="FVY43" s="344"/>
      <c r="FVZ43" s="344"/>
      <c r="FWA43" s="344"/>
      <c r="FWB43" s="344"/>
      <c r="FWC43" s="344"/>
      <c r="FWD43" s="344"/>
      <c r="FWE43" s="344"/>
      <c r="FWF43" s="344"/>
      <c r="FWG43" s="344"/>
      <c r="FWH43" s="344"/>
      <c r="FWI43" s="344"/>
      <c r="FWJ43" s="344"/>
      <c r="FWK43" s="344"/>
      <c r="FWL43" s="344"/>
      <c r="FWM43" s="344"/>
      <c r="FWN43" s="344"/>
      <c r="FWO43" s="344"/>
      <c r="FWP43" s="344"/>
      <c r="FWQ43" s="344"/>
      <c r="FWR43" s="344"/>
      <c r="FWS43" s="344"/>
      <c r="FWT43" s="344"/>
      <c r="FWU43" s="344"/>
      <c r="FWV43" s="344"/>
      <c r="FWW43" s="344"/>
      <c r="FWX43" s="344"/>
      <c r="FWY43" s="344"/>
      <c r="FWZ43" s="344"/>
      <c r="FXA43" s="344"/>
      <c r="FXB43" s="344"/>
      <c r="FXC43" s="344"/>
      <c r="FXD43" s="344"/>
      <c r="FXE43" s="344"/>
      <c r="FXF43" s="344"/>
      <c r="FXG43" s="344"/>
      <c r="FXH43" s="344"/>
      <c r="FXI43" s="344"/>
      <c r="FXJ43" s="344"/>
      <c r="FXK43" s="344"/>
      <c r="FXL43" s="344"/>
      <c r="FXM43" s="344"/>
      <c r="FXN43" s="344"/>
      <c r="FXO43" s="344"/>
      <c r="FXP43" s="344"/>
      <c r="FXQ43" s="344"/>
      <c r="FXR43" s="344"/>
      <c r="FXS43" s="344"/>
      <c r="FXT43" s="344"/>
      <c r="FXU43" s="344"/>
      <c r="FXV43" s="344"/>
      <c r="FXW43" s="344"/>
      <c r="FXX43" s="344"/>
      <c r="FXY43" s="344"/>
      <c r="FXZ43" s="344"/>
      <c r="FYA43" s="344"/>
      <c r="FYB43" s="344"/>
      <c r="FYC43" s="344"/>
      <c r="FYD43" s="344"/>
      <c r="FYE43" s="344"/>
      <c r="FYF43" s="344"/>
      <c r="FYG43" s="344"/>
      <c r="FYH43" s="344"/>
      <c r="FYI43" s="344"/>
      <c r="FYJ43" s="344"/>
      <c r="FYK43" s="344"/>
      <c r="FYL43" s="344"/>
      <c r="FYM43" s="344"/>
      <c r="FYN43" s="344"/>
      <c r="FYO43" s="344"/>
      <c r="FYP43" s="344"/>
      <c r="FYQ43" s="344"/>
      <c r="FYR43" s="344"/>
      <c r="FYS43" s="344"/>
      <c r="FYT43" s="344"/>
      <c r="FYU43" s="344"/>
      <c r="FYV43" s="344"/>
      <c r="FYW43" s="344"/>
      <c r="FYX43" s="344"/>
      <c r="FYY43" s="344"/>
      <c r="FYZ43" s="344"/>
      <c r="FZA43" s="344"/>
      <c r="FZB43" s="344"/>
      <c r="FZC43" s="344"/>
      <c r="FZD43" s="344"/>
      <c r="FZE43" s="344"/>
      <c r="FZF43" s="344"/>
      <c r="FZG43" s="344"/>
      <c r="FZH43" s="344"/>
      <c r="FZI43" s="344"/>
      <c r="FZJ43" s="344"/>
      <c r="FZK43" s="344"/>
      <c r="FZL43" s="344"/>
      <c r="FZM43" s="344"/>
      <c r="FZN43" s="344"/>
      <c r="FZO43" s="344"/>
      <c r="FZP43" s="344"/>
      <c r="FZQ43" s="344"/>
      <c r="FZR43" s="344"/>
      <c r="FZS43" s="344"/>
      <c r="FZT43" s="344"/>
      <c r="FZU43" s="344"/>
      <c r="FZV43" s="344"/>
      <c r="FZW43" s="344"/>
      <c r="FZX43" s="344"/>
      <c r="FZY43" s="344"/>
      <c r="FZZ43" s="344"/>
      <c r="GAA43" s="344"/>
      <c r="GAB43" s="344"/>
      <c r="GAC43" s="344"/>
      <c r="GAD43" s="344"/>
      <c r="GAE43" s="344"/>
      <c r="GAF43" s="344"/>
      <c r="GAG43" s="344"/>
      <c r="GAH43" s="344"/>
      <c r="GAI43" s="344"/>
      <c r="GAJ43" s="344"/>
      <c r="GAK43" s="344"/>
      <c r="GAL43" s="344"/>
      <c r="GAM43" s="344"/>
      <c r="GAN43" s="344"/>
      <c r="GAO43" s="344"/>
      <c r="GAP43" s="344"/>
      <c r="GAQ43" s="344"/>
      <c r="GAR43" s="344"/>
      <c r="GAS43" s="344"/>
      <c r="GAT43" s="344"/>
      <c r="GAU43" s="344"/>
      <c r="GAV43" s="344"/>
      <c r="GAW43" s="344"/>
      <c r="GAX43" s="344"/>
      <c r="GAY43" s="344"/>
      <c r="GAZ43" s="344"/>
      <c r="GBA43" s="344"/>
      <c r="GBB43" s="344"/>
      <c r="GBC43" s="344"/>
      <c r="GBD43" s="344"/>
      <c r="GBE43" s="344"/>
      <c r="GBF43" s="344"/>
      <c r="GBG43" s="344"/>
      <c r="GBH43" s="344"/>
      <c r="GBI43" s="344"/>
      <c r="GBJ43" s="344"/>
      <c r="GBK43" s="344"/>
      <c r="GBL43" s="344"/>
      <c r="GBM43" s="344"/>
      <c r="GBN43" s="344"/>
      <c r="GBO43" s="344"/>
      <c r="GBP43" s="344"/>
      <c r="GBQ43" s="344"/>
      <c r="GBR43" s="344"/>
      <c r="GBS43" s="344"/>
      <c r="GBT43" s="344"/>
      <c r="GBU43" s="344"/>
      <c r="GBV43" s="344"/>
      <c r="GBW43" s="344"/>
      <c r="GBX43" s="344"/>
      <c r="GBY43" s="344"/>
      <c r="GBZ43" s="344"/>
      <c r="GCA43" s="344"/>
      <c r="GCB43" s="344"/>
      <c r="GCC43" s="344"/>
      <c r="GCD43" s="344"/>
      <c r="GCE43" s="344"/>
      <c r="GCF43" s="344"/>
      <c r="GCG43" s="344"/>
      <c r="GCH43" s="344"/>
      <c r="GCI43" s="344"/>
      <c r="GCJ43" s="344"/>
      <c r="GCK43" s="344"/>
      <c r="GCL43" s="344"/>
      <c r="GCM43" s="344"/>
      <c r="GCN43" s="344"/>
      <c r="GCO43" s="344"/>
      <c r="GCP43" s="344"/>
      <c r="GCQ43" s="344"/>
      <c r="GCR43" s="344"/>
      <c r="GCS43" s="344"/>
      <c r="GCT43" s="344"/>
      <c r="GCU43" s="344"/>
      <c r="GCV43" s="344"/>
      <c r="GCW43" s="344"/>
      <c r="GCX43" s="344"/>
      <c r="GCY43" s="344"/>
      <c r="GCZ43" s="344"/>
      <c r="GDA43" s="344"/>
      <c r="GDB43" s="344"/>
      <c r="GDC43" s="344"/>
      <c r="GDD43" s="344"/>
      <c r="GDE43" s="344"/>
      <c r="GDF43" s="344"/>
      <c r="GDG43" s="344"/>
      <c r="GDH43" s="344"/>
      <c r="GDI43" s="344"/>
      <c r="GDJ43" s="344"/>
      <c r="GDK43" s="344"/>
      <c r="GDL43" s="344"/>
      <c r="GDM43" s="344"/>
      <c r="GDN43" s="344"/>
      <c r="GDO43" s="344"/>
      <c r="GDP43" s="344"/>
      <c r="GDQ43" s="344"/>
      <c r="GDR43" s="344"/>
      <c r="GDS43" s="344"/>
      <c r="GDT43" s="344"/>
      <c r="GDU43" s="344"/>
      <c r="GDV43" s="344"/>
      <c r="GDW43" s="344"/>
      <c r="GDX43" s="344"/>
      <c r="GDY43" s="344"/>
      <c r="GDZ43" s="344"/>
      <c r="GEA43" s="344"/>
      <c r="GEB43" s="344"/>
      <c r="GEC43" s="344"/>
      <c r="GED43" s="344"/>
      <c r="GEE43" s="344"/>
      <c r="GEF43" s="344"/>
      <c r="GEG43" s="344"/>
      <c r="GEH43" s="344"/>
      <c r="GEI43" s="344"/>
      <c r="GEJ43" s="344"/>
      <c r="GEK43" s="344"/>
      <c r="GEL43" s="344"/>
      <c r="GEM43" s="344"/>
      <c r="GEN43" s="344"/>
      <c r="GEO43" s="344"/>
      <c r="GEP43" s="344"/>
      <c r="GEQ43" s="344"/>
      <c r="GER43" s="344"/>
      <c r="GES43" s="344"/>
      <c r="GET43" s="344"/>
      <c r="GEU43" s="344"/>
      <c r="GEV43" s="344"/>
      <c r="GEW43" s="344"/>
      <c r="GEX43" s="344"/>
      <c r="GEY43" s="344"/>
      <c r="GEZ43" s="344"/>
      <c r="GFA43" s="344"/>
      <c r="GFB43" s="344"/>
      <c r="GFC43" s="344"/>
      <c r="GFD43" s="344"/>
      <c r="GFE43" s="344"/>
      <c r="GFF43" s="344"/>
      <c r="GFG43" s="344"/>
      <c r="GFH43" s="344"/>
      <c r="GFI43" s="344"/>
      <c r="GFJ43" s="344"/>
      <c r="GFK43" s="344"/>
      <c r="GFL43" s="344"/>
      <c r="GFM43" s="344"/>
      <c r="GFN43" s="344"/>
      <c r="GFO43" s="344"/>
      <c r="GFP43" s="344"/>
      <c r="GFQ43" s="344"/>
      <c r="GFR43" s="344"/>
      <c r="GFS43" s="344"/>
      <c r="GFT43" s="344"/>
      <c r="GFU43" s="344"/>
      <c r="GFV43" s="344"/>
      <c r="GFW43" s="344"/>
      <c r="GFX43" s="344"/>
      <c r="GFY43" s="344"/>
      <c r="GFZ43" s="344"/>
      <c r="GGA43" s="344"/>
      <c r="GGB43" s="344"/>
      <c r="GGC43" s="344"/>
      <c r="GGD43" s="344"/>
      <c r="GGE43" s="344"/>
      <c r="GGF43" s="344"/>
      <c r="GGG43" s="344"/>
      <c r="GGH43" s="344"/>
      <c r="GGI43" s="344"/>
      <c r="GGJ43" s="344"/>
      <c r="GGK43" s="344"/>
      <c r="GGL43" s="344"/>
      <c r="GGM43" s="344"/>
      <c r="GGN43" s="344"/>
      <c r="GGO43" s="344"/>
      <c r="GGP43" s="344"/>
      <c r="GGQ43" s="344"/>
      <c r="GGR43" s="344"/>
      <c r="GGS43" s="344"/>
      <c r="GGT43" s="344"/>
      <c r="GGU43" s="344"/>
      <c r="GGV43" s="344"/>
      <c r="GGW43" s="344"/>
      <c r="GGX43" s="344"/>
      <c r="GGY43" s="344"/>
      <c r="GGZ43" s="344"/>
      <c r="GHA43" s="344"/>
      <c r="GHB43" s="344"/>
      <c r="GHC43" s="344"/>
      <c r="GHD43" s="344"/>
      <c r="GHE43" s="344"/>
      <c r="GHF43" s="344"/>
      <c r="GHG43" s="344"/>
      <c r="GHH43" s="344"/>
      <c r="GHI43" s="344"/>
      <c r="GHJ43" s="344"/>
      <c r="GHK43" s="344"/>
      <c r="GHL43" s="344"/>
      <c r="GHM43" s="344"/>
      <c r="GHN43" s="344"/>
      <c r="GHO43" s="344"/>
      <c r="GHP43" s="344"/>
      <c r="GHQ43" s="344"/>
      <c r="GHR43" s="344"/>
      <c r="GHS43" s="344"/>
      <c r="GHT43" s="344"/>
      <c r="GHU43" s="344"/>
      <c r="GHV43" s="344"/>
      <c r="GHW43" s="344"/>
      <c r="GHX43" s="344"/>
      <c r="GHY43" s="344"/>
      <c r="GHZ43" s="344"/>
      <c r="GIA43" s="344"/>
      <c r="GIB43" s="344"/>
      <c r="GIC43" s="344"/>
      <c r="GID43" s="344"/>
      <c r="GIE43" s="344"/>
      <c r="GIF43" s="344"/>
      <c r="GIG43" s="344"/>
      <c r="GIH43" s="344"/>
      <c r="GII43" s="344"/>
      <c r="GIJ43" s="344"/>
      <c r="GIK43" s="344"/>
      <c r="GIL43" s="344"/>
      <c r="GIM43" s="344"/>
      <c r="GIN43" s="344"/>
      <c r="GIO43" s="344"/>
      <c r="GIP43" s="344"/>
      <c r="GIQ43" s="344"/>
      <c r="GIR43" s="344"/>
      <c r="GIS43" s="344"/>
      <c r="GIT43" s="344"/>
      <c r="GIU43" s="344"/>
      <c r="GIV43" s="344"/>
      <c r="GIW43" s="344"/>
      <c r="GIX43" s="344"/>
      <c r="GIY43" s="344"/>
      <c r="GIZ43" s="344"/>
      <c r="GJA43" s="344"/>
      <c r="GJB43" s="344"/>
      <c r="GJC43" s="344"/>
      <c r="GJD43" s="344"/>
      <c r="GJE43" s="344"/>
      <c r="GJF43" s="344"/>
      <c r="GJG43" s="344"/>
      <c r="GJH43" s="344"/>
      <c r="GJI43" s="344"/>
      <c r="GJJ43" s="344"/>
      <c r="GJK43" s="344"/>
      <c r="GJL43" s="344"/>
      <c r="GJM43" s="344"/>
      <c r="GJN43" s="344"/>
      <c r="GJO43" s="344"/>
      <c r="GJP43" s="344"/>
      <c r="GJQ43" s="344"/>
      <c r="GJR43" s="344"/>
      <c r="GJS43" s="344"/>
      <c r="GJT43" s="344"/>
      <c r="GJU43" s="344"/>
      <c r="GJV43" s="344"/>
      <c r="GJW43" s="344"/>
      <c r="GJX43" s="344"/>
      <c r="GJY43" s="344"/>
      <c r="GJZ43" s="344"/>
      <c r="GKA43" s="344"/>
      <c r="GKB43" s="344"/>
      <c r="GKC43" s="344"/>
      <c r="GKD43" s="344"/>
      <c r="GKE43" s="344"/>
      <c r="GKF43" s="344"/>
      <c r="GKG43" s="344"/>
      <c r="GKH43" s="344"/>
      <c r="GKI43" s="344"/>
      <c r="GKJ43" s="344"/>
      <c r="GKK43" s="344"/>
      <c r="GKL43" s="344"/>
      <c r="GKM43" s="344"/>
      <c r="GKN43" s="344"/>
      <c r="GKO43" s="344"/>
      <c r="GKP43" s="344"/>
      <c r="GKQ43" s="344"/>
      <c r="GKR43" s="344"/>
      <c r="GKS43" s="344"/>
      <c r="GKT43" s="344"/>
      <c r="GKU43" s="344"/>
      <c r="GKV43" s="344"/>
      <c r="GKW43" s="344"/>
      <c r="GKX43" s="344"/>
      <c r="GKY43" s="344"/>
      <c r="GKZ43" s="344"/>
      <c r="GLA43" s="344"/>
      <c r="GLB43" s="344"/>
      <c r="GLC43" s="344"/>
      <c r="GLD43" s="344"/>
      <c r="GLE43" s="344"/>
      <c r="GLF43" s="344"/>
      <c r="GLG43" s="344"/>
      <c r="GLH43" s="344"/>
      <c r="GLI43" s="344"/>
      <c r="GLJ43" s="344"/>
      <c r="GLK43" s="344"/>
      <c r="GLL43" s="344"/>
      <c r="GLM43" s="344"/>
      <c r="GLN43" s="344"/>
      <c r="GLO43" s="344"/>
      <c r="GLP43" s="344"/>
      <c r="GLQ43" s="344"/>
      <c r="GLR43" s="344"/>
      <c r="GLS43" s="344"/>
      <c r="GLT43" s="344"/>
      <c r="GLU43" s="344"/>
      <c r="GLV43" s="344"/>
      <c r="GLW43" s="344"/>
      <c r="GLX43" s="344"/>
      <c r="GLY43" s="344"/>
      <c r="GLZ43" s="344"/>
      <c r="GMA43" s="344"/>
      <c r="GMB43" s="344"/>
      <c r="GMC43" s="344"/>
      <c r="GMD43" s="344"/>
      <c r="GME43" s="344"/>
      <c r="GMF43" s="344"/>
      <c r="GMG43" s="344"/>
      <c r="GMH43" s="344"/>
      <c r="GMI43" s="344"/>
      <c r="GMJ43" s="344"/>
      <c r="GMK43" s="344"/>
      <c r="GML43" s="344"/>
      <c r="GMM43" s="344"/>
      <c r="GMN43" s="344"/>
      <c r="GMO43" s="344"/>
      <c r="GMP43" s="344"/>
      <c r="GMQ43" s="344"/>
      <c r="GMR43" s="344"/>
      <c r="GMS43" s="344"/>
      <c r="GMT43" s="344"/>
      <c r="GMU43" s="344"/>
      <c r="GMV43" s="344"/>
      <c r="GMW43" s="344"/>
      <c r="GMX43" s="344"/>
      <c r="GMY43" s="344"/>
      <c r="GMZ43" s="344"/>
      <c r="GNA43" s="344"/>
      <c r="GNB43" s="344"/>
      <c r="GNC43" s="344"/>
      <c r="GND43" s="344"/>
      <c r="GNE43" s="344"/>
      <c r="GNF43" s="344"/>
      <c r="GNG43" s="344"/>
      <c r="GNH43" s="344"/>
      <c r="GNI43" s="344"/>
      <c r="GNJ43" s="344"/>
      <c r="GNK43" s="344"/>
      <c r="GNL43" s="344"/>
      <c r="GNM43" s="344"/>
      <c r="GNN43" s="344"/>
      <c r="GNO43" s="344"/>
      <c r="GNP43" s="344"/>
      <c r="GNQ43" s="344"/>
      <c r="GNR43" s="344"/>
      <c r="GNS43" s="344"/>
      <c r="GNT43" s="344"/>
      <c r="GNU43" s="344"/>
      <c r="GNV43" s="344"/>
      <c r="GNW43" s="344"/>
      <c r="GNX43" s="344"/>
      <c r="GNY43" s="344"/>
      <c r="GNZ43" s="344"/>
      <c r="GOA43" s="344"/>
      <c r="GOB43" s="344"/>
      <c r="GOC43" s="344"/>
      <c r="GOD43" s="344"/>
      <c r="GOE43" s="344"/>
      <c r="GOF43" s="344"/>
      <c r="GOG43" s="344"/>
      <c r="GOH43" s="344"/>
      <c r="GOI43" s="344"/>
      <c r="GOJ43" s="344"/>
      <c r="GOK43" s="344"/>
      <c r="GOL43" s="344"/>
      <c r="GOM43" s="344"/>
      <c r="GON43" s="344"/>
      <c r="GOO43" s="344"/>
      <c r="GOP43" s="344"/>
      <c r="GOQ43" s="344"/>
      <c r="GOR43" s="344"/>
      <c r="GOS43" s="344"/>
      <c r="GOT43" s="344"/>
      <c r="GOU43" s="344"/>
      <c r="GOV43" s="344"/>
      <c r="GOW43" s="344"/>
      <c r="GOX43" s="344"/>
      <c r="GOY43" s="344"/>
      <c r="GOZ43" s="344"/>
      <c r="GPA43" s="344"/>
      <c r="GPB43" s="344"/>
      <c r="GPC43" s="344"/>
      <c r="GPD43" s="344"/>
      <c r="GPE43" s="344"/>
      <c r="GPF43" s="344"/>
      <c r="GPG43" s="344"/>
      <c r="GPH43" s="344"/>
      <c r="GPI43" s="344"/>
      <c r="GPJ43" s="344"/>
      <c r="GPK43" s="344"/>
      <c r="GPL43" s="344"/>
      <c r="GPM43" s="344"/>
      <c r="GPN43" s="344"/>
      <c r="GPO43" s="344"/>
      <c r="GPP43" s="344"/>
      <c r="GPQ43" s="344"/>
      <c r="GPR43" s="344"/>
      <c r="GPS43" s="344"/>
      <c r="GPT43" s="344"/>
      <c r="GPU43" s="344"/>
      <c r="GPV43" s="344"/>
      <c r="GPW43" s="344"/>
      <c r="GPX43" s="344"/>
      <c r="GPY43" s="344"/>
      <c r="GPZ43" s="344"/>
      <c r="GQA43" s="344"/>
      <c r="GQB43" s="344"/>
      <c r="GQC43" s="344"/>
      <c r="GQD43" s="344"/>
      <c r="GQE43" s="344"/>
      <c r="GQF43" s="344"/>
      <c r="GQG43" s="344"/>
      <c r="GQH43" s="344"/>
      <c r="GQI43" s="344"/>
      <c r="GQJ43" s="344"/>
      <c r="GQK43" s="344"/>
      <c r="GQL43" s="344"/>
      <c r="GQM43" s="344"/>
      <c r="GQN43" s="344"/>
      <c r="GQO43" s="344"/>
      <c r="GQP43" s="344"/>
      <c r="GQQ43" s="344"/>
      <c r="GQR43" s="344"/>
      <c r="GQS43" s="344"/>
      <c r="GQT43" s="344"/>
      <c r="GQU43" s="344"/>
      <c r="GQV43" s="344"/>
      <c r="GQW43" s="344"/>
      <c r="GQX43" s="344"/>
      <c r="GQY43" s="344"/>
      <c r="GQZ43" s="344"/>
      <c r="GRA43" s="344"/>
      <c r="GRB43" s="344"/>
      <c r="GRC43" s="344"/>
      <c r="GRD43" s="344"/>
      <c r="GRE43" s="344"/>
      <c r="GRF43" s="344"/>
      <c r="GRG43" s="344"/>
      <c r="GRH43" s="344"/>
      <c r="GRI43" s="344"/>
      <c r="GRJ43" s="344"/>
      <c r="GRK43" s="344"/>
      <c r="GRL43" s="344"/>
      <c r="GRM43" s="344"/>
      <c r="GRN43" s="344"/>
      <c r="GRO43" s="344"/>
      <c r="GRP43" s="344"/>
      <c r="GRQ43" s="344"/>
      <c r="GRR43" s="344"/>
      <c r="GRS43" s="344"/>
      <c r="GRT43" s="344"/>
      <c r="GRU43" s="344"/>
      <c r="GRV43" s="344"/>
      <c r="GRW43" s="344"/>
      <c r="GRX43" s="344"/>
      <c r="GRY43" s="344"/>
      <c r="GRZ43" s="344"/>
      <c r="GSA43" s="344"/>
      <c r="GSB43" s="344"/>
      <c r="GSC43" s="344"/>
      <c r="GSD43" s="344"/>
      <c r="GSE43" s="344"/>
      <c r="GSF43" s="344"/>
      <c r="GSG43" s="344"/>
      <c r="GSH43" s="344"/>
      <c r="GSI43" s="344"/>
      <c r="GSJ43" s="344"/>
      <c r="GSK43" s="344"/>
      <c r="GSL43" s="344"/>
      <c r="GSM43" s="344"/>
      <c r="GSN43" s="344"/>
      <c r="GSO43" s="344"/>
      <c r="GSP43" s="344"/>
      <c r="GSQ43" s="344"/>
      <c r="GSR43" s="344"/>
      <c r="GSS43" s="344"/>
      <c r="GST43" s="344"/>
      <c r="GSU43" s="344"/>
      <c r="GSV43" s="344"/>
      <c r="GSW43" s="344"/>
      <c r="GSX43" s="344"/>
      <c r="GSY43" s="344"/>
      <c r="GSZ43" s="344"/>
      <c r="GTA43" s="344"/>
      <c r="GTB43" s="344"/>
      <c r="GTC43" s="344"/>
      <c r="GTD43" s="344"/>
      <c r="GTE43" s="344"/>
      <c r="GTF43" s="344"/>
      <c r="GTG43" s="344"/>
      <c r="GTH43" s="344"/>
      <c r="GTI43" s="344"/>
      <c r="GTJ43" s="344"/>
      <c r="GTK43" s="344"/>
      <c r="GTL43" s="344"/>
      <c r="GTM43" s="344"/>
      <c r="GTN43" s="344"/>
      <c r="GTO43" s="344"/>
      <c r="GTP43" s="344"/>
      <c r="GTQ43" s="344"/>
      <c r="GTR43" s="344"/>
      <c r="GTS43" s="344"/>
      <c r="GTT43" s="344"/>
      <c r="GTU43" s="344"/>
      <c r="GTV43" s="344"/>
      <c r="GTW43" s="344"/>
      <c r="GTX43" s="344"/>
      <c r="GTY43" s="344"/>
      <c r="GTZ43" s="344"/>
      <c r="GUA43" s="344"/>
      <c r="GUB43" s="344"/>
      <c r="GUC43" s="344"/>
      <c r="GUD43" s="344"/>
      <c r="GUE43" s="344"/>
      <c r="GUF43" s="344"/>
      <c r="GUG43" s="344"/>
      <c r="GUH43" s="344"/>
      <c r="GUI43" s="344"/>
      <c r="GUJ43" s="344"/>
      <c r="GUK43" s="344"/>
      <c r="GUL43" s="344"/>
      <c r="GUM43" s="344"/>
      <c r="GUN43" s="344"/>
      <c r="GUO43" s="344"/>
      <c r="GUP43" s="344"/>
      <c r="GUQ43" s="344"/>
      <c r="GUR43" s="344"/>
      <c r="GUS43" s="344"/>
      <c r="GUT43" s="344"/>
      <c r="GUU43" s="344"/>
      <c r="GUV43" s="344"/>
      <c r="GUW43" s="344"/>
      <c r="GUX43" s="344"/>
      <c r="GUY43" s="344"/>
      <c r="GUZ43" s="344"/>
      <c r="GVA43" s="344"/>
      <c r="GVB43" s="344"/>
      <c r="GVC43" s="344"/>
      <c r="GVD43" s="344"/>
      <c r="GVE43" s="344"/>
      <c r="GVF43" s="344"/>
      <c r="GVG43" s="344"/>
      <c r="GVH43" s="344"/>
      <c r="GVI43" s="344"/>
      <c r="GVJ43" s="344"/>
      <c r="GVK43" s="344"/>
      <c r="GVL43" s="344"/>
      <c r="GVM43" s="344"/>
      <c r="GVN43" s="344"/>
      <c r="GVO43" s="344"/>
      <c r="GVP43" s="344"/>
      <c r="GVQ43" s="344"/>
      <c r="GVR43" s="344"/>
      <c r="GVS43" s="344"/>
      <c r="GVT43" s="344"/>
      <c r="GVU43" s="344"/>
      <c r="GVV43" s="344"/>
      <c r="GVW43" s="344"/>
      <c r="GVX43" s="344"/>
      <c r="GVY43" s="344"/>
      <c r="GVZ43" s="344"/>
      <c r="GWA43" s="344"/>
      <c r="GWB43" s="344"/>
      <c r="GWC43" s="344"/>
      <c r="GWD43" s="344"/>
      <c r="GWE43" s="344"/>
      <c r="GWF43" s="344"/>
      <c r="GWG43" s="344"/>
      <c r="GWH43" s="344"/>
      <c r="GWI43" s="344"/>
      <c r="GWJ43" s="344"/>
      <c r="GWK43" s="344"/>
      <c r="GWL43" s="344"/>
      <c r="GWM43" s="344"/>
      <c r="GWN43" s="344"/>
      <c r="GWO43" s="344"/>
      <c r="GWP43" s="344"/>
      <c r="GWQ43" s="344"/>
      <c r="GWR43" s="344"/>
      <c r="GWS43" s="344"/>
      <c r="GWT43" s="344"/>
      <c r="GWU43" s="344"/>
      <c r="GWV43" s="344"/>
      <c r="GWW43" s="344"/>
      <c r="GWX43" s="344"/>
      <c r="GWY43" s="344"/>
      <c r="GWZ43" s="344"/>
      <c r="GXA43" s="344"/>
      <c r="GXB43" s="344"/>
      <c r="GXC43" s="344"/>
      <c r="GXD43" s="344"/>
      <c r="GXE43" s="344"/>
      <c r="GXF43" s="344"/>
      <c r="GXG43" s="344"/>
      <c r="GXH43" s="344"/>
      <c r="GXI43" s="344"/>
      <c r="GXJ43" s="344"/>
      <c r="GXK43" s="344"/>
      <c r="GXL43" s="344"/>
      <c r="GXM43" s="344"/>
      <c r="GXN43" s="344"/>
      <c r="GXO43" s="344"/>
      <c r="GXP43" s="344"/>
      <c r="GXQ43" s="344"/>
      <c r="GXR43" s="344"/>
      <c r="GXS43" s="344"/>
      <c r="GXT43" s="344"/>
      <c r="GXU43" s="344"/>
      <c r="GXV43" s="344"/>
      <c r="GXW43" s="344"/>
      <c r="GXX43" s="344"/>
      <c r="GXY43" s="344"/>
      <c r="GXZ43" s="344"/>
      <c r="GYA43" s="344"/>
      <c r="GYB43" s="344"/>
      <c r="GYC43" s="344"/>
      <c r="GYD43" s="344"/>
      <c r="GYE43" s="344"/>
      <c r="GYF43" s="344"/>
      <c r="GYG43" s="344"/>
      <c r="GYH43" s="344"/>
      <c r="GYI43" s="344"/>
      <c r="GYJ43" s="344"/>
      <c r="GYK43" s="344"/>
      <c r="GYL43" s="344"/>
      <c r="GYM43" s="344"/>
      <c r="GYN43" s="344"/>
      <c r="GYO43" s="344"/>
      <c r="GYP43" s="344"/>
      <c r="GYQ43" s="344"/>
      <c r="GYR43" s="344"/>
      <c r="GYS43" s="344"/>
      <c r="GYT43" s="344"/>
      <c r="GYU43" s="344"/>
      <c r="GYV43" s="344"/>
      <c r="GYW43" s="344"/>
      <c r="GYX43" s="344"/>
      <c r="GYY43" s="344"/>
      <c r="GYZ43" s="344"/>
      <c r="GZA43" s="344"/>
      <c r="GZB43" s="344"/>
      <c r="GZC43" s="344"/>
      <c r="GZD43" s="344"/>
      <c r="GZE43" s="344"/>
      <c r="GZF43" s="344"/>
      <c r="GZG43" s="344"/>
      <c r="GZH43" s="344"/>
      <c r="GZI43" s="344"/>
      <c r="GZJ43" s="344"/>
      <c r="GZK43" s="344"/>
      <c r="GZL43" s="344"/>
      <c r="GZM43" s="344"/>
      <c r="GZN43" s="344"/>
      <c r="GZO43" s="344"/>
      <c r="GZP43" s="344"/>
      <c r="GZQ43" s="344"/>
      <c r="GZR43" s="344"/>
      <c r="GZS43" s="344"/>
      <c r="GZT43" s="344"/>
      <c r="GZU43" s="344"/>
      <c r="GZV43" s="344"/>
      <c r="GZW43" s="344"/>
      <c r="GZX43" s="344"/>
      <c r="GZY43" s="344"/>
      <c r="GZZ43" s="344"/>
      <c r="HAA43" s="344"/>
      <c r="HAB43" s="344"/>
      <c r="HAC43" s="344"/>
      <c r="HAD43" s="344"/>
      <c r="HAE43" s="344"/>
      <c r="HAF43" s="344"/>
      <c r="HAG43" s="344"/>
      <c r="HAH43" s="344"/>
      <c r="HAI43" s="344"/>
      <c r="HAJ43" s="344"/>
      <c r="HAK43" s="344"/>
      <c r="HAL43" s="344"/>
      <c r="HAM43" s="344"/>
      <c r="HAN43" s="344"/>
      <c r="HAO43" s="344"/>
      <c r="HAP43" s="344"/>
      <c r="HAQ43" s="344"/>
      <c r="HAR43" s="344"/>
      <c r="HAS43" s="344"/>
      <c r="HAT43" s="344"/>
      <c r="HAU43" s="344"/>
      <c r="HAV43" s="344"/>
      <c r="HAW43" s="344"/>
      <c r="HAX43" s="344"/>
      <c r="HAY43" s="344"/>
      <c r="HAZ43" s="344"/>
      <c r="HBA43" s="344"/>
      <c r="HBB43" s="344"/>
      <c r="HBC43" s="344"/>
      <c r="HBD43" s="344"/>
      <c r="HBE43" s="344"/>
      <c r="HBF43" s="344"/>
      <c r="HBG43" s="344"/>
      <c r="HBH43" s="344"/>
      <c r="HBI43" s="344"/>
      <c r="HBJ43" s="344"/>
      <c r="HBK43" s="344"/>
      <c r="HBL43" s="344"/>
      <c r="HBM43" s="344"/>
      <c r="HBN43" s="344"/>
      <c r="HBO43" s="344"/>
      <c r="HBP43" s="344"/>
      <c r="HBQ43" s="344"/>
      <c r="HBR43" s="344"/>
      <c r="HBS43" s="344"/>
      <c r="HBT43" s="344"/>
      <c r="HBU43" s="344"/>
      <c r="HBV43" s="344"/>
      <c r="HBW43" s="344"/>
      <c r="HBX43" s="344"/>
      <c r="HBY43" s="344"/>
      <c r="HBZ43" s="344"/>
      <c r="HCA43" s="344"/>
      <c r="HCB43" s="344"/>
      <c r="HCC43" s="344"/>
      <c r="HCD43" s="344"/>
      <c r="HCE43" s="344"/>
      <c r="HCF43" s="344"/>
      <c r="HCG43" s="344"/>
      <c r="HCH43" s="344"/>
      <c r="HCI43" s="344"/>
      <c r="HCJ43" s="344"/>
      <c r="HCK43" s="344"/>
      <c r="HCL43" s="344"/>
      <c r="HCM43" s="344"/>
      <c r="HCN43" s="344"/>
      <c r="HCO43" s="344"/>
      <c r="HCP43" s="344"/>
      <c r="HCQ43" s="344"/>
      <c r="HCR43" s="344"/>
      <c r="HCS43" s="344"/>
      <c r="HCT43" s="344"/>
      <c r="HCU43" s="344"/>
      <c r="HCV43" s="344"/>
      <c r="HCW43" s="344"/>
      <c r="HCX43" s="344"/>
      <c r="HCY43" s="344"/>
      <c r="HCZ43" s="344"/>
      <c r="HDA43" s="344"/>
      <c r="HDB43" s="344"/>
      <c r="HDC43" s="344"/>
      <c r="HDD43" s="344"/>
      <c r="HDE43" s="344"/>
      <c r="HDF43" s="344"/>
      <c r="HDG43" s="344"/>
      <c r="HDH43" s="344"/>
      <c r="HDI43" s="344"/>
      <c r="HDJ43" s="344"/>
      <c r="HDK43" s="344"/>
      <c r="HDL43" s="344"/>
      <c r="HDM43" s="344"/>
      <c r="HDN43" s="344"/>
      <c r="HDO43" s="344"/>
      <c r="HDP43" s="344"/>
      <c r="HDQ43" s="344"/>
      <c r="HDR43" s="344"/>
      <c r="HDS43" s="344"/>
      <c r="HDT43" s="344"/>
      <c r="HDU43" s="344"/>
      <c r="HDV43" s="344"/>
      <c r="HDW43" s="344"/>
      <c r="HDX43" s="344"/>
      <c r="HDY43" s="344"/>
      <c r="HDZ43" s="344"/>
      <c r="HEA43" s="344"/>
      <c r="HEB43" s="344"/>
      <c r="HEC43" s="344"/>
      <c r="HED43" s="344"/>
      <c r="HEE43" s="344"/>
      <c r="HEF43" s="344"/>
      <c r="HEG43" s="344"/>
      <c r="HEH43" s="344"/>
      <c r="HEI43" s="344"/>
      <c r="HEJ43" s="344"/>
      <c r="HEK43" s="344"/>
      <c r="HEL43" s="344"/>
      <c r="HEM43" s="344"/>
      <c r="HEN43" s="344"/>
      <c r="HEO43" s="344"/>
      <c r="HEP43" s="344"/>
      <c r="HEQ43" s="344"/>
      <c r="HER43" s="344"/>
      <c r="HES43" s="344"/>
      <c r="HET43" s="344"/>
      <c r="HEU43" s="344"/>
      <c r="HEV43" s="344"/>
      <c r="HEW43" s="344"/>
      <c r="HEX43" s="344"/>
      <c r="HEY43" s="344"/>
      <c r="HEZ43" s="344"/>
      <c r="HFA43" s="344"/>
      <c r="HFB43" s="344"/>
      <c r="HFC43" s="344"/>
      <c r="HFD43" s="344"/>
      <c r="HFE43" s="344"/>
      <c r="HFF43" s="344"/>
      <c r="HFG43" s="344"/>
      <c r="HFH43" s="344"/>
      <c r="HFI43" s="344"/>
      <c r="HFJ43" s="344"/>
      <c r="HFK43" s="344"/>
      <c r="HFL43" s="344"/>
      <c r="HFM43" s="344"/>
      <c r="HFN43" s="344"/>
      <c r="HFO43" s="344"/>
      <c r="HFP43" s="344"/>
      <c r="HFQ43" s="344"/>
      <c r="HFR43" s="344"/>
      <c r="HFS43" s="344"/>
      <c r="HFT43" s="344"/>
      <c r="HFU43" s="344"/>
      <c r="HFV43" s="344"/>
      <c r="HFW43" s="344"/>
      <c r="HFX43" s="344"/>
      <c r="HFY43" s="344"/>
      <c r="HFZ43" s="344"/>
      <c r="HGA43" s="344"/>
      <c r="HGB43" s="344"/>
      <c r="HGC43" s="344"/>
      <c r="HGD43" s="344"/>
      <c r="HGE43" s="344"/>
      <c r="HGF43" s="344"/>
      <c r="HGG43" s="344"/>
      <c r="HGH43" s="344"/>
      <c r="HGI43" s="344"/>
      <c r="HGJ43" s="344"/>
      <c r="HGK43" s="344"/>
      <c r="HGL43" s="344"/>
      <c r="HGM43" s="344"/>
      <c r="HGN43" s="344"/>
      <c r="HGO43" s="344"/>
      <c r="HGP43" s="344"/>
      <c r="HGQ43" s="344"/>
      <c r="HGR43" s="344"/>
      <c r="HGS43" s="344"/>
      <c r="HGT43" s="344"/>
      <c r="HGU43" s="344"/>
      <c r="HGV43" s="344"/>
      <c r="HGW43" s="344"/>
      <c r="HGX43" s="344"/>
      <c r="HGY43" s="344"/>
      <c r="HGZ43" s="344"/>
      <c r="HHA43" s="344"/>
      <c r="HHB43" s="344"/>
      <c r="HHC43" s="344"/>
      <c r="HHD43" s="344"/>
      <c r="HHE43" s="344"/>
      <c r="HHF43" s="344"/>
      <c r="HHG43" s="344"/>
      <c r="HHH43" s="344"/>
      <c r="HHI43" s="344"/>
      <c r="HHJ43" s="344"/>
      <c r="HHK43" s="344"/>
      <c r="HHL43" s="344"/>
      <c r="HHM43" s="344"/>
      <c r="HHN43" s="344"/>
      <c r="HHO43" s="344"/>
      <c r="HHP43" s="344"/>
      <c r="HHQ43" s="344"/>
      <c r="HHR43" s="344"/>
      <c r="HHS43" s="344"/>
      <c r="HHT43" s="344"/>
      <c r="HHU43" s="344"/>
      <c r="HHV43" s="344"/>
      <c r="HHW43" s="344"/>
      <c r="HHX43" s="344"/>
      <c r="HHY43" s="344"/>
      <c r="HHZ43" s="344"/>
      <c r="HIA43" s="344"/>
      <c r="HIB43" s="344"/>
      <c r="HIC43" s="344"/>
      <c r="HID43" s="344"/>
      <c r="HIE43" s="344"/>
      <c r="HIF43" s="344"/>
      <c r="HIG43" s="344"/>
      <c r="HIH43" s="344"/>
      <c r="HII43" s="344"/>
      <c r="HIJ43" s="344"/>
      <c r="HIK43" s="344"/>
      <c r="HIL43" s="344"/>
      <c r="HIM43" s="344"/>
      <c r="HIN43" s="344"/>
      <c r="HIO43" s="344"/>
      <c r="HIP43" s="344"/>
      <c r="HIQ43" s="344"/>
      <c r="HIR43" s="344"/>
      <c r="HIS43" s="344"/>
      <c r="HIT43" s="344"/>
      <c r="HIU43" s="344"/>
      <c r="HIV43" s="344"/>
      <c r="HIW43" s="344"/>
      <c r="HIX43" s="344"/>
      <c r="HIY43" s="344"/>
      <c r="HIZ43" s="344"/>
      <c r="HJA43" s="344"/>
      <c r="HJB43" s="344"/>
      <c r="HJC43" s="344"/>
      <c r="HJD43" s="344"/>
      <c r="HJE43" s="344"/>
      <c r="HJF43" s="344"/>
      <c r="HJG43" s="344"/>
      <c r="HJH43" s="344"/>
      <c r="HJI43" s="344"/>
      <c r="HJJ43" s="344"/>
      <c r="HJK43" s="344"/>
      <c r="HJL43" s="344"/>
      <c r="HJM43" s="344"/>
      <c r="HJN43" s="344"/>
      <c r="HJO43" s="344"/>
      <c r="HJP43" s="344"/>
      <c r="HJQ43" s="344"/>
      <c r="HJR43" s="344"/>
      <c r="HJS43" s="344"/>
      <c r="HJT43" s="344"/>
      <c r="HJU43" s="344"/>
      <c r="HJV43" s="344"/>
      <c r="HJW43" s="344"/>
      <c r="HJX43" s="344"/>
      <c r="HJY43" s="344"/>
      <c r="HJZ43" s="344"/>
      <c r="HKA43" s="344"/>
      <c r="HKB43" s="344"/>
      <c r="HKC43" s="344"/>
      <c r="HKD43" s="344"/>
      <c r="HKE43" s="344"/>
      <c r="HKF43" s="344"/>
      <c r="HKG43" s="344"/>
      <c r="HKH43" s="344"/>
      <c r="HKI43" s="344"/>
      <c r="HKJ43" s="344"/>
      <c r="HKK43" s="344"/>
      <c r="HKL43" s="344"/>
      <c r="HKM43" s="344"/>
      <c r="HKN43" s="344"/>
      <c r="HKO43" s="344"/>
      <c r="HKP43" s="344"/>
      <c r="HKQ43" s="344"/>
      <c r="HKR43" s="344"/>
      <c r="HKS43" s="344"/>
      <c r="HKT43" s="344"/>
      <c r="HKU43" s="344"/>
      <c r="HKV43" s="344"/>
      <c r="HKW43" s="344"/>
      <c r="HKX43" s="344"/>
      <c r="HKY43" s="344"/>
      <c r="HKZ43" s="344"/>
      <c r="HLA43" s="344"/>
      <c r="HLB43" s="344"/>
      <c r="HLC43" s="344"/>
      <c r="HLD43" s="344"/>
      <c r="HLE43" s="344"/>
      <c r="HLF43" s="344"/>
      <c r="HLG43" s="344"/>
      <c r="HLH43" s="344"/>
      <c r="HLI43" s="344"/>
      <c r="HLJ43" s="344"/>
      <c r="HLK43" s="344"/>
      <c r="HLL43" s="344"/>
      <c r="HLM43" s="344"/>
      <c r="HLN43" s="344"/>
      <c r="HLO43" s="344"/>
      <c r="HLP43" s="344"/>
      <c r="HLQ43" s="344"/>
      <c r="HLR43" s="344"/>
      <c r="HLS43" s="344"/>
      <c r="HLT43" s="344"/>
      <c r="HLU43" s="344"/>
      <c r="HLV43" s="344"/>
      <c r="HLW43" s="344"/>
      <c r="HLX43" s="344"/>
      <c r="HLY43" s="344"/>
      <c r="HLZ43" s="344"/>
      <c r="HMA43" s="344"/>
      <c r="HMB43" s="344"/>
      <c r="HMC43" s="344"/>
      <c r="HMD43" s="344"/>
      <c r="HME43" s="344"/>
      <c r="HMF43" s="344"/>
      <c r="HMG43" s="344"/>
      <c r="HMH43" s="344"/>
      <c r="HMI43" s="344"/>
      <c r="HMJ43" s="344"/>
      <c r="HMK43" s="344"/>
      <c r="HML43" s="344"/>
      <c r="HMM43" s="344"/>
      <c r="HMN43" s="344"/>
      <c r="HMO43" s="344"/>
      <c r="HMP43" s="344"/>
      <c r="HMQ43" s="344"/>
      <c r="HMR43" s="344"/>
      <c r="HMS43" s="344"/>
      <c r="HMT43" s="344"/>
      <c r="HMU43" s="344"/>
      <c r="HMV43" s="344"/>
      <c r="HMW43" s="344"/>
      <c r="HMX43" s="344"/>
      <c r="HMY43" s="344"/>
      <c r="HMZ43" s="344"/>
      <c r="HNA43" s="344"/>
      <c r="HNB43" s="344"/>
      <c r="HNC43" s="344"/>
      <c r="HND43" s="344"/>
      <c r="HNE43" s="344"/>
      <c r="HNF43" s="344"/>
      <c r="HNG43" s="344"/>
      <c r="HNH43" s="344"/>
      <c r="HNI43" s="344"/>
      <c r="HNJ43" s="344"/>
      <c r="HNK43" s="344"/>
      <c r="HNL43" s="344"/>
      <c r="HNM43" s="344"/>
      <c r="HNN43" s="344"/>
      <c r="HNO43" s="344"/>
      <c r="HNP43" s="344"/>
      <c r="HNQ43" s="344"/>
      <c r="HNR43" s="344"/>
      <c r="HNS43" s="344"/>
      <c r="HNT43" s="344"/>
      <c r="HNU43" s="344"/>
      <c r="HNV43" s="344"/>
      <c r="HNW43" s="344"/>
      <c r="HNX43" s="344"/>
      <c r="HNY43" s="344"/>
      <c r="HNZ43" s="344"/>
      <c r="HOA43" s="344"/>
      <c r="HOB43" s="344"/>
      <c r="HOC43" s="344"/>
      <c r="HOD43" s="344"/>
      <c r="HOE43" s="344"/>
      <c r="HOF43" s="344"/>
      <c r="HOG43" s="344"/>
      <c r="HOH43" s="344"/>
      <c r="HOI43" s="344"/>
      <c r="HOJ43" s="344"/>
      <c r="HOK43" s="344"/>
      <c r="HOL43" s="344"/>
      <c r="HOM43" s="344"/>
      <c r="HON43" s="344"/>
      <c r="HOO43" s="344"/>
      <c r="HOP43" s="344"/>
      <c r="HOQ43" s="344"/>
      <c r="HOR43" s="344"/>
      <c r="HOS43" s="344"/>
      <c r="HOT43" s="344"/>
      <c r="HOU43" s="344"/>
      <c r="HOV43" s="344"/>
      <c r="HOW43" s="344"/>
      <c r="HOX43" s="344"/>
      <c r="HOY43" s="344"/>
      <c r="HOZ43" s="344"/>
      <c r="HPA43" s="344"/>
      <c r="HPB43" s="344"/>
      <c r="HPC43" s="344"/>
      <c r="HPD43" s="344"/>
      <c r="HPE43" s="344"/>
      <c r="HPF43" s="344"/>
      <c r="HPG43" s="344"/>
      <c r="HPH43" s="344"/>
      <c r="HPI43" s="344"/>
      <c r="HPJ43" s="344"/>
      <c r="HPK43" s="344"/>
      <c r="HPL43" s="344"/>
      <c r="HPM43" s="344"/>
      <c r="HPN43" s="344"/>
      <c r="HPO43" s="344"/>
      <c r="HPP43" s="344"/>
      <c r="HPQ43" s="344"/>
      <c r="HPR43" s="344"/>
      <c r="HPS43" s="344"/>
      <c r="HPT43" s="344"/>
      <c r="HPU43" s="344"/>
      <c r="HPV43" s="344"/>
      <c r="HPW43" s="344"/>
      <c r="HPX43" s="344"/>
      <c r="HPY43" s="344"/>
      <c r="HPZ43" s="344"/>
      <c r="HQA43" s="344"/>
      <c r="HQB43" s="344"/>
      <c r="HQC43" s="344"/>
      <c r="HQD43" s="344"/>
      <c r="HQE43" s="344"/>
      <c r="HQF43" s="344"/>
      <c r="HQG43" s="344"/>
      <c r="HQH43" s="344"/>
      <c r="HQI43" s="344"/>
      <c r="HQJ43" s="344"/>
      <c r="HQK43" s="344"/>
      <c r="HQL43" s="344"/>
      <c r="HQM43" s="344"/>
      <c r="HQN43" s="344"/>
      <c r="HQO43" s="344"/>
      <c r="HQP43" s="344"/>
      <c r="HQQ43" s="344"/>
      <c r="HQR43" s="344"/>
      <c r="HQS43" s="344"/>
      <c r="HQT43" s="344"/>
      <c r="HQU43" s="344"/>
      <c r="HQV43" s="344"/>
      <c r="HQW43" s="344"/>
      <c r="HQX43" s="344"/>
      <c r="HQY43" s="344"/>
      <c r="HQZ43" s="344"/>
      <c r="HRA43" s="344"/>
      <c r="HRB43" s="344"/>
      <c r="HRC43" s="344"/>
      <c r="HRD43" s="344"/>
      <c r="HRE43" s="344"/>
      <c r="HRF43" s="344"/>
      <c r="HRG43" s="344"/>
      <c r="HRH43" s="344"/>
      <c r="HRI43" s="344"/>
      <c r="HRJ43" s="344"/>
      <c r="HRK43" s="344"/>
      <c r="HRL43" s="344"/>
      <c r="HRM43" s="344"/>
      <c r="HRN43" s="344"/>
      <c r="HRO43" s="344"/>
      <c r="HRP43" s="344"/>
      <c r="HRQ43" s="344"/>
      <c r="HRR43" s="344"/>
      <c r="HRS43" s="344"/>
      <c r="HRT43" s="344"/>
      <c r="HRU43" s="344"/>
      <c r="HRV43" s="344"/>
      <c r="HRW43" s="344"/>
      <c r="HRX43" s="344"/>
      <c r="HRY43" s="344"/>
      <c r="HRZ43" s="344"/>
      <c r="HSA43" s="344"/>
      <c r="HSB43" s="344"/>
      <c r="HSC43" s="344"/>
      <c r="HSD43" s="344"/>
      <c r="HSE43" s="344"/>
      <c r="HSF43" s="344"/>
      <c r="HSG43" s="344"/>
      <c r="HSH43" s="344"/>
      <c r="HSI43" s="344"/>
      <c r="HSJ43" s="344"/>
      <c r="HSK43" s="344"/>
      <c r="HSL43" s="344"/>
      <c r="HSM43" s="344"/>
      <c r="HSN43" s="344"/>
      <c r="HSO43" s="344"/>
      <c r="HSP43" s="344"/>
      <c r="HSQ43" s="344"/>
      <c r="HSR43" s="344"/>
      <c r="HSS43" s="344"/>
      <c r="HST43" s="344"/>
      <c r="HSU43" s="344"/>
      <c r="HSV43" s="344"/>
      <c r="HSW43" s="344"/>
      <c r="HSX43" s="344"/>
      <c r="HSY43" s="344"/>
      <c r="HSZ43" s="344"/>
      <c r="HTA43" s="344"/>
      <c r="HTB43" s="344"/>
      <c r="HTC43" s="344"/>
      <c r="HTD43" s="344"/>
      <c r="HTE43" s="344"/>
      <c r="HTF43" s="344"/>
      <c r="HTG43" s="344"/>
      <c r="HTH43" s="344"/>
      <c r="HTI43" s="344"/>
      <c r="HTJ43" s="344"/>
      <c r="HTK43" s="344"/>
      <c r="HTL43" s="344"/>
      <c r="HTM43" s="344"/>
      <c r="HTN43" s="344"/>
      <c r="HTO43" s="344"/>
      <c r="HTP43" s="344"/>
      <c r="HTQ43" s="344"/>
      <c r="HTR43" s="344"/>
      <c r="HTS43" s="344"/>
      <c r="HTT43" s="344"/>
      <c r="HTU43" s="344"/>
      <c r="HTV43" s="344"/>
      <c r="HTW43" s="344"/>
      <c r="HTX43" s="344"/>
      <c r="HTY43" s="344"/>
      <c r="HTZ43" s="344"/>
      <c r="HUA43" s="344"/>
      <c r="HUB43" s="344"/>
      <c r="HUC43" s="344"/>
      <c r="HUD43" s="344"/>
      <c r="HUE43" s="344"/>
      <c r="HUF43" s="344"/>
      <c r="HUG43" s="344"/>
      <c r="HUH43" s="344"/>
      <c r="HUI43" s="344"/>
      <c r="HUJ43" s="344"/>
      <c r="HUK43" s="344"/>
      <c r="HUL43" s="344"/>
      <c r="HUM43" s="344"/>
      <c r="HUN43" s="344"/>
      <c r="HUO43" s="344"/>
      <c r="HUP43" s="344"/>
      <c r="HUQ43" s="344"/>
      <c r="HUR43" s="344"/>
      <c r="HUS43" s="344"/>
      <c r="HUT43" s="344"/>
      <c r="HUU43" s="344"/>
      <c r="HUV43" s="344"/>
      <c r="HUW43" s="344"/>
      <c r="HUX43" s="344"/>
      <c r="HUY43" s="344"/>
      <c r="HUZ43" s="344"/>
      <c r="HVA43" s="344"/>
      <c r="HVB43" s="344"/>
      <c r="HVC43" s="344"/>
      <c r="HVD43" s="344"/>
      <c r="HVE43" s="344"/>
      <c r="HVF43" s="344"/>
      <c r="HVG43" s="344"/>
      <c r="HVH43" s="344"/>
      <c r="HVI43" s="344"/>
      <c r="HVJ43" s="344"/>
      <c r="HVK43" s="344"/>
      <c r="HVL43" s="344"/>
      <c r="HVM43" s="344"/>
      <c r="HVN43" s="344"/>
      <c r="HVO43" s="344"/>
      <c r="HVP43" s="344"/>
      <c r="HVQ43" s="344"/>
      <c r="HVR43" s="344"/>
      <c r="HVS43" s="344"/>
      <c r="HVT43" s="344"/>
      <c r="HVU43" s="344"/>
      <c r="HVV43" s="344"/>
      <c r="HVW43" s="344"/>
      <c r="HVX43" s="344"/>
      <c r="HVY43" s="344"/>
      <c r="HVZ43" s="344"/>
      <c r="HWA43" s="344"/>
      <c r="HWB43" s="344"/>
      <c r="HWC43" s="344"/>
      <c r="HWD43" s="344"/>
      <c r="HWE43" s="344"/>
      <c r="HWF43" s="344"/>
      <c r="HWG43" s="344"/>
      <c r="HWH43" s="344"/>
      <c r="HWI43" s="344"/>
      <c r="HWJ43" s="344"/>
      <c r="HWK43" s="344"/>
      <c r="HWL43" s="344"/>
      <c r="HWM43" s="344"/>
      <c r="HWN43" s="344"/>
      <c r="HWO43" s="344"/>
      <c r="HWP43" s="344"/>
      <c r="HWQ43" s="344"/>
      <c r="HWR43" s="344"/>
      <c r="HWS43" s="344"/>
      <c r="HWT43" s="344"/>
      <c r="HWU43" s="344"/>
      <c r="HWV43" s="344"/>
      <c r="HWW43" s="344"/>
      <c r="HWX43" s="344"/>
      <c r="HWY43" s="344"/>
      <c r="HWZ43" s="344"/>
      <c r="HXA43" s="344"/>
      <c r="HXB43" s="344"/>
      <c r="HXC43" s="344"/>
      <c r="HXD43" s="344"/>
      <c r="HXE43" s="344"/>
      <c r="HXF43" s="344"/>
      <c r="HXG43" s="344"/>
      <c r="HXH43" s="344"/>
      <c r="HXI43" s="344"/>
      <c r="HXJ43" s="344"/>
      <c r="HXK43" s="344"/>
      <c r="HXL43" s="344"/>
      <c r="HXM43" s="344"/>
      <c r="HXN43" s="344"/>
      <c r="HXO43" s="344"/>
      <c r="HXP43" s="344"/>
      <c r="HXQ43" s="344"/>
      <c r="HXR43" s="344"/>
      <c r="HXS43" s="344"/>
      <c r="HXT43" s="344"/>
      <c r="HXU43" s="344"/>
      <c r="HXV43" s="344"/>
      <c r="HXW43" s="344"/>
      <c r="HXX43" s="344"/>
      <c r="HXY43" s="344"/>
      <c r="HXZ43" s="344"/>
      <c r="HYA43" s="344"/>
      <c r="HYB43" s="344"/>
      <c r="HYC43" s="344"/>
      <c r="HYD43" s="344"/>
      <c r="HYE43" s="344"/>
      <c r="HYF43" s="344"/>
      <c r="HYG43" s="344"/>
      <c r="HYH43" s="344"/>
      <c r="HYI43" s="344"/>
      <c r="HYJ43" s="344"/>
      <c r="HYK43" s="344"/>
      <c r="HYL43" s="344"/>
      <c r="HYM43" s="344"/>
      <c r="HYN43" s="344"/>
      <c r="HYO43" s="344"/>
      <c r="HYP43" s="344"/>
      <c r="HYQ43" s="344"/>
      <c r="HYR43" s="344"/>
      <c r="HYS43" s="344"/>
      <c r="HYT43" s="344"/>
      <c r="HYU43" s="344"/>
      <c r="HYV43" s="344"/>
      <c r="HYW43" s="344"/>
      <c r="HYX43" s="344"/>
      <c r="HYY43" s="344"/>
      <c r="HYZ43" s="344"/>
      <c r="HZA43" s="344"/>
      <c r="HZB43" s="344"/>
      <c r="HZC43" s="344"/>
      <c r="HZD43" s="344"/>
      <c r="HZE43" s="344"/>
      <c r="HZF43" s="344"/>
      <c r="HZG43" s="344"/>
      <c r="HZH43" s="344"/>
      <c r="HZI43" s="344"/>
      <c r="HZJ43" s="344"/>
      <c r="HZK43" s="344"/>
      <c r="HZL43" s="344"/>
      <c r="HZM43" s="344"/>
      <c r="HZN43" s="344"/>
      <c r="HZO43" s="344"/>
      <c r="HZP43" s="344"/>
      <c r="HZQ43" s="344"/>
      <c r="HZR43" s="344"/>
      <c r="HZS43" s="344"/>
      <c r="HZT43" s="344"/>
      <c r="HZU43" s="344"/>
      <c r="HZV43" s="344"/>
      <c r="HZW43" s="344"/>
      <c r="HZX43" s="344"/>
      <c r="HZY43" s="344"/>
      <c r="HZZ43" s="344"/>
      <c r="IAA43" s="344"/>
      <c r="IAB43" s="344"/>
      <c r="IAC43" s="344"/>
      <c r="IAD43" s="344"/>
      <c r="IAE43" s="344"/>
      <c r="IAF43" s="344"/>
      <c r="IAG43" s="344"/>
      <c r="IAH43" s="344"/>
      <c r="IAI43" s="344"/>
      <c r="IAJ43" s="344"/>
      <c r="IAK43" s="344"/>
      <c r="IAL43" s="344"/>
      <c r="IAM43" s="344"/>
      <c r="IAN43" s="344"/>
      <c r="IAO43" s="344"/>
      <c r="IAP43" s="344"/>
      <c r="IAQ43" s="344"/>
      <c r="IAR43" s="344"/>
      <c r="IAS43" s="344"/>
      <c r="IAT43" s="344"/>
      <c r="IAU43" s="344"/>
      <c r="IAV43" s="344"/>
      <c r="IAW43" s="344"/>
      <c r="IAX43" s="344"/>
      <c r="IAY43" s="344"/>
      <c r="IAZ43" s="344"/>
      <c r="IBA43" s="344"/>
      <c r="IBB43" s="344"/>
      <c r="IBC43" s="344"/>
      <c r="IBD43" s="344"/>
      <c r="IBE43" s="344"/>
      <c r="IBF43" s="344"/>
      <c r="IBG43" s="344"/>
      <c r="IBH43" s="344"/>
      <c r="IBI43" s="344"/>
      <c r="IBJ43" s="344"/>
      <c r="IBK43" s="344"/>
      <c r="IBL43" s="344"/>
      <c r="IBM43" s="344"/>
      <c r="IBN43" s="344"/>
      <c r="IBO43" s="344"/>
      <c r="IBP43" s="344"/>
      <c r="IBQ43" s="344"/>
      <c r="IBR43" s="344"/>
      <c r="IBS43" s="344"/>
      <c r="IBT43" s="344"/>
      <c r="IBU43" s="344"/>
      <c r="IBV43" s="344"/>
      <c r="IBW43" s="344"/>
      <c r="IBX43" s="344"/>
      <c r="IBY43" s="344"/>
      <c r="IBZ43" s="344"/>
      <c r="ICA43" s="344"/>
      <c r="ICB43" s="344"/>
      <c r="ICC43" s="344"/>
      <c r="ICD43" s="344"/>
      <c r="ICE43" s="344"/>
      <c r="ICF43" s="344"/>
      <c r="ICG43" s="344"/>
      <c r="ICH43" s="344"/>
      <c r="ICI43" s="344"/>
      <c r="ICJ43" s="344"/>
      <c r="ICK43" s="344"/>
      <c r="ICL43" s="344"/>
      <c r="ICM43" s="344"/>
      <c r="ICN43" s="344"/>
      <c r="ICO43" s="344"/>
      <c r="ICP43" s="344"/>
      <c r="ICQ43" s="344"/>
      <c r="ICR43" s="344"/>
      <c r="ICS43" s="344"/>
      <c r="ICT43" s="344"/>
      <c r="ICU43" s="344"/>
      <c r="ICV43" s="344"/>
      <c r="ICW43" s="344"/>
      <c r="ICX43" s="344"/>
      <c r="ICY43" s="344"/>
      <c r="ICZ43" s="344"/>
      <c r="IDA43" s="344"/>
      <c r="IDB43" s="344"/>
      <c r="IDC43" s="344"/>
      <c r="IDD43" s="344"/>
      <c r="IDE43" s="344"/>
      <c r="IDF43" s="344"/>
      <c r="IDG43" s="344"/>
      <c r="IDH43" s="344"/>
      <c r="IDI43" s="344"/>
      <c r="IDJ43" s="344"/>
      <c r="IDK43" s="344"/>
      <c r="IDL43" s="344"/>
      <c r="IDM43" s="344"/>
      <c r="IDN43" s="344"/>
      <c r="IDO43" s="344"/>
      <c r="IDP43" s="344"/>
      <c r="IDQ43" s="344"/>
      <c r="IDR43" s="344"/>
      <c r="IDS43" s="344"/>
      <c r="IDT43" s="344"/>
      <c r="IDU43" s="344"/>
      <c r="IDV43" s="344"/>
      <c r="IDW43" s="344"/>
      <c r="IDX43" s="344"/>
      <c r="IDY43" s="344"/>
      <c r="IDZ43" s="344"/>
      <c r="IEA43" s="344"/>
      <c r="IEB43" s="344"/>
      <c r="IEC43" s="344"/>
      <c r="IED43" s="344"/>
      <c r="IEE43" s="344"/>
      <c r="IEF43" s="344"/>
      <c r="IEG43" s="344"/>
      <c r="IEH43" s="344"/>
      <c r="IEI43" s="344"/>
      <c r="IEJ43" s="344"/>
      <c r="IEK43" s="344"/>
      <c r="IEL43" s="344"/>
      <c r="IEM43" s="344"/>
      <c r="IEN43" s="344"/>
      <c r="IEO43" s="344"/>
      <c r="IEP43" s="344"/>
      <c r="IEQ43" s="344"/>
      <c r="IER43" s="344"/>
      <c r="IES43" s="344"/>
      <c r="IET43" s="344"/>
      <c r="IEU43" s="344"/>
      <c r="IEV43" s="344"/>
      <c r="IEW43" s="344"/>
      <c r="IEX43" s="344"/>
      <c r="IEY43" s="344"/>
      <c r="IEZ43" s="344"/>
      <c r="IFA43" s="344"/>
      <c r="IFB43" s="344"/>
      <c r="IFC43" s="344"/>
      <c r="IFD43" s="344"/>
      <c r="IFE43" s="344"/>
      <c r="IFF43" s="344"/>
      <c r="IFG43" s="344"/>
      <c r="IFH43" s="344"/>
      <c r="IFI43" s="344"/>
      <c r="IFJ43" s="344"/>
      <c r="IFK43" s="344"/>
      <c r="IFL43" s="344"/>
      <c r="IFM43" s="344"/>
      <c r="IFN43" s="344"/>
      <c r="IFO43" s="344"/>
      <c r="IFP43" s="344"/>
      <c r="IFQ43" s="344"/>
      <c r="IFR43" s="344"/>
      <c r="IFS43" s="344"/>
      <c r="IFT43" s="344"/>
      <c r="IFU43" s="344"/>
      <c r="IFV43" s="344"/>
      <c r="IFW43" s="344"/>
      <c r="IFX43" s="344"/>
      <c r="IFY43" s="344"/>
      <c r="IFZ43" s="344"/>
      <c r="IGA43" s="344"/>
      <c r="IGB43" s="344"/>
      <c r="IGC43" s="344"/>
      <c r="IGD43" s="344"/>
      <c r="IGE43" s="344"/>
      <c r="IGF43" s="344"/>
      <c r="IGG43" s="344"/>
      <c r="IGH43" s="344"/>
      <c r="IGI43" s="344"/>
      <c r="IGJ43" s="344"/>
      <c r="IGK43" s="344"/>
      <c r="IGL43" s="344"/>
      <c r="IGM43" s="344"/>
      <c r="IGN43" s="344"/>
      <c r="IGO43" s="344"/>
      <c r="IGP43" s="344"/>
      <c r="IGQ43" s="344"/>
      <c r="IGR43" s="344"/>
      <c r="IGS43" s="344"/>
      <c r="IGT43" s="344"/>
      <c r="IGU43" s="344"/>
      <c r="IGV43" s="344"/>
      <c r="IGW43" s="344"/>
      <c r="IGX43" s="344"/>
      <c r="IGY43" s="344"/>
      <c r="IGZ43" s="344"/>
      <c r="IHA43" s="344"/>
      <c r="IHB43" s="344"/>
      <c r="IHC43" s="344"/>
      <c r="IHD43" s="344"/>
      <c r="IHE43" s="344"/>
      <c r="IHF43" s="344"/>
      <c r="IHG43" s="344"/>
      <c r="IHH43" s="344"/>
      <c r="IHI43" s="344"/>
      <c r="IHJ43" s="344"/>
      <c r="IHK43" s="344"/>
      <c r="IHL43" s="344"/>
      <c r="IHM43" s="344"/>
      <c r="IHN43" s="344"/>
      <c r="IHO43" s="344"/>
      <c r="IHP43" s="344"/>
      <c r="IHQ43" s="344"/>
      <c r="IHR43" s="344"/>
      <c r="IHS43" s="344"/>
      <c r="IHT43" s="344"/>
      <c r="IHU43" s="344"/>
      <c r="IHV43" s="344"/>
      <c r="IHW43" s="344"/>
      <c r="IHX43" s="344"/>
      <c r="IHY43" s="344"/>
      <c r="IHZ43" s="344"/>
      <c r="IIA43" s="344"/>
      <c r="IIB43" s="344"/>
      <c r="IIC43" s="344"/>
      <c r="IID43" s="344"/>
      <c r="IIE43" s="344"/>
      <c r="IIF43" s="344"/>
      <c r="IIG43" s="344"/>
      <c r="IIH43" s="344"/>
      <c r="III43" s="344"/>
      <c r="IIJ43" s="344"/>
      <c r="IIK43" s="344"/>
      <c r="IIL43" s="344"/>
      <c r="IIM43" s="344"/>
      <c r="IIN43" s="344"/>
      <c r="IIO43" s="344"/>
      <c r="IIP43" s="344"/>
      <c r="IIQ43" s="344"/>
      <c r="IIR43" s="344"/>
      <c r="IIS43" s="344"/>
      <c r="IIT43" s="344"/>
      <c r="IIU43" s="344"/>
      <c r="IIV43" s="344"/>
      <c r="IIW43" s="344"/>
      <c r="IIX43" s="344"/>
      <c r="IIY43" s="344"/>
      <c r="IIZ43" s="344"/>
      <c r="IJA43" s="344"/>
      <c r="IJB43" s="344"/>
      <c r="IJC43" s="344"/>
      <c r="IJD43" s="344"/>
      <c r="IJE43" s="344"/>
      <c r="IJF43" s="344"/>
      <c r="IJG43" s="344"/>
      <c r="IJH43" s="344"/>
      <c r="IJI43" s="344"/>
      <c r="IJJ43" s="344"/>
      <c r="IJK43" s="344"/>
      <c r="IJL43" s="344"/>
      <c r="IJM43" s="344"/>
      <c r="IJN43" s="344"/>
      <c r="IJO43" s="344"/>
      <c r="IJP43" s="344"/>
      <c r="IJQ43" s="344"/>
      <c r="IJR43" s="344"/>
      <c r="IJS43" s="344"/>
      <c r="IJT43" s="344"/>
      <c r="IJU43" s="344"/>
      <c r="IJV43" s="344"/>
      <c r="IJW43" s="344"/>
      <c r="IJX43" s="344"/>
      <c r="IJY43" s="344"/>
      <c r="IJZ43" s="344"/>
      <c r="IKA43" s="344"/>
      <c r="IKB43" s="344"/>
      <c r="IKC43" s="344"/>
      <c r="IKD43" s="344"/>
      <c r="IKE43" s="344"/>
      <c r="IKF43" s="344"/>
      <c r="IKG43" s="344"/>
      <c r="IKH43" s="344"/>
      <c r="IKI43" s="344"/>
      <c r="IKJ43" s="344"/>
      <c r="IKK43" s="344"/>
      <c r="IKL43" s="344"/>
      <c r="IKM43" s="344"/>
      <c r="IKN43" s="344"/>
      <c r="IKO43" s="344"/>
      <c r="IKP43" s="344"/>
      <c r="IKQ43" s="344"/>
      <c r="IKR43" s="344"/>
      <c r="IKS43" s="344"/>
      <c r="IKT43" s="344"/>
      <c r="IKU43" s="344"/>
      <c r="IKV43" s="344"/>
      <c r="IKW43" s="344"/>
      <c r="IKX43" s="344"/>
      <c r="IKY43" s="344"/>
      <c r="IKZ43" s="344"/>
      <c r="ILA43" s="344"/>
      <c r="ILB43" s="344"/>
      <c r="ILC43" s="344"/>
      <c r="ILD43" s="344"/>
      <c r="ILE43" s="344"/>
      <c r="ILF43" s="344"/>
      <c r="ILG43" s="344"/>
      <c r="ILH43" s="344"/>
      <c r="ILI43" s="344"/>
      <c r="ILJ43" s="344"/>
      <c r="ILK43" s="344"/>
      <c r="ILL43" s="344"/>
      <c r="ILM43" s="344"/>
      <c r="ILN43" s="344"/>
      <c r="ILO43" s="344"/>
      <c r="ILP43" s="344"/>
      <c r="ILQ43" s="344"/>
      <c r="ILR43" s="344"/>
      <c r="ILS43" s="344"/>
      <c r="ILT43" s="344"/>
      <c r="ILU43" s="344"/>
      <c r="ILV43" s="344"/>
      <c r="ILW43" s="344"/>
      <c r="ILX43" s="344"/>
      <c r="ILY43" s="344"/>
      <c r="ILZ43" s="344"/>
      <c r="IMA43" s="344"/>
      <c r="IMB43" s="344"/>
      <c r="IMC43" s="344"/>
      <c r="IMD43" s="344"/>
      <c r="IME43" s="344"/>
      <c r="IMF43" s="344"/>
      <c r="IMG43" s="344"/>
      <c r="IMH43" s="344"/>
      <c r="IMI43" s="344"/>
      <c r="IMJ43" s="344"/>
      <c r="IMK43" s="344"/>
      <c r="IML43" s="344"/>
      <c r="IMM43" s="344"/>
      <c r="IMN43" s="344"/>
      <c r="IMO43" s="344"/>
      <c r="IMP43" s="344"/>
      <c r="IMQ43" s="344"/>
      <c r="IMR43" s="344"/>
      <c r="IMS43" s="344"/>
      <c r="IMT43" s="344"/>
      <c r="IMU43" s="344"/>
      <c r="IMV43" s="344"/>
      <c r="IMW43" s="344"/>
      <c r="IMX43" s="344"/>
      <c r="IMY43" s="344"/>
      <c r="IMZ43" s="344"/>
      <c r="INA43" s="344"/>
      <c r="INB43" s="344"/>
      <c r="INC43" s="344"/>
      <c r="IND43" s="344"/>
      <c r="INE43" s="344"/>
      <c r="INF43" s="344"/>
      <c r="ING43" s="344"/>
      <c r="INH43" s="344"/>
      <c r="INI43" s="344"/>
      <c r="INJ43" s="344"/>
      <c r="INK43" s="344"/>
      <c r="INL43" s="344"/>
      <c r="INM43" s="344"/>
      <c r="INN43" s="344"/>
      <c r="INO43" s="344"/>
      <c r="INP43" s="344"/>
      <c r="INQ43" s="344"/>
      <c r="INR43" s="344"/>
      <c r="INS43" s="344"/>
      <c r="INT43" s="344"/>
      <c r="INU43" s="344"/>
      <c r="INV43" s="344"/>
      <c r="INW43" s="344"/>
      <c r="INX43" s="344"/>
      <c r="INY43" s="344"/>
      <c r="INZ43" s="344"/>
      <c r="IOA43" s="344"/>
      <c r="IOB43" s="344"/>
      <c r="IOC43" s="344"/>
      <c r="IOD43" s="344"/>
      <c r="IOE43" s="344"/>
      <c r="IOF43" s="344"/>
      <c r="IOG43" s="344"/>
      <c r="IOH43" s="344"/>
      <c r="IOI43" s="344"/>
      <c r="IOJ43" s="344"/>
      <c r="IOK43" s="344"/>
      <c r="IOL43" s="344"/>
      <c r="IOM43" s="344"/>
      <c r="ION43" s="344"/>
      <c r="IOO43" s="344"/>
      <c r="IOP43" s="344"/>
      <c r="IOQ43" s="344"/>
      <c r="IOR43" s="344"/>
      <c r="IOS43" s="344"/>
      <c r="IOT43" s="344"/>
      <c r="IOU43" s="344"/>
      <c r="IOV43" s="344"/>
      <c r="IOW43" s="344"/>
      <c r="IOX43" s="344"/>
      <c r="IOY43" s="344"/>
      <c r="IOZ43" s="344"/>
      <c r="IPA43" s="344"/>
      <c r="IPB43" s="344"/>
      <c r="IPC43" s="344"/>
      <c r="IPD43" s="344"/>
      <c r="IPE43" s="344"/>
      <c r="IPF43" s="344"/>
      <c r="IPG43" s="344"/>
      <c r="IPH43" s="344"/>
      <c r="IPI43" s="344"/>
      <c r="IPJ43" s="344"/>
      <c r="IPK43" s="344"/>
      <c r="IPL43" s="344"/>
      <c r="IPM43" s="344"/>
      <c r="IPN43" s="344"/>
      <c r="IPO43" s="344"/>
      <c r="IPP43" s="344"/>
      <c r="IPQ43" s="344"/>
      <c r="IPR43" s="344"/>
      <c r="IPS43" s="344"/>
      <c r="IPT43" s="344"/>
      <c r="IPU43" s="344"/>
      <c r="IPV43" s="344"/>
      <c r="IPW43" s="344"/>
      <c r="IPX43" s="344"/>
      <c r="IPY43" s="344"/>
      <c r="IPZ43" s="344"/>
      <c r="IQA43" s="344"/>
      <c r="IQB43" s="344"/>
      <c r="IQC43" s="344"/>
      <c r="IQD43" s="344"/>
      <c r="IQE43" s="344"/>
      <c r="IQF43" s="344"/>
      <c r="IQG43" s="344"/>
      <c r="IQH43" s="344"/>
      <c r="IQI43" s="344"/>
      <c r="IQJ43" s="344"/>
      <c r="IQK43" s="344"/>
      <c r="IQL43" s="344"/>
      <c r="IQM43" s="344"/>
      <c r="IQN43" s="344"/>
      <c r="IQO43" s="344"/>
      <c r="IQP43" s="344"/>
      <c r="IQQ43" s="344"/>
      <c r="IQR43" s="344"/>
      <c r="IQS43" s="344"/>
      <c r="IQT43" s="344"/>
      <c r="IQU43" s="344"/>
      <c r="IQV43" s="344"/>
      <c r="IQW43" s="344"/>
      <c r="IQX43" s="344"/>
      <c r="IQY43" s="344"/>
      <c r="IQZ43" s="344"/>
      <c r="IRA43" s="344"/>
      <c r="IRB43" s="344"/>
      <c r="IRC43" s="344"/>
      <c r="IRD43" s="344"/>
      <c r="IRE43" s="344"/>
      <c r="IRF43" s="344"/>
      <c r="IRG43" s="344"/>
      <c r="IRH43" s="344"/>
      <c r="IRI43" s="344"/>
      <c r="IRJ43" s="344"/>
      <c r="IRK43" s="344"/>
      <c r="IRL43" s="344"/>
      <c r="IRM43" s="344"/>
      <c r="IRN43" s="344"/>
      <c r="IRO43" s="344"/>
      <c r="IRP43" s="344"/>
      <c r="IRQ43" s="344"/>
      <c r="IRR43" s="344"/>
      <c r="IRS43" s="344"/>
      <c r="IRT43" s="344"/>
      <c r="IRU43" s="344"/>
      <c r="IRV43" s="344"/>
      <c r="IRW43" s="344"/>
      <c r="IRX43" s="344"/>
      <c r="IRY43" s="344"/>
      <c r="IRZ43" s="344"/>
      <c r="ISA43" s="344"/>
      <c r="ISB43" s="344"/>
      <c r="ISC43" s="344"/>
      <c r="ISD43" s="344"/>
      <c r="ISE43" s="344"/>
      <c r="ISF43" s="344"/>
      <c r="ISG43" s="344"/>
      <c r="ISH43" s="344"/>
      <c r="ISI43" s="344"/>
      <c r="ISJ43" s="344"/>
      <c r="ISK43" s="344"/>
      <c r="ISL43" s="344"/>
      <c r="ISM43" s="344"/>
      <c r="ISN43" s="344"/>
      <c r="ISO43" s="344"/>
      <c r="ISP43" s="344"/>
      <c r="ISQ43" s="344"/>
      <c r="ISR43" s="344"/>
      <c r="ISS43" s="344"/>
      <c r="IST43" s="344"/>
      <c r="ISU43" s="344"/>
      <c r="ISV43" s="344"/>
      <c r="ISW43" s="344"/>
      <c r="ISX43" s="344"/>
      <c r="ISY43" s="344"/>
      <c r="ISZ43" s="344"/>
      <c r="ITA43" s="344"/>
      <c r="ITB43" s="344"/>
      <c r="ITC43" s="344"/>
      <c r="ITD43" s="344"/>
      <c r="ITE43" s="344"/>
      <c r="ITF43" s="344"/>
      <c r="ITG43" s="344"/>
      <c r="ITH43" s="344"/>
      <c r="ITI43" s="344"/>
      <c r="ITJ43" s="344"/>
      <c r="ITK43" s="344"/>
      <c r="ITL43" s="344"/>
      <c r="ITM43" s="344"/>
      <c r="ITN43" s="344"/>
      <c r="ITO43" s="344"/>
      <c r="ITP43" s="344"/>
      <c r="ITQ43" s="344"/>
      <c r="ITR43" s="344"/>
      <c r="ITS43" s="344"/>
      <c r="ITT43" s="344"/>
      <c r="ITU43" s="344"/>
      <c r="ITV43" s="344"/>
      <c r="ITW43" s="344"/>
      <c r="ITX43" s="344"/>
      <c r="ITY43" s="344"/>
      <c r="ITZ43" s="344"/>
      <c r="IUA43" s="344"/>
      <c r="IUB43" s="344"/>
      <c r="IUC43" s="344"/>
      <c r="IUD43" s="344"/>
      <c r="IUE43" s="344"/>
      <c r="IUF43" s="344"/>
      <c r="IUG43" s="344"/>
      <c r="IUH43" s="344"/>
      <c r="IUI43" s="344"/>
      <c r="IUJ43" s="344"/>
      <c r="IUK43" s="344"/>
      <c r="IUL43" s="344"/>
      <c r="IUM43" s="344"/>
      <c r="IUN43" s="344"/>
      <c r="IUO43" s="344"/>
      <c r="IUP43" s="344"/>
      <c r="IUQ43" s="344"/>
      <c r="IUR43" s="344"/>
      <c r="IUS43" s="344"/>
      <c r="IUT43" s="344"/>
      <c r="IUU43" s="344"/>
      <c r="IUV43" s="344"/>
      <c r="IUW43" s="344"/>
      <c r="IUX43" s="344"/>
      <c r="IUY43" s="344"/>
      <c r="IUZ43" s="344"/>
      <c r="IVA43" s="344"/>
      <c r="IVB43" s="344"/>
      <c r="IVC43" s="344"/>
      <c r="IVD43" s="344"/>
      <c r="IVE43" s="344"/>
      <c r="IVF43" s="344"/>
      <c r="IVG43" s="344"/>
      <c r="IVH43" s="344"/>
      <c r="IVI43" s="344"/>
      <c r="IVJ43" s="344"/>
      <c r="IVK43" s="344"/>
      <c r="IVL43" s="344"/>
      <c r="IVM43" s="344"/>
      <c r="IVN43" s="344"/>
      <c r="IVO43" s="344"/>
      <c r="IVP43" s="344"/>
      <c r="IVQ43" s="344"/>
      <c r="IVR43" s="344"/>
      <c r="IVS43" s="344"/>
      <c r="IVT43" s="344"/>
      <c r="IVU43" s="344"/>
      <c r="IVV43" s="344"/>
      <c r="IVW43" s="344"/>
      <c r="IVX43" s="344"/>
      <c r="IVY43" s="344"/>
      <c r="IVZ43" s="344"/>
      <c r="IWA43" s="344"/>
      <c r="IWB43" s="344"/>
      <c r="IWC43" s="344"/>
      <c r="IWD43" s="344"/>
      <c r="IWE43" s="344"/>
      <c r="IWF43" s="344"/>
      <c r="IWG43" s="344"/>
      <c r="IWH43" s="344"/>
      <c r="IWI43" s="344"/>
      <c r="IWJ43" s="344"/>
      <c r="IWK43" s="344"/>
      <c r="IWL43" s="344"/>
      <c r="IWM43" s="344"/>
      <c r="IWN43" s="344"/>
      <c r="IWO43" s="344"/>
      <c r="IWP43" s="344"/>
      <c r="IWQ43" s="344"/>
      <c r="IWR43" s="344"/>
      <c r="IWS43" s="344"/>
      <c r="IWT43" s="344"/>
      <c r="IWU43" s="344"/>
      <c r="IWV43" s="344"/>
      <c r="IWW43" s="344"/>
      <c r="IWX43" s="344"/>
      <c r="IWY43" s="344"/>
      <c r="IWZ43" s="344"/>
      <c r="IXA43" s="344"/>
      <c r="IXB43" s="344"/>
      <c r="IXC43" s="344"/>
      <c r="IXD43" s="344"/>
      <c r="IXE43" s="344"/>
      <c r="IXF43" s="344"/>
      <c r="IXG43" s="344"/>
      <c r="IXH43" s="344"/>
      <c r="IXI43" s="344"/>
      <c r="IXJ43" s="344"/>
      <c r="IXK43" s="344"/>
      <c r="IXL43" s="344"/>
      <c r="IXM43" s="344"/>
      <c r="IXN43" s="344"/>
      <c r="IXO43" s="344"/>
      <c r="IXP43" s="344"/>
      <c r="IXQ43" s="344"/>
      <c r="IXR43" s="344"/>
      <c r="IXS43" s="344"/>
      <c r="IXT43" s="344"/>
      <c r="IXU43" s="344"/>
      <c r="IXV43" s="344"/>
      <c r="IXW43" s="344"/>
      <c r="IXX43" s="344"/>
      <c r="IXY43" s="344"/>
      <c r="IXZ43" s="344"/>
      <c r="IYA43" s="344"/>
      <c r="IYB43" s="344"/>
      <c r="IYC43" s="344"/>
      <c r="IYD43" s="344"/>
      <c r="IYE43" s="344"/>
      <c r="IYF43" s="344"/>
      <c r="IYG43" s="344"/>
      <c r="IYH43" s="344"/>
      <c r="IYI43" s="344"/>
      <c r="IYJ43" s="344"/>
      <c r="IYK43" s="344"/>
      <c r="IYL43" s="344"/>
      <c r="IYM43" s="344"/>
      <c r="IYN43" s="344"/>
      <c r="IYO43" s="344"/>
      <c r="IYP43" s="344"/>
      <c r="IYQ43" s="344"/>
      <c r="IYR43" s="344"/>
      <c r="IYS43" s="344"/>
      <c r="IYT43" s="344"/>
      <c r="IYU43" s="344"/>
      <c r="IYV43" s="344"/>
      <c r="IYW43" s="344"/>
      <c r="IYX43" s="344"/>
      <c r="IYY43" s="344"/>
      <c r="IYZ43" s="344"/>
      <c r="IZA43" s="344"/>
      <c r="IZB43" s="344"/>
      <c r="IZC43" s="344"/>
      <c r="IZD43" s="344"/>
      <c r="IZE43" s="344"/>
      <c r="IZF43" s="344"/>
      <c r="IZG43" s="344"/>
      <c r="IZH43" s="344"/>
      <c r="IZI43" s="344"/>
      <c r="IZJ43" s="344"/>
      <c r="IZK43" s="344"/>
      <c r="IZL43" s="344"/>
      <c r="IZM43" s="344"/>
      <c r="IZN43" s="344"/>
      <c r="IZO43" s="344"/>
      <c r="IZP43" s="344"/>
      <c r="IZQ43" s="344"/>
      <c r="IZR43" s="344"/>
      <c r="IZS43" s="344"/>
      <c r="IZT43" s="344"/>
      <c r="IZU43" s="344"/>
      <c r="IZV43" s="344"/>
      <c r="IZW43" s="344"/>
      <c r="IZX43" s="344"/>
      <c r="IZY43" s="344"/>
      <c r="IZZ43" s="344"/>
      <c r="JAA43" s="344"/>
      <c r="JAB43" s="344"/>
      <c r="JAC43" s="344"/>
      <c r="JAD43" s="344"/>
      <c r="JAE43" s="344"/>
      <c r="JAF43" s="344"/>
      <c r="JAG43" s="344"/>
      <c r="JAH43" s="344"/>
      <c r="JAI43" s="344"/>
      <c r="JAJ43" s="344"/>
      <c r="JAK43" s="344"/>
      <c r="JAL43" s="344"/>
      <c r="JAM43" s="344"/>
      <c r="JAN43" s="344"/>
      <c r="JAO43" s="344"/>
      <c r="JAP43" s="344"/>
      <c r="JAQ43" s="344"/>
      <c r="JAR43" s="344"/>
      <c r="JAS43" s="344"/>
      <c r="JAT43" s="344"/>
      <c r="JAU43" s="344"/>
      <c r="JAV43" s="344"/>
      <c r="JAW43" s="344"/>
      <c r="JAX43" s="344"/>
      <c r="JAY43" s="344"/>
      <c r="JAZ43" s="344"/>
      <c r="JBA43" s="344"/>
      <c r="JBB43" s="344"/>
      <c r="JBC43" s="344"/>
      <c r="JBD43" s="344"/>
      <c r="JBE43" s="344"/>
      <c r="JBF43" s="344"/>
      <c r="JBG43" s="344"/>
      <c r="JBH43" s="344"/>
      <c r="JBI43" s="344"/>
      <c r="JBJ43" s="344"/>
      <c r="JBK43" s="344"/>
      <c r="JBL43" s="344"/>
      <c r="JBM43" s="344"/>
      <c r="JBN43" s="344"/>
      <c r="JBO43" s="344"/>
      <c r="JBP43" s="344"/>
      <c r="JBQ43" s="344"/>
      <c r="JBR43" s="344"/>
      <c r="JBS43" s="344"/>
      <c r="JBT43" s="344"/>
      <c r="JBU43" s="344"/>
      <c r="JBV43" s="344"/>
      <c r="JBW43" s="344"/>
      <c r="JBX43" s="344"/>
      <c r="JBY43" s="344"/>
      <c r="JBZ43" s="344"/>
      <c r="JCA43" s="344"/>
      <c r="JCB43" s="344"/>
      <c r="JCC43" s="344"/>
      <c r="JCD43" s="344"/>
      <c r="JCE43" s="344"/>
      <c r="JCF43" s="344"/>
      <c r="JCG43" s="344"/>
      <c r="JCH43" s="344"/>
      <c r="JCI43" s="344"/>
      <c r="JCJ43" s="344"/>
      <c r="JCK43" s="344"/>
      <c r="JCL43" s="344"/>
      <c r="JCM43" s="344"/>
      <c r="JCN43" s="344"/>
      <c r="JCO43" s="344"/>
      <c r="JCP43" s="344"/>
      <c r="JCQ43" s="344"/>
      <c r="JCR43" s="344"/>
      <c r="JCS43" s="344"/>
      <c r="JCT43" s="344"/>
      <c r="JCU43" s="344"/>
      <c r="JCV43" s="344"/>
      <c r="JCW43" s="344"/>
      <c r="JCX43" s="344"/>
      <c r="JCY43" s="344"/>
      <c r="JCZ43" s="344"/>
      <c r="JDA43" s="344"/>
      <c r="JDB43" s="344"/>
      <c r="JDC43" s="344"/>
      <c r="JDD43" s="344"/>
      <c r="JDE43" s="344"/>
      <c r="JDF43" s="344"/>
      <c r="JDG43" s="344"/>
      <c r="JDH43" s="344"/>
      <c r="JDI43" s="344"/>
      <c r="JDJ43" s="344"/>
      <c r="JDK43" s="344"/>
      <c r="JDL43" s="344"/>
      <c r="JDM43" s="344"/>
      <c r="JDN43" s="344"/>
      <c r="JDO43" s="344"/>
      <c r="JDP43" s="344"/>
      <c r="JDQ43" s="344"/>
      <c r="JDR43" s="344"/>
      <c r="JDS43" s="344"/>
      <c r="JDT43" s="344"/>
      <c r="JDU43" s="344"/>
      <c r="JDV43" s="344"/>
      <c r="JDW43" s="344"/>
      <c r="JDX43" s="344"/>
      <c r="JDY43" s="344"/>
      <c r="JDZ43" s="344"/>
      <c r="JEA43" s="344"/>
      <c r="JEB43" s="344"/>
      <c r="JEC43" s="344"/>
      <c r="JED43" s="344"/>
      <c r="JEE43" s="344"/>
      <c r="JEF43" s="344"/>
      <c r="JEG43" s="344"/>
      <c r="JEH43" s="344"/>
      <c r="JEI43" s="344"/>
      <c r="JEJ43" s="344"/>
      <c r="JEK43" s="344"/>
      <c r="JEL43" s="344"/>
      <c r="JEM43" s="344"/>
      <c r="JEN43" s="344"/>
      <c r="JEO43" s="344"/>
      <c r="JEP43" s="344"/>
      <c r="JEQ43" s="344"/>
      <c r="JER43" s="344"/>
      <c r="JES43" s="344"/>
      <c r="JET43" s="344"/>
      <c r="JEU43" s="344"/>
      <c r="JEV43" s="344"/>
      <c r="JEW43" s="344"/>
      <c r="JEX43" s="344"/>
      <c r="JEY43" s="344"/>
      <c r="JEZ43" s="344"/>
      <c r="JFA43" s="344"/>
      <c r="JFB43" s="344"/>
      <c r="JFC43" s="344"/>
      <c r="JFD43" s="344"/>
      <c r="JFE43" s="344"/>
      <c r="JFF43" s="344"/>
      <c r="JFG43" s="344"/>
      <c r="JFH43" s="344"/>
      <c r="JFI43" s="344"/>
      <c r="JFJ43" s="344"/>
      <c r="JFK43" s="344"/>
      <c r="JFL43" s="344"/>
      <c r="JFM43" s="344"/>
      <c r="JFN43" s="344"/>
      <c r="JFO43" s="344"/>
      <c r="JFP43" s="344"/>
      <c r="JFQ43" s="344"/>
      <c r="JFR43" s="344"/>
      <c r="JFS43" s="344"/>
      <c r="JFT43" s="344"/>
      <c r="JFU43" s="344"/>
      <c r="JFV43" s="344"/>
      <c r="JFW43" s="344"/>
      <c r="JFX43" s="344"/>
      <c r="JFY43" s="344"/>
      <c r="JFZ43" s="344"/>
      <c r="JGA43" s="344"/>
      <c r="JGB43" s="344"/>
      <c r="JGC43" s="344"/>
      <c r="JGD43" s="344"/>
      <c r="JGE43" s="344"/>
      <c r="JGF43" s="344"/>
      <c r="JGG43" s="344"/>
      <c r="JGH43" s="344"/>
      <c r="JGI43" s="344"/>
      <c r="JGJ43" s="344"/>
      <c r="JGK43" s="344"/>
      <c r="JGL43" s="344"/>
      <c r="JGM43" s="344"/>
      <c r="JGN43" s="344"/>
      <c r="JGO43" s="344"/>
      <c r="JGP43" s="344"/>
      <c r="JGQ43" s="344"/>
      <c r="JGR43" s="344"/>
      <c r="JGS43" s="344"/>
      <c r="JGT43" s="344"/>
      <c r="JGU43" s="344"/>
      <c r="JGV43" s="344"/>
      <c r="JGW43" s="344"/>
      <c r="JGX43" s="344"/>
      <c r="JGY43" s="344"/>
      <c r="JGZ43" s="344"/>
      <c r="JHA43" s="344"/>
      <c r="JHB43" s="344"/>
      <c r="JHC43" s="344"/>
      <c r="JHD43" s="344"/>
      <c r="JHE43" s="344"/>
      <c r="JHF43" s="344"/>
      <c r="JHG43" s="344"/>
      <c r="JHH43" s="344"/>
      <c r="JHI43" s="344"/>
      <c r="JHJ43" s="344"/>
      <c r="JHK43" s="344"/>
      <c r="JHL43" s="344"/>
      <c r="JHM43" s="344"/>
      <c r="JHN43" s="344"/>
      <c r="JHO43" s="344"/>
      <c r="JHP43" s="344"/>
      <c r="JHQ43" s="344"/>
      <c r="JHR43" s="344"/>
      <c r="JHS43" s="344"/>
      <c r="JHT43" s="344"/>
      <c r="JHU43" s="344"/>
      <c r="JHV43" s="344"/>
      <c r="JHW43" s="344"/>
      <c r="JHX43" s="344"/>
      <c r="JHY43" s="344"/>
      <c r="JHZ43" s="344"/>
      <c r="JIA43" s="344"/>
      <c r="JIB43" s="344"/>
      <c r="JIC43" s="344"/>
      <c r="JID43" s="344"/>
      <c r="JIE43" s="344"/>
      <c r="JIF43" s="344"/>
      <c r="JIG43" s="344"/>
      <c r="JIH43" s="344"/>
      <c r="JII43" s="344"/>
      <c r="JIJ43" s="344"/>
      <c r="JIK43" s="344"/>
      <c r="JIL43" s="344"/>
      <c r="JIM43" s="344"/>
      <c r="JIN43" s="344"/>
      <c r="JIO43" s="344"/>
      <c r="JIP43" s="344"/>
      <c r="JIQ43" s="344"/>
      <c r="JIR43" s="344"/>
      <c r="JIS43" s="344"/>
      <c r="JIT43" s="344"/>
      <c r="JIU43" s="344"/>
      <c r="JIV43" s="344"/>
      <c r="JIW43" s="344"/>
      <c r="JIX43" s="344"/>
      <c r="JIY43" s="344"/>
      <c r="JIZ43" s="344"/>
      <c r="JJA43" s="344"/>
      <c r="JJB43" s="344"/>
      <c r="JJC43" s="344"/>
      <c r="JJD43" s="344"/>
      <c r="JJE43" s="344"/>
      <c r="JJF43" s="344"/>
      <c r="JJG43" s="344"/>
      <c r="JJH43" s="344"/>
      <c r="JJI43" s="344"/>
      <c r="JJJ43" s="344"/>
      <c r="JJK43" s="344"/>
      <c r="JJL43" s="344"/>
      <c r="JJM43" s="344"/>
      <c r="JJN43" s="344"/>
      <c r="JJO43" s="344"/>
      <c r="JJP43" s="344"/>
      <c r="JJQ43" s="344"/>
      <c r="JJR43" s="344"/>
      <c r="JJS43" s="344"/>
      <c r="JJT43" s="344"/>
      <c r="JJU43" s="344"/>
      <c r="JJV43" s="344"/>
      <c r="JJW43" s="344"/>
      <c r="JJX43" s="344"/>
      <c r="JJY43" s="344"/>
      <c r="JJZ43" s="344"/>
      <c r="JKA43" s="344"/>
      <c r="JKB43" s="344"/>
      <c r="JKC43" s="344"/>
      <c r="JKD43" s="344"/>
      <c r="JKE43" s="344"/>
      <c r="JKF43" s="344"/>
      <c r="JKG43" s="344"/>
      <c r="JKH43" s="344"/>
      <c r="JKI43" s="344"/>
      <c r="JKJ43" s="344"/>
      <c r="JKK43" s="344"/>
      <c r="JKL43" s="344"/>
      <c r="JKM43" s="344"/>
      <c r="JKN43" s="344"/>
      <c r="JKO43" s="344"/>
      <c r="JKP43" s="344"/>
      <c r="JKQ43" s="344"/>
      <c r="JKR43" s="344"/>
      <c r="JKS43" s="344"/>
      <c r="JKT43" s="344"/>
      <c r="JKU43" s="344"/>
      <c r="JKV43" s="344"/>
      <c r="JKW43" s="344"/>
      <c r="JKX43" s="344"/>
      <c r="JKY43" s="344"/>
      <c r="JKZ43" s="344"/>
      <c r="JLA43" s="344"/>
      <c r="JLB43" s="344"/>
      <c r="JLC43" s="344"/>
      <c r="JLD43" s="344"/>
      <c r="JLE43" s="344"/>
      <c r="JLF43" s="344"/>
      <c r="JLG43" s="344"/>
      <c r="JLH43" s="344"/>
      <c r="JLI43" s="344"/>
      <c r="JLJ43" s="344"/>
      <c r="JLK43" s="344"/>
      <c r="JLL43" s="344"/>
      <c r="JLM43" s="344"/>
      <c r="JLN43" s="344"/>
      <c r="JLO43" s="344"/>
      <c r="JLP43" s="344"/>
      <c r="JLQ43" s="344"/>
      <c r="JLR43" s="344"/>
      <c r="JLS43" s="344"/>
      <c r="JLT43" s="344"/>
      <c r="JLU43" s="344"/>
      <c r="JLV43" s="344"/>
      <c r="JLW43" s="344"/>
      <c r="JLX43" s="344"/>
      <c r="JLY43" s="344"/>
      <c r="JLZ43" s="344"/>
      <c r="JMA43" s="344"/>
      <c r="JMB43" s="344"/>
      <c r="JMC43" s="344"/>
      <c r="JMD43" s="344"/>
      <c r="JME43" s="344"/>
      <c r="JMF43" s="344"/>
      <c r="JMG43" s="344"/>
      <c r="JMH43" s="344"/>
      <c r="JMI43" s="344"/>
      <c r="JMJ43" s="344"/>
      <c r="JMK43" s="344"/>
      <c r="JML43" s="344"/>
      <c r="JMM43" s="344"/>
      <c r="JMN43" s="344"/>
      <c r="JMO43" s="344"/>
      <c r="JMP43" s="344"/>
      <c r="JMQ43" s="344"/>
      <c r="JMR43" s="344"/>
      <c r="JMS43" s="344"/>
      <c r="JMT43" s="344"/>
      <c r="JMU43" s="344"/>
      <c r="JMV43" s="344"/>
      <c r="JMW43" s="344"/>
      <c r="JMX43" s="344"/>
      <c r="JMY43" s="344"/>
      <c r="JMZ43" s="344"/>
      <c r="JNA43" s="344"/>
      <c r="JNB43" s="344"/>
      <c r="JNC43" s="344"/>
      <c r="JND43" s="344"/>
      <c r="JNE43" s="344"/>
      <c r="JNF43" s="344"/>
      <c r="JNG43" s="344"/>
      <c r="JNH43" s="344"/>
      <c r="JNI43" s="344"/>
      <c r="JNJ43" s="344"/>
      <c r="JNK43" s="344"/>
      <c r="JNL43" s="344"/>
      <c r="JNM43" s="344"/>
      <c r="JNN43" s="344"/>
      <c r="JNO43" s="344"/>
      <c r="JNP43" s="344"/>
      <c r="JNQ43" s="344"/>
      <c r="JNR43" s="344"/>
      <c r="JNS43" s="344"/>
      <c r="JNT43" s="344"/>
      <c r="JNU43" s="344"/>
      <c r="JNV43" s="344"/>
      <c r="JNW43" s="344"/>
      <c r="JNX43" s="344"/>
      <c r="JNY43" s="344"/>
      <c r="JNZ43" s="344"/>
      <c r="JOA43" s="344"/>
      <c r="JOB43" s="344"/>
      <c r="JOC43" s="344"/>
      <c r="JOD43" s="344"/>
      <c r="JOE43" s="344"/>
      <c r="JOF43" s="344"/>
      <c r="JOG43" s="344"/>
      <c r="JOH43" s="344"/>
      <c r="JOI43" s="344"/>
      <c r="JOJ43" s="344"/>
      <c r="JOK43" s="344"/>
      <c r="JOL43" s="344"/>
      <c r="JOM43" s="344"/>
      <c r="JON43" s="344"/>
      <c r="JOO43" s="344"/>
      <c r="JOP43" s="344"/>
      <c r="JOQ43" s="344"/>
      <c r="JOR43" s="344"/>
      <c r="JOS43" s="344"/>
      <c r="JOT43" s="344"/>
      <c r="JOU43" s="344"/>
      <c r="JOV43" s="344"/>
      <c r="JOW43" s="344"/>
      <c r="JOX43" s="344"/>
      <c r="JOY43" s="344"/>
      <c r="JOZ43" s="344"/>
      <c r="JPA43" s="344"/>
      <c r="JPB43" s="344"/>
      <c r="JPC43" s="344"/>
      <c r="JPD43" s="344"/>
      <c r="JPE43" s="344"/>
      <c r="JPF43" s="344"/>
      <c r="JPG43" s="344"/>
      <c r="JPH43" s="344"/>
      <c r="JPI43" s="344"/>
      <c r="JPJ43" s="344"/>
      <c r="JPK43" s="344"/>
      <c r="JPL43" s="344"/>
      <c r="JPM43" s="344"/>
      <c r="JPN43" s="344"/>
      <c r="JPO43" s="344"/>
      <c r="JPP43" s="344"/>
      <c r="JPQ43" s="344"/>
      <c r="JPR43" s="344"/>
      <c r="JPS43" s="344"/>
      <c r="JPT43" s="344"/>
      <c r="JPU43" s="344"/>
      <c r="JPV43" s="344"/>
      <c r="JPW43" s="344"/>
      <c r="JPX43" s="344"/>
      <c r="JPY43" s="344"/>
      <c r="JPZ43" s="344"/>
      <c r="JQA43" s="344"/>
      <c r="JQB43" s="344"/>
      <c r="JQC43" s="344"/>
      <c r="JQD43" s="344"/>
      <c r="JQE43" s="344"/>
      <c r="JQF43" s="344"/>
      <c r="JQG43" s="344"/>
      <c r="JQH43" s="344"/>
      <c r="JQI43" s="344"/>
      <c r="JQJ43" s="344"/>
      <c r="JQK43" s="344"/>
      <c r="JQL43" s="344"/>
      <c r="JQM43" s="344"/>
      <c r="JQN43" s="344"/>
      <c r="JQO43" s="344"/>
      <c r="JQP43" s="344"/>
      <c r="JQQ43" s="344"/>
      <c r="JQR43" s="344"/>
      <c r="JQS43" s="344"/>
      <c r="JQT43" s="344"/>
      <c r="JQU43" s="344"/>
      <c r="JQV43" s="344"/>
      <c r="JQW43" s="344"/>
      <c r="JQX43" s="344"/>
      <c r="JQY43" s="344"/>
      <c r="JQZ43" s="344"/>
      <c r="JRA43" s="344"/>
      <c r="JRB43" s="344"/>
      <c r="JRC43" s="344"/>
      <c r="JRD43" s="344"/>
      <c r="JRE43" s="344"/>
      <c r="JRF43" s="344"/>
      <c r="JRG43" s="344"/>
      <c r="JRH43" s="344"/>
      <c r="JRI43" s="344"/>
      <c r="JRJ43" s="344"/>
      <c r="JRK43" s="344"/>
      <c r="JRL43" s="344"/>
      <c r="JRM43" s="344"/>
      <c r="JRN43" s="344"/>
      <c r="JRO43" s="344"/>
      <c r="JRP43" s="344"/>
      <c r="JRQ43" s="344"/>
      <c r="JRR43" s="344"/>
      <c r="JRS43" s="344"/>
      <c r="JRT43" s="344"/>
      <c r="JRU43" s="344"/>
      <c r="JRV43" s="344"/>
      <c r="JRW43" s="344"/>
      <c r="JRX43" s="344"/>
      <c r="JRY43" s="344"/>
      <c r="JRZ43" s="344"/>
      <c r="JSA43" s="344"/>
      <c r="JSB43" s="344"/>
      <c r="JSC43" s="344"/>
      <c r="JSD43" s="344"/>
      <c r="JSE43" s="344"/>
      <c r="JSF43" s="344"/>
      <c r="JSG43" s="344"/>
      <c r="JSH43" s="344"/>
      <c r="JSI43" s="344"/>
      <c r="JSJ43" s="344"/>
      <c r="JSK43" s="344"/>
      <c r="JSL43" s="344"/>
      <c r="JSM43" s="344"/>
      <c r="JSN43" s="344"/>
      <c r="JSO43" s="344"/>
      <c r="JSP43" s="344"/>
      <c r="JSQ43" s="344"/>
      <c r="JSR43" s="344"/>
      <c r="JSS43" s="344"/>
      <c r="JST43" s="344"/>
      <c r="JSU43" s="344"/>
      <c r="JSV43" s="344"/>
      <c r="JSW43" s="344"/>
      <c r="JSX43" s="344"/>
      <c r="JSY43" s="344"/>
      <c r="JSZ43" s="344"/>
      <c r="JTA43" s="344"/>
      <c r="JTB43" s="344"/>
      <c r="JTC43" s="344"/>
      <c r="JTD43" s="344"/>
      <c r="JTE43" s="344"/>
      <c r="JTF43" s="344"/>
      <c r="JTG43" s="344"/>
      <c r="JTH43" s="344"/>
      <c r="JTI43" s="344"/>
      <c r="JTJ43" s="344"/>
      <c r="JTK43" s="344"/>
      <c r="JTL43" s="344"/>
      <c r="JTM43" s="344"/>
      <c r="JTN43" s="344"/>
      <c r="JTO43" s="344"/>
      <c r="JTP43" s="344"/>
      <c r="JTQ43" s="344"/>
      <c r="JTR43" s="344"/>
      <c r="JTS43" s="344"/>
      <c r="JTT43" s="344"/>
      <c r="JTU43" s="344"/>
      <c r="JTV43" s="344"/>
      <c r="JTW43" s="344"/>
      <c r="JTX43" s="344"/>
      <c r="JTY43" s="344"/>
      <c r="JTZ43" s="344"/>
      <c r="JUA43" s="344"/>
      <c r="JUB43" s="344"/>
      <c r="JUC43" s="344"/>
      <c r="JUD43" s="344"/>
      <c r="JUE43" s="344"/>
      <c r="JUF43" s="344"/>
      <c r="JUG43" s="344"/>
      <c r="JUH43" s="344"/>
      <c r="JUI43" s="344"/>
      <c r="JUJ43" s="344"/>
      <c r="JUK43" s="344"/>
      <c r="JUL43" s="344"/>
      <c r="JUM43" s="344"/>
      <c r="JUN43" s="344"/>
      <c r="JUO43" s="344"/>
      <c r="JUP43" s="344"/>
      <c r="JUQ43" s="344"/>
      <c r="JUR43" s="344"/>
      <c r="JUS43" s="344"/>
      <c r="JUT43" s="344"/>
      <c r="JUU43" s="344"/>
      <c r="JUV43" s="344"/>
      <c r="JUW43" s="344"/>
      <c r="JUX43" s="344"/>
      <c r="JUY43" s="344"/>
      <c r="JUZ43" s="344"/>
      <c r="JVA43" s="344"/>
      <c r="JVB43" s="344"/>
      <c r="JVC43" s="344"/>
      <c r="JVD43" s="344"/>
      <c r="JVE43" s="344"/>
      <c r="JVF43" s="344"/>
      <c r="JVG43" s="344"/>
      <c r="JVH43" s="344"/>
      <c r="JVI43" s="344"/>
      <c r="JVJ43" s="344"/>
      <c r="JVK43" s="344"/>
      <c r="JVL43" s="344"/>
      <c r="JVM43" s="344"/>
      <c r="JVN43" s="344"/>
      <c r="JVO43" s="344"/>
      <c r="JVP43" s="344"/>
      <c r="JVQ43" s="344"/>
      <c r="JVR43" s="344"/>
      <c r="JVS43" s="344"/>
      <c r="JVT43" s="344"/>
      <c r="JVU43" s="344"/>
      <c r="JVV43" s="344"/>
      <c r="JVW43" s="344"/>
      <c r="JVX43" s="344"/>
      <c r="JVY43" s="344"/>
      <c r="JVZ43" s="344"/>
      <c r="JWA43" s="344"/>
      <c r="JWB43" s="344"/>
      <c r="JWC43" s="344"/>
      <c r="JWD43" s="344"/>
      <c r="JWE43" s="344"/>
      <c r="JWF43" s="344"/>
      <c r="JWG43" s="344"/>
      <c r="JWH43" s="344"/>
      <c r="JWI43" s="344"/>
      <c r="JWJ43" s="344"/>
      <c r="JWK43" s="344"/>
      <c r="JWL43" s="344"/>
      <c r="JWM43" s="344"/>
      <c r="JWN43" s="344"/>
      <c r="JWO43" s="344"/>
      <c r="JWP43" s="344"/>
      <c r="JWQ43" s="344"/>
      <c r="JWR43" s="344"/>
      <c r="JWS43" s="344"/>
      <c r="JWT43" s="344"/>
      <c r="JWU43" s="344"/>
      <c r="JWV43" s="344"/>
      <c r="JWW43" s="344"/>
      <c r="JWX43" s="344"/>
      <c r="JWY43" s="344"/>
      <c r="JWZ43" s="344"/>
      <c r="JXA43" s="344"/>
      <c r="JXB43" s="344"/>
      <c r="JXC43" s="344"/>
      <c r="JXD43" s="344"/>
      <c r="JXE43" s="344"/>
      <c r="JXF43" s="344"/>
      <c r="JXG43" s="344"/>
      <c r="JXH43" s="344"/>
      <c r="JXI43" s="344"/>
      <c r="JXJ43" s="344"/>
      <c r="JXK43" s="344"/>
      <c r="JXL43" s="344"/>
      <c r="JXM43" s="344"/>
      <c r="JXN43" s="344"/>
      <c r="JXO43" s="344"/>
      <c r="JXP43" s="344"/>
      <c r="JXQ43" s="344"/>
      <c r="JXR43" s="344"/>
      <c r="JXS43" s="344"/>
      <c r="JXT43" s="344"/>
      <c r="JXU43" s="344"/>
      <c r="JXV43" s="344"/>
      <c r="JXW43" s="344"/>
      <c r="JXX43" s="344"/>
      <c r="JXY43" s="344"/>
      <c r="JXZ43" s="344"/>
      <c r="JYA43" s="344"/>
      <c r="JYB43" s="344"/>
      <c r="JYC43" s="344"/>
      <c r="JYD43" s="344"/>
      <c r="JYE43" s="344"/>
      <c r="JYF43" s="344"/>
      <c r="JYG43" s="344"/>
      <c r="JYH43" s="344"/>
      <c r="JYI43" s="344"/>
      <c r="JYJ43" s="344"/>
      <c r="JYK43" s="344"/>
      <c r="JYL43" s="344"/>
      <c r="JYM43" s="344"/>
      <c r="JYN43" s="344"/>
      <c r="JYO43" s="344"/>
      <c r="JYP43" s="344"/>
      <c r="JYQ43" s="344"/>
      <c r="JYR43" s="344"/>
      <c r="JYS43" s="344"/>
      <c r="JYT43" s="344"/>
      <c r="JYU43" s="344"/>
      <c r="JYV43" s="344"/>
      <c r="JYW43" s="344"/>
      <c r="JYX43" s="344"/>
      <c r="JYY43" s="344"/>
      <c r="JYZ43" s="344"/>
      <c r="JZA43" s="344"/>
      <c r="JZB43" s="344"/>
      <c r="JZC43" s="344"/>
      <c r="JZD43" s="344"/>
      <c r="JZE43" s="344"/>
      <c r="JZF43" s="344"/>
      <c r="JZG43" s="344"/>
      <c r="JZH43" s="344"/>
      <c r="JZI43" s="344"/>
      <c r="JZJ43" s="344"/>
      <c r="JZK43" s="344"/>
      <c r="JZL43" s="344"/>
      <c r="JZM43" s="344"/>
      <c r="JZN43" s="344"/>
      <c r="JZO43" s="344"/>
      <c r="JZP43" s="344"/>
      <c r="JZQ43" s="344"/>
      <c r="JZR43" s="344"/>
      <c r="JZS43" s="344"/>
      <c r="JZT43" s="344"/>
      <c r="JZU43" s="344"/>
      <c r="JZV43" s="344"/>
      <c r="JZW43" s="344"/>
      <c r="JZX43" s="344"/>
      <c r="JZY43" s="344"/>
      <c r="JZZ43" s="344"/>
      <c r="KAA43" s="344"/>
      <c r="KAB43" s="344"/>
      <c r="KAC43" s="344"/>
      <c r="KAD43" s="344"/>
      <c r="KAE43" s="344"/>
      <c r="KAF43" s="344"/>
      <c r="KAG43" s="344"/>
      <c r="KAH43" s="344"/>
      <c r="KAI43" s="344"/>
      <c r="KAJ43" s="344"/>
      <c r="KAK43" s="344"/>
      <c r="KAL43" s="344"/>
      <c r="KAM43" s="344"/>
      <c r="KAN43" s="344"/>
      <c r="KAO43" s="344"/>
      <c r="KAP43" s="344"/>
      <c r="KAQ43" s="344"/>
      <c r="KAR43" s="344"/>
      <c r="KAS43" s="344"/>
      <c r="KAT43" s="344"/>
      <c r="KAU43" s="344"/>
      <c r="KAV43" s="344"/>
      <c r="KAW43" s="344"/>
      <c r="KAX43" s="344"/>
      <c r="KAY43" s="344"/>
      <c r="KAZ43" s="344"/>
      <c r="KBA43" s="344"/>
      <c r="KBB43" s="344"/>
      <c r="KBC43" s="344"/>
      <c r="KBD43" s="344"/>
      <c r="KBE43" s="344"/>
      <c r="KBF43" s="344"/>
      <c r="KBG43" s="344"/>
      <c r="KBH43" s="344"/>
      <c r="KBI43" s="344"/>
      <c r="KBJ43" s="344"/>
      <c r="KBK43" s="344"/>
      <c r="KBL43" s="344"/>
      <c r="KBM43" s="344"/>
      <c r="KBN43" s="344"/>
      <c r="KBO43" s="344"/>
      <c r="KBP43" s="344"/>
      <c r="KBQ43" s="344"/>
      <c r="KBR43" s="344"/>
      <c r="KBS43" s="344"/>
      <c r="KBT43" s="344"/>
      <c r="KBU43" s="344"/>
      <c r="KBV43" s="344"/>
      <c r="KBW43" s="344"/>
      <c r="KBX43" s="344"/>
      <c r="KBY43" s="344"/>
      <c r="KBZ43" s="344"/>
      <c r="KCA43" s="344"/>
      <c r="KCB43" s="344"/>
      <c r="KCC43" s="344"/>
      <c r="KCD43" s="344"/>
      <c r="KCE43" s="344"/>
      <c r="KCF43" s="344"/>
      <c r="KCG43" s="344"/>
      <c r="KCH43" s="344"/>
      <c r="KCI43" s="344"/>
      <c r="KCJ43" s="344"/>
      <c r="KCK43" s="344"/>
      <c r="KCL43" s="344"/>
      <c r="KCM43" s="344"/>
      <c r="KCN43" s="344"/>
      <c r="KCO43" s="344"/>
      <c r="KCP43" s="344"/>
      <c r="KCQ43" s="344"/>
      <c r="KCR43" s="344"/>
      <c r="KCS43" s="344"/>
      <c r="KCT43" s="344"/>
      <c r="KCU43" s="344"/>
      <c r="KCV43" s="344"/>
      <c r="KCW43" s="344"/>
      <c r="KCX43" s="344"/>
      <c r="KCY43" s="344"/>
      <c r="KCZ43" s="344"/>
      <c r="KDA43" s="344"/>
      <c r="KDB43" s="344"/>
      <c r="KDC43" s="344"/>
      <c r="KDD43" s="344"/>
      <c r="KDE43" s="344"/>
      <c r="KDF43" s="344"/>
      <c r="KDG43" s="344"/>
      <c r="KDH43" s="344"/>
      <c r="KDI43" s="344"/>
      <c r="KDJ43" s="344"/>
      <c r="KDK43" s="344"/>
      <c r="KDL43" s="344"/>
      <c r="KDM43" s="344"/>
      <c r="KDN43" s="344"/>
      <c r="KDO43" s="344"/>
      <c r="KDP43" s="344"/>
      <c r="KDQ43" s="344"/>
      <c r="KDR43" s="344"/>
      <c r="KDS43" s="344"/>
      <c r="KDT43" s="344"/>
      <c r="KDU43" s="344"/>
      <c r="KDV43" s="344"/>
      <c r="KDW43" s="344"/>
      <c r="KDX43" s="344"/>
      <c r="KDY43" s="344"/>
      <c r="KDZ43" s="344"/>
      <c r="KEA43" s="344"/>
      <c r="KEB43" s="344"/>
      <c r="KEC43" s="344"/>
      <c r="KED43" s="344"/>
      <c r="KEE43" s="344"/>
      <c r="KEF43" s="344"/>
      <c r="KEG43" s="344"/>
      <c r="KEH43" s="344"/>
      <c r="KEI43" s="344"/>
      <c r="KEJ43" s="344"/>
      <c r="KEK43" s="344"/>
      <c r="KEL43" s="344"/>
      <c r="KEM43" s="344"/>
      <c r="KEN43" s="344"/>
      <c r="KEO43" s="344"/>
      <c r="KEP43" s="344"/>
      <c r="KEQ43" s="344"/>
      <c r="KER43" s="344"/>
      <c r="KES43" s="344"/>
      <c r="KET43" s="344"/>
      <c r="KEU43" s="344"/>
      <c r="KEV43" s="344"/>
      <c r="KEW43" s="344"/>
      <c r="KEX43" s="344"/>
      <c r="KEY43" s="344"/>
      <c r="KEZ43" s="344"/>
      <c r="KFA43" s="344"/>
      <c r="KFB43" s="344"/>
      <c r="KFC43" s="344"/>
      <c r="KFD43" s="344"/>
      <c r="KFE43" s="344"/>
      <c r="KFF43" s="344"/>
      <c r="KFG43" s="344"/>
      <c r="KFH43" s="344"/>
      <c r="KFI43" s="344"/>
      <c r="KFJ43" s="344"/>
      <c r="KFK43" s="344"/>
      <c r="KFL43" s="344"/>
      <c r="KFM43" s="344"/>
      <c r="KFN43" s="344"/>
      <c r="KFO43" s="344"/>
      <c r="KFP43" s="344"/>
      <c r="KFQ43" s="344"/>
      <c r="KFR43" s="344"/>
      <c r="KFS43" s="344"/>
      <c r="KFT43" s="344"/>
      <c r="KFU43" s="344"/>
      <c r="KFV43" s="344"/>
      <c r="KFW43" s="344"/>
      <c r="KFX43" s="344"/>
      <c r="KFY43" s="344"/>
      <c r="KFZ43" s="344"/>
      <c r="KGA43" s="344"/>
      <c r="KGB43" s="344"/>
      <c r="KGC43" s="344"/>
      <c r="KGD43" s="344"/>
      <c r="KGE43" s="344"/>
      <c r="KGF43" s="344"/>
      <c r="KGG43" s="344"/>
      <c r="KGH43" s="344"/>
      <c r="KGI43" s="344"/>
      <c r="KGJ43" s="344"/>
      <c r="KGK43" s="344"/>
      <c r="KGL43" s="344"/>
      <c r="KGM43" s="344"/>
      <c r="KGN43" s="344"/>
      <c r="KGO43" s="344"/>
      <c r="KGP43" s="344"/>
      <c r="KGQ43" s="344"/>
      <c r="KGR43" s="344"/>
      <c r="KGS43" s="344"/>
      <c r="KGT43" s="344"/>
      <c r="KGU43" s="344"/>
      <c r="KGV43" s="344"/>
      <c r="KGW43" s="344"/>
      <c r="KGX43" s="344"/>
      <c r="KGY43" s="344"/>
      <c r="KGZ43" s="344"/>
      <c r="KHA43" s="344"/>
      <c r="KHB43" s="344"/>
      <c r="KHC43" s="344"/>
      <c r="KHD43" s="344"/>
      <c r="KHE43" s="344"/>
      <c r="KHF43" s="344"/>
      <c r="KHG43" s="344"/>
      <c r="KHH43" s="344"/>
      <c r="KHI43" s="344"/>
      <c r="KHJ43" s="344"/>
      <c r="KHK43" s="344"/>
      <c r="KHL43" s="344"/>
      <c r="KHM43" s="344"/>
      <c r="KHN43" s="344"/>
      <c r="KHO43" s="344"/>
      <c r="KHP43" s="344"/>
      <c r="KHQ43" s="344"/>
      <c r="KHR43" s="344"/>
      <c r="KHS43" s="344"/>
      <c r="KHT43" s="344"/>
      <c r="KHU43" s="344"/>
      <c r="KHV43" s="344"/>
      <c r="KHW43" s="344"/>
      <c r="KHX43" s="344"/>
      <c r="KHY43" s="344"/>
      <c r="KHZ43" s="344"/>
      <c r="KIA43" s="344"/>
      <c r="KIB43" s="344"/>
      <c r="KIC43" s="344"/>
      <c r="KID43" s="344"/>
      <c r="KIE43" s="344"/>
      <c r="KIF43" s="344"/>
      <c r="KIG43" s="344"/>
      <c r="KIH43" s="344"/>
      <c r="KII43" s="344"/>
      <c r="KIJ43" s="344"/>
      <c r="KIK43" s="344"/>
      <c r="KIL43" s="344"/>
      <c r="KIM43" s="344"/>
      <c r="KIN43" s="344"/>
      <c r="KIO43" s="344"/>
      <c r="KIP43" s="344"/>
      <c r="KIQ43" s="344"/>
      <c r="KIR43" s="344"/>
      <c r="KIS43" s="344"/>
      <c r="KIT43" s="344"/>
      <c r="KIU43" s="344"/>
      <c r="KIV43" s="344"/>
      <c r="KIW43" s="344"/>
      <c r="KIX43" s="344"/>
      <c r="KIY43" s="344"/>
      <c r="KIZ43" s="344"/>
      <c r="KJA43" s="344"/>
      <c r="KJB43" s="344"/>
      <c r="KJC43" s="344"/>
      <c r="KJD43" s="344"/>
      <c r="KJE43" s="344"/>
      <c r="KJF43" s="344"/>
      <c r="KJG43" s="344"/>
      <c r="KJH43" s="344"/>
      <c r="KJI43" s="344"/>
      <c r="KJJ43" s="344"/>
      <c r="KJK43" s="344"/>
      <c r="KJL43" s="344"/>
      <c r="KJM43" s="344"/>
      <c r="KJN43" s="344"/>
      <c r="KJO43" s="344"/>
      <c r="KJP43" s="344"/>
      <c r="KJQ43" s="344"/>
      <c r="KJR43" s="344"/>
      <c r="KJS43" s="344"/>
      <c r="KJT43" s="344"/>
      <c r="KJU43" s="344"/>
      <c r="KJV43" s="344"/>
      <c r="KJW43" s="344"/>
      <c r="KJX43" s="344"/>
      <c r="KJY43" s="344"/>
      <c r="KJZ43" s="344"/>
      <c r="KKA43" s="344"/>
      <c r="KKB43" s="344"/>
      <c r="KKC43" s="344"/>
      <c r="KKD43" s="344"/>
      <c r="KKE43" s="344"/>
      <c r="KKF43" s="344"/>
      <c r="KKG43" s="344"/>
      <c r="KKH43" s="344"/>
      <c r="KKI43" s="344"/>
      <c r="KKJ43" s="344"/>
      <c r="KKK43" s="344"/>
      <c r="KKL43" s="344"/>
      <c r="KKM43" s="344"/>
      <c r="KKN43" s="344"/>
      <c r="KKO43" s="344"/>
      <c r="KKP43" s="344"/>
      <c r="KKQ43" s="344"/>
      <c r="KKR43" s="344"/>
      <c r="KKS43" s="344"/>
      <c r="KKT43" s="344"/>
      <c r="KKU43" s="344"/>
      <c r="KKV43" s="344"/>
      <c r="KKW43" s="344"/>
      <c r="KKX43" s="344"/>
      <c r="KKY43" s="344"/>
      <c r="KKZ43" s="344"/>
      <c r="KLA43" s="344"/>
      <c r="KLB43" s="344"/>
      <c r="KLC43" s="344"/>
      <c r="KLD43" s="344"/>
      <c r="KLE43" s="344"/>
      <c r="KLF43" s="344"/>
      <c r="KLG43" s="344"/>
      <c r="KLH43" s="344"/>
      <c r="KLI43" s="344"/>
      <c r="KLJ43" s="344"/>
      <c r="KLK43" s="344"/>
      <c r="KLL43" s="344"/>
      <c r="KLM43" s="344"/>
      <c r="KLN43" s="344"/>
      <c r="KLO43" s="344"/>
      <c r="KLP43" s="344"/>
      <c r="KLQ43" s="344"/>
      <c r="KLR43" s="344"/>
      <c r="KLS43" s="344"/>
      <c r="KLT43" s="344"/>
      <c r="KLU43" s="344"/>
      <c r="KLV43" s="344"/>
      <c r="KLW43" s="344"/>
      <c r="KLX43" s="344"/>
      <c r="KLY43" s="344"/>
      <c r="KLZ43" s="344"/>
      <c r="KMA43" s="344"/>
      <c r="KMB43" s="344"/>
      <c r="KMC43" s="344"/>
      <c r="KMD43" s="344"/>
      <c r="KME43" s="344"/>
      <c r="KMF43" s="344"/>
      <c r="KMG43" s="344"/>
      <c r="KMH43" s="344"/>
      <c r="KMI43" s="344"/>
      <c r="KMJ43" s="344"/>
      <c r="KMK43" s="344"/>
      <c r="KML43" s="344"/>
      <c r="KMM43" s="344"/>
      <c r="KMN43" s="344"/>
      <c r="KMO43" s="344"/>
      <c r="KMP43" s="344"/>
      <c r="KMQ43" s="344"/>
      <c r="KMR43" s="344"/>
      <c r="KMS43" s="344"/>
      <c r="KMT43" s="344"/>
      <c r="KMU43" s="344"/>
      <c r="KMV43" s="344"/>
      <c r="KMW43" s="344"/>
      <c r="KMX43" s="344"/>
      <c r="KMY43" s="344"/>
      <c r="KMZ43" s="344"/>
      <c r="KNA43" s="344"/>
      <c r="KNB43" s="344"/>
      <c r="KNC43" s="344"/>
      <c r="KND43" s="344"/>
      <c r="KNE43" s="344"/>
      <c r="KNF43" s="344"/>
      <c r="KNG43" s="344"/>
      <c r="KNH43" s="344"/>
      <c r="KNI43" s="344"/>
      <c r="KNJ43" s="344"/>
      <c r="KNK43" s="344"/>
      <c r="KNL43" s="344"/>
      <c r="KNM43" s="344"/>
      <c r="KNN43" s="344"/>
      <c r="KNO43" s="344"/>
      <c r="KNP43" s="344"/>
      <c r="KNQ43" s="344"/>
      <c r="KNR43" s="344"/>
      <c r="KNS43" s="344"/>
      <c r="KNT43" s="344"/>
      <c r="KNU43" s="344"/>
      <c r="KNV43" s="344"/>
      <c r="KNW43" s="344"/>
      <c r="KNX43" s="344"/>
      <c r="KNY43" s="344"/>
      <c r="KNZ43" s="344"/>
      <c r="KOA43" s="344"/>
      <c r="KOB43" s="344"/>
      <c r="KOC43" s="344"/>
      <c r="KOD43" s="344"/>
      <c r="KOE43" s="344"/>
      <c r="KOF43" s="344"/>
      <c r="KOG43" s="344"/>
      <c r="KOH43" s="344"/>
      <c r="KOI43" s="344"/>
      <c r="KOJ43" s="344"/>
      <c r="KOK43" s="344"/>
      <c r="KOL43" s="344"/>
      <c r="KOM43" s="344"/>
      <c r="KON43" s="344"/>
      <c r="KOO43" s="344"/>
      <c r="KOP43" s="344"/>
      <c r="KOQ43" s="344"/>
      <c r="KOR43" s="344"/>
      <c r="KOS43" s="344"/>
      <c r="KOT43" s="344"/>
      <c r="KOU43" s="344"/>
      <c r="KOV43" s="344"/>
      <c r="KOW43" s="344"/>
      <c r="KOX43" s="344"/>
      <c r="KOY43" s="344"/>
      <c r="KOZ43" s="344"/>
      <c r="KPA43" s="344"/>
      <c r="KPB43" s="344"/>
      <c r="KPC43" s="344"/>
      <c r="KPD43" s="344"/>
      <c r="KPE43" s="344"/>
      <c r="KPF43" s="344"/>
      <c r="KPG43" s="344"/>
      <c r="KPH43" s="344"/>
      <c r="KPI43" s="344"/>
      <c r="KPJ43" s="344"/>
      <c r="KPK43" s="344"/>
      <c r="KPL43" s="344"/>
      <c r="KPM43" s="344"/>
      <c r="KPN43" s="344"/>
      <c r="KPO43" s="344"/>
      <c r="KPP43" s="344"/>
      <c r="KPQ43" s="344"/>
      <c r="KPR43" s="344"/>
      <c r="KPS43" s="344"/>
      <c r="KPT43" s="344"/>
      <c r="KPU43" s="344"/>
      <c r="KPV43" s="344"/>
      <c r="KPW43" s="344"/>
      <c r="KPX43" s="344"/>
      <c r="KPY43" s="344"/>
      <c r="KPZ43" s="344"/>
      <c r="KQA43" s="344"/>
      <c r="KQB43" s="344"/>
      <c r="KQC43" s="344"/>
      <c r="KQD43" s="344"/>
      <c r="KQE43" s="344"/>
      <c r="KQF43" s="344"/>
      <c r="KQG43" s="344"/>
      <c r="KQH43" s="344"/>
      <c r="KQI43" s="344"/>
      <c r="KQJ43" s="344"/>
      <c r="KQK43" s="344"/>
      <c r="KQL43" s="344"/>
      <c r="KQM43" s="344"/>
      <c r="KQN43" s="344"/>
      <c r="KQO43" s="344"/>
      <c r="KQP43" s="344"/>
      <c r="KQQ43" s="344"/>
      <c r="KQR43" s="344"/>
      <c r="KQS43" s="344"/>
      <c r="KQT43" s="344"/>
      <c r="KQU43" s="344"/>
      <c r="KQV43" s="344"/>
      <c r="KQW43" s="344"/>
      <c r="KQX43" s="344"/>
      <c r="KQY43" s="344"/>
      <c r="KQZ43" s="344"/>
      <c r="KRA43" s="344"/>
      <c r="KRB43" s="344"/>
      <c r="KRC43" s="344"/>
      <c r="KRD43" s="344"/>
      <c r="KRE43" s="344"/>
      <c r="KRF43" s="344"/>
      <c r="KRG43" s="344"/>
      <c r="KRH43" s="344"/>
      <c r="KRI43" s="344"/>
      <c r="KRJ43" s="344"/>
      <c r="KRK43" s="344"/>
      <c r="KRL43" s="344"/>
      <c r="KRM43" s="344"/>
      <c r="KRN43" s="344"/>
      <c r="KRO43" s="344"/>
      <c r="KRP43" s="344"/>
      <c r="KRQ43" s="344"/>
      <c r="KRR43" s="344"/>
      <c r="KRS43" s="344"/>
      <c r="KRT43" s="344"/>
      <c r="KRU43" s="344"/>
      <c r="KRV43" s="344"/>
      <c r="KRW43" s="344"/>
      <c r="KRX43" s="344"/>
      <c r="KRY43" s="344"/>
      <c r="KRZ43" s="344"/>
      <c r="KSA43" s="344"/>
      <c r="KSB43" s="344"/>
      <c r="KSC43" s="344"/>
      <c r="KSD43" s="344"/>
      <c r="KSE43" s="344"/>
      <c r="KSF43" s="344"/>
      <c r="KSG43" s="344"/>
      <c r="KSH43" s="344"/>
      <c r="KSI43" s="344"/>
      <c r="KSJ43" s="344"/>
      <c r="KSK43" s="344"/>
      <c r="KSL43" s="344"/>
      <c r="KSM43" s="344"/>
      <c r="KSN43" s="344"/>
      <c r="KSO43" s="344"/>
      <c r="KSP43" s="344"/>
      <c r="KSQ43" s="344"/>
      <c r="KSR43" s="344"/>
      <c r="KSS43" s="344"/>
      <c r="KST43" s="344"/>
      <c r="KSU43" s="344"/>
      <c r="KSV43" s="344"/>
      <c r="KSW43" s="344"/>
      <c r="KSX43" s="344"/>
      <c r="KSY43" s="344"/>
      <c r="KSZ43" s="344"/>
      <c r="KTA43" s="344"/>
      <c r="KTB43" s="344"/>
      <c r="KTC43" s="344"/>
      <c r="KTD43" s="344"/>
      <c r="KTE43" s="344"/>
      <c r="KTF43" s="344"/>
      <c r="KTG43" s="344"/>
      <c r="KTH43" s="344"/>
      <c r="KTI43" s="344"/>
      <c r="KTJ43" s="344"/>
      <c r="KTK43" s="344"/>
      <c r="KTL43" s="344"/>
      <c r="KTM43" s="344"/>
      <c r="KTN43" s="344"/>
      <c r="KTO43" s="344"/>
      <c r="KTP43" s="344"/>
      <c r="KTQ43" s="344"/>
      <c r="KTR43" s="344"/>
      <c r="KTS43" s="344"/>
      <c r="KTT43" s="344"/>
      <c r="KTU43" s="344"/>
      <c r="KTV43" s="344"/>
      <c r="KTW43" s="344"/>
      <c r="KTX43" s="344"/>
      <c r="KTY43" s="344"/>
      <c r="KTZ43" s="344"/>
      <c r="KUA43" s="344"/>
      <c r="KUB43" s="344"/>
      <c r="KUC43" s="344"/>
      <c r="KUD43" s="344"/>
      <c r="KUE43" s="344"/>
      <c r="KUF43" s="344"/>
      <c r="KUG43" s="344"/>
      <c r="KUH43" s="344"/>
      <c r="KUI43" s="344"/>
      <c r="KUJ43" s="344"/>
      <c r="KUK43" s="344"/>
      <c r="KUL43" s="344"/>
      <c r="KUM43" s="344"/>
      <c r="KUN43" s="344"/>
      <c r="KUO43" s="344"/>
      <c r="KUP43" s="344"/>
      <c r="KUQ43" s="344"/>
      <c r="KUR43" s="344"/>
      <c r="KUS43" s="344"/>
      <c r="KUT43" s="344"/>
      <c r="KUU43" s="344"/>
      <c r="KUV43" s="344"/>
      <c r="KUW43" s="344"/>
      <c r="KUX43" s="344"/>
      <c r="KUY43" s="344"/>
      <c r="KUZ43" s="344"/>
      <c r="KVA43" s="344"/>
      <c r="KVB43" s="344"/>
      <c r="KVC43" s="344"/>
      <c r="KVD43" s="344"/>
      <c r="KVE43" s="344"/>
      <c r="KVF43" s="344"/>
      <c r="KVG43" s="344"/>
      <c r="KVH43" s="344"/>
      <c r="KVI43" s="344"/>
      <c r="KVJ43" s="344"/>
      <c r="KVK43" s="344"/>
      <c r="KVL43" s="344"/>
      <c r="KVM43" s="344"/>
      <c r="KVN43" s="344"/>
      <c r="KVO43" s="344"/>
      <c r="KVP43" s="344"/>
      <c r="KVQ43" s="344"/>
      <c r="KVR43" s="344"/>
      <c r="KVS43" s="344"/>
      <c r="KVT43" s="344"/>
      <c r="KVU43" s="344"/>
      <c r="KVV43" s="344"/>
      <c r="KVW43" s="344"/>
      <c r="KVX43" s="344"/>
      <c r="KVY43" s="344"/>
      <c r="KVZ43" s="344"/>
      <c r="KWA43" s="344"/>
      <c r="KWB43" s="344"/>
      <c r="KWC43" s="344"/>
      <c r="KWD43" s="344"/>
      <c r="KWE43" s="344"/>
      <c r="KWF43" s="344"/>
      <c r="KWG43" s="344"/>
      <c r="KWH43" s="344"/>
      <c r="KWI43" s="344"/>
      <c r="KWJ43" s="344"/>
      <c r="KWK43" s="344"/>
      <c r="KWL43" s="344"/>
      <c r="KWM43" s="344"/>
      <c r="KWN43" s="344"/>
      <c r="KWO43" s="344"/>
      <c r="KWP43" s="344"/>
      <c r="KWQ43" s="344"/>
      <c r="KWR43" s="344"/>
      <c r="KWS43" s="344"/>
      <c r="KWT43" s="344"/>
      <c r="KWU43" s="344"/>
      <c r="KWV43" s="344"/>
      <c r="KWW43" s="344"/>
      <c r="KWX43" s="344"/>
      <c r="KWY43" s="344"/>
      <c r="KWZ43" s="344"/>
      <c r="KXA43" s="344"/>
      <c r="KXB43" s="344"/>
      <c r="KXC43" s="344"/>
      <c r="KXD43" s="344"/>
      <c r="KXE43" s="344"/>
      <c r="KXF43" s="344"/>
      <c r="KXG43" s="344"/>
      <c r="KXH43" s="344"/>
      <c r="KXI43" s="344"/>
      <c r="KXJ43" s="344"/>
      <c r="KXK43" s="344"/>
      <c r="KXL43" s="344"/>
      <c r="KXM43" s="344"/>
      <c r="KXN43" s="344"/>
      <c r="KXO43" s="344"/>
      <c r="KXP43" s="344"/>
      <c r="KXQ43" s="344"/>
      <c r="KXR43" s="344"/>
      <c r="KXS43" s="344"/>
      <c r="KXT43" s="344"/>
      <c r="KXU43" s="344"/>
      <c r="KXV43" s="344"/>
      <c r="KXW43" s="344"/>
      <c r="KXX43" s="344"/>
      <c r="KXY43" s="344"/>
      <c r="KXZ43" s="344"/>
      <c r="KYA43" s="344"/>
      <c r="KYB43" s="344"/>
      <c r="KYC43" s="344"/>
      <c r="KYD43" s="344"/>
      <c r="KYE43" s="344"/>
      <c r="KYF43" s="344"/>
      <c r="KYG43" s="344"/>
      <c r="KYH43" s="344"/>
      <c r="KYI43" s="344"/>
      <c r="KYJ43" s="344"/>
      <c r="KYK43" s="344"/>
      <c r="KYL43" s="344"/>
      <c r="KYM43" s="344"/>
      <c r="KYN43" s="344"/>
      <c r="KYO43" s="344"/>
      <c r="KYP43" s="344"/>
      <c r="KYQ43" s="344"/>
      <c r="KYR43" s="344"/>
      <c r="KYS43" s="344"/>
      <c r="KYT43" s="344"/>
      <c r="KYU43" s="344"/>
      <c r="KYV43" s="344"/>
      <c r="KYW43" s="344"/>
      <c r="KYX43" s="344"/>
      <c r="KYY43" s="344"/>
      <c r="KYZ43" s="344"/>
      <c r="KZA43" s="344"/>
      <c r="KZB43" s="344"/>
      <c r="KZC43" s="344"/>
      <c r="KZD43" s="344"/>
      <c r="KZE43" s="344"/>
      <c r="KZF43" s="344"/>
      <c r="KZG43" s="344"/>
      <c r="KZH43" s="344"/>
      <c r="KZI43" s="344"/>
      <c r="KZJ43" s="344"/>
      <c r="KZK43" s="344"/>
      <c r="KZL43" s="344"/>
      <c r="KZM43" s="344"/>
      <c r="KZN43" s="344"/>
      <c r="KZO43" s="344"/>
      <c r="KZP43" s="344"/>
      <c r="KZQ43" s="344"/>
      <c r="KZR43" s="344"/>
      <c r="KZS43" s="344"/>
      <c r="KZT43" s="344"/>
      <c r="KZU43" s="344"/>
      <c r="KZV43" s="344"/>
      <c r="KZW43" s="344"/>
      <c r="KZX43" s="344"/>
      <c r="KZY43" s="344"/>
      <c r="KZZ43" s="344"/>
      <c r="LAA43" s="344"/>
      <c r="LAB43" s="344"/>
      <c r="LAC43" s="344"/>
      <c r="LAD43" s="344"/>
      <c r="LAE43" s="344"/>
      <c r="LAF43" s="344"/>
      <c r="LAG43" s="344"/>
      <c r="LAH43" s="344"/>
      <c r="LAI43" s="344"/>
      <c r="LAJ43" s="344"/>
      <c r="LAK43" s="344"/>
      <c r="LAL43" s="344"/>
      <c r="LAM43" s="344"/>
      <c r="LAN43" s="344"/>
      <c r="LAO43" s="344"/>
      <c r="LAP43" s="344"/>
      <c r="LAQ43" s="344"/>
      <c r="LAR43" s="344"/>
      <c r="LAS43" s="344"/>
      <c r="LAT43" s="344"/>
      <c r="LAU43" s="344"/>
      <c r="LAV43" s="344"/>
      <c r="LAW43" s="344"/>
      <c r="LAX43" s="344"/>
      <c r="LAY43" s="344"/>
      <c r="LAZ43" s="344"/>
      <c r="LBA43" s="344"/>
      <c r="LBB43" s="344"/>
      <c r="LBC43" s="344"/>
      <c r="LBD43" s="344"/>
      <c r="LBE43" s="344"/>
      <c r="LBF43" s="344"/>
      <c r="LBG43" s="344"/>
      <c r="LBH43" s="344"/>
      <c r="LBI43" s="344"/>
      <c r="LBJ43" s="344"/>
      <c r="LBK43" s="344"/>
      <c r="LBL43" s="344"/>
      <c r="LBM43" s="344"/>
      <c r="LBN43" s="344"/>
      <c r="LBO43" s="344"/>
      <c r="LBP43" s="344"/>
      <c r="LBQ43" s="344"/>
      <c r="LBR43" s="344"/>
      <c r="LBS43" s="344"/>
      <c r="LBT43" s="344"/>
      <c r="LBU43" s="344"/>
      <c r="LBV43" s="344"/>
      <c r="LBW43" s="344"/>
      <c r="LBX43" s="344"/>
      <c r="LBY43" s="344"/>
      <c r="LBZ43" s="344"/>
      <c r="LCA43" s="344"/>
      <c r="LCB43" s="344"/>
      <c r="LCC43" s="344"/>
      <c r="LCD43" s="344"/>
      <c r="LCE43" s="344"/>
      <c r="LCF43" s="344"/>
      <c r="LCG43" s="344"/>
      <c r="LCH43" s="344"/>
      <c r="LCI43" s="344"/>
      <c r="LCJ43" s="344"/>
      <c r="LCK43" s="344"/>
      <c r="LCL43" s="344"/>
      <c r="LCM43" s="344"/>
      <c r="LCN43" s="344"/>
      <c r="LCO43" s="344"/>
      <c r="LCP43" s="344"/>
      <c r="LCQ43" s="344"/>
      <c r="LCR43" s="344"/>
      <c r="LCS43" s="344"/>
      <c r="LCT43" s="344"/>
      <c r="LCU43" s="344"/>
      <c r="LCV43" s="344"/>
      <c r="LCW43" s="344"/>
      <c r="LCX43" s="344"/>
      <c r="LCY43" s="344"/>
      <c r="LCZ43" s="344"/>
      <c r="LDA43" s="344"/>
      <c r="LDB43" s="344"/>
      <c r="LDC43" s="344"/>
      <c r="LDD43" s="344"/>
      <c r="LDE43" s="344"/>
      <c r="LDF43" s="344"/>
      <c r="LDG43" s="344"/>
      <c r="LDH43" s="344"/>
      <c r="LDI43" s="344"/>
      <c r="LDJ43" s="344"/>
      <c r="LDK43" s="344"/>
      <c r="LDL43" s="344"/>
      <c r="LDM43" s="344"/>
      <c r="LDN43" s="344"/>
      <c r="LDO43" s="344"/>
      <c r="LDP43" s="344"/>
      <c r="LDQ43" s="344"/>
      <c r="LDR43" s="344"/>
      <c r="LDS43" s="344"/>
      <c r="LDT43" s="344"/>
      <c r="LDU43" s="344"/>
      <c r="LDV43" s="344"/>
      <c r="LDW43" s="344"/>
      <c r="LDX43" s="344"/>
      <c r="LDY43" s="344"/>
      <c r="LDZ43" s="344"/>
      <c r="LEA43" s="344"/>
      <c r="LEB43" s="344"/>
      <c r="LEC43" s="344"/>
      <c r="LED43" s="344"/>
      <c r="LEE43" s="344"/>
      <c r="LEF43" s="344"/>
      <c r="LEG43" s="344"/>
      <c r="LEH43" s="344"/>
      <c r="LEI43" s="344"/>
      <c r="LEJ43" s="344"/>
      <c r="LEK43" s="344"/>
      <c r="LEL43" s="344"/>
      <c r="LEM43" s="344"/>
      <c r="LEN43" s="344"/>
      <c r="LEO43" s="344"/>
      <c r="LEP43" s="344"/>
      <c r="LEQ43" s="344"/>
      <c r="LER43" s="344"/>
      <c r="LES43" s="344"/>
      <c r="LET43" s="344"/>
      <c r="LEU43" s="344"/>
      <c r="LEV43" s="344"/>
      <c r="LEW43" s="344"/>
      <c r="LEX43" s="344"/>
      <c r="LEY43" s="344"/>
      <c r="LEZ43" s="344"/>
      <c r="LFA43" s="344"/>
      <c r="LFB43" s="344"/>
      <c r="LFC43" s="344"/>
      <c r="LFD43" s="344"/>
      <c r="LFE43" s="344"/>
      <c r="LFF43" s="344"/>
      <c r="LFG43" s="344"/>
      <c r="LFH43" s="344"/>
      <c r="LFI43" s="344"/>
      <c r="LFJ43" s="344"/>
      <c r="LFK43" s="344"/>
      <c r="LFL43" s="344"/>
      <c r="LFM43" s="344"/>
      <c r="LFN43" s="344"/>
      <c r="LFO43" s="344"/>
      <c r="LFP43" s="344"/>
      <c r="LFQ43" s="344"/>
      <c r="LFR43" s="344"/>
      <c r="LFS43" s="344"/>
      <c r="LFT43" s="344"/>
      <c r="LFU43" s="344"/>
      <c r="LFV43" s="344"/>
      <c r="LFW43" s="344"/>
      <c r="LFX43" s="344"/>
      <c r="LFY43" s="344"/>
      <c r="LFZ43" s="344"/>
      <c r="LGA43" s="344"/>
      <c r="LGB43" s="344"/>
      <c r="LGC43" s="344"/>
      <c r="LGD43" s="344"/>
      <c r="LGE43" s="344"/>
      <c r="LGF43" s="344"/>
      <c r="LGG43" s="344"/>
      <c r="LGH43" s="344"/>
      <c r="LGI43" s="344"/>
      <c r="LGJ43" s="344"/>
      <c r="LGK43" s="344"/>
      <c r="LGL43" s="344"/>
      <c r="LGM43" s="344"/>
      <c r="LGN43" s="344"/>
      <c r="LGO43" s="344"/>
      <c r="LGP43" s="344"/>
      <c r="LGQ43" s="344"/>
      <c r="LGR43" s="344"/>
      <c r="LGS43" s="344"/>
      <c r="LGT43" s="344"/>
      <c r="LGU43" s="344"/>
      <c r="LGV43" s="344"/>
      <c r="LGW43" s="344"/>
      <c r="LGX43" s="344"/>
      <c r="LGY43" s="344"/>
      <c r="LGZ43" s="344"/>
      <c r="LHA43" s="344"/>
      <c r="LHB43" s="344"/>
      <c r="LHC43" s="344"/>
      <c r="LHD43" s="344"/>
      <c r="LHE43" s="344"/>
      <c r="LHF43" s="344"/>
      <c r="LHG43" s="344"/>
      <c r="LHH43" s="344"/>
      <c r="LHI43" s="344"/>
      <c r="LHJ43" s="344"/>
      <c r="LHK43" s="344"/>
      <c r="LHL43" s="344"/>
      <c r="LHM43" s="344"/>
      <c r="LHN43" s="344"/>
      <c r="LHO43" s="344"/>
      <c r="LHP43" s="344"/>
      <c r="LHQ43" s="344"/>
      <c r="LHR43" s="344"/>
      <c r="LHS43" s="344"/>
      <c r="LHT43" s="344"/>
      <c r="LHU43" s="344"/>
      <c r="LHV43" s="344"/>
      <c r="LHW43" s="344"/>
      <c r="LHX43" s="344"/>
      <c r="LHY43" s="344"/>
      <c r="LHZ43" s="344"/>
      <c r="LIA43" s="344"/>
      <c r="LIB43" s="344"/>
      <c r="LIC43" s="344"/>
      <c r="LID43" s="344"/>
      <c r="LIE43" s="344"/>
      <c r="LIF43" s="344"/>
      <c r="LIG43" s="344"/>
      <c r="LIH43" s="344"/>
      <c r="LII43" s="344"/>
      <c r="LIJ43" s="344"/>
      <c r="LIK43" s="344"/>
      <c r="LIL43" s="344"/>
      <c r="LIM43" s="344"/>
      <c r="LIN43" s="344"/>
      <c r="LIO43" s="344"/>
      <c r="LIP43" s="344"/>
      <c r="LIQ43" s="344"/>
      <c r="LIR43" s="344"/>
      <c r="LIS43" s="344"/>
      <c r="LIT43" s="344"/>
      <c r="LIU43" s="344"/>
      <c r="LIV43" s="344"/>
      <c r="LIW43" s="344"/>
      <c r="LIX43" s="344"/>
      <c r="LIY43" s="344"/>
      <c r="LIZ43" s="344"/>
      <c r="LJA43" s="344"/>
      <c r="LJB43" s="344"/>
      <c r="LJC43" s="344"/>
      <c r="LJD43" s="344"/>
      <c r="LJE43" s="344"/>
      <c r="LJF43" s="344"/>
      <c r="LJG43" s="344"/>
      <c r="LJH43" s="344"/>
      <c r="LJI43" s="344"/>
      <c r="LJJ43" s="344"/>
      <c r="LJK43" s="344"/>
      <c r="LJL43" s="344"/>
      <c r="LJM43" s="344"/>
      <c r="LJN43" s="344"/>
      <c r="LJO43" s="344"/>
      <c r="LJP43" s="344"/>
      <c r="LJQ43" s="344"/>
      <c r="LJR43" s="344"/>
      <c r="LJS43" s="344"/>
      <c r="LJT43" s="344"/>
      <c r="LJU43" s="344"/>
      <c r="LJV43" s="344"/>
      <c r="LJW43" s="344"/>
      <c r="LJX43" s="344"/>
      <c r="LJY43" s="344"/>
      <c r="LJZ43" s="344"/>
      <c r="LKA43" s="344"/>
      <c r="LKB43" s="344"/>
      <c r="LKC43" s="344"/>
      <c r="LKD43" s="344"/>
      <c r="LKE43" s="344"/>
      <c r="LKF43" s="344"/>
      <c r="LKG43" s="344"/>
      <c r="LKH43" s="344"/>
      <c r="LKI43" s="344"/>
      <c r="LKJ43" s="344"/>
      <c r="LKK43" s="344"/>
      <c r="LKL43" s="344"/>
      <c r="LKM43" s="344"/>
      <c r="LKN43" s="344"/>
      <c r="LKO43" s="344"/>
      <c r="LKP43" s="344"/>
      <c r="LKQ43" s="344"/>
      <c r="LKR43" s="344"/>
      <c r="LKS43" s="344"/>
      <c r="LKT43" s="344"/>
      <c r="LKU43" s="344"/>
      <c r="LKV43" s="344"/>
      <c r="LKW43" s="344"/>
      <c r="LKX43" s="344"/>
      <c r="LKY43" s="344"/>
      <c r="LKZ43" s="344"/>
      <c r="LLA43" s="344"/>
      <c r="LLB43" s="344"/>
      <c r="LLC43" s="344"/>
      <c r="LLD43" s="344"/>
      <c r="LLE43" s="344"/>
      <c r="LLF43" s="344"/>
      <c r="LLG43" s="344"/>
      <c r="LLH43" s="344"/>
      <c r="LLI43" s="344"/>
      <c r="LLJ43" s="344"/>
      <c r="LLK43" s="344"/>
      <c r="LLL43" s="344"/>
      <c r="LLM43" s="344"/>
      <c r="LLN43" s="344"/>
      <c r="LLO43" s="344"/>
      <c r="LLP43" s="344"/>
      <c r="LLQ43" s="344"/>
      <c r="LLR43" s="344"/>
      <c r="LLS43" s="344"/>
      <c r="LLT43" s="344"/>
      <c r="LLU43" s="344"/>
      <c r="LLV43" s="344"/>
      <c r="LLW43" s="344"/>
      <c r="LLX43" s="344"/>
      <c r="LLY43" s="344"/>
      <c r="LLZ43" s="344"/>
      <c r="LMA43" s="344"/>
      <c r="LMB43" s="344"/>
      <c r="LMC43" s="344"/>
      <c r="LMD43" s="344"/>
      <c r="LME43" s="344"/>
      <c r="LMF43" s="344"/>
      <c r="LMG43" s="344"/>
      <c r="LMH43" s="344"/>
      <c r="LMI43" s="344"/>
      <c r="LMJ43" s="344"/>
      <c r="LMK43" s="344"/>
      <c r="LML43" s="344"/>
      <c r="LMM43" s="344"/>
      <c r="LMN43" s="344"/>
      <c r="LMO43" s="344"/>
      <c r="LMP43" s="344"/>
      <c r="LMQ43" s="344"/>
      <c r="LMR43" s="344"/>
      <c r="LMS43" s="344"/>
      <c r="LMT43" s="344"/>
      <c r="LMU43" s="344"/>
      <c r="LMV43" s="344"/>
      <c r="LMW43" s="344"/>
      <c r="LMX43" s="344"/>
      <c r="LMY43" s="344"/>
      <c r="LMZ43" s="344"/>
      <c r="LNA43" s="344"/>
      <c r="LNB43" s="344"/>
      <c r="LNC43" s="344"/>
      <c r="LND43" s="344"/>
      <c r="LNE43" s="344"/>
      <c r="LNF43" s="344"/>
      <c r="LNG43" s="344"/>
      <c r="LNH43" s="344"/>
      <c r="LNI43" s="344"/>
      <c r="LNJ43" s="344"/>
      <c r="LNK43" s="344"/>
      <c r="LNL43" s="344"/>
      <c r="LNM43" s="344"/>
      <c r="LNN43" s="344"/>
      <c r="LNO43" s="344"/>
      <c r="LNP43" s="344"/>
      <c r="LNQ43" s="344"/>
      <c r="LNR43" s="344"/>
      <c r="LNS43" s="344"/>
      <c r="LNT43" s="344"/>
      <c r="LNU43" s="344"/>
      <c r="LNV43" s="344"/>
      <c r="LNW43" s="344"/>
      <c r="LNX43" s="344"/>
      <c r="LNY43" s="344"/>
      <c r="LNZ43" s="344"/>
      <c r="LOA43" s="344"/>
      <c r="LOB43" s="344"/>
      <c r="LOC43" s="344"/>
      <c r="LOD43" s="344"/>
      <c r="LOE43" s="344"/>
      <c r="LOF43" s="344"/>
      <c r="LOG43" s="344"/>
      <c r="LOH43" s="344"/>
      <c r="LOI43" s="344"/>
      <c r="LOJ43" s="344"/>
      <c r="LOK43" s="344"/>
      <c r="LOL43" s="344"/>
      <c r="LOM43" s="344"/>
      <c r="LON43" s="344"/>
      <c r="LOO43" s="344"/>
      <c r="LOP43" s="344"/>
      <c r="LOQ43" s="344"/>
      <c r="LOR43" s="344"/>
      <c r="LOS43" s="344"/>
      <c r="LOT43" s="344"/>
      <c r="LOU43" s="344"/>
      <c r="LOV43" s="344"/>
      <c r="LOW43" s="344"/>
      <c r="LOX43" s="344"/>
      <c r="LOY43" s="344"/>
      <c r="LOZ43" s="344"/>
      <c r="LPA43" s="344"/>
      <c r="LPB43" s="344"/>
      <c r="LPC43" s="344"/>
      <c r="LPD43" s="344"/>
      <c r="LPE43" s="344"/>
      <c r="LPF43" s="344"/>
      <c r="LPG43" s="344"/>
      <c r="LPH43" s="344"/>
      <c r="LPI43" s="344"/>
      <c r="LPJ43" s="344"/>
      <c r="LPK43" s="344"/>
      <c r="LPL43" s="344"/>
      <c r="LPM43" s="344"/>
      <c r="LPN43" s="344"/>
      <c r="LPO43" s="344"/>
      <c r="LPP43" s="344"/>
      <c r="LPQ43" s="344"/>
      <c r="LPR43" s="344"/>
      <c r="LPS43" s="344"/>
      <c r="LPT43" s="344"/>
      <c r="LPU43" s="344"/>
      <c r="LPV43" s="344"/>
      <c r="LPW43" s="344"/>
      <c r="LPX43" s="344"/>
      <c r="LPY43" s="344"/>
      <c r="LPZ43" s="344"/>
      <c r="LQA43" s="344"/>
      <c r="LQB43" s="344"/>
      <c r="LQC43" s="344"/>
      <c r="LQD43" s="344"/>
      <c r="LQE43" s="344"/>
      <c r="LQF43" s="344"/>
      <c r="LQG43" s="344"/>
      <c r="LQH43" s="344"/>
      <c r="LQI43" s="344"/>
      <c r="LQJ43" s="344"/>
      <c r="LQK43" s="344"/>
      <c r="LQL43" s="344"/>
      <c r="LQM43" s="344"/>
      <c r="LQN43" s="344"/>
      <c r="LQO43" s="344"/>
      <c r="LQP43" s="344"/>
      <c r="LQQ43" s="344"/>
      <c r="LQR43" s="344"/>
      <c r="LQS43" s="344"/>
      <c r="LQT43" s="344"/>
      <c r="LQU43" s="344"/>
      <c r="LQV43" s="344"/>
      <c r="LQW43" s="344"/>
      <c r="LQX43" s="344"/>
      <c r="LQY43" s="344"/>
      <c r="LQZ43" s="344"/>
      <c r="LRA43" s="344"/>
      <c r="LRB43" s="344"/>
      <c r="LRC43" s="344"/>
      <c r="LRD43" s="344"/>
      <c r="LRE43" s="344"/>
      <c r="LRF43" s="344"/>
      <c r="LRG43" s="344"/>
      <c r="LRH43" s="344"/>
      <c r="LRI43" s="344"/>
      <c r="LRJ43" s="344"/>
      <c r="LRK43" s="344"/>
      <c r="LRL43" s="344"/>
      <c r="LRM43" s="344"/>
      <c r="LRN43" s="344"/>
      <c r="LRO43" s="344"/>
      <c r="LRP43" s="344"/>
      <c r="LRQ43" s="344"/>
      <c r="LRR43" s="344"/>
      <c r="LRS43" s="344"/>
      <c r="LRT43" s="344"/>
      <c r="LRU43" s="344"/>
      <c r="LRV43" s="344"/>
      <c r="LRW43" s="344"/>
      <c r="LRX43" s="344"/>
      <c r="LRY43" s="344"/>
      <c r="LRZ43" s="344"/>
      <c r="LSA43" s="344"/>
      <c r="LSB43" s="344"/>
      <c r="LSC43" s="344"/>
      <c r="LSD43" s="344"/>
      <c r="LSE43" s="344"/>
      <c r="LSF43" s="344"/>
      <c r="LSG43" s="344"/>
      <c r="LSH43" s="344"/>
      <c r="LSI43" s="344"/>
      <c r="LSJ43" s="344"/>
      <c r="LSK43" s="344"/>
      <c r="LSL43" s="344"/>
      <c r="LSM43" s="344"/>
      <c r="LSN43" s="344"/>
      <c r="LSO43" s="344"/>
      <c r="LSP43" s="344"/>
      <c r="LSQ43" s="344"/>
      <c r="LSR43" s="344"/>
      <c r="LSS43" s="344"/>
      <c r="LST43" s="344"/>
      <c r="LSU43" s="344"/>
      <c r="LSV43" s="344"/>
      <c r="LSW43" s="344"/>
      <c r="LSX43" s="344"/>
      <c r="LSY43" s="344"/>
      <c r="LSZ43" s="344"/>
      <c r="LTA43" s="344"/>
      <c r="LTB43" s="344"/>
      <c r="LTC43" s="344"/>
      <c r="LTD43" s="344"/>
      <c r="LTE43" s="344"/>
      <c r="LTF43" s="344"/>
      <c r="LTG43" s="344"/>
      <c r="LTH43" s="344"/>
      <c r="LTI43" s="344"/>
      <c r="LTJ43" s="344"/>
      <c r="LTK43" s="344"/>
      <c r="LTL43" s="344"/>
      <c r="LTM43" s="344"/>
      <c r="LTN43" s="344"/>
      <c r="LTO43" s="344"/>
      <c r="LTP43" s="344"/>
      <c r="LTQ43" s="344"/>
      <c r="LTR43" s="344"/>
      <c r="LTS43" s="344"/>
      <c r="LTT43" s="344"/>
      <c r="LTU43" s="344"/>
      <c r="LTV43" s="344"/>
      <c r="LTW43" s="344"/>
      <c r="LTX43" s="344"/>
      <c r="LTY43" s="344"/>
      <c r="LTZ43" s="344"/>
      <c r="LUA43" s="344"/>
      <c r="LUB43" s="344"/>
      <c r="LUC43" s="344"/>
      <c r="LUD43" s="344"/>
      <c r="LUE43" s="344"/>
      <c r="LUF43" s="344"/>
      <c r="LUG43" s="344"/>
      <c r="LUH43" s="344"/>
      <c r="LUI43" s="344"/>
      <c r="LUJ43" s="344"/>
      <c r="LUK43" s="344"/>
      <c r="LUL43" s="344"/>
      <c r="LUM43" s="344"/>
      <c r="LUN43" s="344"/>
      <c r="LUO43" s="344"/>
      <c r="LUP43" s="344"/>
      <c r="LUQ43" s="344"/>
      <c r="LUR43" s="344"/>
      <c r="LUS43" s="344"/>
      <c r="LUT43" s="344"/>
      <c r="LUU43" s="344"/>
      <c r="LUV43" s="344"/>
      <c r="LUW43" s="344"/>
      <c r="LUX43" s="344"/>
      <c r="LUY43" s="344"/>
      <c r="LUZ43" s="344"/>
      <c r="LVA43" s="344"/>
      <c r="LVB43" s="344"/>
      <c r="LVC43" s="344"/>
      <c r="LVD43" s="344"/>
      <c r="LVE43" s="344"/>
      <c r="LVF43" s="344"/>
      <c r="LVG43" s="344"/>
      <c r="LVH43" s="344"/>
      <c r="LVI43" s="344"/>
      <c r="LVJ43" s="344"/>
      <c r="LVK43" s="344"/>
      <c r="LVL43" s="344"/>
      <c r="LVM43" s="344"/>
      <c r="LVN43" s="344"/>
      <c r="LVO43" s="344"/>
      <c r="LVP43" s="344"/>
      <c r="LVQ43" s="344"/>
      <c r="LVR43" s="344"/>
      <c r="LVS43" s="344"/>
      <c r="LVT43" s="344"/>
      <c r="LVU43" s="344"/>
      <c r="LVV43" s="344"/>
      <c r="LVW43" s="344"/>
      <c r="LVX43" s="344"/>
      <c r="LVY43" s="344"/>
      <c r="LVZ43" s="344"/>
      <c r="LWA43" s="344"/>
      <c r="LWB43" s="344"/>
      <c r="LWC43" s="344"/>
      <c r="LWD43" s="344"/>
      <c r="LWE43" s="344"/>
      <c r="LWF43" s="344"/>
      <c r="LWG43" s="344"/>
      <c r="LWH43" s="344"/>
      <c r="LWI43" s="344"/>
      <c r="LWJ43" s="344"/>
      <c r="LWK43" s="344"/>
      <c r="LWL43" s="344"/>
      <c r="LWM43" s="344"/>
      <c r="LWN43" s="344"/>
      <c r="LWO43" s="344"/>
      <c r="LWP43" s="344"/>
      <c r="LWQ43" s="344"/>
      <c r="LWR43" s="344"/>
      <c r="LWS43" s="344"/>
      <c r="LWT43" s="344"/>
      <c r="LWU43" s="344"/>
      <c r="LWV43" s="344"/>
      <c r="LWW43" s="344"/>
      <c r="LWX43" s="344"/>
      <c r="LWY43" s="344"/>
      <c r="LWZ43" s="344"/>
      <c r="LXA43" s="344"/>
      <c r="LXB43" s="344"/>
      <c r="LXC43" s="344"/>
      <c r="LXD43" s="344"/>
      <c r="LXE43" s="344"/>
      <c r="LXF43" s="344"/>
      <c r="LXG43" s="344"/>
      <c r="LXH43" s="344"/>
      <c r="LXI43" s="344"/>
      <c r="LXJ43" s="344"/>
      <c r="LXK43" s="344"/>
      <c r="LXL43" s="344"/>
      <c r="LXM43" s="344"/>
      <c r="LXN43" s="344"/>
      <c r="LXO43" s="344"/>
      <c r="LXP43" s="344"/>
      <c r="LXQ43" s="344"/>
      <c r="LXR43" s="344"/>
      <c r="LXS43" s="344"/>
      <c r="LXT43" s="344"/>
      <c r="LXU43" s="344"/>
      <c r="LXV43" s="344"/>
      <c r="LXW43" s="344"/>
      <c r="LXX43" s="344"/>
      <c r="LXY43" s="344"/>
      <c r="LXZ43" s="344"/>
      <c r="LYA43" s="344"/>
      <c r="LYB43" s="344"/>
      <c r="LYC43" s="344"/>
      <c r="LYD43" s="344"/>
      <c r="LYE43" s="344"/>
      <c r="LYF43" s="344"/>
      <c r="LYG43" s="344"/>
      <c r="LYH43" s="344"/>
      <c r="LYI43" s="344"/>
      <c r="LYJ43" s="344"/>
      <c r="LYK43" s="344"/>
      <c r="LYL43" s="344"/>
      <c r="LYM43" s="344"/>
      <c r="LYN43" s="344"/>
      <c r="LYO43" s="344"/>
      <c r="LYP43" s="344"/>
      <c r="LYQ43" s="344"/>
      <c r="LYR43" s="344"/>
      <c r="LYS43" s="344"/>
      <c r="LYT43" s="344"/>
      <c r="LYU43" s="344"/>
      <c r="LYV43" s="344"/>
      <c r="LYW43" s="344"/>
      <c r="LYX43" s="344"/>
      <c r="LYY43" s="344"/>
      <c r="LYZ43" s="344"/>
      <c r="LZA43" s="344"/>
      <c r="LZB43" s="344"/>
      <c r="LZC43" s="344"/>
      <c r="LZD43" s="344"/>
      <c r="LZE43" s="344"/>
      <c r="LZF43" s="344"/>
      <c r="LZG43" s="344"/>
      <c r="LZH43" s="344"/>
      <c r="LZI43" s="344"/>
      <c r="LZJ43" s="344"/>
      <c r="LZK43" s="344"/>
      <c r="LZL43" s="344"/>
      <c r="LZM43" s="344"/>
      <c r="LZN43" s="344"/>
      <c r="LZO43" s="344"/>
      <c r="LZP43" s="344"/>
      <c r="LZQ43" s="344"/>
      <c r="LZR43" s="344"/>
      <c r="LZS43" s="344"/>
      <c r="LZT43" s="344"/>
      <c r="LZU43" s="344"/>
      <c r="LZV43" s="344"/>
      <c r="LZW43" s="344"/>
      <c r="LZX43" s="344"/>
      <c r="LZY43" s="344"/>
      <c r="LZZ43" s="344"/>
      <c r="MAA43" s="344"/>
      <c r="MAB43" s="344"/>
      <c r="MAC43" s="344"/>
      <c r="MAD43" s="344"/>
      <c r="MAE43" s="344"/>
      <c r="MAF43" s="344"/>
      <c r="MAG43" s="344"/>
      <c r="MAH43" s="344"/>
      <c r="MAI43" s="344"/>
      <c r="MAJ43" s="344"/>
      <c r="MAK43" s="344"/>
      <c r="MAL43" s="344"/>
      <c r="MAM43" s="344"/>
      <c r="MAN43" s="344"/>
      <c r="MAO43" s="344"/>
      <c r="MAP43" s="344"/>
      <c r="MAQ43" s="344"/>
      <c r="MAR43" s="344"/>
      <c r="MAS43" s="344"/>
      <c r="MAT43" s="344"/>
      <c r="MAU43" s="344"/>
      <c r="MAV43" s="344"/>
      <c r="MAW43" s="344"/>
      <c r="MAX43" s="344"/>
      <c r="MAY43" s="344"/>
      <c r="MAZ43" s="344"/>
      <c r="MBA43" s="344"/>
      <c r="MBB43" s="344"/>
      <c r="MBC43" s="344"/>
      <c r="MBD43" s="344"/>
      <c r="MBE43" s="344"/>
      <c r="MBF43" s="344"/>
      <c r="MBG43" s="344"/>
      <c r="MBH43" s="344"/>
      <c r="MBI43" s="344"/>
      <c r="MBJ43" s="344"/>
      <c r="MBK43" s="344"/>
      <c r="MBL43" s="344"/>
      <c r="MBM43" s="344"/>
      <c r="MBN43" s="344"/>
      <c r="MBO43" s="344"/>
      <c r="MBP43" s="344"/>
      <c r="MBQ43" s="344"/>
      <c r="MBR43" s="344"/>
      <c r="MBS43" s="344"/>
      <c r="MBT43" s="344"/>
      <c r="MBU43" s="344"/>
      <c r="MBV43" s="344"/>
      <c r="MBW43" s="344"/>
      <c r="MBX43" s="344"/>
      <c r="MBY43" s="344"/>
      <c r="MBZ43" s="344"/>
      <c r="MCA43" s="344"/>
      <c r="MCB43" s="344"/>
      <c r="MCC43" s="344"/>
      <c r="MCD43" s="344"/>
      <c r="MCE43" s="344"/>
      <c r="MCF43" s="344"/>
      <c r="MCG43" s="344"/>
      <c r="MCH43" s="344"/>
      <c r="MCI43" s="344"/>
      <c r="MCJ43" s="344"/>
      <c r="MCK43" s="344"/>
      <c r="MCL43" s="344"/>
      <c r="MCM43" s="344"/>
      <c r="MCN43" s="344"/>
      <c r="MCO43" s="344"/>
      <c r="MCP43" s="344"/>
      <c r="MCQ43" s="344"/>
      <c r="MCR43" s="344"/>
      <c r="MCS43" s="344"/>
      <c r="MCT43" s="344"/>
      <c r="MCU43" s="344"/>
      <c r="MCV43" s="344"/>
      <c r="MCW43" s="344"/>
      <c r="MCX43" s="344"/>
      <c r="MCY43" s="344"/>
      <c r="MCZ43" s="344"/>
      <c r="MDA43" s="344"/>
      <c r="MDB43" s="344"/>
      <c r="MDC43" s="344"/>
      <c r="MDD43" s="344"/>
      <c r="MDE43" s="344"/>
      <c r="MDF43" s="344"/>
      <c r="MDG43" s="344"/>
      <c r="MDH43" s="344"/>
      <c r="MDI43" s="344"/>
      <c r="MDJ43" s="344"/>
      <c r="MDK43" s="344"/>
      <c r="MDL43" s="344"/>
      <c r="MDM43" s="344"/>
      <c r="MDN43" s="344"/>
      <c r="MDO43" s="344"/>
      <c r="MDP43" s="344"/>
      <c r="MDQ43" s="344"/>
      <c r="MDR43" s="344"/>
      <c r="MDS43" s="344"/>
      <c r="MDT43" s="344"/>
      <c r="MDU43" s="344"/>
      <c r="MDV43" s="344"/>
      <c r="MDW43" s="344"/>
      <c r="MDX43" s="344"/>
      <c r="MDY43" s="344"/>
      <c r="MDZ43" s="344"/>
      <c r="MEA43" s="344"/>
      <c r="MEB43" s="344"/>
      <c r="MEC43" s="344"/>
      <c r="MED43" s="344"/>
      <c r="MEE43" s="344"/>
      <c r="MEF43" s="344"/>
      <c r="MEG43" s="344"/>
      <c r="MEH43" s="344"/>
      <c r="MEI43" s="344"/>
      <c r="MEJ43" s="344"/>
      <c r="MEK43" s="344"/>
      <c r="MEL43" s="344"/>
      <c r="MEM43" s="344"/>
      <c r="MEN43" s="344"/>
      <c r="MEO43" s="344"/>
      <c r="MEP43" s="344"/>
      <c r="MEQ43" s="344"/>
      <c r="MER43" s="344"/>
      <c r="MES43" s="344"/>
      <c r="MET43" s="344"/>
      <c r="MEU43" s="344"/>
      <c r="MEV43" s="344"/>
      <c r="MEW43" s="344"/>
      <c r="MEX43" s="344"/>
      <c r="MEY43" s="344"/>
      <c r="MEZ43" s="344"/>
      <c r="MFA43" s="344"/>
      <c r="MFB43" s="344"/>
      <c r="MFC43" s="344"/>
      <c r="MFD43" s="344"/>
      <c r="MFE43" s="344"/>
      <c r="MFF43" s="344"/>
      <c r="MFG43" s="344"/>
      <c r="MFH43" s="344"/>
      <c r="MFI43" s="344"/>
      <c r="MFJ43" s="344"/>
      <c r="MFK43" s="344"/>
      <c r="MFL43" s="344"/>
      <c r="MFM43" s="344"/>
      <c r="MFN43" s="344"/>
      <c r="MFO43" s="344"/>
      <c r="MFP43" s="344"/>
      <c r="MFQ43" s="344"/>
      <c r="MFR43" s="344"/>
      <c r="MFS43" s="344"/>
      <c r="MFT43" s="344"/>
      <c r="MFU43" s="344"/>
      <c r="MFV43" s="344"/>
      <c r="MFW43" s="344"/>
      <c r="MFX43" s="344"/>
      <c r="MFY43" s="344"/>
      <c r="MFZ43" s="344"/>
      <c r="MGA43" s="344"/>
      <c r="MGB43" s="344"/>
      <c r="MGC43" s="344"/>
      <c r="MGD43" s="344"/>
      <c r="MGE43" s="344"/>
      <c r="MGF43" s="344"/>
      <c r="MGG43" s="344"/>
      <c r="MGH43" s="344"/>
      <c r="MGI43" s="344"/>
      <c r="MGJ43" s="344"/>
      <c r="MGK43" s="344"/>
      <c r="MGL43" s="344"/>
      <c r="MGM43" s="344"/>
      <c r="MGN43" s="344"/>
      <c r="MGO43" s="344"/>
      <c r="MGP43" s="344"/>
      <c r="MGQ43" s="344"/>
      <c r="MGR43" s="344"/>
      <c r="MGS43" s="344"/>
      <c r="MGT43" s="344"/>
      <c r="MGU43" s="344"/>
      <c r="MGV43" s="344"/>
      <c r="MGW43" s="344"/>
      <c r="MGX43" s="344"/>
      <c r="MGY43" s="344"/>
      <c r="MGZ43" s="344"/>
      <c r="MHA43" s="344"/>
      <c r="MHB43" s="344"/>
      <c r="MHC43" s="344"/>
      <c r="MHD43" s="344"/>
      <c r="MHE43" s="344"/>
      <c r="MHF43" s="344"/>
      <c r="MHG43" s="344"/>
      <c r="MHH43" s="344"/>
      <c r="MHI43" s="344"/>
      <c r="MHJ43" s="344"/>
      <c r="MHK43" s="344"/>
      <c r="MHL43" s="344"/>
      <c r="MHM43" s="344"/>
      <c r="MHN43" s="344"/>
      <c r="MHO43" s="344"/>
      <c r="MHP43" s="344"/>
      <c r="MHQ43" s="344"/>
      <c r="MHR43" s="344"/>
      <c r="MHS43" s="344"/>
      <c r="MHT43" s="344"/>
      <c r="MHU43" s="344"/>
      <c r="MHV43" s="344"/>
      <c r="MHW43" s="344"/>
      <c r="MHX43" s="344"/>
      <c r="MHY43" s="344"/>
      <c r="MHZ43" s="344"/>
      <c r="MIA43" s="344"/>
      <c r="MIB43" s="344"/>
      <c r="MIC43" s="344"/>
      <c r="MID43" s="344"/>
      <c r="MIE43" s="344"/>
      <c r="MIF43" s="344"/>
      <c r="MIG43" s="344"/>
      <c r="MIH43" s="344"/>
      <c r="MII43" s="344"/>
      <c r="MIJ43" s="344"/>
      <c r="MIK43" s="344"/>
      <c r="MIL43" s="344"/>
      <c r="MIM43" s="344"/>
      <c r="MIN43" s="344"/>
      <c r="MIO43" s="344"/>
      <c r="MIP43" s="344"/>
      <c r="MIQ43" s="344"/>
      <c r="MIR43" s="344"/>
      <c r="MIS43" s="344"/>
      <c r="MIT43" s="344"/>
      <c r="MIU43" s="344"/>
      <c r="MIV43" s="344"/>
      <c r="MIW43" s="344"/>
      <c r="MIX43" s="344"/>
      <c r="MIY43" s="344"/>
      <c r="MIZ43" s="344"/>
      <c r="MJA43" s="344"/>
      <c r="MJB43" s="344"/>
      <c r="MJC43" s="344"/>
      <c r="MJD43" s="344"/>
      <c r="MJE43" s="344"/>
      <c r="MJF43" s="344"/>
      <c r="MJG43" s="344"/>
      <c r="MJH43" s="344"/>
      <c r="MJI43" s="344"/>
      <c r="MJJ43" s="344"/>
      <c r="MJK43" s="344"/>
      <c r="MJL43" s="344"/>
      <c r="MJM43" s="344"/>
      <c r="MJN43" s="344"/>
      <c r="MJO43" s="344"/>
      <c r="MJP43" s="344"/>
      <c r="MJQ43" s="344"/>
      <c r="MJR43" s="344"/>
      <c r="MJS43" s="344"/>
      <c r="MJT43" s="344"/>
      <c r="MJU43" s="344"/>
      <c r="MJV43" s="344"/>
      <c r="MJW43" s="344"/>
      <c r="MJX43" s="344"/>
      <c r="MJY43" s="344"/>
      <c r="MJZ43" s="344"/>
      <c r="MKA43" s="344"/>
      <c r="MKB43" s="344"/>
      <c r="MKC43" s="344"/>
      <c r="MKD43" s="344"/>
      <c r="MKE43" s="344"/>
      <c r="MKF43" s="344"/>
      <c r="MKG43" s="344"/>
      <c r="MKH43" s="344"/>
      <c r="MKI43" s="344"/>
      <c r="MKJ43" s="344"/>
      <c r="MKK43" s="344"/>
      <c r="MKL43" s="344"/>
      <c r="MKM43" s="344"/>
      <c r="MKN43" s="344"/>
      <c r="MKO43" s="344"/>
      <c r="MKP43" s="344"/>
      <c r="MKQ43" s="344"/>
      <c r="MKR43" s="344"/>
      <c r="MKS43" s="344"/>
      <c r="MKT43" s="344"/>
      <c r="MKU43" s="344"/>
      <c r="MKV43" s="344"/>
      <c r="MKW43" s="344"/>
      <c r="MKX43" s="344"/>
      <c r="MKY43" s="344"/>
      <c r="MKZ43" s="344"/>
      <c r="MLA43" s="344"/>
      <c r="MLB43" s="344"/>
      <c r="MLC43" s="344"/>
      <c r="MLD43" s="344"/>
      <c r="MLE43" s="344"/>
      <c r="MLF43" s="344"/>
      <c r="MLG43" s="344"/>
      <c r="MLH43" s="344"/>
      <c r="MLI43" s="344"/>
      <c r="MLJ43" s="344"/>
      <c r="MLK43" s="344"/>
      <c r="MLL43" s="344"/>
      <c r="MLM43" s="344"/>
      <c r="MLN43" s="344"/>
      <c r="MLO43" s="344"/>
      <c r="MLP43" s="344"/>
      <c r="MLQ43" s="344"/>
      <c r="MLR43" s="344"/>
      <c r="MLS43" s="344"/>
      <c r="MLT43" s="344"/>
      <c r="MLU43" s="344"/>
      <c r="MLV43" s="344"/>
      <c r="MLW43" s="344"/>
      <c r="MLX43" s="344"/>
      <c r="MLY43" s="344"/>
      <c r="MLZ43" s="344"/>
      <c r="MMA43" s="344"/>
      <c r="MMB43" s="344"/>
      <c r="MMC43" s="344"/>
      <c r="MMD43" s="344"/>
      <c r="MME43" s="344"/>
      <c r="MMF43" s="344"/>
      <c r="MMG43" s="344"/>
      <c r="MMH43" s="344"/>
      <c r="MMI43" s="344"/>
      <c r="MMJ43" s="344"/>
      <c r="MMK43" s="344"/>
      <c r="MML43" s="344"/>
      <c r="MMM43" s="344"/>
      <c r="MMN43" s="344"/>
      <c r="MMO43" s="344"/>
      <c r="MMP43" s="344"/>
      <c r="MMQ43" s="344"/>
      <c r="MMR43" s="344"/>
      <c r="MMS43" s="344"/>
      <c r="MMT43" s="344"/>
      <c r="MMU43" s="344"/>
      <c r="MMV43" s="344"/>
      <c r="MMW43" s="344"/>
      <c r="MMX43" s="344"/>
      <c r="MMY43" s="344"/>
      <c r="MMZ43" s="344"/>
      <c r="MNA43" s="344"/>
      <c r="MNB43" s="344"/>
      <c r="MNC43" s="344"/>
      <c r="MND43" s="344"/>
      <c r="MNE43" s="344"/>
      <c r="MNF43" s="344"/>
      <c r="MNG43" s="344"/>
      <c r="MNH43" s="344"/>
      <c r="MNI43" s="344"/>
      <c r="MNJ43" s="344"/>
      <c r="MNK43" s="344"/>
      <c r="MNL43" s="344"/>
      <c r="MNM43" s="344"/>
      <c r="MNN43" s="344"/>
      <c r="MNO43" s="344"/>
      <c r="MNP43" s="344"/>
      <c r="MNQ43" s="344"/>
      <c r="MNR43" s="344"/>
      <c r="MNS43" s="344"/>
      <c r="MNT43" s="344"/>
      <c r="MNU43" s="344"/>
      <c r="MNV43" s="344"/>
      <c r="MNW43" s="344"/>
      <c r="MNX43" s="344"/>
      <c r="MNY43" s="344"/>
      <c r="MNZ43" s="344"/>
      <c r="MOA43" s="344"/>
      <c r="MOB43" s="344"/>
      <c r="MOC43" s="344"/>
      <c r="MOD43" s="344"/>
      <c r="MOE43" s="344"/>
      <c r="MOF43" s="344"/>
      <c r="MOG43" s="344"/>
      <c r="MOH43" s="344"/>
      <c r="MOI43" s="344"/>
      <c r="MOJ43" s="344"/>
      <c r="MOK43" s="344"/>
      <c r="MOL43" s="344"/>
      <c r="MOM43" s="344"/>
      <c r="MON43" s="344"/>
      <c r="MOO43" s="344"/>
      <c r="MOP43" s="344"/>
      <c r="MOQ43" s="344"/>
      <c r="MOR43" s="344"/>
      <c r="MOS43" s="344"/>
      <c r="MOT43" s="344"/>
      <c r="MOU43" s="344"/>
      <c r="MOV43" s="344"/>
      <c r="MOW43" s="344"/>
      <c r="MOX43" s="344"/>
      <c r="MOY43" s="344"/>
      <c r="MOZ43" s="344"/>
      <c r="MPA43" s="344"/>
      <c r="MPB43" s="344"/>
      <c r="MPC43" s="344"/>
      <c r="MPD43" s="344"/>
      <c r="MPE43" s="344"/>
      <c r="MPF43" s="344"/>
      <c r="MPG43" s="344"/>
      <c r="MPH43" s="344"/>
      <c r="MPI43" s="344"/>
      <c r="MPJ43" s="344"/>
      <c r="MPK43" s="344"/>
      <c r="MPL43" s="344"/>
      <c r="MPM43" s="344"/>
      <c r="MPN43" s="344"/>
      <c r="MPO43" s="344"/>
      <c r="MPP43" s="344"/>
      <c r="MPQ43" s="344"/>
      <c r="MPR43" s="344"/>
      <c r="MPS43" s="344"/>
      <c r="MPT43" s="344"/>
      <c r="MPU43" s="344"/>
      <c r="MPV43" s="344"/>
      <c r="MPW43" s="344"/>
      <c r="MPX43" s="344"/>
      <c r="MPY43" s="344"/>
      <c r="MPZ43" s="344"/>
      <c r="MQA43" s="344"/>
      <c r="MQB43" s="344"/>
      <c r="MQC43" s="344"/>
      <c r="MQD43" s="344"/>
      <c r="MQE43" s="344"/>
      <c r="MQF43" s="344"/>
      <c r="MQG43" s="344"/>
      <c r="MQH43" s="344"/>
      <c r="MQI43" s="344"/>
      <c r="MQJ43" s="344"/>
      <c r="MQK43" s="344"/>
      <c r="MQL43" s="344"/>
      <c r="MQM43" s="344"/>
      <c r="MQN43" s="344"/>
      <c r="MQO43" s="344"/>
      <c r="MQP43" s="344"/>
      <c r="MQQ43" s="344"/>
      <c r="MQR43" s="344"/>
      <c r="MQS43" s="344"/>
      <c r="MQT43" s="344"/>
      <c r="MQU43" s="344"/>
      <c r="MQV43" s="344"/>
      <c r="MQW43" s="344"/>
      <c r="MQX43" s="344"/>
      <c r="MQY43" s="344"/>
      <c r="MQZ43" s="344"/>
      <c r="MRA43" s="344"/>
      <c r="MRB43" s="344"/>
      <c r="MRC43" s="344"/>
      <c r="MRD43" s="344"/>
      <c r="MRE43" s="344"/>
      <c r="MRF43" s="344"/>
      <c r="MRG43" s="344"/>
      <c r="MRH43" s="344"/>
      <c r="MRI43" s="344"/>
      <c r="MRJ43" s="344"/>
      <c r="MRK43" s="344"/>
      <c r="MRL43" s="344"/>
      <c r="MRM43" s="344"/>
      <c r="MRN43" s="344"/>
      <c r="MRO43" s="344"/>
      <c r="MRP43" s="344"/>
      <c r="MRQ43" s="344"/>
      <c r="MRR43" s="344"/>
      <c r="MRS43" s="344"/>
      <c r="MRT43" s="344"/>
      <c r="MRU43" s="344"/>
      <c r="MRV43" s="344"/>
      <c r="MRW43" s="344"/>
      <c r="MRX43" s="344"/>
      <c r="MRY43" s="344"/>
      <c r="MRZ43" s="344"/>
      <c r="MSA43" s="344"/>
      <c r="MSB43" s="344"/>
      <c r="MSC43" s="344"/>
      <c r="MSD43" s="344"/>
      <c r="MSE43" s="344"/>
      <c r="MSF43" s="344"/>
      <c r="MSG43" s="344"/>
      <c r="MSH43" s="344"/>
      <c r="MSI43" s="344"/>
      <c r="MSJ43" s="344"/>
      <c r="MSK43" s="344"/>
      <c r="MSL43" s="344"/>
      <c r="MSM43" s="344"/>
      <c r="MSN43" s="344"/>
      <c r="MSO43" s="344"/>
      <c r="MSP43" s="344"/>
      <c r="MSQ43" s="344"/>
      <c r="MSR43" s="344"/>
      <c r="MSS43" s="344"/>
      <c r="MST43" s="344"/>
      <c r="MSU43" s="344"/>
      <c r="MSV43" s="344"/>
      <c r="MSW43" s="344"/>
      <c r="MSX43" s="344"/>
      <c r="MSY43" s="344"/>
      <c r="MSZ43" s="344"/>
      <c r="MTA43" s="344"/>
      <c r="MTB43" s="344"/>
      <c r="MTC43" s="344"/>
      <c r="MTD43" s="344"/>
      <c r="MTE43" s="344"/>
      <c r="MTF43" s="344"/>
      <c r="MTG43" s="344"/>
      <c r="MTH43" s="344"/>
      <c r="MTI43" s="344"/>
      <c r="MTJ43" s="344"/>
      <c r="MTK43" s="344"/>
      <c r="MTL43" s="344"/>
      <c r="MTM43" s="344"/>
      <c r="MTN43" s="344"/>
      <c r="MTO43" s="344"/>
      <c r="MTP43" s="344"/>
      <c r="MTQ43" s="344"/>
      <c r="MTR43" s="344"/>
      <c r="MTS43" s="344"/>
      <c r="MTT43" s="344"/>
      <c r="MTU43" s="344"/>
      <c r="MTV43" s="344"/>
      <c r="MTW43" s="344"/>
      <c r="MTX43" s="344"/>
      <c r="MTY43" s="344"/>
      <c r="MTZ43" s="344"/>
      <c r="MUA43" s="344"/>
      <c r="MUB43" s="344"/>
      <c r="MUC43" s="344"/>
      <c r="MUD43" s="344"/>
      <c r="MUE43" s="344"/>
      <c r="MUF43" s="344"/>
      <c r="MUG43" s="344"/>
      <c r="MUH43" s="344"/>
      <c r="MUI43" s="344"/>
      <c r="MUJ43" s="344"/>
      <c r="MUK43" s="344"/>
      <c r="MUL43" s="344"/>
      <c r="MUM43" s="344"/>
      <c r="MUN43" s="344"/>
      <c r="MUO43" s="344"/>
      <c r="MUP43" s="344"/>
      <c r="MUQ43" s="344"/>
      <c r="MUR43" s="344"/>
      <c r="MUS43" s="344"/>
      <c r="MUT43" s="344"/>
      <c r="MUU43" s="344"/>
      <c r="MUV43" s="344"/>
      <c r="MUW43" s="344"/>
      <c r="MUX43" s="344"/>
      <c r="MUY43" s="344"/>
      <c r="MUZ43" s="344"/>
      <c r="MVA43" s="344"/>
      <c r="MVB43" s="344"/>
      <c r="MVC43" s="344"/>
      <c r="MVD43" s="344"/>
      <c r="MVE43" s="344"/>
      <c r="MVF43" s="344"/>
      <c r="MVG43" s="344"/>
      <c r="MVH43" s="344"/>
      <c r="MVI43" s="344"/>
      <c r="MVJ43" s="344"/>
      <c r="MVK43" s="344"/>
      <c r="MVL43" s="344"/>
      <c r="MVM43" s="344"/>
      <c r="MVN43" s="344"/>
      <c r="MVO43" s="344"/>
      <c r="MVP43" s="344"/>
      <c r="MVQ43" s="344"/>
      <c r="MVR43" s="344"/>
      <c r="MVS43" s="344"/>
      <c r="MVT43" s="344"/>
      <c r="MVU43" s="344"/>
      <c r="MVV43" s="344"/>
      <c r="MVW43" s="344"/>
      <c r="MVX43" s="344"/>
      <c r="MVY43" s="344"/>
      <c r="MVZ43" s="344"/>
      <c r="MWA43" s="344"/>
      <c r="MWB43" s="344"/>
      <c r="MWC43" s="344"/>
      <c r="MWD43" s="344"/>
      <c r="MWE43" s="344"/>
      <c r="MWF43" s="344"/>
      <c r="MWG43" s="344"/>
      <c r="MWH43" s="344"/>
      <c r="MWI43" s="344"/>
      <c r="MWJ43" s="344"/>
      <c r="MWK43" s="344"/>
      <c r="MWL43" s="344"/>
      <c r="MWM43" s="344"/>
      <c r="MWN43" s="344"/>
      <c r="MWO43" s="344"/>
      <c r="MWP43" s="344"/>
      <c r="MWQ43" s="344"/>
      <c r="MWR43" s="344"/>
      <c r="MWS43" s="344"/>
      <c r="MWT43" s="344"/>
      <c r="MWU43" s="344"/>
      <c r="MWV43" s="344"/>
      <c r="MWW43" s="344"/>
      <c r="MWX43" s="344"/>
      <c r="MWY43" s="344"/>
      <c r="MWZ43" s="344"/>
      <c r="MXA43" s="344"/>
      <c r="MXB43" s="344"/>
      <c r="MXC43" s="344"/>
      <c r="MXD43" s="344"/>
      <c r="MXE43" s="344"/>
      <c r="MXF43" s="344"/>
      <c r="MXG43" s="344"/>
      <c r="MXH43" s="344"/>
      <c r="MXI43" s="344"/>
      <c r="MXJ43" s="344"/>
      <c r="MXK43" s="344"/>
      <c r="MXL43" s="344"/>
      <c r="MXM43" s="344"/>
      <c r="MXN43" s="344"/>
      <c r="MXO43" s="344"/>
      <c r="MXP43" s="344"/>
      <c r="MXQ43" s="344"/>
      <c r="MXR43" s="344"/>
      <c r="MXS43" s="344"/>
      <c r="MXT43" s="344"/>
      <c r="MXU43" s="344"/>
      <c r="MXV43" s="344"/>
      <c r="MXW43" s="344"/>
      <c r="MXX43" s="344"/>
      <c r="MXY43" s="344"/>
      <c r="MXZ43" s="344"/>
      <c r="MYA43" s="344"/>
      <c r="MYB43" s="344"/>
      <c r="MYC43" s="344"/>
      <c r="MYD43" s="344"/>
      <c r="MYE43" s="344"/>
      <c r="MYF43" s="344"/>
      <c r="MYG43" s="344"/>
      <c r="MYH43" s="344"/>
      <c r="MYI43" s="344"/>
      <c r="MYJ43" s="344"/>
      <c r="MYK43" s="344"/>
      <c r="MYL43" s="344"/>
      <c r="MYM43" s="344"/>
      <c r="MYN43" s="344"/>
      <c r="MYO43" s="344"/>
      <c r="MYP43" s="344"/>
      <c r="MYQ43" s="344"/>
      <c r="MYR43" s="344"/>
      <c r="MYS43" s="344"/>
      <c r="MYT43" s="344"/>
      <c r="MYU43" s="344"/>
      <c r="MYV43" s="344"/>
      <c r="MYW43" s="344"/>
      <c r="MYX43" s="344"/>
      <c r="MYY43" s="344"/>
      <c r="MYZ43" s="344"/>
      <c r="MZA43" s="344"/>
      <c r="MZB43" s="344"/>
      <c r="MZC43" s="344"/>
      <c r="MZD43" s="344"/>
      <c r="MZE43" s="344"/>
      <c r="MZF43" s="344"/>
      <c r="MZG43" s="344"/>
      <c r="MZH43" s="344"/>
      <c r="MZI43" s="344"/>
      <c r="MZJ43" s="344"/>
      <c r="MZK43" s="344"/>
      <c r="MZL43" s="344"/>
      <c r="MZM43" s="344"/>
      <c r="MZN43" s="344"/>
      <c r="MZO43" s="344"/>
      <c r="MZP43" s="344"/>
      <c r="MZQ43" s="344"/>
      <c r="MZR43" s="344"/>
      <c r="MZS43" s="344"/>
      <c r="MZT43" s="344"/>
      <c r="MZU43" s="344"/>
      <c r="MZV43" s="344"/>
      <c r="MZW43" s="344"/>
      <c r="MZX43" s="344"/>
      <c r="MZY43" s="344"/>
      <c r="MZZ43" s="344"/>
      <c r="NAA43" s="344"/>
      <c r="NAB43" s="344"/>
      <c r="NAC43" s="344"/>
      <c r="NAD43" s="344"/>
      <c r="NAE43" s="344"/>
      <c r="NAF43" s="344"/>
      <c r="NAG43" s="344"/>
      <c r="NAH43" s="344"/>
      <c r="NAI43" s="344"/>
      <c r="NAJ43" s="344"/>
      <c r="NAK43" s="344"/>
      <c r="NAL43" s="344"/>
      <c r="NAM43" s="344"/>
      <c r="NAN43" s="344"/>
      <c r="NAO43" s="344"/>
      <c r="NAP43" s="344"/>
      <c r="NAQ43" s="344"/>
      <c r="NAR43" s="344"/>
      <c r="NAS43" s="344"/>
      <c r="NAT43" s="344"/>
      <c r="NAU43" s="344"/>
      <c r="NAV43" s="344"/>
      <c r="NAW43" s="344"/>
      <c r="NAX43" s="344"/>
      <c r="NAY43" s="344"/>
      <c r="NAZ43" s="344"/>
      <c r="NBA43" s="344"/>
      <c r="NBB43" s="344"/>
      <c r="NBC43" s="344"/>
      <c r="NBD43" s="344"/>
      <c r="NBE43" s="344"/>
      <c r="NBF43" s="344"/>
      <c r="NBG43" s="344"/>
      <c r="NBH43" s="344"/>
      <c r="NBI43" s="344"/>
      <c r="NBJ43" s="344"/>
      <c r="NBK43" s="344"/>
      <c r="NBL43" s="344"/>
      <c r="NBM43" s="344"/>
      <c r="NBN43" s="344"/>
      <c r="NBO43" s="344"/>
      <c r="NBP43" s="344"/>
      <c r="NBQ43" s="344"/>
      <c r="NBR43" s="344"/>
      <c r="NBS43" s="344"/>
      <c r="NBT43" s="344"/>
      <c r="NBU43" s="344"/>
      <c r="NBV43" s="344"/>
      <c r="NBW43" s="344"/>
      <c r="NBX43" s="344"/>
      <c r="NBY43" s="344"/>
      <c r="NBZ43" s="344"/>
      <c r="NCA43" s="344"/>
      <c r="NCB43" s="344"/>
      <c r="NCC43" s="344"/>
      <c r="NCD43" s="344"/>
      <c r="NCE43" s="344"/>
      <c r="NCF43" s="344"/>
      <c r="NCG43" s="344"/>
      <c r="NCH43" s="344"/>
      <c r="NCI43" s="344"/>
      <c r="NCJ43" s="344"/>
      <c r="NCK43" s="344"/>
      <c r="NCL43" s="344"/>
      <c r="NCM43" s="344"/>
      <c r="NCN43" s="344"/>
      <c r="NCO43" s="344"/>
      <c r="NCP43" s="344"/>
      <c r="NCQ43" s="344"/>
      <c r="NCR43" s="344"/>
      <c r="NCS43" s="344"/>
      <c r="NCT43" s="344"/>
      <c r="NCU43" s="344"/>
      <c r="NCV43" s="344"/>
      <c r="NCW43" s="344"/>
      <c r="NCX43" s="344"/>
      <c r="NCY43" s="344"/>
      <c r="NCZ43" s="344"/>
      <c r="NDA43" s="344"/>
      <c r="NDB43" s="344"/>
      <c r="NDC43" s="344"/>
      <c r="NDD43" s="344"/>
      <c r="NDE43" s="344"/>
      <c r="NDF43" s="344"/>
      <c r="NDG43" s="344"/>
      <c r="NDH43" s="344"/>
      <c r="NDI43" s="344"/>
      <c r="NDJ43" s="344"/>
      <c r="NDK43" s="344"/>
      <c r="NDL43" s="344"/>
      <c r="NDM43" s="344"/>
      <c r="NDN43" s="344"/>
      <c r="NDO43" s="344"/>
      <c r="NDP43" s="344"/>
      <c r="NDQ43" s="344"/>
      <c r="NDR43" s="344"/>
      <c r="NDS43" s="344"/>
      <c r="NDT43" s="344"/>
      <c r="NDU43" s="344"/>
      <c r="NDV43" s="344"/>
      <c r="NDW43" s="344"/>
      <c r="NDX43" s="344"/>
      <c r="NDY43" s="344"/>
      <c r="NDZ43" s="344"/>
      <c r="NEA43" s="344"/>
      <c r="NEB43" s="344"/>
      <c r="NEC43" s="344"/>
      <c r="NED43" s="344"/>
      <c r="NEE43" s="344"/>
      <c r="NEF43" s="344"/>
      <c r="NEG43" s="344"/>
      <c r="NEH43" s="344"/>
      <c r="NEI43" s="344"/>
      <c r="NEJ43" s="344"/>
      <c r="NEK43" s="344"/>
      <c r="NEL43" s="344"/>
      <c r="NEM43" s="344"/>
      <c r="NEN43" s="344"/>
      <c r="NEO43" s="344"/>
      <c r="NEP43" s="344"/>
      <c r="NEQ43" s="344"/>
      <c r="NER43" s="344"/>
      <c r="NES43" s="344"/>
      <c r="NET43" s="344"/>
      <c r="NEU43" s="344"/>
      <c r="NEV43" s="344"/>
      <c r="NEW43" s="344"/>
      <c r="NEX43" s="344"/>
      <c r="NEY43" s="344"/>
      <c r="NEZ43" s="344"/>
      <c r="NFA43" s="344"/>
      <c r="NFB43" s="344"/>
      <c r="NFC43" s="344"/>
      <c r="NFD43" s="344"/>
      <c r="NFE43" s="344"/>
      <c r="NFF43" s="344"/>
      <c r="NFG43" s="344"/>
      <c r="NFH43" s="344"/>
      <c r="NFI43" s="344"/>
      <c r="NFJ43" s="344"/>
      <c r="NFK43" s="344"/>
      <c r="NFL43" s="344"/>
      <c r="NFM43" s="344"/>
      <c r="NFN43" s="344"/>
      <c r="NFO43" s="344"/>
      <c r="NFP43" s="344"/>
      <c r="NFQ43" s="344"/>
      <c r="NFR43" s="344"/>
      <c r="NFS43" s="344"/>
      <c r="NFT43" s="344"/>
      <c r="NFU43" s="344"/>
      <c r="NFV43" s="344"/>
      <c r="NFW43" s="344"/>
      <c r="NFX43" s="344"/>
      <c r="NFY43" s="344"/>
      <c r="NFZ43" s="344"/>
      <c r="NGA43" s="344"/>
      <c r="NGB43" s="344"/>
      <c r="NGC43" s="344"/>
      <c r="NGD43" s="344"/>
      <c r="NGE43" s="344"/>
      <c r="NGF43" s="344"/>
      <c r="NGG43" s="344"/>
      <c r="NGH43" s="344"/>
      <c r="NGI43" s="344"/>
      <c r="NGJ43" s="344"/>
      <c r="NGK43" s="344"/>
      <c r="NGL43" s="344"/>
      <c r="NGM43" s="344"/>
      <c r="NGN43" s="344"/>
      <c r="NGO43" s="344"/>
      <c r="NGP43" s="344"/>
      <c r="NGQ43" s="344"/>
      <c r="NGR43" s="344"/>
      <c r="NGS43" s="344"/>
      <c r="NGT43" s="344"/>
      <c r="NGU43" s="344"/>
      <c r="NGV43" s="344"/>
      <c r="NGW43" s="344"/>
      <c r="NGX43" s="344"/>
      <c r="NGY43" s="344"/>
      <c r="NGZ43" s="344"/>
      <c r="NHA43" s="344"/>
      <c r="NHB43" s="344"/>
      <c r="NHC43" s="344"/>
      <c r="NHD43" s="344"/>
      <c r="NHE43" s="344"/>
      <c r="NHF43" s="344"/>
      <c r="NHG43" s="344"/>
      <c r="NHH43" s="344"/>
      <c r="NHI43" s="344"/>
      <c r="NHJ43" s="344"/>
      <c r="NHK43" s="344"/>
      <c r="NHL43" s="344"/>
      <c r="NHM43" s="344"/>
      <c r="NHN43" s="344"/>
      <c r="NHO43" s="344"/>
      <c r="NHP43" s="344"/>
      <c r="NHQ43" s="344"/>
      <c r="NHR43" s="344"/>
      <c r="NHS43" s="344"/>
      <c r="NHT43" s="344"/>
      <c r="NHU43" s="344"/>
      <c r="NHV43" s="344"/>
      <c r="NHW43" s="344"/>
      <c r="NHX43" s="344"/>
      <c r="NHY43" s="344"/>
      <c r="NHZ43" s="344"/>
      <c r="NIA43" s="344"/>
      <c r="NIB43" s="344"/>
      <c r="NIC43" s="344"/>
      <c r="NID43" s="344"/>
      <c r="NIE43" s="344"/>
      <c r="NIF43" s="344"/>
      <c r="NIG43" s="344"/>
      <c r="NIH43" s="344"/>
      <c r="NII43" s="344"/>
      <c r="NIJ43" s="344"/>
      <c r="NIK43" s="344"/>
      <c r="NIL43" s="344"/>
      <c r="NIM43" s="344"/>
      <c r="NIN43" s="344"/>
      <c r="NIO43" s="344"/>
      <c r="NIP43" s="344"/>
      <c r="NIQ43" s="344"/>
      <c r="NIR43" s="344"/>
      <c r="NIS43" s="344"/>
      <c r="NIT43" s="344"/>
      <c r="NIU43" s="344"/>
      <c r="NIV43" s="344"/>
      <c r="NIW43" s="344"/>
      <c r="NIX43" s="344"/>
      <c r="NIY43" s="344"/>
      <c r="NIZ43" s="344"/>
      <c r="NJA43" s="344"/>
      <c r="NJB43" s="344"/>
      <c r="NJC43" s="344"/>
      <c r="NJD43" s="344"/>
      <c r="NJE43" s="344"/>
      <c r="NJF43" s="344"/>
      <c r="NJG43" s="344"/>
      <c r="NJH43" s="344"/>
      <c r="NJI43" s="344"/>
      <c r="NJJ43" s="344"/>
      <c r="NJK43" s="344"/>
      <c r="NJL43" s="344"/>
      <c r="NJM43" s="344"/>
      <c r="NJN43" s="344"/>
      <c r="NJO43" s="344"/>
      <c r="NJP43" s="344"/>
      <c r="NJQ43" s="344"/>
      <c r="NJR43" s="344"/>
      <c r="NJS43" s="344"/>
      <c r="NJT43" s="344"/>
      <c r="NJU43" s="344"/>
      <c r="NJV43" s="344"/>
      <c r="NJW43" s="344"/>
      <c r="NJX43" s="344"/>
      <c r="NJY43" s="344"/>
      <c r="NJZ43" s="344"/>
      <c r="NKA43" s="344"/>
      <c r="NKB43" s="344"/>
      <c r="NKC43" s="344"/>
      <c r="NKD43" s="344"/>
      <c r="NKE43" s="344"/>
      <c r="NKF43" s="344"/>
      <c r="NKG43" s="344"/>
      <c r="NKH43" s="344"/>
      <c r="NKI43" s="344"/>
      <c r="NKJ43" s="344"/>
      <c r="NKK43" s="344"/>
      <c r="NKL43" s="344"/>
      <c r="NKM43" s="344"/>
      <c r="NKN43" s="344"/>
      <c r="NKO43" s="344"/>
      <c r="NKP43" s="344"/>
      <c r="NKQ43" s="344"/>
      <c r="NKR43" s="344"/>
      <c r="NKS43" s="344"/>
      <c r="NKT43" s="344"/>
      <c r="NKU43" s="344"/>
      <c r="NKV43" s="344"/>
      <c r="NKW43" s="344"/>
      <c r="NKX43" s="344"/>
      <c r="NKY43" s="344"/>
      <c r="NKZ43" s="344"/>
      <c r="NLA43" s="344"/>
      <c r="NLB43" s="344"/>
      <c r="NLC43" s="344"/>
      <c r="NLD43" s="344"/>
      <c r="NLE43" s="344"/>
      <c r="NLF43" s="344"/>
      <c r="NLG43" s="344"/>
      <c r="NLH43" s="344"/>
      <c r="NLI43" s="344"/>
      <c r="NLJ43" s="344"/>
      <c r="NLK43" s="344"/>
      <c r="NLL43" s="344"/>
      <c r="NLM43" s="344"/>
      <c r="NLN43" s="344"/>
      <c r="NLO43" s="344"/>
      <c r="NLP43" s="344"/>
      <c r="NLQ43" s="344"/>
      <c r="NLR43" s="344"/>
      <c r="NLS43" s="344"/>
      <c r="NLT43" s="344"/>
      <c r="NLU43" s="344"/>
      <c r="NLV43" s="344"/>
      <c r="NLW43" s="344"/>
      <c r="NLX43" s="344"/>
      <c r="NLY43" s="344"/>
      <c r="NLZ43" s="344"/>
      <c r="NMA43" s="344"/>
      <c r="NMB43" s="344"/>
      <c r="NMC43" s="344"/>
      <c r="NMD43" s="344"/>
      <c r="NME43" s="344"/>
      <c r="NMF43" s="344"/>
      <c r="NMG43" s="344"/>
      <c r="NMH43" s="344"/>
      <c r="NMI43" s="344"/>
      <c r="NMJ43" s="344"/>
      <c r="NMK43" s="344"/>
      <c r="NML43" s="344"/>
      <c r="NMM43" s="344"/>
      <c r="NMN43" s="344"/>
      <c r="NMO43" s="344"/>
      <c r="NMP43" s="344"/>
      <c r="NMQ43" s="344"/>
      <c r="NMR43" s="344"/>
      <c r="NMS43" s="344"/>
      <c r="NMT43" s="344"/>
      <c r="NMU43" s="344"/>
      <c r="NMV43" s="344"/>
      <c r="NMW43" s="344"/>
      <c r="NMX43" s="344"/>
      <c r="NMY43" s="344"/>
      <c r="NMZ43" s="344"/>
      <c r="NNA43" s="344"/>
      <c r="NNB43" s="344"/>
      <c r="NNC43" s="344"/>
      <c r="NND43" s="344"/>
      <c r="NNE43" s="344"/>
      <c r="NNF43" s="344"/>
      <c r="NNG43" s="344"/>
      <c r="NNH43" s="344"/>
      <c r="NNI43" s="344"/>
      <c r="NNJ43" s="344"/>
      <c r="NNK43" s="344"/>
      <c r="NNL43" s="344"/>
      <c r="NNM43" s="344"/>
      <c r="NNN43" s="344"/>
      <c r="NNO43" s="344"/>
      <c r="NNP43" s="344"/>
      <c r="NNQ43" s="344"/>
      <c r="NNR43" s="344"/>
      <c r="NNS43" s="344"/>
      <c r="NNT43" s="344"/>
      <c r="NNU43" s="344"/>
      <c r="NNV43" s="344"/>
      <c r="NNW43" s="344"/>
      <c r="NNX43" s="344"/>
      <c r="NNY43" s="344"/>
      <c r="NNZ43" s="344"/>
      <c r="NOA43" s="344"/>
      <c r="NOB43" s="344"/>
      <c r="NOC43" s="344"/>
      <c r="NOD43" s="344"/>
      <c r="NOE43" s="344"/>
      <c r="NOF43" s="344"/>
      <c r="NOG43" s="344"/>
      <c r="NOH43" s="344"/>
      <c r="NOI43" s="344"/>
      <c r="NOJ43" s="344"/>
      <c r="NOK43" s="344"/>
      <c r="NOL43" s="344"/>
      <c r="NOM43" s="344"/>
      <c r="NON43" s="344"/>
      <c r="NOO43" s="344"/>
      <c r="NOP43" s="344"/>
      <c r="NOQ43" s="344"/>
      <c r="NOR43" s="344"/>
      <c r="NOS43" s="344"/>
      <c r="NOT43" s="344"/>
      <c r="NOU43" s="344"/>
      <c r="NOV43" s="344"/>
      <c r="NOW43" s="344"/>
      <c r="NOX43" s="344"/>
      <c r="NOY43" s="344"/>
      <c r="NOZ43" s="344"/>
      <c r="NPA43" s="344"/>
      <c r="NPB43" s="344"/>
      <c r="NPC43" s="344"/>
      <c r="NPD43" s="344"/>
      <c r="NPE43" s="344"/>
      <c r="NPF43" s="344"/>
      <c r="NPG43" s="344"/>
      <c r="NPH43" s="344"/>
      <c r="NPI43" s="344"/>
      <c r="NPJ43" s="344"/>
      <c r="NPK43" s="344"/>
      <c r="NPL43" s="344"/>
      <c r="NPM43" s="344"/>
      <c r="NPN43" s="344"/>
      <c r="NPO43" s="344"/>
      <c r="NPP43" s="344"/>
      <c r="NPQ43" s="344"/>
      <c r="NPR43" s="344"/>
      <c r="NPS43" s="344"/>
      <c r="NPT43" s="344"/>
      <c r="NPU43" s="344"/>
      <c r="NPV43" s="344"/>
      <c r="NPW43" s="344"/>
      <c r="NPX43" s="344"/>
      <c r="NPY43" s="344"/>
      <c r="NPZ43" s="344"/>
      <c r="NQA43" s="344"/>
      <c r="NQB43" s="344"/>
      <c r="NQC43" s="344"/>
      <c r="NQD43" s="344"/>
      <c r="NQE43" s="344"/>
      <c r="NQF43" s="344"/>
      <c r="NQG43" s="344"/>
      <c r="NQH43" s="344"/>
      <c r="NQI43" s="344"/>
      <c r="NQJ43" s="344"/>
      <c r="NQK43" s="344"/>
      <c r="NQL43" s="344"/>
      <c r="NQM43" s="344"/>
      <c r="NQN43" s="344"/>
      <c r="NQO43" s="344"/>
      <c r="NQP43" s="344"/>
      <c r="NQQ43" s="344"/>
      <c r="NQR43" s="344"/>
      <c r="NQS43" s="344"/>
      <c r="NQT43" s="344"/>
      <c r="NQU43" s="344"/>
      <c r="NQV43" s="344"/>
      <c r="NQW43" s="344"/>
      <c r="NQX43" s="344"/>
      <c r="NQY43" s="344"/>
      <c r="NQZ43" s="344"/>
      <c r="NRA43" s="344"/>
      <c r="NRB43" s="344"/>
      <c r="NRC43" s="344"/>
      <c r="NRD43" s="344"/>
      <c r="NRE43" s="344"/>
      <c r="NRF43" s="344"/>
      <c r="NRG43" s="344"/>
      <c r="NRH43" s="344"/>
      <c r="NRI43" s="344"/>
      <c r="NRJ43" s="344"/>
      <c r="NRK43" s="344"/>
      <c r="NRL43" s="344"/>
      <c r="NRM43" s="344"/>
      <c r="NRN43" s="344"/>
      <c r="NRO43" s="344"/>
      <c r="NRP43" s="344"/>
      <c r="NRQ43" s="344"/>
      <c r="NRR43" s="344"/>
      <c r="NRS43" s="344"/>
      <c r="NRT43" s="344"/>
      <c r="NRU43" s="344"/>
      <c r="NRV43" s="344"/>
      <c r="NRW43" s="344"/>
      <c r="NRX43" s="344"/>
      <c r="NRY43" s="344"/>
      <c r="NRZ43" s="344"/>
      <c r="NSA43" s="344"/>
      <c r="NSB43" s="344"/>
      <c r="NSC43" s="344"/>
      <c r="NSD43" s="344"/>
      <c r="NSE43" s="344"/>
      <c r="NSF43" s="344"/>
      <c r="NSG43" s="344"/>
      <c r="NSH43" s="344"/>
      <c r="NSI43" s="344"/>
      <c r="NSJ43" s="344"/>
      <c r="NSK43" s="344"/>
      <c r="NSL43" s="344"/>
      <c r="NSM43" s="344"/>
      <c r="NSN43" s="344"/>
      <c r="NSO43" s="344"/>
      <c r="NSP43" s="344"/>
      <c r="NSQ43" s="344"/>
      <c r="NSR43" s="344"/>
      <c r="NSS43" s="344"/>
      <c r="NST43" s="344"/>
      <c r="NSU43" s="344"/>
      <c r="NSV43" s="344"/>
      <c r="NSW43" s="344"/>
      <c r="NSX43" s="344"/>
      <c r="NSY43" s="344"/>
      <c r="NSZ43" s="344"/>
      <c r="NTA43" s="344"/>
      <c r="NTB43" s="344"/>
      <c r="NTC43" s="344"/>
      <c r="NTD43" s="344"/>
      <c r="NTE43" s="344"/>
      <c r="NTF43" s="344"/>
      <c r="NTG43" s="344"/>
      <c r="NTH43" s="344"/>
      <c r="NTI43" s="344"/>
      <c r="NTJ43" s="344"/>
      <c r="NTK43" s="344"/>
      <c r="NTL43" s="344"/>
      <c r="NTM43" s="344"/>
      <c r="NTN43" s="344"/>
      <c r="NTO43" s="344"/>
      <c r="NTP43" s="344"/>
      <c r="NTQ43" s="344"/>
      <c r="NTR43" s="344"/>
      <c r="NTS43" s="344"/>
      <c r="NTT43" s="344"/>
      <c r="NTU43" s="344"/>
      <c r="NTV43" s="344"/>
      <c r="NTW43" s="344"/>
      <c r="NTX43" s="344"/>
      <c r="NTY43" s="344"/>
      <c r="NTZ43" s="344"/>
      <c r="NUA43" s="344"/>
      <c r="NUB43" s="344"/>
      <c r="NUC43" s="344"/>
      <c r="NUD43" s="344"/>
      <c r="NUE43" s="344"/>
      <c r="NUF43" s="344"/>
      <c r="NUG43" s="344"/>
      <c r="NUH43" s="344"/>
      <c r="NUI43" s="344"/>
      <c r="NUJ43" s="344"/>
      <c r="NUK43" s="344"/>
      <c r="NUL43" s="344"/>
      <c r="NUM43" s="344"/>
      <c r="NUN43" s="344"/>
      <c r="NUO43" s="344"/>
      <c r="NUP43" s="344"/>
      <c r="NUQ43" s="344"/>
      <c r="NUR43" s="344"/>
      <c r="NUS43" s="344"/>
      <c r="NUT43" s="344"/>
      <c r="NUU43" s="344"/>
      <c r="NUV43" s="344"/>
      <c r="NUW43" s="344"/>
      <c r="NUX43" s="344"/>
      <c r="NUY43" s="344"/>
      <c r="NUZ43" s="344"/>
      <c r="NVA43" s="344"/>
      <c r="NVB43" s="344"/>
      <c r="NVC43" s="344"/>
      <c r="NVD43" s="344"/>
      <c r="NVE43" s="344"/>
      <c r="NVF43" s="344"/>
      <c r="NVG43" s="344"/>
      <c r="NVH43" s="344"/>
      <c r="NVI43" s="344"/>
      <c r="NVJ43" s="344"/>
      <c r="NVK43" s="344"/>
      <c r="NVL43" s="344"/>
      <c r="NVM43" s="344"/>
      <c r="NVN43" s="344"/>
      <c r="NVO43" s="344"/>
      <c r="NVP43" s="344"/>
      <c r="NVQ43" s="344"/>
      <c r="NVR43" s="344"/>
      <c r="NVS43" s="344"/>
      <c r="NVT43" s="344"/>
      <c r="NVU43" s="344"/>
      <c r="NVV43" s="344"/>
      <c r="NVW43" s="344"/>
      <c r="NVX43" s="344"/>
      <c r="NVY43" s="344"/>
      <c r="NVZ43" s="344"/>
      <c r="NWA43" s="344"/>
      <c r="NWB43" s="344"/>
      <c r="NWC43" s="344"/>
      <c r="NWD43" s="344"/>
      <c r="NWE43" s="344"/>
      <c r="NWF43" s="344"/>
      <c r="NWG43" s="344"/>
      <c r="NWH43" s="344"/>
      <c r="NWI43" s="344"/>
      <c r="NWJ43" s="344"/>
      <c r="NWK43" s="344"/>
      <c r="NWL43" s="344"/>
      <c r="NWM43" s="344"/>
      <c r="NWN43" s="344"/>
      <c r="NWO43" s="344"/>
      <c r="NWP43" s="344"/>
      <c r="NWQ43" s="344"/>
      <c r="NWR43" s="344"/>
      <c r="NWS43" s="344"/>
      <c r="NWT43" s="344"/>
      <c r="NWU43" s="344"/>
      <c r="NWV43" s="344"/>
      <c r="NWW43" s="344"/>
      <c r="NWX43" s="344"/>
      <c r="NWY43" s="344"/>
      <c r="NWZ43" s="344"/>
      <c r="NXA43" s="344"/>
      <c r="NXB43" s="344"/>
      <c r="NXC43" s="344"/>
      <c r="NXD43" s="344"/>
      <c r="NXE43" s="344"/>
      <c r="NXF43" s="344"/>
      <c r="NXG43" s="344"/>
      <c r="NXH43" s="344"/>
      <c r="NXI43" s="344"/>
      <c r="NXJ43" s="344"/>
      <c r="NXK43" s="344"/>
      <c r="NXL43" s="344"/>
      <c r="NXM43" s="344"/>
      <c r="NXN43" s="344"/>
      <c r="NXO43" s="344"/>
      <c r="NXP43" s="344"/>
      <c r="NXQ43" s="344"/>
      <c r="NXR43" s="344"/>
      <c r="NXS43" s="344"/>
      <c r="NXT43" s="344"/>
      <c r="NXU43" s="344"/>
      <c r="NXV43" s="344"/>
      <c r="NXW43" s="344"/>
      <c r="NXX43" s="344"/>
      <c r="NXY43" s="344"/>
      <c r="NXZ43" s="344"/>
      <c r="NYA43" s="344"/>
      <c r="NYB43" s="344"/>
      <c r="NYC43" s="344"/>
      <c r="NYD43" s="344"/>
      <c r="NYE43" s="344"/>
      <c r="NYF43" s="344"/>
      <c r="NYG43" s="344"/>
      <c r="NYH43" s="344"/>
      <c r="NYI43" s="344"/>
      <c r="NYJ43" s="344"/>
      <c r="NYK43" s="344"/>
      <c r="NYL43" s="344"/>
      <c r="NYM43" s="344"/>
      <c r="NYN43" s="344"/>
      <c r="NYO43" s="344"/>
      <c r="NYP43" s="344"/>
      <c r="NYQ43" s="344"/>
      <c r="NYR43" s="344"/>
      <c r="NYS43" s="344"/>
      <c r="NYT43" s="344"/>
      <c r="NYU43" s="344"/>
      <c r="NYV43" s="344"/>
      <c r="NYW43" s="344"/>
      <c r="NYX43" s="344"/>
      <c r="NYY43" s="344"/>
      <c r="NYZ43" s="344"/>
      <c r="NZA43" s="344"/>
      <c r="NZB43" s="344"/>
      <c r="NZC43" s="344"/>
      <c r="NZD43" s="344"/>
      <c r="NZE43" s="344"/>
      <c r="NZF43" s="344"/>
      <c r="NZG43" s="344"/>
      <c r="NZH43" s="344"/>
      <c r="NZI43" s="344"/>
      <c r="NZJ43" s="344"/>
      <c r="NZK43" s="344"/>
      <c r="NZL43" s="344"/>
      <c r="NZM43" s="344"/>
      <c r="NZN43" s="344"/>
      <c r="NZO43" s="344"/>
      <c r="NZP43" s="344"/>
      <c r="NZQ43" s="344"/>
      <c r="NZR43" s="344"/>
      <c r="NZS43" s="344"/>
      <c r="NZT43" s="344"/>
      <c r="NZU43" s="344"/>
      <c r="NZV43" s="344"/>
      <c r="NZW43" s="344"/>
      <c r="NZX43" s="344"/>
      <c r="NZY43" s="344"/>
      <c r="NZZ43" s="344"/>
      <c r="OAA43" s="344"/>
      <c r="OAB43" s="344"/>
      <c r="OAC43" s="344"/>
      <c r="OAD43" s="344"/>
      <c r="OAE43" s="344"/>
      <c r="OAF43" s="344"/>
      <c r="OAG43" s="344"/>
      <c r="OAH43" s="344"/>
      <c r="OAI43" s="344"/>
      <c r="OAJ43" s="344"/>
      <c r="OAK43" s="344"/>
      <c r="OAL43" s="344"/>
      <c r="OAM43" s="344"/>
      <c r="OAN43" s="344"/>
      <c r="OAO43" s="344"/>
      <c r="OAP43" s="344"/>
      <c r="OAQ43" s="344"/>
      <c r="OAR43" s="344"/>
      <c r="OAS43" s="344"/>
      <c r="OAT43" s="344"/>
      <c r="OAU43" s="344"/>
      <c r="OAV43" s="344"/>
      <c r="OAW43" s="344"/>
      <c r="OAX43" s="344"/>
      <c r="OAY43" s="344"/>
      <c r="OAZ43" s="344"/>
      <c r="OBA43" s="344"/>
      <c r="OBB43" s="344"/>
      <c r="OBC43" s="344"/>
      <c r="OBD43" s="344"/>
      <c r="OBE43" s="344"/>
      <c r="OBF43" s="344"/>
      <c r="OBG43" s="344"/>
      <c r="OBH43" s="344"/>
      <c r="OBI43" s="344"/>
      <c r="OBJ43" s="344"/>
      <c r="OBK43" s="344"/>
      <c r="OBL43" s="344"/>
      <c r="OBM43" s="344"/>
      <c r="OBN43" s="344"/>
      <c r="OBO43" s="344"/>
      <c r="OBP43" s="344"/>
      <c r="OBQ43" s="344"/>
      <c r="OBR43" s="344"/>
      <c r="OBS43" s="344"/>
      <c r="OBT43" s="344"/>
      <c r="OBU43" s="344"/>
      <c r="OBV43" s="344"/>
      <c r="OBW43" s="344"/>
      <c r="OBX43" s="344"/>
      <c r="OBY43" s="344"/>
      <c r="OBZ43" s="344"/>
      <c r="OCA43" s="344"/>
      <c r="OCB43" s="344"/>
      <c r="OCC43" s="344"/>
      <c r="OCD43" s="344"/>
      <c r="OCE43" s="344"/>
      <c r="OCF43" s="344"/>
      <c r="OCG43" s="344"/>
      <c r="OCH43" s="344"/>
      <c r="OCI43" s="344"/>
      <c r="OCJ43" s="344"/>
      <c r="OCK43" s="344"/>
      <c r="OCL43" s="344"/>
      <c r="OCM43" s="344"/>
      <c r="OCN43" s="344"/>
      <c r="OCO43" s="344"/>
      <c r="OCP43" s="344"/>
      <c r="OCQ43" s="344"/>
      <c r="OCR43" s="344"/>
      <c r="OCS43" s="344"/>
      <c r="OCT43" s="344"/>
      <c r="OCU43" s="344"/>
      <c r="OCV43" s="344"/>
      <c r="OCW43" s="344"/>
      <c r="OCX43" s="344"/>
      <c r="OCY43" s="344"/>
      <c r="OCZ43" s="344"/>
      <c r="ODA43" s="344"/>
      <c r="ODB43" s="344"/>
      <c r="ODC43" s="344"/>
      <c r="ODD43" s="344"/>
      <c r="ODE43" s="344"/>
      <c r="ODF43" s="344"/>
      <c r="ODG43" s="344"/>
      <c r="ODH43" s="344"/>
      <c r="ODI43" s="344"/>
      <c r="ODJ43" s="344"/>
      <c r="ODK43" s="344"/>
      <c r="ODL43" s="344"/>
      <c r="ODM43" s="344"/>
      <c r="ODN43" s="344"/>
      <c r="ODO43" s="344"/>
      <c r="ODP43" s="344"/>
      <c r="ODQ43" s="344"/>
      <c r="ODR43" s="344"/>
      <c r="ODS43" s="344"/>
      <c r="ODT43" s="344"/>
      <c r="ODU43" s="344"/>
      <c r="ODV43" s="344"/>
      <c r="ODW43" s="344"/>
      <c r="ODX43" s="344"/>
      <c r="ODY43" s="344"/>
      <c r="ODZ43" s="344"/>
      <c r="OEA43" s="344"/>
      <c r="OEB43" s="344"/>
      <c r="OEC43" s="344"/>
      <c r="OED43" s="344"/>
      <c r="OEE43" s="344"/>
      <c r="OEF43" s="344"/>
      <c r="OEG43" s="344"/>
      <c r="OEH43" s="344"/>
      <c r="OEI43" s="344"/>
      <c r="OEJ43" s="344"/>
      <c r="OEK43" s="344"/>
      <c r="OEL43" s="344"/>
      <c r="OEM43" s="344"/>
      <c r="OEN43" s="344"/>
      <c r="OEO43" s="344"/>
      <c r="OEP43" s="344"/>
      <c r="OEQ43" s="344"/>
      <c r="OER43" s="344"/>
      <c r="OES43" s="344"/>
      <c r="OET43" s="344"/>
      <c r="OEU43" s="344"/>
      <c r="OEV43" s="344"/>
      <c r="OEW43" s="344"/>
      <c r="OEX43" s="344"/>
      <c r="OEY43" s="344"/>
      <c r="OEZ43" s="344"/>
      <c r="OFA43" s="344"/>
      <c r="OFB43" s="344"/>
      <c r="OFC43" s="344"/>
      <c r="OFD43" s="344"/>
      <c r="OFE43" s="344"/>
      <c r="OFF43" s="344"/>
      <c r="OFG43" s="344"/>
      <c r="OFH43" s="344"/>
      <c r="OFI43" s="344"/>
      <c r="OFJ43" s="344"/>
      <c r="OFK43" s="344"/>
      <c r="OFL43" s="344"/>
      <c r="OFM43" s="344"/>
      <c r="OFN43" s="344"/>
      <c r="OFO43" s="344"/>
      <c r="OFP43" s="344"/>
      <c r="OFQ43" s="344"/>
      <c r="OFR43" s="344"/>
      <c r="OFS43" s="344"/>
      <c r="OFT43" s="344"/>
      <c r="OFU43" s="344"/>
      <c r="OFV43" s="344"/>
      <c r="OFW43" s="344"/>
      <c r="OFX43" s="344"/>
      <c r="OFY43" s="344"/>
      <c r="OFZ43" s="344"/>
      <c r="OGA43" s="344"/>
      <c r="OGB43" s="344"/>
      <c r="OGC43" s="344"/>
      <c r="OGD43" s="344"/>
      <c r="OGE43" s="344"/>
      <c r="OGF43" s="344"/>
      <c r="OGG43" s="344"/>
      <c r="OGH43" s="344"/>
      <c r="OGI43" s="344"/>
      <c r="OGJ43" s="344"/>
      <c r="OGK43" s="344"/>
      <c r="OGL43" s="344"/>
      <c r="OGM43" s="344"/>
      <c r="OGN43" s="344"/>
      <c r="OGO43" s="344"/>
      <c r="OGP43" s="344"/>
      <c r="OGQ43" s="344"/>
      <c r="OGR43" s="344"/>
      <c r="OGS43" s="344"/>
      <c r="OGT43" s="344"/>
      <c r="OGU43" s="344"/>
      <c r="OGV43" s="344"/>
      <c r="OGW43" s="344"/>
      <c r="OGX43" s="344"/>
      <c r="OGY43" s="344"/>
      <c r="OGZ43" s="344"/>
      <c r="OHA43" s="344"/>
      <c r="OHB43" s="344"/>
      <c r="OHC43" s="344"/>
      <c r="OHD43" s="344"/>
      <c r="OHE43" s="344"/>
      <c r="OHF43" s="344"/>
      <c r="OHG43" s="344"/>
      <c r="OHH43" s="344"/>
      <c r="OHI43" s="344"/>
      <c r="OHJ43" s="344"/>
      <c r="OHK43" s="344"/>
      <c r="OHL43" s="344"/>
      <c r="OHM43" s="344"/>
      <c r="OHN43" s="344"/>
      <c r="OHO43" s="344"/>
      <c r="OHP43" s="344"/>
      <c r="OHQ43" s="344"/>
      <c r="OHR43" s="344"/>
      <c r="OHS43" s="344"/>
      <c r="OHT43" s="344"/>
      <c r="OHU43" s="344"/>
      <c r="OHV43" s="344"/>
      <c r="OHW43" s="344"/>
      <c r="OHX43" s="344"/>
      <c r="OHY43" s="344"/>
      <c r="OHZ43" s="344"/>
      <c r="OIA43" s="344"/>
      <c r="OIB43" s="344"/>
      <c r="OIC43" s="344"/>
      <c r="OID43" s="344"/>
      <c r="OIE43" s="344"/>
      <c r="OIF43" s="344"/>
      <c r="OIG43" s="344"/>
      <c r="OIH43" s="344"/>
      <c r="OII43" s="344"/>
      <c r="OIJ43" s="344"/>
      <c r="OIK43" s="344"/>
      <c r="OIL43" s="344"/>
      <c r="OIM43" s="344"/>
      <c r="OIN43" s="344"/>
      <c r="OIO43" s="344"/>
      <c r="OIP43" s="344"/>
      <c r="OIQ43" s="344"/>
      <c r="OIR43" s="344"/>
      <c r="OIS43" s="344"/>
      <c r="OIT43" s="344"/>
      <c r="OIU43" s="344"/>
      <c r="OIV43" s="344"/>
      <c r="OIW43" s="344"/>
      <c r="OIX43" s="344"/>
      <c r="OIY43" s="344"/>
      <c r="OIZ43" s="344"/>
      <c r="OJA43" s="344"/>
      <c r="OJB43" s="344"/>
      <c r="OJC43" s="344"/>
      <c r="OJD43" s="344"/>
      <c r="OJE43" s="344"/>
      <c r="OJF43" s="344"/>
      <c r="OJG43" s="344"/>
      <c r="OJH43" s="344"/>
      <c r="OJI43" s="344"/>
      <c r="OJJ43" s="344"/>
      <c r="OJK43" s="344"/>
      <c r="OJL43" s="344"/>
      <c r="OJM43" s="344"/>
      <c r="OJN43" s="344"/>
      <c r="OJO43" s="344"/>
      <c r="OJP43" s="344"/>
      <c r="OJQ43" s="344"/>
      <c r="OJR43" s="344"/>
      <c r="OJS43" s="344"/>
      <c r="OJT43" s="344"/>
      <c r="OJU43" s="344"/>
      <c r="OJV43" s="344"/>
      <c r="OJW43" s="344"/>
      <c r="OJX43" s="344"/>
      <c r="OJY43" s="344"/>
      <c r="OJZ43" s="344"/>
      <c r="OKA43" s="344"/>
      <c r="OKB43" s="344"/>
      <c r="OKC43" s="344"/>
      <c r="OKD43" s="344"/>
      <c r="OKE43" s="344"/>
      <c r="OKF43" s="344"/>
      <c r="OKG43" s="344"/>
      <c r="OKH43" s="344"/>
      <c r="OKI43" s="344"/>
      <c r="OKJ43" s="344"/>
      <c r="OKK43" s="344"/>
      <c r="OKL43" s="344"/>
      <c r="OKM43" s="344"/>
      <c r="OKN43" s="344"/>
      <c r="OKO43" s="344"/>
      <c r="OKP43" s="344"/>
      <c r="OKQ43" s="344"/>
      <c r="OKR43" s="344"/>
      <c r="OKS43" s="344"/>
      <c r="OKT43" s="344"/>
      <c r="OKU43" s="344"/>
      <c r="OKV43" s="344"/>
      <c r="OKW43" s="344"/>
      <c r="OKX43" s="344"/>
      <c r="OKY43" s="344"/>
      <c r="OKZ43" s="344"/>
      <c r="OLA43" s="344"/>
      <c r="OLB43" s="344"/>
      <c r="OLC43" s="344"/>
      <c r="OLD43" s="344"/>
      <c r="OLE43" s="344"/>
      <c r="OLF43" s="344"/>
      <c r="OLG43" s="344"/>
      <c r="OLH43" s="344"/>
      <c r="OLI43" s="344"/>
      <c r="OLJ43" s="344"/>
      <c r="OLK43" s="344"/>
      <c r="OLL43" s="344"/>
      <c r="OLM43" s="344"/>
      <c r="OLN43" s="344"/>
      <c r="OLO43" s="344"/>
      <c r="OLP43" s="344"/>
      <c r="OLQ43" s="344"/>
      <c r="OLR43" s="344"/>
      <c r="OLS43" s="344"/>
      <c r="OLT43" s="344"/>
      <c r="OLU43" s="344"/>
      <c r="OLV43" s="344"/>
      <c r="OLW43" s="344"/>
      <c r="OLX43" s="344"/>
      <c r="OLY43" s="344"/>
      <c r="OLZ43" s="344"/>
      <c r="OMA43" s="344"/>
      <c r="OMB43" s="344"/>
      <c r="OMC43" s="344"/>
      <c r="OMD43" s="344"/>
      <c r="OME43" s="344"/>
      <c r="OMF43" s="344"/>
      <c r="OMG43" s="344"/>
      <c r="OMH43" s="344"/>
      <c r="OMI43" s="344"/>
      <c r="OMJ43" s="344"/>
      <c r="OMK43" s="344"/>
      <c r="OML43" s="344"/>
      <c r="OMM43" s="344"/>
      <c r="OMN43" s="344"/>
      <c r="OMO43" s="344"/>
      <c r="OMP43" s="344"/>
      <c r="OMQ43" s="344"/>
      <c r="OMR43" s="344"/>
      <c r="OMS43" s="344"/>
      <c r="OMT43" s="344"/>
      <c r="OMU43" s="344"/>
      <c r="OMV43" s="344"/>
      <c r="OMW43" s="344"/>
      <c r="OMX43" s="344"/>
      <c r="OMY43" s="344"/>
      <c r="OMZ43" s="344"/>
      <c r="ONA43" s="344"/>
      <c r="ONB43" s="344"/>
      <c r="ONC43" s="344"/>
      <c r="OND43" s="344"/>
      <c r="ONE43" s="344"/>
      <c r="ONF43" s="344"/>
      <c r="ONG43" s="344"/>
      <c r="ONH43" s="344"/>
      <c r="ONI43" s="344"/>
      <c r="ONJ43" s="344"/>
      <c r="ONK43" s="344"/>
      <c r="ONL43" s="344"/>
      <c r="ONM43" s="344"/>
      <c r="ONN43" s="344"/>
      <c r="ONO43" s="344"/>
      <c r="ONP43" s="344"/>
      <c r="ONQ43" s="344"/>
      <c r="ONR43" s="344"/>
      <c r="ONS43" s="344"/>
      <c r="ONT43" s="344"/>
      <c r="ONU43" s="344"/>
      <c r="ONV43" s="344"/>
      <c r="ONW43" s="344"/>
      <c r="ONX43" s="344"/>
      <c r="ONY43" s="344"/>
      <c r="ONZ43" s="344"/>
      <c r="OOA43" s="344"/>
      <c r="OOB43" s="344"/>
      <c r="OOC43" s="344"/>
      <c r="OOD43" s="344"/>
      <c r="OOE43" s="344"/>
      <c r="OOF43" s="344"/>
      <c r="OOG43" s="344"/>
      <c r="OOH43" s="344"/>
      <c r="OOI43" s="344"/>
      <c r="OOJ43" s="344"/>
      <c r="OOK43" s="344"/>
      <c r="OOL43" s="344"/>
      <c r="OOM43" s="344"/>
      <c r="OON43" s="344"/>
      <c r="OOO43" s="344"/>
      <c r="OOP43" s="344"/>
      <c r="OOQ43" s="344"/>
      <c r="OOR43" s="344"/>
      <c r="OOS43" s="344"/>
      <c r="OOT43" s="344"/>
      <c r="OOU43" s="344"/>
      <c r="OOV43" s="344"/>
      <c r="OOW43" s="344"/>
      <c r="OOX43" s="344"/>
      <c r="OOY43" s="344"/>
      <c r="OOZ43" s="344"/>
      <c r="OPA43" s="344"/>
      <c r="OPB43" s="344"/>
      <c r="OPC43" s="344"/>
      <c r="OPD43" s="344"/>
      <c r="OPE43" s="344"/>
      <c r="OPF43" s="344"/>
      <c r="OPG43" s="344"/>
      <c r="OPH43" s="344"/>
      <c r="OPI43" s="344"/>
      <c r="OPJ43" s="344"/>
      <c r="OPK43" s="344"/>
      <c r="OPL43" s="344"/>
      <c r="OPM43" s="344"/>
      <c r="OPN43" s="344"/>
      <c r="OPO43" s="344"/>
      <c r="OPP43" s="344"/>
      <c r="OPQ43" s="344"/>
      <c r="OPR43" s="344"/>
      <c r="OPS43" s="344"/>
      <c r="OPT43" s="344"/>
      <c r="OPU43" s="344"/>
      <c r="OPV43" s="344"/>
      <c r="OPW43" s="344"/>
      <c r="OPX43" s="344"/>
      <c r="OPY43" s="344"/>
      <c r="OPZ43" s="344"/>
      <c r="OQA43" s="344"/>
      <c r="OQB43" s="344"/>
      <c r="OQC43" s="344"/>
      <c r="OQD43" s="344"/>
      <c r="OQE43" s="344"/>
      <c r="OQF43" s="344"/>
      <c r="OQG43" s="344"/>
      <c r="OQH43" s="344"/>
      <c r="OQI43" s="344"/>
      <c r="OQJ43" s="344"/>
      <c r="OQK43" s="344"/>
      <c r="OQL43" s="344"/>
      <c r="OQM43" s="344"/>
      <c r="OQN43" s="344"/>
      <c r="OQO43" s="344"/>
      <c r="OQP43" s="344"/>
      <c r="OQQ43" s="344"/>
      <c r="OQR43" s="344"/>
      <c r="OQS43" s="344"/>
      <c r="OQT43" s="344"/>
      <c r="OQU43" s="344"/>
      <c r="OQV43" s="344"/>
      <c r="OQW43" s="344"/>
      <c r="OQX43" s="344"/>
      <c r="OQY43" s="344"/>
      <c r="OQZ43" s="344"/>
      <c r="ORA43" s="344"/>
      <c r="ORB43" s="344"/>
      <c r="ORC43" s="344"/>
      <c r="ORD43" s="344"/>
      <c r="ORE43" s="344"/>
      <c r="ORF43" s="344"/>
      <c r="ORG43" s="344"/>
      <c r="ORH43" s="344"/>
      <c r="ORI43" s="344"/>
      <c r="ORJ43" s="344"/>
      <c r="ORK43" s="344"/>
      <c r="ORL43" s="344"/>
      <c r="ORM43" s="344"/>
      <c r="ORN43" s="344"/>
      <c r="ORO43" s="344"/>
      <c r="ORP43" s="344"/>
      <c r="ORQ43" s="344"/>
      <c r="ORR43" s="344"/>
      <c r="ORS43" s="344"/>
      <c r="ORT43" s="344"/>
      <c r="ORU43" s="344"/>
      <c r="ORV43" s="344"/>
      <c r="ORW43" s="344"/>
      <c r="ORX43" s="344"/>
      <c r="ORY43" s="344"/>
      <c r="ORZ43" s="344"/>
      <c r="OSA43" s="344"/>
      <c r="OSB43" s="344"/>
      <c r="OSC43" s="344"/>
      <c r="OSD43" s="344"/>
      <c r="OSE43" s="344"/>
      <c r="OSF43" s="344"/>
      <c r="OSG43" s="344"/>
      <c r="OSH43" s="344"/>
      <c r="OSI43" s="344"/>
      <c r="OSJ43" s="344"/>
      <c r="OSK43" s="344"/>
      <c r="OSL43" s="344"/>
      <c r="OSM43" s="344"/>
      <c r="OSN43" s="344"/>
      <c r="OSO43" s="344"/>
      <c r="OSP43" s="344"/>
      <c r="OSQ43" s="344"/>
      <c r="OSR43" s="344"/>
      <c r="OSS43" s="344"/>
      <c r="OST43" s="344"/>
      <c r="OSU43" s="344"/>
      <c r="OSV43" s="344"/>
      <c r="OSW43" s="344"/>
      <c r="OSX43" s="344"/>
      <c r="OSY43" s="344"/>
      <c r="OSZ43" s="344"/>
      <c r="OTA43" s="344"/>
      <c r="OTB43" s="344"/>
      <c r="OTC43" s="344"/>
      <c r="OTD43" s="344"/>
      <c r="OTE43" s="344"/>
      <c r="OTF43" s="344"/>
      <c r="OTG43" s="344"/>
      <c r="OTH43" s="344"/>
      <c r="OTI43" s="344"/>
      <c r="OTJ43" s="344"/>
      <c r="OTK43" s="344"/>
      <c r="OTL43" s="344"/>
      <c r="OTM43" s="344"/>
      <c r="OTN43" s="344"/>
      <c r="OTO43" s="344"/>
      <c r="OTP43" s="344"/>
      <c r="OTQ43" s="344"/>
      <c r="OTR43" s="344"/>
      <c r="OTS43" s="344"/>
      <c r="OTT43" s="344"/>
      <c r="OTU43" s="344"/>
      <c r="OTV43" s="344"/>
      <c r="OTW43" s="344"/>
      <c r="OTX43" s="344"/>
      <c r="OTY43" s="344"/>
      <c r="OTZ43" s="344"/>
      <c r="OUA43" s="344"/>
      <c r="OUB43" s="344"/>
      <c r="OUC43" s="344"/>
      <c r="OUD43" s="344"/>
      <c r="OUE43" s="344"/>
      <c r="OUF43" s="344"/>
      <c r="OUG43" s="344"/>
      <c r="OUH43" s="344"/>
      <c r="OUI43" s="344"/>
      <c r="OUJ43" s="344"/>
      <c r="OUK43" s="344"/>
      <c r="OUL43" s="344"/>
      <c r="OUM43" s="344"/>
      <c r="OUN43" s="344"/>
      <c r="OUO43" s="344"/>
      <c r="OUP43" s="344"/>
      <c r="OUQ43" s="344"/>
      <c r="OUR43" s="344"/>
      <c r="OUS43" s="344"/>
      <c r="OUT43" s="344"/>
      <c r="OUU43" s="344"/>
      <c r="OUV43" s="344"/>
      <c r="OUW43" s="344"/>
      <c r="OUX43" s="344"/>
      <c r="OUY43" s="344"/>
      <c r="OUZ43" s="344"/>
      <c r="OVA43" s="344"/>
      <c r="OVB43" s="344"/>
      <c r="OVC43" s="344"/>
      <c r="OVD43" s="344"/>
      <c r="OVE43" s="344"/>
      <c r="OVF43" s="344"/>
      <c r="OVG43" s="344"/>
      <c r="OVH43" s="344"/>
      <c r="OVI43" s="344"/>
      <c r="OVJ43" s="344"/>
      <c r="OVK43" s="344"/>
      <c r="OVL43" s="344"/>
      <c r="OVM43" s="344"/>
      <c r="OVN43" s="344"/>
      <c r="OVO43" s="344"/>
      <c r="OVP43" s="344"/>
      <c r="OVQ43" s="344"/>
      <c r="OVR43" s="344"/>
      <c r="OVS43" s="344"/>
      <c r="OVT43" s="344"/>
      <c r="OVU43" s="344"/>
      <c r="OVV43" s="344"/>
      <c r="OVW43" s="344"/>
      <c r="OVX43" s="344"/>
      <c r="OVY43" s="344"/>
      <c r="OVZ43" s="344"/>
      <c r="OWA43" s="344"/>
      <c r="OWB43" s="344"/>
      <c r="OWC43" s="344"/>
      <c r="OWD43" s="344"/>
      <c r="OWE43" s="344"/>
      <c r="OWF43" s="344"/>
      <c r="OWG43" s="344"/>
      <c r="OWH43" s="344"/>
      <c r="OWI43" s="344"/>
      <c r="OWJ43" s="344"/>
      <c r="OWK43" s="344"/>
      <c r="OWL43" s="344"/>
      <c r="OWM43" s="344"/>
      <c r="OWN43" s="344"/>
      <c r="OWO43" s="344"/>
      <c r="OWP43" s="344"/>
      <c r="OWQ43" s="344"/>
      <c r="OWR43" s="344"/>
      <c r="OWS43" s="344"/>
      <c r="OWT43" s="344"/>
      <c r="OWU43" s="344"/>
      <c r="OWV43" s="344"/>
      <c r="OWW43" s="344"/>
      <c r="OWX43" s="344"/>
      <c r="OWY43" s="344"/>
      <c r="OWZ43" s="344"/>
      <c r="OXA43" s="344"/>
      <c r="OXB43" s="344"/>
      <c r="OXC43" s="344"/>
      <c r="OXD43" s="344"/>
      <c r="OXE43" s="344"/>
      <c r="OXF43" s="344"/>
      <c r="OXG43" s="344"/>
      <c r="OXH43" s="344"/>
      <c r="OXI43" s="344"/>
      <c r="OXJ43" s="344"/>
      <c r="OXK43" s="344"/>
      <c r="OXL43" s="344"/>
      <c r="OXM43" s="344"/>
      <c r="OXN43" s="344"/>
      <c r="OXO43" s="344"/>
      <c r="OXP43" s="344"/>
      <c r="OXQ43" s="344"/>
      <c r="OXR43" s="344"/>
      <c r="OXS43" s="344"/>
      <c r="OXT43" s="344"/>
      <c r="OXU43" s="344"/>
      <c r="OXV43" s="344"/>
      <c r="OXW43" s="344"/>
      <c r="OXX43" s="344"/>
      <c r="OXY43" s="344"/>
      <c r="OXZ43" s="344"/>
      <c r="OYA43" s="344"/>
      <c r="OYB43" s="344"/>
      <c r="OYC43" s="344"/>
      <c r="OYD43" s="344"/>
      <c r="OYE43" s="344"/>
      <c r="OYF43" s="344"/>
      <c r="OYG43" s="344"/>
      <c r="OYH43" s="344"/>
      <c r="OYI43" s="344"/>
      <c r="OYJ43" s="344"/>
      <c r="OYK43" s="344"/>
      <c r="OYL43" s="344"/>
      <c r="OYM43" s="344"/>
      <c r="OYN43" s="344"/>
      <c r="OYO43" s="344"/>
      <c r="OYP43" s="344"/>
      <c r="OYQ43" s="344"/>
      <c r="OYR43" s="344"/>
      <c r="OYS43" s="344"/>
      <c r="OYT43" s="344"/>
      <c r="OYU43" s="344"/>
      <c r="OYV43" s="344"/>
      <c r="OYW43" s="344"/>
      <c r="OYX43" s="344"/>
      <c r="OYY43" s="344"/>
      <c r="OYZ43" s="344"/>
      <c r="OZA43" s="344"/>
      <c r="OZB43" s="344"/>
      <c r="OZC43" s="344"/>
      <c r="OZD43" s="344"/>
      <c r="OZE43" s="344"/>
      <c r="OZF43" s="344"/>
      <c r="OZG43" s="344"/>
      <c r="OZH43" s="344"/>
      <c r="OZI43" s="344"/>
      <c r="OZJ43" s="344"/>
      <c r="OZK43" s="344"/>
      <c r="OZL43" s="344"/>
      <c r="OZM43" s="344"/>
      <c r="OZN43" s="344"/>
      <c r="OZO43" s="344"/>
      <c r="OZP43" s="344"/>
      <c r="OZQ43" s="344"/>
      <c r="OZR43" s="344"/>
      <c r="OZS43" s="344"/>
      <c r="OZT43" s="344"/>
      <c r="OZU43" s="344"/>
      <c r="OZV43" s="344"/>
      <c r="OZW43" s="344"/>
      <c r="OZX43" s="344"/>
      <c r="OZY43" s="344"/>
      <c r="OZZ43" s="344"/>
      <c r="PAA43" s="344"/>
      <c r="PAB43" s="344"/>
      <c r="PAC43" s="344"/>
      <c r="PAD43" s="344"/>
      <c r="PAE43" s="344"/>
      <c r="PAF43" s="344"/>
      <c r="PAG43" s="344"/>
      <c r="PAH43" s="344"/>
      <c r="PAI43" s="344"/>
      <c r="PAJ43" s="344"/>
      <c r="PAK43" s="344"/>
      <c r="PAL43" s="344"/>
      <c r="PAM43" s="344"/>
      <c r="PAN43" s="344"/>
      <c r="PAO43" s="344"/>
      <c r="PAP43" s="344"/>
      <c r="PAQ43" s="344"/>
      <c r="PAR43" s="344"/>
      <c r="PAS43" s="344"/>
      <c r="PAT43" s="344"/>
      <c r="PAU43" s="344"/>
      <c r="PAV43" s="344"/>
      <c r="PAW43" s="344"/>
      <c r="PAX43" s="344"/>
      <c r="PAY43" s="344"/>
      <c r="PAZ43" s="344"/>
      <c r="PBA43" s="344"/>
      <c r="PBB43" s="344"/>
      <c r="PBC43" s="344"/>
      <c r="PBD43" s="344"/>
      <c r="PBE43" s="344"/>
      <c r="PBF43" s="344"/>
      <c r="PBG43" s="344"/>
      <c r="PBH43" s="344"/>
      <c r="PBI43" s="344"/>
      <c r="PBJ43" s="344"/>
      <c r="PBK43" s="344"/>
      <c r="PBL43" s="344"/>
      <c r="PBM43" s="344"/>
      <c r="PBN43" s="344"/>
      <c r="PBO43" s="344"/>
      <c r="PBP43" s="344"/>
      <c r="PBQ43" s="344"/>
      <c r="PBR43" s="344"/>
      <c r="PBS43" s="344"/>
      <c r="PBT43" s="344"/>
      <c r="PBU43" s="344"/>
      <c r="PBV43" s="344"/>
      <c r="PBW43" s="344"/>
      <c r="PBX43" s="344"/>
      <c r="PBY43" s="344"/>
      <c r="PBZ43" s="344"/>
      <c r="PCA43" s="344"/>
      <c r="PCB43" s="344"/>
      <c r="PCC43" s="344"/>
      <c r="PCD43" s="344"/>
      <c r="PCE43" s="344"/>
      <c r="PCF43" s="344"/>
      <c r="PCG43" s="344"/>
      <c r="PCH43" s="344"/>
      <c r="PCI43" s="344"/>
      <c r="PCJ43" s="344"/>
      <c r="PCK43" s="344"/>
      <c r="PCL43" s="344"/>
      <c r="PCM43" s="344"/>
      <c r="PCN43" s="344"/>
      <c r="PCO43" s="344"/>
      <c r="PCP43" s="344"/>
      <c r="PCQ43" s="344"/>
      <c r="PCR43" s="344"/>
      <c r="PCS43" s="344"/>
      <c r="PCT43" s="344"/>
      <c r="PCU43" s="344"/>
      <c r="PCV43" s="344"/>
      <c r="PCW43" s="344"/>
      <c r="PCX43" s="344"/>
      <c r="PCY43" s="344"/>
      <c r="PCZ43" s="344"/>
      <c r="PDA43" s="344"/>
      <c r="PDB43" s="344"/>
      <c r="PDC43" s="344"/>
      <c r="PDD43" s="344"/>
      <c r="PDE43" s="344"/>
      <c r="PDF43" s="344"/>
      <c r="PDG43" s="344"/>
      <c r="PDH43" s="344"/>
      <c r="PDI43" s="344"/>
      <c r="PDJ43" s="344"/>
      <c r="PDK43" s="344"/>
      <c r="PDL43" s="344"/>
      <c r="PDM43" s="344"/>
      <c r="PDN43" s="344"/>
      <c r="PDO43" s="344"/>
      <c r="PDP43" s="344"/>
      <c r="PDQ43" s="344"/>
      <c r="PDR43" s="344"/>
      <c r="PDS43" s="344"/>
      <c r="PDT43" s="344"/>
      <c r="PDU43" s="344"/>
      <c r="PDV43" s="344"/>
      <c r="PDW43" s="344"/>
      <c r="PDX43" s="344"/>
      <c r="PDY43" s="344"/>
      <c r="PDZ43" s="344"/>
      <c r="PEA43" s="344"/>
      <c r="PEB43" s="344"/>
      <c r="PEC43" s="344"/>
      <c r="PED43" s="344"/>
      <c r="PEE43" s="344"/>
      <c r="PEF43" s="344"/>
      <c r="PEG43" s="344"/>
      <c r="PEH43" s="344"/>
      <c r="PEI43" s="344"/>
      <c r="PEJ43" s="344"/>
      <c r="PEK43" s="344"/>
      <c r="PEL43" s="344"/>
      <c r="PEM43" s="344"/>
      <c r="PEN43" s="344"/>
      <c r="PEO43" s="344"/>
      <c r="PEP43" s="344"/>
      <c r="PEQ43" s="344"/>
      <c r="PER43" s="344"/>
      <c r="PES43" s="344"/>
      <c r="PET43" s="344"/>
      <c r="PEU43" s="344"/>
      <c r="PEV43" s="344"/>
      <c r="PEW43" s="344"/>
      <c r="PEX43" s="344"/>
      <c r="PEY43" s="344"/>
      <c r="PEZ43" s="344"/>
      <c r="PFA43" s="344"/>
      <c r="PFB43" s="344"/>
      <c r="PFC43" s="344"/>
      <c r="PFD43" s="344"/>
      <c r="PFE43" s="344"/>
      <c r="PFF43" s="344"/>
      <c r="PFG43" s="344"/>
      <c r="PFH43" s="344"/>
      <c r="PFI43" s="344"/>
      <c r="PFJ43" s="344"/>
      <c r="PFK43" s="344"/>
      <c r="PFL43" s="344"/>
      <c r="PFM43" s="344"/>
      <c r="PFN43" s="344"/>
      <c r="PFO43" s="344"/>
      <c r="PFP43" s="344"/>
      <c r="PFQ43" s="344"/>
      <c r="PFR43" s="344"/>
      <c r="PFS43" s="344"/>
      <c r="PFT43" s="344"/>
      <c r="PFU43" s="344"/>
      <c r="PFV43" s="344"/>
      <c r="PFW43" s="344"/>
      <c r="PFX43" s="344"/>
      <c r="PFY43" s="344"/>
      <c r="PFZ43" s="344"/>
      <c r="PGA43" s="344"/>
      <c r="PGB43" s="344"/>
      <c r="PGC43" s="344"/>
      <c r="PGD43" s="344"/>
      <c r="PGE43" s="344"/>
      <c r="PGF43" s="344"/>
      <c r="PGG43" s="344"/>
      <c r="PGH43" s="344"/>
      <c r="PGI43" s="344"/>
      <c r="PGJ43" s="344"/>
      <c r="PGK43" s="344"/>
      <c r="PGL43" s="344"/>
      <c r="PGM43" s="344"/>
      <c r="PGN43" s="344"/>
      <c r="PGO43" s="344"/>
      <c r="PGP43" s="344"/>
      <c r="PGQ43" s="344"/>
      <c r="PGR43" s="344"/>
      <c r="PGS43" s="344"/>
      <c r="PGT43" s="344"/>
      <c r="PGU43" s="344"/>
      <c r="PGV43" s="344"/>
      <c r="PGW43" s="344"/>
      <c r="PGX43" s="344"/>
      <c r="PGY43" s="344"/>
      <c r="PGZ43" s="344"/>
      <c r="PHA43" s="344"/>
      <c r="PHB43" s="344"/>
      <c r="PHC43" s="344"/>
      <c r="PHD43" s="344"/>
      <c r="PHE43" s="344"/>
      <c r="PHF43" s="344"/>
      <c r="PHG43" s="344"/>
      <c r="PHH43" s="344"/>
      <c r="PHI43" s="344"/>
      <c r="PHJ43" s="344"/>
      <c r="PHK43" s="344"/>
      <c r="PHL43" s="344"/>
      <c r="PHM43" s="344"/>
      <c r="PHN43" s="344"/>
      <c r="PHO43" s="344"/>
      <c r="PHP43" s="344"/>
      <c r="PHQ43" s="344"/>
      <c r="PHR43" s="344"/>
      <c r="PHS43" s="344"/>
      <c r="PHT43" s="344"/>
      <c r="PHU43" s="344"/>
      <c r="PHV43" s="344"/>
      <c r="PHW43" s="344"/>
      <c r="PHX43" s="344"/>
      <c r="PHY43" s="344"/>
      <c r="PHZ43" s="344"/>
      <c r="PIA43" s="344"/>
      <c r="PIB43" s="344"/>
      <c r="PIC43" s="344"/>
      <c r="PID43" s="344"/>
      <c r="PIE43" s="344"/>
      <c r="PIF43" s="344"/>
      <c r="PIG43" s="344"/>
      <c r="PIH43" s="344"/>
      <c r="PII43" s="344"/>
      <c r="PIJ43" s="344"/>
      <c r="PIK43" s="344"/>
      <c r="PIL43" s="344"/>
      <c r="PIM43" s="344"/>
      <c r="PIN43" s="344"/>
      <c r="PIO43" s="344"/>
      <c r="PIP43" s="344"/>
      <c r="PIQ43" s="344"/>
      <c r="PIR43" s="344"/>
      <c r="PIS43" s="344"/>
      <c r="PIT43" s="344"/>
      <c r="PIU43" s="344"/>
      <c r="PIV43" s="344"/>
      <c r="PIW43" s="344"/>
      <c r="PIX43" s="344"/>
      <c r="PIY43" s="344"/>
      <c r="PIZ43" s="344"/>
      <c r="PJA43" s="344"/>
      <c r="PJB43" s="344"/>
      <c r="PJC43" s="344"/>
      <c r="PJD43" s="344"/>
      <c r="PJE43" s="344"/>
      <c r="PJF43" s="344"/>
      <c r="PJG43" s="344"/>
      <c r="PJH43" s="344"/>
      <c r="PJI43" s="344"/>
      <c r="PJJ43" s="344"/>
      <c r="PJK43" s="344"/>
      <c r="PJL43" s="344"/>
      <c r="PJM43" s="344"/>
      <c r="PJN43" s="344"/>
      <c r="PJO43" s="344"/>
      <c r="PJP43" s="344"/>
      <c r="PJQ43" s="344"/>
      <c r="PJR43" s="344"/>
      <c r="PJS43" s="344"/>
      <c r="PJT43" s="344"/>
      <c r="PJU43" s="344"/>
      <c r="PJV43" s="344"/>
      <c r="PJW43" s="344"/>
      <c r="PJX43" s="344"/>
      <c r="PJY43" s="344"/>
      <c r="PJZ43" s="344"/>
      <c r="PKA43" s="344"/>
      <c r="PKB43" s="344"/>
      <c r="PKC43" s="344"/>
      <c r="PKD43" s="344"/>
      <c r="PKE43" s="344"/>
      <c r="PKF43" s="344"/>
      <c r="PKG43" s="344"/>
      <c r="PKH43" s="344"/>
      <c r="PKI43" s="344"/>
      <c r="PKJ43" s="344"/>
      <c r="PKK43" s="344"/>
      <c r="PKL43" s="344"/>
      <c r="PKM43" s="344"/>
      <c r="PKN43" s="344"/>
      <c r="PKO43" s="344"/>
      <c r="PKP43" s="344"/>
      <c r="PKQ43" s="344"/>
      <c r="PKR43" s="344"/>
      <c r="PKS43" s="344"/>
      <c r="PKT43" s="344"/>
      <c r="PKU43" s="344"/>
      <c r="PKV43" s="344"/>
      <c r="PKW43" s="344"/>
      <c r="PKX43" s="344"/>
      <c r="PKY43" s="344"/>
      <c r="PKZ43" s="344"/>
      <c r="PLA43" s="344"/>
      <c r="PLB43" s="344"/>
      <c r="PLC43" s="344"/>
      <c r="PLD43" s="344"/>
      <c r="PLE43" s="344"/>
      <c r="PLF43" s="344"/>
      <c r="PLG43" s="344"/>
      <c r="PLH43" s="344"/>
      <c r="PLI43" s="344"/>
      <c r="PLJ43" s="344"/>
      <c r="PLK43" s="344"/>
      <c r="PLL43" s="344"/>
      <c r="PLM43" s="344"/>
      <c r="PLN43" s="344"/>
      <c r="PLO43" s="344"/>
      <c r="PLP43" s="344"/>
      <c r="PLQ43" s="344"/>
      <c r="PLR43" s="344"/>
      <c r="PLS43" s="344"/>
      <c r="PLT43" s="344"/>
      <c r="PLU43" s="344"/>
      <c r="PLV43" s="344"/>
      <c r="PLW43" s="344"/>
      <c r="PLX43" s="344"/>
      <c r="PLY43" s="344"/>
      <c r="PLZ43" s="344"/>
      <c r="PMA43" s="344"/>
      <c r="PMB43" s="344"/>
      <c r="PMC43" s="344"/>
      <c r="PMD43" s="344"/>
      <c r="PME43" s="344"/>
      <c r="PMF43" s="344"/>
      <c r="PMG43" s="344"/>
      <c r="PMH43" s="344"/>
      <c r="PMI43" s="344"/>
      <c r="PMJ43" s="344"/>
      <c r="PMK43" s="344"/>
      <c r="PML43" s="344"/>
      <c r="PMM43" s="344"/>
      <c r="PMN43" s="344"/>
      <c r="PMO43" s="344"/>
      <c r="PMP43" s="344"/>
      <c r="PMQ43" s="344"/>
      <c r="PMR43" s="344"/>
      <c r="PMS43" s="344"/>
      <c r="PMT43" s="344"/>
      <c r="PMU43" s="344"/>
      <c r="PMV43" s="344"/>
      <c r="PMW43" s="344"/>
      <c r="PMX43" s="344"/>
      <c r="PMY43" s="344"/>
      <c r="PMZ43" s="344"/>
      <c r="PNA43" s="344"/>
      <c r="PNB43" s="344"/>
      <c r="PNC43" s="344"/>
      <c r="PND43" s="344"/>
      <c r="PNE43" s="344"/>
      <c r="PNF43" s="344"/>
      <c r="PNG43" s="344"/>
      <c r="PNH43" s="344"/>
      <c r="PNI43" s="344"/>
      <c r="PNJ43" s="344"/>
      <c r="PNK43" s="344"/>
      <c r="PNL43" s="344"/>
      <c r="PNM43" s="344"/>
      <c r="PNN43" s="344"/>
      <c r="PNO43" s="344"/>
      <c r="PNP43" s="344"/>
      <c r="PNQ43" s="344"/>
      <c r="PNR43" s="344"/>
      <c r="PNS43" s="344"/>
      <c r="PNT43" s="344"/>
      <c r="PNU43" s="344"/>
      <c r="PNV43" s="344"/>
      <c r="PNW43" s="344"/>
      <c r="PNX43" s="344"/>
      <c r="PNY43" s="344"/>
      <c r="PNZ43" s="344"/>
      <c r="POA43" s="344"/>
      <c r="POB43" s="344"/>
      <c r="POC43" s="344"/>
      <c r="POD43" s="344"/>
      <c r="POE43" s="344"/>
      <c r="POF43" s="344"/>
      <c r="POG43" s="344"/>
      <c r="POH43" s="344"/>
      <c r="POI43" s="344"/>
      <c r="POJ43" s="344"/>
      <c r="POK43" s="344"/>
      <c r="POL43" s="344"/>
      <c r="POM43" s="344"/>
      <c r="PON43" s="344"/>
      <c r="POO43" s="344"/>
      <c r="POP43" s="344"/>
      <c r="POQ43" s="344"/>
      <c r="POR43" s="344"/>
      <c r="POS43" s="344"/>
      <c r="POT43" s="344"/>
      <c r="POU43" s="344"/>
      <c r="POV43" s="344"/>
      <c r="POW43" s="344"/>
      <c r="POX43" s="344"/>
      <c r="POY43" s="344"/>
      <c r="POZ43" s="344"/>
      <c r="PPA43" s="344"/>
      <c r="PPB43" s="344"/>
      <c r="PPC43" s="344"/>
      <c r="PPD43" s="344"/>
      <c r="PPE43" s="344"/>
      <c r="PPF43" s="344"/>
      <c r="PPG43" s="344"/>
      <c r="PPH43" s="344"/>
      <c r="PPI43" s="344"/>
      <c r="PPJ43" s="344"/>
      <c r="PPK43" s="344"/>
      <c r="PPL43" s="344"/>
      <c r="PPM43" s="344"/>
      <c r="PPN43" s="344"/>
      <c r="PPO43" s="344"/>
      <c r="PPP43" s="344"/>
      <c r="PPQ43" s="344"/>
      <c r="PPR43" s="344"/>
      <c r="PPS43" s="344"/>
      <c r="PPT43" s="344"/>
      <c r="PPU43" s="344"/>
      <c r="PPV43" s="344"/>
      <c r="PPW43" s="344"/>
      <c r="PPX43" s="344"/>
      <c r="PPY43" s="344"/>
      <c r="PPZ43" s="344"/>
      <c r="PQA43" s="344"/>
      <c r="PQB43" s="344"/>
      <c r="PQC43" s="344"/>
      <c r="PQD43" s="344"/>
      <c r="PQE43" s="344"/>
      <c r="PQF43" s="344"/>
      <c r="PQG43" s="344"/>
      <c r="PQH43" s="344"/>
      <c r="PQI43" s="344"/>
      <c r="PQJ43" s="344"/>
      <c r="PQK43" s="344"/>
      <c r="PQL43" s="344"/>
      <c r="PQM43" s="344"/>
      <c r="PQN43" s="344"/>
      <c r="PQO43" s="344"/>
      <c r="PQP43" s="344"/>
      <c r="PQQ43" s="344"/>
      <c r="PQR43" s="344"/>
      <c r="PQS43" s="344"/>
      <c r="PQT43" s="344"/>
      <c r="PQU43" s="344"/>
      <c r="PQV43" s="344"/>
      <c r="PQW43" s="344"/>
      <c r="PQX43" s="344"/>
      <c r="PQY43" s="344"/>
      <c r="PQZ43" s="344"/>
      <c r="PRA43" s="344"/>
      <c r="PRB43" s="344"/>
      <c r="PRC43" s="344"/>
      <c r="PRD43" s="344"/>
      <c r="PRE43" s="344"/>
      <c r="PRF43" s="344"/>
      <c r="PRG43" s="344"/>
      <c r="PRH43" s="344"/>
      <c r="PRI43" s="344"/>
      <c r="PRJ43" s="344"/>
      <c r="PRK43" s="344"/>
      <c r="PRL43" s="344"/>
      <c r="PRM43" s="344"/>
      <c r="PRN43" s="344"/>
      <c r="PRO43" s="344"/>
      <c r="PRP43" s="344"/>
      <c r="PRQ43" s="344"/>
      <c r="PRR43" s="344"/>
      <c r="PRS43" s="344"/>
      <c r="PRT43" s="344"/>
      <c r="PRU43" s="344"/>
      <c r="PRV43" s="344"/>
      <c r="PRW43" s="344"/>
      <c r="PRX43" s="344"/>
      <c r="PRY43" s="344"/>
      <c r="PRZ43" s="344"/>
      <c r="PSA43" s="344"/>
      <c r="PSB43" s="344"/>
      <c r="PSC43" s="344"/>
      <c r="PSD43" s="344"/>
      <c r="PSE43" s="344"/>
      <c r="PSF43" s="344"/>
      <c r="PSG43" s="344"/>
      <c r="PSH43" s="344"/>
      <c r="PSI43" s="344"/>
      <c r="PSJ43" s="344"/>
      <c r="PSK43" s="344"/>
      <c r="PSL43" s="344"/>
      <c r="PSM43" s="344"/>
      <c r="PSN43" s="344"/>
      <c r="PSO43" s="344"/>
      <c r="PSP43" s="344"/>
      <c r="PSQ43" s="344"/>
      <c r="PSR43" s="344"/>
      <c r="PSS43" s="344"/>
      <c r="PST43" s="344"/>
      <c r="PSU43" s="344"/>
      <c r="PSV43" s="344"/>
      <c r="PSW43" s="344"/>
      <c r="PSX43" s="344"/>
      <c r="PSY43" s="344"/>
      <c r="PSZ43" s="344"/>
      <c r="PTA43" s="344"/>
      <c r="PTB43" s="344"/>
      <c r="PTC43" s="344"/>
      <c r="PTD43" s="344"/>
      <c r="PTE43" s="344"/>
      <c r="PTF43" s="344"/>
      <c r="PTG43" s="344"/>
      <c r="PTH43" s="344"/>
      <c r="PTI43" s="344"/>
      <c r="PTJ43" s="344"/>
      <c r="PTK43" s="344"/>
      <c r="PTL43" s="344"/>
      <c r="PTM43" s="344"/>
      <c r="PTN43" s="344"/>
      <c r="PTO43" s="344"/>
      <c r="PTP43" s="344"/>
      <c r="PTQ43" s="344"/>
      <c r="PTR43" s="344"/>
      <c r="PTS43" s="344"/>
      <c r="PTT43" s="344"/>
      <c r="PTU43" s="344"/>
      <c r="PTV43" s="344"/>
      <c r="PTW43" s="344"/>
      <c r="PTX43" s="344"/>
      <c r="PTY43" s="344"/>
      <c r="PTZ43" s="344"/>
      <c r="PUA43" s="344"/>
      <c r="PUB43" s="344"/>
      <c r="PUC43" s="344"/>
      <c r="PUD43" s="344"/>
      <c r="PUE43" s="344"/>
      <c r="PUF43" s="344"/>
      <c r="PUG43" s="344"/>
      <c r="PUH43" s="344"/>
      <c r="PUI43" s="344"/>
      <c r="PUJ43" s="344"/>
      <c r="PUK43" s="344"/>
      <c r="PUL43" s="344"/>
      <c r="PUM43" s="344"/>
      <c r="PUN43" s="344"/>
      <c r="PUO43" s="344"/>
      <c r="PUP43" s="344"/>
      <c r="PUQ43" s="344"/>
      <c r="PUR43" s="344"/>
      <c r="PUS43" s="344"/>
      <c r="PUT43" s="344"/>
      <c r="PUU43" s="344"/>
      <c r="PUV43" s="344"/>
      <c r="PUW43" s="344"/>
      <c r="PUX43" s="344"/>
      <c r="PUY43" s="344"/>
      <c r="PUZ43" s="344"/>
      <c r="PVA43" s="344"/>
      <c r="PVB43" s="344"/>
      <c r="PVC43" s="344"/>
      <c r="PVD43" s="344"/>
      <c r="PVE43" s="344"/>
      <c r="PVF43" s="344"/>
      <c r="PVG43" s="344"/>
      <c r="PVH43" s="344"/>
      <c r="PVI43" s="344"/>
      <c r="PVJ43" s="344"/>
      <c r="PVK43" s="344"/>
      <c r="PVL43" s="344"/>
      <c r="PVM43" s="344"/>
      <c r="PVN43" s="344"/>
      <c r="PVO43" s="344"/>
      <c r="PVP43" s="344"/>
      <c r="PVQ43" s="344"/>
      <c r="PVR43" s="344"/>
      <c r="PVS43" s="344"/>
      <c r="PVT43" s="344"/>
      <c r="PVU43" s="344"/>
      <c r="PVV43" s="344"/>
      <c r="PVW43" s="344"/>
      <c r="PVX43" s="344"/>
      <c r="PVY43" s="344"/>
      <c r="PVZ43" s="344"/>
      <c r="PWA43" s="344"/>
      <c r="PWB43" s="344"/>
      <c r="PWC43" s="344"/>
      <c r="PWD43" s="344"/>
      <c r="PWE43" s="344"/>
      <c r="PWF43" s="344"/>
      <c r="PWG43" s="344"/>
      <c r="PWH43" s="344"/>
      <c r="PWI43" s="344"/>
      <c r="PWJ43" s="344"/>
      <c r="PWK43" s="344"/>
      <c r="PWL43" s="344"/>
      <c r="PWM43" s="344"/>
      <c r="PWN43" s="344"/>
      <c r="PWO43" s="344"/>
      <c r="PWP43" s="344"/>
      <c r="PWQ43" s="344"/>
      <c r="PWR43" s="344"/>
      <c r="PWS43" s="344"/>
      <c r="PWT43" s="344"/>
      <c r="PWU43" s="344"/>
      <c r="PWV43" s="344"/>
      <c r="PWW43" s="344"/>
      <c r="PWX43" s="344"/>
      <c r="PWY43" s="344"/>
      <c r="PWZ43" s="344"/>
      <c r="PXA43" s="344"/>
      <c r="PXB43" s="344"/>
      <c r="PXC43" s="344"/>
      <c r="PXD43" s="344"/>
      <c r="PXE43" s="344"/>
      <c r="PXF43" s="344"/>
      <c r="PXG43" s="344"/>
      <c r="PXH43" s="344"/>
      <c r="PXI43" s="344"/>
      <c r="PXJ43" s="344"/>
      <c r="PXK43" s="344"/>
      <c r="PXL43" s="344"/>
      <c r="PXM43" s="344"/>
      <c r="PXN43" s="344"/>
      <c r="PXO43" s="344"/>
      <c r="PXP43" s="344"/>
      <c r="PXQ43" s="344"/>
      <c r="PXR43" s="344"/>
      <c r="PXS43" s="344"/>
      <c r="PXT43" s="344"/>
      <c r="PXU43" s="344"/>
      <c r="PXV43" s="344"/>
      <c r="PXW43" s="344"/>
      <c r="PXX43" s="344"/>
      <c r="PXY43" s="344"/>
      <c r="PXZ43" s="344"/>
      <c r="PYA43" s="344"/>
      <c r="PYB43" s="344"/>
      <c r="PYC43" s="344"/>
      <c r="PYD43" s="344"/>
      <c r="PYE43" s="344"/>
      <c r="PYF43" s="344"/>
      <c r="PYG43" s="344"/>
      <c r="PYH43" s="344"/>
      <c r="PYI43" s="344"/>
      <c r="PYJ43" s="344"/>
      <c r="PYK43" s="344"/>
      <c r="PYL43" s="344"/>
      <c r="PYM43" s="344"/>
      <c r="PYN43" s="344"/>
      <c r="PYO43" s="344"/>
      <c r="PYP43" s="344"/>
      <c r="PYQ43" s="344"/>
      <c r="PYR43" s="344"/>
      <c r="PYS43" s="344"/>
      <c r="PYT43" s="344"/>
      <c r="PYU43" s="344"/>
      <c r="PYV43" s="344"/>
      <c r="PYW43" s="344"/>
      <c r="PYX43" s="344"/>
      <c r="PYY43" s="344"/>
      <c r="PYZ43" s="344"/>
      <c r="PZA43" s="344"/>
      <c r="PZB43" s="344"/>
      <c r="PZC43" s="344"/>
      <c r="PZD43" s="344"/>
      <c r="PZE43" s="344"/>
      <c r="PZF43" s="344"/>
      <c r="PZG43" s="344"/>
      <c r="PZH43" s="344"/>
      <c r="PZI43" s="344"/>
      <c r="PZJ43" s="344"/>
      <c r="PZK43" s="344"/>
      <c r="PZL43" s="344"/>
      <c r="PZM43" s="344"/>
      <c r="PZN43" s="344"/>
      <c r="PZO43" s="344"/>
      <c r="PZP43" s="344"/>
      <c r="PZQ43" s="344"/>
      <c r="PZR43" s="344"/>
      <c r="PZS43" s="344"/>
      <c r="PZT43" s="344"/>
      <c r="PZU43" s="344"/>
      <c r="PZV43" s="344"/>
      <c r="PZW43" s="344"/>
      <c r="PZX43" s="344"/>
      <c r="PZY43" s="344"/>
      <c r="PZZ43" s="344"/>
      <c r="QAA43" s="344"/>
      <c r="QAB43" s="344"/>
      <c r="QAC43" s="344"/>
      <c r="QAD43" s="344"/>
      <c r="QAE43" s="344"/>
      <c r="QAF43" s="344"/>
      <c r="QAG43" s="344"/>
      <c r="QAH43" s="344"/>
      <c r="QAI43" s="344"/>
      <c r="QAJ43" s="344"/>
      <c r="QAK43" s="344"/>
      <c r="QAL43" s="344"/>
      <c r="QAM43" s="344"/>
      <c r="QAN43" s="344"/>
      <c r="QAO43" s="344"/>
      <c r="QAP43" s="344"/>
      <c r="QAQ43" s="344"/>
      <c r="QAR43" s="344"/>
      <c r="QAS43" s="344"/>
      <c r="QAT43" s="344"/>
      <c r="QAU43" s="344"/>
      <c r="QAV43" s="344"/>
      <c r="QAW43" s="344"/>
      <c r="QAX43" s="344"/>
      <c r="QAY43" s="344"/>
      <c r="QAZ43" s="344"/>
      <c r="QBA43" s="344"/>
      <c r="QBB43" s="344"/>
      <c r="QBC43" s="344"/>
      <c r="QBD43" s="344"/>
      <c r="QBE43" s="344"/>
      <c r="QBF43" s="344"/>
      <c r="QBG43" s="344"/>
      <c r="QBH43" s="344"/>
      <c r="QBI43" s="344"/>
      <c r="QBJ43" s="344"/>
      <c r="QBK43" s="344"/>
      <c r="QBL43" s="344"/>
      <c r="QBM43" s="344"/>
      <c r="QBN43" s="344"/>
      <c r="QBO43" s="344"/>
      <c r="QBP43" s="344"/>
      <c r="QBQ43" s="344"/>
      <c r="QBR43" s="344"/>
      <c r="QBS43" s="344"/>
      <c r="QBT43" s="344"/>
      <c r="QBU43" s="344"/>
      <c r="QBV43" s="344"/>
      <c r="QBW43" s="344"/>
      <c r="QBX43" s="344"/>
      <c r="QBY43" s="344"/>
      <c r="QBZ43" s="344"/>
      <c r="QCA43" s="344"/>
      <c r="QCB43" s="344"/>
      <c r="QCC43" s="344"/>
      <c r="QCD43" s="344"/>
      <c r="QCE43" s="344"/>
      <c r="QCF43" s="344"/>
      <c r="QCG43" s="344"/>
      <c r="QCH43" s="344"/>
      <c r="QCI43" s="344"/>
      <c r="QCJ43" s="344"/>
      <c r="QCK43" s="344"/>
      <c r="QCL43" s="344"/>
      <c r="QCM43" s="344"/>
      <c r="QCN43" s="344"/>
      <c r="QCO43" s="344"/>
      <c r="QCP43" s="344"/>
      <c r="QCQ43" s="344"/>
      <c r="QCR43" s="344"/>
      <c r="QCS43" s="344"/>
      <c r="QCT43" s="344"/>
      <c r="QCU43" s="344"/>
      <c r="QCV43" s="344"/>
      <c r="QCW43" s="344"/>
      <c r="QCX43" s="344"/>
      <c r="QCY43" s="344"/>
      <c r="QCZ43" s="344"/>
      <c r="QDA43" s="344"/>
      <c r="QDB43" s="344"/>
      <c r="QDC43" s="344"/>
      <c r="QDD43" s="344"/>
      <c r="QDE43" s="344"/>
      <c r="QDF43" s="344"/>
      <c r="QDG43" s="344"/>
      <c r="QDH43" s="344"/>
      <c r="QDI43" s="344"/>
      <c r="QDJ43" s="344"/>
      <c r="QDK43" s="344"/>
      <c r="QDL43" s="344"/>
      <c r="QDM43" s="344"/>
      <c r="QDN43" s="344"/>
      <c r="QDO43" s="344"/>
      <c r="QDP43" s="344"/>
      <c r="QDQ43" s="344"/>
      <c r="QDR43" s="344"/>
      <c r="QDS43" s="344"/>
      <c r="QDT43" s="344"/>
      <c r="QDU43" s="344"/>
      <c r="QDV43" s="344"/>
      <c r="QDW43" s="344"/>
      <c r="QDX43" s="344"/>
      <c r="QDY43" s="344"/>
      <c r="QDZ43" s="344"/>
      <c r="QEA43" s="344"/>
      <c r="QEB43" s="344"/>
      <c r="QEC43" s="344"/>
      <c r="QED43" s="344"/>
      <c r="QEE43" s="344"/>
      <c r="QEF43" s="344"/>
      <c r="QEG43" s="344"/>
      <c r="QEH43" s="344"/>
      <c r="QEI43" s="344"/>
      <c r="QEJ43" s="344"/>
      <c r="QEK43" s="344"/>
      <c r="QEL43" s="344"/>
      <c r="QEM43" s="344"/>
      <c r="QEN43" s="344"/>
      <c r="QEO43" s="344"/>
      <c r="QEP43" s="344"/>
      <c r="QEQ43" s="344"/>
      <c r="QER43" s="344"/>
      <c r="QES43" s="344"/>
      <c r="QET43" s="344"/>
      <c r="QEU43" s="344"/>
      <c r="QEV43" s="344"/>
      <c r="QEW43" s="344"/>
      <c r="QEX43" s="344"/>
      <c r="QEY43" s="344"/>
      <c r="QEZ43" s="344"/>
      <c r="QFA43" s="344"/>
      <c r="QFB43" s="344"/>
      <c r="QFC43" s="344"/>
      <c r="QFD43" s="344"/>
      <c r="QFE43" s="344"/>
      <c r="QFF43" s="344"/>
      <c r="QFG43" s="344"/>
      <c r="QFH43" s="344"/>
      <c r="QFI43" s="344"/>
      <c r="QFJ43" s="344"/>
      <c r="QFK43" s="344"/>
      <c r="QFL43" s="344"/>
      <c r="QFM43" s="344"/>
      <c r="QFN43" s="344"/>
      <c r="QFO43" s="344"/>
      <c r="QFP43" s="344"/>
      <c r="QFQ43" s="344"/>
      <c r="QFR43" s="344"/>
      <c r="QFS43" s="344"/>
      <c r="QFT43" s="344"/>
      <c r="QFU43" s="344"/>
      <c r="QFV43" s="344"/>
      <c r="QFW43" s="344"/>
      <c r="QFX43" s="344"/>
      <c r="QFY43" s="344"/>
      <c r="QFZ43" s="344"/>
      <c r="QGA43" s="344"/>
      <c r="QGB43" s="344"/>
      <c r="QGC43" s="344"/>
      <c r="QGD43" s="344"/>
      <c r="QGE43" s="344"/>
      <c r="QGF43" s="344"/>
      <c r="QGG43" s="344"/>
      <c r="QGH43" s="344"/>
      <c r="QGI43" s="344"/>
      <c r="QGJ43" s="344"/>
      <c r="QGK43" s="344"/>
      <c r="QGL43" s="344"/>
      <c r="QGM43" s="344"/>
      <c r="QGN43" s="344"/>
      <c r="QGO43" s="344"/>
      <c r="QGP43" s="344"/>
      <c r="QGQ43" s="344"/>
      <c r="QGR43" s="344"/>
      <c r="QGS43" s="344"/>
      <c r="QGT43" s="344"/>
      <c r="QGU43" s="344"/>
      <c r="QGV43" s="344"/>
      <c r="QGW43" s="344"/>
      <c r="QGX43" s="344"/>
      <c r="QGY43" s="344"/>
      <c r="QGZ43" s="344"/>
      <c r="QHA43" s="344"/>
      <c r="QHB43" s="344"/>
      <c r="QHC43" s="344"/>
      <c r="QHD43" s="344"/>
      <c r="QHE43" s="344"/>
      <c r="QHF43" s="344"/>
      <c r="QHG43" s="344"/>
      <c r="QHH43" s="344"/>
      <c r="QHI43" s="344"/>
      <c r="QHJ43" s="344"/>
      <c r="QHK43" s="344"/>
      <c r="QHL43" s="344"/>
      <c r="QHM43" s="344"/>
      <c r="QHN43" s="344"/>
      <c r="QHO43" s="344"/>
      <c r="QHP43" s="344"/>
      <c r="QHQ43" s="344"/>
      <c r="QHR43" s="344"/>
      <c r="QHS43" s="344"/>
      <c r="QHT43" s="344"/>
      <c r="QHU43" s="344"/>
      <c r="QHV43" s="344"/>
      <c r="QHW43" s="344"/>
      <c r="QHX43" s="344"/>
      <c r="QHY43" s="344"/>
      <c r="QHZ43" s="344"/>
      <c r="QIA43" s="344"/>
      <c r="QIB43" s="344"/>
      <c r="QIC43" s="344"/>
      <c r="QID43" s="344"/>
      <c r="QIE43" s="344"/>
      <c r="QIF43" s="344"/>
      <c r="QIG43" s="344"/>
      <c r="QIH43" s="344"/>
      <c r="QII43" s="344"/>
      <c r="QIJ43" s="344"/>
      <c r="QIK43" s="344"/>
      <c r="QIL43" s="344"/>
      <c r="QIM43" s="344"/>
      <c r="QIN43" s="344"/>
      <c r="QIO43" s="344"/>
      <c r="QIP43" s="344"/>
      <c r="QIQ43" s="344"/>
      <c r="QIR43" s="344"/>
      <c r="QIS43" s="344"/>
      <c r="QIT43" s="344"/>
      <c r="QIU43" s="344"/>
      <c r="QIV43" s="344"/>
      <c r="QIW43" s="344"/>
      <c r="QIX43" s="344"/>
      <c r="QIY43" s="344"/>
      <c r="QIZ43" s="344"/>
      <c r="QJA43" s="344"/>
      <c r="QJB43" s="344"/>
      <c r="QJC43" s="344"/>
      <c r="QJD43" s="344"/>
      <c r="QJE43" s="344"/>
      <c r="QJF43" s="344"/>
      <c r="QJG43" s="344"/>
      <c r="QJH43" s="344"/>
      <c r="QJI43" s="344"/>
      <c r="QJJ43" s="344"/>
      <c r="QJK43" s="344"/>
      <c r="QJL43" s="344"/>
      <c r="QJM43" s="344"/>
      <c r="QJN43" s="344"/>
      <c r="QJO43" s="344"/>
      <c r="QJP43" s="344"/>
      <c r="QJQ43" s="344"/>
      <c r="QJR43" s="344"/>
      <c r="QJS43" s="344"/>
      <c r="QJT43" s="344"/>
      <c r="QJU43" s="344"/>
      <c r="QJV43" s="344"/>
      <c r="QJW43" s="344"/>
      <c r="QJX43" s="344"/>
      <c r="QJY43" s="344"/>
      <c r="QJZ43" s="344"/>
      <c r="QKA43" s="344"/>
      <c r="QKB43" s="344"/>
      <c r="QKC43" s="344"/>
      <c r="QKD43" s="344"/>
      <c r="QKE43" s="344"/>
      <c r="QKF43" s="344"/>
      <c r="QKG43" s="344"/>
      <c r="QKH43" s="344"/>
      <c r="QKI43" s="344"/>
      <c r="QKJ43" s="344"/>
      <c r="QKK43" s="344"/>
      <c r="QKL43" s="344"/>
      <c r="QKM43" s="344"/>
      <c r="QKN43" s="344"/>
      <c r="QKO43" s="344"/>
      <c r="QKP43" s="344"/>
      <c r="QKQ43" s="344"/>
      <c r="QKR43" s="344"/>
      <c r="QKS43" s="344"/>
      <c r="QKT43" s="344"/>
      <c r="QKU43" s="344"/>
      <c r="QKV43" s="344"/>
      <c r="QKW43" s="344"/>
      <c r="QKX43" s="344"/>
      <c r="QKY43" s="344"/>
      <c r="QKZ43" s="344"/>
      <c r="QLA43" s="344"/>
      <c r="QLB43" s="344"/>
      <c r="QLC43" s="344"/>
      <c r="QLD43" s="344"/>
      <c r="QLE43" s="344"/>
      <c r="QLF43" s="344"/>
      <c r="QLG43" s="344"/>
      <c r="QLH43" s="344"/>
      <c r="QLI43" s="344"/>
      <c r="QLJ43" s="344"/>
      <c r="QLK43" s="344"/>
      <c r="QLL43" s="344"/>
      <c r="QLM43" s="344"/>
      <c r="QLN43" s="344"/>
      <c r="QLO43" s="344"/>
      <c r="QLP43" s="344"/>
      <c r="QLQ43" s="344"/>
      <c r="QLR43" s="344"/>
      <c r="QLS43" s="344"/>
      <c r="QLT43" s="344"/>
      <c r="QLU43" s="344"/>
      <c r="QLV43" s="344"/>
      <c r="QLW43" s="344"/>
      <c r="QLX43" s="344"/>
      <c r="QLY43" s="344"/>
      <c r="QLZ43" s="344"/>
      <c r="QMA43" s="344"/>
      <c r="QMB43" s="344"/>
      <c r="QMC43" s="344"/>
      <c r="QMD43" s="344"/>
      <c r="QME43" s="344"/>
      <c r="QMF43" s="344"/>
      <c r="QMG43" s="344"/>
      <c r="QMH43" s="344"/>
      <c r="QMI43" s="344"/>
      <c r="QMJ43" s="344"/>
      <c r="QMK43" s="344"/>
      <c r="QML43" s="344"/>
      <c r="QMM43" s="344"/>
      <c r="QMN43" s="344"/>
      <c r="QMO43" s="344"/>
      <c r="QMP43" s="344"/>
      <c r="QMQ43" s="344"/>
      <c r="QMR43" s="344"/>
      <c r="QMS43" s="344"/>
      <c r="QMT43" s="344"/>
      <c r="QMU43" s="344"/>
      <c r="QMV43" s="344"/>
      <c r="QMW43" s="344"/>
      <c r="QMX43" s="344"/>
      <c r="QMY43" s="344"/>
      <c r="QMZ43" s="344"/>
      <c r="QNA43" s="344"/>
      <c r="QNB43" s="344"/>
      <c r="QNC43" s="344"/>
      <c r="QND43" s="344"/>
      <c r="QNE43" s="344"/>
      <c r="QNF43" s="344"/>
      <c r="QNG43" s="344"/>
      <c r="QNH43" s="344"/>
      <c r="QNI43" s="344"/>
      <c r="QNJ43" s="344"/>
      <c r="QNK43" s="344"/>
      <c r="QNL43" s="344"/>
      <c r="QNM43" s="344"/>
      <c r="QNN43" s="344"/>
      <c r="QNO43" s="344"/>
      <c r="QNP43" s="344"/>
      <c r="QNQ43" s="344"/>
      <c r="QNR43" s="344"/>
      <c r="QNS43" s="344"/>
      <c r="QNT43" s="344"/>
      <c r="QNU43" s="344"/>
      <c r="QNV43" s="344"/>
      <c r="QNW43" s="344"/>
      <c r="QNX43" s="344"/>
      <c r="QNY43" s="344"/>
      <c r="QNZ43" s="344"/>
      <c r="QOA43" s="344"/>
      <c r="QOB43" s="344"/>
      <c r="QOC43" s="344"/>
      <c r="QOD43" s="344"/>
      <c r="QOE43" s="344"/>
      <c r="QOF43" s="344"/>
      <c r="QOG43" s="344"/>
      <c r="QOH43" s="344"/>
      <c r="QOI43" s="344"/>
      <c r="QOJ43" s="344"/>
      <c r="QOK43" s="344"/>
      <c r="QOL43" s="344"/>
      <c r="QOM43" s="344"/>
      <c r="QON43" s="344"/>
      <c r="QOO43" s="344"/>
      <c r="QOP43" s="344"/>
      <c r="QOQ43" s="344"/>
      <c r="QOR43" s="344"/>
      <c r="QOS43" s="344"/>
      <c r="QOT43" s="344"/>
      <c r="QOU43" s="344"/>
      <c r="QOV43" s="344"/>
      <c r="QOW43" s="344"/>
      <c r="QOX43" s="344"/>
      <c r="QOY43" s="344"/>
      <c r="QOZ43" s="344"/>
      <c r="QPA43" s="344"/>
      <c r="QPB43" s="344"/>
      <c r="QPC43" s="344"/>
      <c r="QPD43" s="344"/>
      <c r="QPE43" s="344"/>
      <c r="QPF43" s="344"/>
      <c r="QPG43" s="344"/>
      <c r="QPH43" s="344"/>
      <c r="QPI43" s="344"/>
      <c r="QPJ43" s="344"/>
      <c r="QPK43" s="344"/>
      <c r="QPL43" s="344"/>
      <c r="QPM43" s="344"/>
      <c r="QPN43" s="344"/>
      <c r="QPO43" s="344"/>
      <c r="QPP43" s="344"/>
      <c r="QPQ43" s="344"/>
      <c r="QPR43" s="344"/>
      <c r="QPS43" s="344"/>
      <c r="QPT43" s="344"/>
      <c r="QPU43" s="344"/>
      <c r="QPV43" s="344"/>
      <c r="QPW43" s="344"/>
      <c r="QPX43" s="344"/>
      <c r="QPY43" s="344"/>
      <c r="QPZ43" s="344"/>
      <c r="QQA43" s="344"/>
      <c r="QQB43" s="344"/>
      <c r="QQC43" s="344"/>
      <c r="QQD43" s="344"/>
      <c r="QQE43" s="344"/>
      <c r="QQF43" s="344"/>
      <c r="QQG43" s="344"/>
      <c r="QQH43" s="344"/>
      <c r="QQI43" s="344"/>
      <c r="QQJ43" s="344"/>
      <c r="QQK43" s="344"/>
      <c r="QQL43" s="344"/>
      <c r="QQM43" s="344"/>
      <c r="QQN43" s="344"/>
      <c r="QQO43" s="344"/>
      <c r="QQP43" s="344"/>
      <c r="QQQ43" s="344"/>
      <c r="QQR43" s="344"/>
      <c r="QQS43" s="344"/>
      <c r="QQT43" s="344"/>
      <c r="QQU43" s="344"/>
      <c r="QQV43" s="344"/>
      <c r="QQW43" s="344"/>
      <c r="QQX43" s="344"/>
      <c r="QQY43" s="344"/>
      <c r="QQZ43" s="344"/>
      <c r="QRA43" s="344"/>
      <c r="QRB43" s="344"/>
      <c r="QRC43" s="344"/>
      <c r="QRD43" s="344"/>
      <c r="QRE43" s="344"/>
      <c r="QRF43" s="344"/>
      <c r="QRG43" s="344"/>
      <c r="QRH43" s="344"/>
      <c r="QRI43" s="344"/>
      <c r="QRJ43" s="344"/>
      <c r="QRK43" s="344"/>
      <c r="QRL43" s="344"/>
      <c r="QRM43" s="344"/>
      <c r="QRN43" s="344"/>
      <c r="QRO43" s="344"/>
      <c r="QRP43" s="344"/>
      <c r="QRQ43" s="344"/>
      <c r="QRR43" s="344"/>
      <c r="QRS43" s="344"/>
      <c r="QRT43" s="344"/>
      <c r="QRU43" s="344"/>
      <c r="QRV43" s="344"/>
      <c r="QRW43" s="344"/>
      <c r="QRX43" s="344"/>
      <c r="QRY43" s="344"/>
      <c r="QRZ43" s="344"/>
      <c r="QSA43" s="344"/>
      <c r="QSB43" s="344"/>
      <c r="QSC43" s="344"/>
      <c r="QSD43" s="344"/>
      <c r="QSE43" s="344"/>
      <c r="QSF43" s="344"/>
      <c r="QSG43" s="344"/>
      <c r="QSH43" s="344"/>
      <c r="QSI43" s="344"/>
      <c r="QSJ43" s="344"/>
      <c r="QSK43" s="344"/>
      <c r="QSL43" s="344"/>
      <c r="QSM43" s="344"/>
      <c r="QSN43" s="344"/>
      <c r="QSO43" s="344"/>
      <c r="QSP43" s="344"/>
      <c r="QSQ43" s="344"/>
      <c r="QSR43" s="344"/>
      <c r="QSS43" s="344"/>
      <c r="QST43" s="344"/>
      <c r="QSU43" s="344"/>
      <c r="QSV43" s="344"/>
      <c r="QSW43" s="344"/>
      <c r="QSX43" s="344"/>
      <c r="QSY43" s="344"/>
      <c r="QSZ43" s="344"/>
      <c r="QTA43" s="344"/>
      <c r="QTB43" s="344"/>
      <c r="QTC43" s="344"/>
      <c r="QTD43" s="344"/>
      <c r="QTE43" s="344"/>
      <c r="QTF43" s="344"/>
      <c r="QTG43" s="344"/>
      <c r="QTH43" s="344"/>
      <c r="QTI43" s="344"/>
      <c r="QTJ43" s="344"/>
      <c r="QTK43" s="344"/>
      <c r="QTL43" s="344"/>
      <c r="QTM43" s="344"/>
      <c r="QTN43" s="344"/>
      <c r="QTO43" s="344"/>
      <c r="QTP43" s="344"/>
      <c r="QTQ43" s="344"/>
      <c r="QTR43" s="344"/>
      <c r="QTS43" s="344"/>
      <c r="QTT43" s="344"/>
      <c r="QTU43" s="344"/>
      <c r="QTV43" s="344"/>
      <c r="QTW43" s="344"/>
      <c r="QTX43" s="344"/>
      <c r="QTY43" s="344"/>
      <c r="QTZ43" s="344"/>
      <c r="QUA43" s="344"/>
      <c r="QUB43" s="344"/>
      <c r="QUC43" s="344"/>
      <c r="QUD43" s="344"/>
      <c r="QUE43" s="344"/>
      <c r="QUF43" s="344"/>
      <c r="QUG43" s="344"/>
      <c r="QUH43" s="344"/>
      <c r="QUI43" s="344"/>
      <c r="QUJ43" s="344"/>
      <c r="QUK43" s="344"/>
      <c r="QUL43" s="344"/>
      <c r="QUM43" s="344"/>
      <c r="QUN43" s="344"/>
      <c r="QUO43" s="344"/>
      <c r="QUP43" s="344"/>
      <c r="QUQ43" s="344"/>
      <c r="QUR43" s="344"/>
      <c r="QUS43" s="344"/>
      <c r="QUT43" s="344"/>
      <c r="QUU43" s="344"/>
      <c r="QUV43" s="344"/>
      <c r="QUW43" s="344"/>
      <c r="QUX43" s="344"/>
      <c r="QUY43" s="344"/>
      <c r="QUZ43" s="344"/>
      <c r="QVA43" s="344"/>
      <c r="QVB43" s="344"/>
      <c r="QVC43" s="344"/>
      <c r="QVD43" s="344"/>
      <c r="QVE43" s="344"/>
      <c r="QVF43" s="344"/>
      <c r="QVG43" s="344"/>
      <c r="QVH43" s="344"/>
      <c r="QVI43" s="344"/>
      <c r="QVJ43" s="344"/>
      <c r="QVK43" s="344"/>
      <c r="QVL43" s="344"/>
      <c r="QVM43" s="344"/>
      <c r="QVN43" s="344"/>
      <c r="QVO43" s="344"/>
      <c r="QVP43" s="344"/>
      <c r="QVQ43" s="344"/>
      <c r="QVR43" s="344"/>
      <c r="QVS43" s="344"/>
      <c r="QVT43" s="344"/>
      <c r="QVU43" s="344"/>
      <c r="QVV43" s="344"/>
      <c r="QVW43" s="344"/>
      <c r="QVX43" s="344"/>
      <c r="QVY43" s="344"/>
      <c r="QVZ43" s="344"/>
      <c r="QWA43" s="344"/>
      <c r="QWB43" s="344"/>
      <c r="QWC43" s="344"/>
      <c r="QWD43" s="344"/>
      <c r="QWE43" s="344"/>
      <c r="QWF43" s="344"/>
      <c r="QWG43" s="344"/>
      <c r="QWH43" s="344"/>
      <c r="QWI43" s="344"/>
      <c r="QWJ43" s="344"/>
      <c r="QWK43" s="344"/>
      <c r="QWL43" s="344"/>
      <c r="QWM43" s="344"/>
      <c r="QWN43" s="344"/>
      <c r="QWO43" s="344"/>
      <c r="QWP43" s="344"/>
      <c r="QWQ43" s="344"/>
      <c r="QWR43" s="344"/>
      <c r="QWS43" s="344"/>
      <c r="QWT43" s="344"/>
      <c r="QWU43" s="344"/>
      <c r="QWV43" s="344"/>
      <c r="QWW43" s="344"/>
      <c r="QWX43" s="344"/>
      <c r="QWY43" s="344"/>
      <c r="QWZ43" s="344"/>
      <c r="QXA43" s="344"/>
      <c r="QXB43" s="344"/>
      <c r="QXC43" s="344"/>
      <c r="QXD43" s="344"/>
      <c r="QXE43" s="344"/>
      <c r="QXF43" s="344"/>
      <c r="QXG43" s="344"/>
      <c r="QXH43" s="344"/>
      <c r="QXI43" s="344"/>
      <c r="QXJ43" s="344"/>
      <c r="QXK43" s="344"/>
      <c r="QXL43" s="344"/>
      <c r="QXM43" s="344"/>
      <c r="QXN43" s="344"/>
      <c r="QXO43" s="344"/>
      <c r="QXP43" s="344"/>
      <c r="QXQ43" s="344"/>
      <c r="QXR43" s="344"/>
      <c r="QXS43" s="344"/>
      <c r="QXT43" s="344"/>
      <c r="QXU43" s="344"/>
      <c r="QXV43" s="344"/>
      <c r="QXW43" s="344"/>
      <c r="QXX43" s="344"/>
      <c r="QXY43" s="344"/>
      <c r="QXZ43" s="344"/>
      <c r="QYA43" s="344"/>
      <c r="QYB43" s="344"/>
      <c r="QYC43" s="344"/>
      <c r="QYD43" s="344"/>
      <c r="QYE43" s="344"/>
      <c r="QYF43" s="344"/>
      <c r="QYG43" s="344"/>
      <c r="QYH43" s="344"/>
      <c r="QYI43" s="344"/>
      <c r="QYJ43" s="344"/>
      <c r="QYK43" s="344"/>
      <c r="QYL43" s="344"/>
      <c r="QYM43" s="344"/>
      <c r="QYN43" s="344"/>
      <c r="QYO43" s="344"/>
      <c r="QYP43" s="344"/>
      <c r="QYQ43" s="344"/>
      <c r="QYR43" s="344"/>
      <c r="QYS43" s="344"/>
      <c r="QYT43" s="344"/>
      <c r="QYU43" s="344"/>
      <c r="QYV43" s="344"/>
      <c r="QYW43" s="344"/>
      <c r="QYX43" s="344"/>
      <c r="QYY43" s="344"/>
      <c r="QYZ43" s="344"/>
      <c r="QZA43" s="344"/>
      <c r="QZB43" s="344"/>
      <c r="QZC43" s="344"/>
      <c r="QZD43" s="344"/>
      <c r="QZE43" s="344"/>
      <c r="QZF43" s="344"/>
      <c r="QZG43" s="344"/>
      <c r="QZH43" s="344"/>
      <c r="QZI43" s="344"/>
      <c r="QZJ43" s="344"/>
      <c r="QZK43" s="344"/>
      <c r="QZL43" s="344"/>
      <c r="QZM43" s="344"/>
      <c r="QZN43" s="344"/>
      <c r="QZO43" s="344"/>
      <c r="QZP43" s="344"/>
      <c r="QZQ43" s="344"/>
      <c r="QZR43" s="344"/>
      <c r="QZS43" s="344"/>
      <c r="QZT43" s="344"/>
      <c r="QZU43" s="344"/>
      <c r="QZV43" s="344"/>
      <c r="QZW43" s="344"/>
      <c r="QZX43" s="344"/>
      <c r="QZY43" s="344"/>
      <c r="QZZ43" s="344"/>
      <c r="RAA43" s="344"/>
      <c r="RAB43" s="344"/>
      <c r="RAC43" s="344"/>
      <c r="RAD43" s="344"/>
      <c r="RAE43" s="344"/>
      <c r="RAF43" s="344"/>
      <c r="RAG43" s="344"/>
      <c r="RAH43" s="344"/>
      <c r="RAI43" s="344"/>
      <c r="RAJ43" s="344"/>
      <c r="RAK43" s="344"/>
      <c r="RAL43" s="344"/>
      <c r="RAM43" s="344"/>
      <c r="RAN43" s="344"/>
      <c r="RAO43" s="344"/>
      <c r="RAP43" s="344"/>
      <c r="RAQ43" s="344"/>
      <c r="RAR43" s="344"/>
      <c r="RAS43" s="344"/>
      <c r="RAT43" s="344"/>
      <c r="RAU43" s="344"/>
      <c r="RAV43" s="344"/>
      <c r="RAW43" s="344"/>
      <c r="RAX43" s="344"/>
      <c r="RAY43" s="344"/>
      <c r="RAZ43" s="344"/>
      <c r="RBA43" s="344"/>
      <c r="RBB43" s="344"/>
      <c r="RBC43" s="344"/>
      <c r="RBD43" s="344"/>
      <c r="RBE43" s="344"/>
      <c r="RBF43" s="344"/>
      <c r="RBG43" s="344"/>
      <c r="RBH43" s="344"/>
      <c r="RBI43" s="344"/>
      <c r="RBJ43" s="344"/>
      <c r="RBK43" s="344"/>
      <c r="RBL43" s="344"/>
      <c r="RBM43" s="344"/>
      <c r="RBN43" s="344"/>
      <c r="RBO43" s="344"/>
      <c r="RBP43" s="344"/>
      <c r="RBQ43" s="344"/>
      <c r="RBR43" s="344"/>
      <c r="RBS43" s="344"/>
      <c r="RBT43" s="344"/>
      <c r="RBU43" s="344"/>
      <c r="RBV43" s="344"/>
      <c r="RBW43" s="344"/>
      <c r="RBX43" s="344"/>
      <c r="RBY43" s="344"/>
      <c r="RBZ43" s="344"/>
      <c r="RCA43" s="344"/>
      <c r="RCB43" s="344"/>
      <c r="RCC43" s="344"/>
      <c r="RCD43" s="344"/>
      <c r="RCE43" s="344"/>
      <c r="RCF43" s="344"/>
      <c r="RCG43" s="344"/>
      <c r="RCH43" s="344"/>
      <c r="RCI43" s="344"/>
      <c r="RCJ43" s="344"/>
      <c r="RCK43" s="344"/>
      <c r="RCL43" s="344"/>
      <c r="RCM43" s="344"/>
      <c r="RCN43" s="344"/>
      <c r="RCO43" s="344"/>
      <c r="RCP43" s="344"/>
      <c r="RCQ43" s="344"/>
      <c r="RCR43" s="344"/>
      <c r="RCS43" s="344"/>
      <c r="RCT43" s="344"/>
      <c r="RCU43" s="344"/>
      <c r="RCV43" s="344"/>
      <c r="RCW43" s="344"/>
      <c r="RCX43" s="344"/>
      <c r="RCY43" s="344"/>
      <c r="RCZ43" s="344"/>
      <c r="RDA43" s="344"/>
      <c r="RDB43" s="344"/>
      <c r="RDC43" s="344"/>
      <c r="RDD43" s="344"/>
      <c r="RDE43" s="344"/>
      <c r="RDF43" s="344"/>
      <c r="RDG43" s="344"/>
      <c r="RDH43" s="344"/>
      <c r="RDI43" s="344"/>
      <c r="RDJ43" s="344"/>
      <c r="RDK43" s="344"/>
      <c r="RDL43" s="344"/>
      <c r="RDM43" s="344"/>
      <c r="RDN43" s="344"/>
      <c r="RDO43" s="344"/>
      <c r="RDP43" s="344"/>
      <c r="RDQ43" s="344"/>
      <c r="RDR43" s="344"/>
      <c r="RDS43" s="344"/>
      <c r="RDT43" s="344"/>
      <c r="RDU43" s="344"/>
      <c r="RDV43" s="344"/>
      <c r="RDW43" s="344"/>
      <c r="RDX43" s="344"/>
      <c r="RDY43" s="344"/>
      <c r="RDZ43" s="344"/>
      <c r="REA43" s="344"/>
      <c r="REB43" s="344"/>
      <c r="REC43" s="344"/>
      <c r="RED43" s="344"/>
      <c r="REE43" s="344"/>
      <c r="REF43" s="344"/>
      <c r="REG43" s="344"/>
      <c r="REH43" s="344"/>
      <c r="REI43" s="344"/>
      <c r="REJ43" s="344"/>
      <c r="REK43" s="344"/>
      <c r="REL43" s="344"/>
      <c r="REM43" s="344"/>
      <c r="REN43" s="344"/>
      <c r="REO43" s="344"/>
      <c r="REP43" s="344"/>
      <c r="REQ43" s="344"/>
      <c r="RER43" s="344"/>
      <c r="RES43" s="344"/>
      <c r="RET43" s="344"/>
      <c r="REU43" s="344"/>
      <c r="REV43" s="344"/>
      <c r="REW43" s="344"/>
      <c r="REX43" s="344"/>
      <c r="REY43" s="344"/>
      <c r="REZ43" s="344"/>
      <c r="RFA43" s="344"/>
      <c r="RFB43" s="344"/>
      <c r="RFC43" s="344"/>
      <c r="RFD43" s="344"/>
      <c r="RFE43" s="344"/>
      <c r="RFF43" s="344"/>
      <c r="RFG43" s="344"/>
      <c r="RFH43" s="344"/>
      <c r="RFI43" s="344"/>
      <c r="RFJ43" s="344"/>
      <c r="RFK43" s="344"/>
      <c r="RFL43" s="344"/>
      <c r="RFM43" s="344"/>
      <c r="RFN43" s="344"/>
      <c r="RFO43" s="344"/>
      <c r="RFP43" s="344"/>
      <c r="RFQ43" s="344"/>
      <c r="RFR43" s="344"/>
      <c r="RFS43" s="344"/>
      <c r="RFT43" s="344"/>
      <c r="RFU43" s="344"/>
      <c r="RFV43" s="344"/>
      <c r="RFW43" s="344"/>
      <c r="RFX43" s="344"/>
      <c r="RFY43" s="344"/>
      <c r="RFZ43" s="344"/>
      <c r="RGA43" s="344"/>
      <c r="RGB43" s="344"/>
      <c r="RGC43" s="344"/>
      <c r="RGD43" s="344"/>
      <c r="RGE43" s="344"/>
      <c r="RGF43" s="344"/>
      <c r="RGG43" s="344"/>
      <c r="RGH43" s="344"/>
      <c r="RGI43" s="344"/>
      <c r="RGJ43" s="344"/>
      <c r="RGK43" s="344"/>
      <c r="RGL43" s="344"/>
      <c r="RGM43" s="344"/>
      <c r="RGN43" s="344"/>
      <c r="RGO43" s="344"/>
      <c r="RGP43" s="344"/>
      <c r="RGQ43" s="344"/>
      <c r="RGR43" s="344"/>
      <c r="RGS43" s="344"/>
      <c r="RGT43" s="344"/>
      <c r="RGU43" s="344"/>
      <c r="RGV43" s="344"/>
      <c r="RGW43" s="344"/>
      <c r="RGX43" s="344"/>
      <c r="RGY43" s="344"/>
      <c r="RGZ43" s="344"/>
      <c r="RHA43" s="344"/>
      <c r="RHB43" s="344"/>
      <c r="RHC43" s="344"/>
      <c r="RHD43" s="344"/>
      <c r="RHE43" s="344"/>
      <c r="RHF43" s="344"/>
      <c r="RHG43" s="344"/>
      <c r="RHH43" s="344"/>
      <c r="RHI43" s="344"/>
      <c r="RHJ43" s="344"/>
      <c r="RHK43" s="344"/>
      <c r="RHL43" s="344"/>
      <c r="RHM43" s="344"/>
      <c r="RHN43" s="344"/>
      <c r="RHO43" s="344"/>
      <c r="RHP43" s="344"/>
      <c r="RHQ43" s="344"/>
      <c r="RHR43" s="344"/>
      <c r="RHS43" s="344"/>
      <c r="RHT43" s="344"/>
      <c r="RHU43" s="344"/>
      <c r="RHV43" s="344"/>
      <c r="RHW43" s="344"/>
      <c r="RHX43" s="344"/>
      <c r="RHY43" s="344"/>
      <c r="RHZ43" s="344"/>
      <c r="RIA43" s="344"/>
      <c r="RIB43" s="344"/>
      <c r="RIC43" s="344"/>
      <c r="RID43" s="344"/>
      <c r="RIE43" s="344"/>
      <c r="RIF43" s="344"/>
      <c r="RIG43" s="344"/>
      <c r="RIH43" s="344"/>
      <c r="RII43" s="344"/>
      <c r="RIJ43" s="344"/>
      <c r="RIK43" s="344"/>
      <c r="RIL43" s="344"/>
      <c r="RIM43" s="344"/>
      <c r="RIN43" s="344"/>
      <c r="RIO43" s="344"/>
      <c r="RIP43" s="344"/>
      <c r="RIQ43" s="344"/>
      <c r="RIR43" s="344"/>
      <c r="RIS43" s="344"/>
      <c r="RIT43" s="344"/>
      <c r="RIU43" s="344"/>
      <c r="RIV43" s="344"/>
      <c r="RIW43" s="344"/>
      <c r="RIX43" s="344"/>
      <c r="RIY43" s="344"/>
      <c r="RIZ43" s="344"/>
      <c r="RJA43" s="344"/>
      <c r="RJB43" s="344"/>
      <c r="RJC43" s="344"/>
      <c r="RJD43" s="344"/>
      <c r="RJE43" s="344"/>
      <c r="RJF43" s="344"/>
      <c r="RJG43" s="344"/>
      <c r="RJH43" s="344"/>
      <c r="RJI43" s="344"/>
      <c r="RJJ43" s="344"/>
      <c r="RJK43" s="344"/>
      <c r="RJL43" s="344"/>
      <c r="RJM43" s="344"/>
      <c r="RJN43" s="344"/>
      <c r="RJO43" s="344"/>
      <c r="RJP43" s="344"/>
      <c r="RJQ43" s="344"/>
      <c r="RJR43" s="344"/>
      <c r="RJS43" s="344"/>
      <c r="RJT43" s="344"/>
      <c r="RJU43" s="344"/>
      <c r="RJV43" s="344"/>
      <c r="RJW43" s="344"/>
      <c r="RJX43" s="344"/>
      <c r="RJY43" s="344"/>
      <c r="RJZ43" s="344"/>
      <c r="RKA43" s="344"/>
      <c r="RKB43" s="344"/>
      <c r="RKC43" s="344"/>
      <c r="RKD43" s="344"/>
      <c r="RKE43" s="344"/>
      <c r="RKF43" s="344"/>
      <c r="RKG43" s="344"/>
      <c r="RKH43" s="344"/>
      <c r="RKI43" s="344"/>
      <c r="RKJ43" s="344"/>
      <c r="RKK43" s="344"/>
      <c r="RKL43" s="344"/>
      <c r="RKM43" s="344"/>
      <c r="RKN43" s="344"/>
      <c r="RKO43" s="344"/>
      <c r="RKP43" s="344"/>
      <c r="RKQ43" s="344"/>
      <c r="RKR43" s="344"/>
      <c r="RKS43" s="344"/>
      <c r="RKT43" s="344"/>
      <c r="RKU43" s="344"/>
      <c r="RKV43" s="344"/>
      <c r="RKW43" s="344"/>
      <c r="RKX43" s="344"/>
      <c r="RKY43" s="344"/>
      <c r="RKZ43" s="344"/>
      <c r="RLA43" s="344"/>
      <c r="RLB43" s="344"/>
      <c r="RLC43" s="344"/>
      <c r="RLD43" s="344"/>
      <c r="RLE43" s="344"/>
      <c r="RLF43" s="344"/>
      <c r="RLG43" s="344"/>
      <c r="RLH43" s="344"/>
      <c r="RLI43" s="344"/>
      <c r="RLJ43" s="344"/>
      <c r="RLK43" s="344"/>
      <c r="RLL43" s="344"/>
      <c r="RLM43" s="344"/>
      <c r="RLN43" s="344"/>
      <c r="RLO43" s="344"/>
      <c r="RLP43" s="344"/>
      <c r="RLQ43" s="344"/>
      <c r="RLR43" s="344"/>
      <c r="RLS43" s="344"/>
      <c r="RLT43" s="344"/>
      <c r="RLU43" s="344"/>
      <c r="RLV43" s="344"/>
      <c r="RLW43" s="344"/>
      <c r="RLX43" s="344"/>
      <c r="RLY43" s="344"/>
      <c r="RLZ43" s="344"/>
      <c r="RMA43" s="344"/>
      <c r="RMB43" s="344"/>
      <c r="RMC43" s="344"/>
      <c r="RMD43" s="344"/>
      <c r="RME43" s="344"/>
      <c r="RMF43" s="344"/>
      <c r="RMG43" s="344"/>
      <c r="RMH43" s="344"/>
      <c r="RMI43" s="344"/>
      <c r="RMJ43" s="344"/>
      <c r="RMK43" s="344"/>
      <c r="RML43" s="344"/>
      <c r="RMM43" s="344"/>
      <c r="RMN43" s="344"/>
      <c r="RMO43" s="344"/>
      <c r="RMP43" s="344"/>
      <c r="RMQ43" s="344"/>
      <c r="RMR43" s="344"/>
      <c r="RMS43" s="344"/>
      <c r="RMT43" s="344"/>
      <c r="RMU43" s="344"/>
      <c r="RMV43" s="344"/>
      <c r="RMW43" s="344"/>
      <c r="RMX43" s="344"/>
      <c r="RMY43" s="344"/>
      <c r="RMZ43" s="344"/>
      <c r="RNA43" s="344"/>
      <c r="RNB43" s="344"/>
      <c r="RNC43" s="344"/>
      <c r="RND43" s="344"/>
      <c r="RNE43" s="344"/>
      <c r="RNF43" s="344"/>
      <c r="RNG43" s="344"/>
      <c r="RNH43" s="344"/>
      <c r="RNI43" s="344"/>
      <c r="RNJ43" s="344"/>
      <c r="RNK43" s="344"/>
      <c r="RNL43" s="344"/>
      <c r="RNM43" s="344"/>
      <c r="RNN43" s="344"/>
      <c r="RNO43" s="344"/>
      <c r="RNP43" s="344"/>
      <c r="RNQ43" s="344"/>
      <c r="RNR43" s="344"/>
      <c r="RNS43" s="344"/>
      <c r="RNT43" s="344"/>
      <c r="RNU43" s="344"/>
      <c r="RNV43" s="344"/>
      <c r="RNW43" s="344"/>
      <c r="RNX43" s="344"/>
      <c r="RNY43" s="344"/>
      <c r="RNZ43" s="344"/>
      <c r="ROA43" s="344"/>
      <c r="ROB43" s="344"/>
      <c r="ROC43" s="344"/>
      <c r="ROD43" s="344"/>
      <c r="ROE43" s="344"/>
      <c r="ROF43" s="344"/>
      <c r="ROG43" s="344"/>
      <c r="ROH43" s="344"/>
      <c r="ROI43" s="344"/>
      <c r="ROJ43" s="344"/>
      <c r="ROK43" s="344"/>
      <c r="ROL43" s="344"/>
      <c r="ROM43" s="344"/>
      <c r="RON43" s="344"/>
      <c r="ROO43" s="344"/>
      <c r="ROP43" s="344"/>
      <c r="ROQ43" s="344"/>
      <c r="ROR43" s="344"/>
      <c r="ROS43" s="344"/>
      <c r="ROT43" s="344"/>
      <c r="ROU43" s="344"/>
      <c r="ROV43" s="344"/>
      <c r="ROW43" s="344"/>
      <c r="ROX43" s="344"/>
      <c r="ROY43" s="344"/>
      <c r="ROZ43" s="344"/>
      <c r="RPA43" s="344"/>
      <c r="RPB43" s="344"/>
      <c r="RPC43" s="344"/>
      <c r="RPD43" s="344"/>
      <c r="RPE43" s="344"/>
      <c r="RPF43" s="344"/>
      <c r="RPG43" s="344"/>
      <c r="RPH43" s="344"/>
      <c r="RPI43" s="344"/>
      <c r="RPJ43" s="344"/>
      <c r="RPK43" s="344"/>
      <c r="RPL43" s="344"/>
      <c r="RPM43" s="344"/>
      <c r="RPN43" s="344"/>
      <c r="RPO43" s="344"/>
      <c r="RPP43" s="344"/>
      <c r="RPQ43" s="344"/>
      <c r="RPR43" s="344"/>
      <c r="RPS43" s="344"/>
      <c r="RPT43" s="344"/>
      <c r="RPU43" s="344"/>
      <c r="RPV43" s="344"/>
      <c r="RPW43" s="344"/>
      <c r="RPX43" s="344"/>
      <c r="RPY43" s="344"/>
      <c r="RPZ43" s="344"/>
      <c r="RQA43" s="344"/>
      <c r="RQB43" s="344"/>
      <c r="RQC43" s="344"/>
      <c r="RQD43" s="344"/>
      <c r="RQE43" s="344"/>
      <c r="RQF43" s="344"/>
      <c r="RQG43" s="344"/>
      <c r="RQH43" s="344"/>
      <c r="RQI43" s="344"/>
      <c r="RQJ43" s="344"/>
      <c r="RQK43" s="344"/>
      <c r="RQL43" s="344"/>
      <c r="RQM43" s="344"/>
      <c r="RQN43" s="344"/>
      <c r="RQO43" s="344"/>
      <c r="RQP43" s="344"/>
      <c r="RQQ43" s="344"/>
      <c r="RQR43" s="344"/>
      <c r="RQS43" s="344"/>
      <c r="RQT43" s="344"/>
      <c r="RQU43" s="344"/>
      <c r="RQV43" s="344"/>
      <c r="RQW43" s="344"/>
      <c r="RQX43" s="344"/>
      <c r="RQY43" s="344"/>
      <c r="RQZ43" s="344"/>
      <c r="RRA43" s="344"/>
      <c r="RRB43" s="344"/>
      <c r="RRC43" s="344"/>
      <c r="RRD43" s="344"/>
      <c r="RRE43" s="344"/>
      <c r="RRF43" s="344"/>
      <c r="RRG43" s="344"/>
      <c r="RRH43" s="344"/>
      <c r="RRI43" s="344"/>
      <c r="RRJ43" s="344"/>
      <c r="RRK43" s="344"/>
      <c r="RRL43" s="344"/>
      <c r="RRM43" s="344"/>
      <c r="RRN43" s="344"/>
      <c r="RRO43" s="344"/>
      <c r="RRP43" s="344"/>
      <c r="RRQ43" s="344"/>
      <c r="RRR43" s="344"/>
      <c r="RRS43" s="344"/>
      <c r="RRT43" s="344"/>
      <c r="RRU43" s="344"/>
      <c r="RRV43" s="344"/>
      <c r="RRW43" s="344"/>
      <c r="RRX43" s="344"/>
      <c r="RRY43" s="344"/>
      <c r="RRZ43" s="344"/>
      <c r="RSA43" s="344"/>
      <c r="RSB43" s="344"/>
      <c r="RSC43" s="344"/>
      <c r="RSD43" s="344"/>
      <c r="RSE43" s="344"/>
      <c r="RSF43" s="344"/>
      <c r="RSG43" s="344"/>
      <c r="RSH43" s="344"/>
      <c r="RSI43" s="344"/>
      <c r="RSJ43" s="344"/>
      <c r="RSK43" s="344"/>
      <c r="RSL43" s="344"/>
      <c r="RSM43" s="344"/>
      <c r="RSN43" s="344"/>
      <c r="RSO43" s="344"/>
      <c r="RSP43" s="344"/>
      <c r="RSQ43" s="344"/>
      <c r="RSR43" s="344"/>
      <c r="RSS43" s="344"/>
      <c r="RST43" s="344"/>
      <c r="RSU43" s="344"/>
      <c r="RSV43" s="344"/>
      <c r="RSW43" s="344"/>
      <c r="RSX43" s="344"/>
      <c r="RSY43" s="344"/>
      <c r="RSZ43" s="344"/>
      <c r="RTA43" s="344"/>
      <c r="RTB43" s="344"/>
      <c r="RTC43" s="344"/>
      <c r="RTD43" s="344"/>
      <c r="RTE43" s="344"/>
      <c r="RTF43" s="344"/>
      <c r="RTG43" s="344"/>
      <c r="RTH43" s="344"/>
      <c r="RTI43" s="344"/>
      <c r="RTJ43" s="344"/>
      <c r="RTK43" s="344"/>
      <c r="RTL43" s="344"/>
      <c r="RTM43" s="344"/>
      <c r="RTN43" s="344"/>
      <c r="RTO43" s="344"/>
      <c r="RTP43" s="344"/>
      <c r="RTQ43" s="344"/>
      <c r="RTR43" s="344"/>
      <c r="RTS43" s="344"/>
      <c r="RTT43" s="344"/>
      <c r="RTU43" s="344"/>
      <c r="RTV43" s="344"/>
      <c r="RTW43" s="344"/>
      <c r="RTX43" s="344"/>
      <c r="RTY43" s="344"/>
      <c r="RTZ43" s="344"/>
      <c r="RUA43" s="344"/>
      <c r="RUB43" s="344"/>
      <c r="RUC43" s="344"/>
      <c r="RUD43" s="344"/>
      <c r="RUE43" s="344"/>
      <c r="RUF43" s="344"/>
      <c r="RUG43" s="344"/>
      <c r="RUH43" s="344"/>
      <c r="RUI43" s="344"/>
      <c r="RUJ43" s="344"/>
      <c r="RUK43" s="344"/>
      <c r="RUL43" s="344"/>
      <c r="RUM43" s="344"/>
      <c r="RUN43" s="344"/>
      <c r="RUO43" s="344"/>
      <c r="RUP43" s="344"/>
      <c r="RUQ43" s="344"/>
      <c r="RUR43" s="344"/>
      <c r="RUS43" s="344"/>
      <c r="RUT43" s="344"/>
      <c r="RUU43" s="344"/>
      <c r="RUV43" s="344"/>
      <c r="RUW43" s="344"/>
      <c r="RUX43" s="344"/>
      <c r="RUY43" s="344"/>
      <c r="RUZ43" s="344"/>
      <c r="RVA43" s="344"/>
      <c r="RVB43" s="344"/>
      <c r="RVC43" s="344"/>
      <c r="RVD43" s="344"/>
      <c r="RVE43" s="344"/>
      <c r="RVF43" s="344"/>
      <c r="RVG43" s="344"/>
      <c r="RVH43" s="344"/>
      <c r="RVI43" s="344"/>
      <c r="RVJ43" s="344"/>
      <c r="RVK43" s="344"/>
      <c r="RVL43" s="344"/>
      <c r="RVM43" s="344"/>
      <c r="RVN43" s="344"/>
      <c r="RVO43" s="344"/>
      <c r="RVP43" s="344"/>
      <c r="RVQ43" s="344"/>
      <c r="RVR43" s="344"/>
      <c r="RVS43" s="344"/>
      <c r="RVT43" s="344"/>
      <c r="RVU43" s="344"/>
      <c r="RVV43" s="344"/>
      <c r="RVW43" s="344"/>
      <c r="RVX43" s="344"/>
      <c r="RVY43" s="344"/>
      <c r="RVZ43" s="344"/>
      <c r="RWA43" s="344"/>
      <c r="RWB43" s="344"/>
      <c r="RWC43" s="344"/>
      <c r="RWD43" s="344"/>
      <c r="RWE43" s="344"/>
      <c r="RWF43" s="344"/>
      <c r="RWG43" s="344"/>
      <c r="RWH43" s="344"/>
      <c r="RWI43" s="344"/>
      <c r="RWJ43" s="344"/>
      <c r="RWK43" s="344"/>
      <c r="RWL43" s="344"/>
      <c r="RWM43" s="344"/>
      <c r="RWN43" s="344"/>
      <c r="RWO43" s="344"/>
      <c r="RWP43" s="344"/>
      <c r="RWQ43" s="344"/>
      <c r="RWR43" s="344"/>
      <c r="RWS43" s="344"/>
      <c r="RWT43" s="344"/>
      <c r="RWU43" s="344"/>
      <c r="RWV43" s="344"/>
      <c r="RWW43" s="344"/>
      <c r="RWX43" s="344"/>
      <c r="RWY43" s="344"/>
      <c r="RWZ43" s="344"/>
      <c r="RXA43" s="344"/>
      <c r="RXB43" s="344"/>
      <c r="RXC43" s="344"/>
      <c r="RXD43" s="344"/>
      <c r="RXE43" s="344"/>
      <c r="RXF43" s="344"/>
      <c r="RXG43" s="344"/>
      <c r="RXH43" s="344"/>
      <c r="RXI43" s="344"/>
      <c r="RXJ43" s="344"/>
      <c r="RXK43" s="344"/>
      <c r="RXL43" s="344"/>
      <c r="RXM43" s="344"/>
      <c r="RXN43" s="344"/>
      <c r="RXO43" s="344"/>
      <c r="RXP43" s="344"/>
      <c r="RXQ43" s="344"/>
      <c r="RXR43" s="344"/>
      <c r="RXS43" s="344"/>
      <c r="RXT43" s="344"/>
      <c r="RXU43" s="344"/>
      <c r="RXV43" s="344"/>
      <c r="RXW43" s="344"/>
      <c r="RXX43" s="344"/>
      <c r="RXY43" s="344"/>
      <c r="RXZ43" s="344"/>
      <c r="RYA43" s="344"/>
      <c r="RYB43" s="344"/>
      <c r="RYC43" s="344"/>
      <c r="RYD43" s="344"/>
      <c r="RYE43" s="344"/>
      <c r="RYF43" s="344"/>
      <c r="RYG43" s="344"/>
      <c r="RYH43" s="344"/>
      <c r="RYI43" s="344"/>
      <c r="RYJ43" s="344"/>
      <c r="RYK43" s="344"/>
      <c r="RYL43" s="344"/>
      <c r="RYM43" s="344"/>
      <c r="RYN43" s="344"/>
      <c r="RYO43" s="344"/>
      <c r="RYP43" s="344"/>
      <c r="RYQ43" s="344"/>
      <c r="RYR43" s="344"/>
      <c r="RYS43" s="344"/>
      <c r="RYT43" s="344"/>
      <c r="RYU43" s="344"/>
      <c r="RYV43" s="344"/>
      <c r="RYW43" s="344"/>
      <c r="RYX43" s="344"/>
      <c r="RYY43" s="344"/>
      <c r="RYZ43" s="344"/>
      <c r="RZA43" s="344"/>
      <c r="RZB43" s="344"/>
      <c r="RZC43" s="344"/>
      <c r="RZD43" s="344"/>
      <c r="RZE43" s="344"/>
      <c r="RZF43" s="344"/>
      <c r="RZG43" s="344"/>
      <c r="RZH43" s="344"/>
      <c r="RZI43" s="344"/>
      <c r="RZJ43" s="344"/>
      <c r="RZK43" s="344"/>
      <c r="RZL43" s="344"/>
      <c r="RZM43" s="344"/>
      <c r="RZN43" s="344"/>
      <c r="RZO43" s="344"/>
      <c r="RZP43" s="344"/>
      <c r="RZQ43" s="344"/>
      <c r="RZR43" s="344"/>
      <c r="RZS43" s="344"/>
      <c r="RZT43" s="344"/>
      <c r="RZU43" s="344"/>
      <c r="RZV43" s="344"/>
      <c r="RZW43" s="344"/>
      <c r="RZX43" s="344"/>
      <c r="RZY43" s="344"/>
      <c r="RZZ43" s="344"/>
      <c r="SAA43" s="344"/>
      <c r="SAB43" s="344"/>
      <c r="SAC43" s="344"/>
      <c r="SAD43" s="344"/>
      <c r="SAE43" s="344"/>
      <c r="SAF43" s="344"/>
      <c r="SAG43" s="344"/>
      <c r="SAH43" s="344"/>
      <c r="SAI43" s="344"/>
      <c r="SAJ43" s="344"/>
      <c r="SAK43" s="344"/>
      <c r="SAL43" s="344"/>
      <c r="SAM43" s="344"/>
      <c r="SAN43" s="344"/>
      <c r="SAO43" s="344"/>
      <c r="SAP43" s="344"/>
      <c r="SAQ43" s="344"/>
      <c r="SAR43" s="344"/>
      <c r="SAS43" s="344"/>
      <c r="SAT43" s="344"/>
      <c r="SAU43" s="344"/>
      <c r="SAV43" s="344"/>
      <c r="SAW43" s="344"/>
      <c r="SAX43" s="344"/>
      <c r="SAY43" s="344"/>
      <c r="SAZ43" s="344"/>
      <c r="SBA43" s="344"/>
      <c r="SBB43" s="344"/>
      <c r="SBC43" s="344"/>
      <c r="SBD43" s="344"/>
      <c r="SBE43" s="344"/>
      <c r="SBF43" s="344"/>
      <c r="SBG43" s="344"/>
      <c r="SBH43" s="344"/>
      <c r="SBI43" s="344"/>
      <c r="SBJ43" s="344"/>
      <c r="SBK43" s="344"/>
      <c r="SBL43" s="344"/>
      <c r="SBM43" s="344"/>
      <c r="SBN43" s="344"/>
      <c r="SBO43" s="344"/>
      <c r="SBP43" s="344"/>
      <c r="SBQ43" s="344"/>
      <c r="SBR43" s="344"/>
      <c r="SBS43" s="344"/>
      <c r="SBT43" s="344"/>
      <c r="SBU43" s="344"/>
      <c r="SBV43" s="344"/>
      <c r="SBW43" s="344"/>
      <c r="SBX43" s="344"/>
      <c r="SBY43" s="344"/>
      <c r="SBZ43" s="344"/>
      <c r="SCA43" s="344"/>
      <c r="SCB43" s="344"/>
      <c r="SCC43" s="344"/>
      <c r="SCD43" s="344"/>
      <c r="SCE43" s="344"/>
      <c r="SCF43" s="344"/>
      <c r="SCG43" s="344"/>
      <c r="SCH43" s="344"/>
      <c r="SCI43" s="344"/>
      <c r="SCJ43" s="344"/>
      <c r="SCK43" s="344"/>
      <c r="SCL43" s="344"/>
      <c r="SCM43" s="344"/>
      <c r="SCN43" s="344"/>
      <c r="SCO43" s="344"/>
      <c r="SCP43" s="344"/>
      <c r="SCQ43" s="344"/>
      <c r="SCR43" s="344"/>
      <c r="SCS43" s="344"/>
      <c r="SCT43" s="344"/>
      <c r="SCU43" s="344"/>
      <c r="SCV43" s="344"/>
      <c r="SCW43" s="344"/>
      <c r="SCX43" s="344"/>
      <c r="SCY43" s="344"/>
      <c r="SCZ43" s="344"/>
      <c r="SDA43" s="344"/>
      <c r="SDB43" s="344"/>
      <c r="SDC43" s="344"/>
      <c r="SDD43" s="344"/>
      <c r="SDE43" s="344"/>
      <c r="SDF43" s="344"/>
      <c r="SDG43" s="344"/>
      <c r="SDH43" s="344"/>
      <c r="SDI43" s="344"/>
      <c r="SDJ43" s="344"/>
      <c r="SDK43" s="344"/>
      <c r="SDL43" s="344"/>
      <c r="SDM43" s="344"/>
      <c r="SDN43" s="344"/>
      <c r="SDO43" s="344"/>
      <c r="SDP43" s="344"/>
      <c r="SDQ43" s="344"/>
      <c r="SDR43" s="344"/>
      <c r="SDS43" s="344"/>
      <c r="SDT43" s="344"/>
      <c r="SDU43" s="344"/>
      <c r="SDV43" s="344"/>
      <c r="SDW43" s="344"/>
      <c r="SDX43" s="344"/>
      <c r="SDY43" s="344"/>
      <c r="SDZ43" s="344"/>
      <c r="SEA43" s="344"/>
      <c r="SEB43" s="344"/>
      <c r="SEC43" s="344"/>
      <c r="SED43" s="344"/>
      <c r="SEE43" s="344"/>
      <c r="SEF43" s="344"/>
      <c r="SEG43" s="344"/>
      <c r="SEH43" s="344"/>
      <c r="SEI43" s="344"/>
      <c r="SEJ43" s="344"/>
      <c r="SEK43" s="344"/>
      <c r="SEL43" s="344"/>
      <c r="SEM43" s="344"/>
      <c r="SEN43" s="344"/>
      <c r="SEO43" s="344"/>
      <c r="SEP43" s="344"/>
      <c r="SEQ43" s="344"/>
      <c r="SER43" s="344"/>
      <c r="SES43" s="344"/>
      <c r="SET43" s="344"/>
      <c r="SEU43" s="344"/>
      <c r="SEV43" s="344"/>
      <c r="SEW43" s="344"/>
      <c r="SEX43" s="344"/>
      <c r="SEY43" s="344"/>
      <c r="SEZ43" s="344"/>
      <c r="SFA43" s="344"/>
      <c r="SFB43" s="344"/>
      <c r="SFC43" s="344"/>
      <c r="SFD43" s="344"/>
      <c r="SFE43" s="344"/>
      <c r="SFF43" s="344"/>
      <c r="SFG43" s="344"/>
      <c r="SFH43" s="344"/>
      <c r="SFI43" s="344"/>
      <c r="SFJ43" s="344"/>
      <c r="SFK43" s="344"/>
      <c r="SFL43" s="344"/>
      <c r="SFM43" s="344"/>
      <c r="SFN43" s="344"/>
      <c r="SFO43" s="344"/>
      <c r="SFP43" s="344"/>
      <c r="SFQ43" s="344"/>
      <c r="SFR43" s="344"/>
      <c r="SFS43" s="344"/>
      <c r="SFT43" s="344"/>
      <c r="SFU43" s="344"/>
      <c r="SFV43" s="344"/>
      <c r="SFW43" s="344"/>
      <c r="SFX43" s="344"/>
      <c r="SFY43" s="344"/>
      <c r="SFZ43" s="344"/>
      <c r="SGA43" s="344"/>
      <c r="SGB43" s="344"/>
      <c r="SGC43" s="344"/>
      <c r="SGD43" s="344"/>
      <c r="SGE43" s="344"/>
      <c r="SGF43" s="344"/>
      <c r="SGG43" s="344"/>
      <c r="SGH43" s="344"/>
      <c r="SGI43" s="344"/>
      <c r="SGJ43" s="344"/>
      <c r="SGK43" s="344"/>
      <c r="SGL43" s="344"/>
      <c r="SGM43" s="344"/>
      <c r="SGN43" s="344"/>
      <c r="SGO43" s="344"/>
      <c r="SGP43" s="344"/>
      <c r="SGQ43" s="344"/>
      <c r="SGR43" s="344"/>
      <c r="SGS43" s="344"/>
      <c r="SGT43" s="344"/>
      <c r="SGU43" s="344"/>
      <c r="SGV43" s="344"/>
      <c r="SGW43" s="344"/>
      <c r="SGX43" s="344"/>
      <c r="SGY43" s="344"/>
      <c r="SGZ43" s="344"/>
      <c r="SHA43" s="344"/>
      <c r="SHB43" s="344"/>
      <c r="SHC43" s="344"/>
      <c r="SHD43" s="344"/>
      <c r="SHE43" s="344"/>
      <c r="SHF43" s="344"/>
      <c r="SHG43" s="344"/>
      <c r="SHH43" s="344"/>
      <c r="SHI43" s="344"/>
      <c r="SHJ43" s="344"/>
      <c r="SHK43" s="344"/>
      <c r="SHL43" s="344"/>
      <c r="SHM43" s="344"/>
      <c r="SHN43" s="344"/>
      <c r="SHO43" s="344"/>
      <c r="SHP43" s="344"/>
      <c r="SHQ43" s="344"/>
      <c r="SHR43" s="344"/>
      <c r="SHS43" s="344"/>
      <c r="SHT43" s="344"/>
      <c r="SHU43" s="344"/>
      <c r="SHV43" s="344"/>
      <c r="SHW43" s="344"/>
      <c r="SHX43" s="344"/>
      <c r="SHY43" s="344"/>
      <c r="SHZ43" s="344"/>
      <c r="SIA43" s="344"/>
      <c r="SIB43" s="344"/>
      <c r="SIC43" s="344"/>
      <c r="SID43" s="344"/>
      <c r="SIE43" s="344"/>
      <c r="SIF43" s="344"/>
      <c r="SIG43" s="344"/>
      <c r="SIH43" s="344"/>
      <c r="SII43" s="344"/>
      <c r="SIJ43" s="344"/>
      <c r="SIK43" s="344"/>
      <c r="SIL43" s="344"/>
      <c r="SIM43" s="344"/>
      <c r="SIN43" s="344"/>
      <c r="SIO43" s="344"/>
      <c r="SIP43" s="344"/>
      <c r="SIQ43" s="344"/>
      <c r="SIR43" s="344"/>
      <c r="SIS43" s="344"/>
      <c r="SIT43" s="344"/>
      <c r="SIU43" s="344"/>
      <c r="SIV43" s="344"/>
      <c r="SIW43" s="344"/>
      <c r="SIX43" s="344"/>
      <c r="SIY43" s="344"/>
      <c r="SIZ43" s="344"/>
      <c r="SJA43" s="344"/>
      <c r="SJB43" s="344"/>
      <c r="SJC43" s="344"/>
      <c r="SJD43" s="344"/>
      <c r="SJE43" s="344"/>
      <c r="SJF43" s="344"/>
      <c r="SJG43" s="344"/>
      <c r="SJH43" s="344"/>
      <c r="SJI43" s="344"/>
      <c r="SJJ43" s="344"/>
      <c r="SJK43" s="344"/>
      <c r="SJL43" s="344"/>
      <c r="SJM43" s="344"/>
      <c r="SJN43" s="344"/>
      <c r="SJO43" s="344"/>
      <c r="SJP43" s="344"/>
      <c r="SJQ43" s="344"/>
      <c r="SJR43" s="344"/>
      <c r="SJS43" s="344"/>
      <c r="SJT43" s="344"/>
      <c r="SJU43" s="344"/>
      <c r="SJV43" s="344"/>
      <c r="SJW43" s="344"/>
      <c r="SJX43" s="344"/>
      <c r="SJY43" s="344"/>
      <c r="SJZ43" s="344"/>
      <c r="SKA43" s="344"/>
      <c r="SKB43" s="344"/>
      <c r="SKC43" s="344"/>
      <c r="SKD43" s="344"/>
      <c r="SKE43" s="344"/>
      <c r="SKF43" s="344"/>
      <c r="SKG43" s="344"/>
      <c r="SKH43" s="344"/>
      <c r="SKI43" s="344"/>
      <c r="SKJ43" s="344"/>
      <c r="SKK43" s="344"/>
      <c r="SKL43" s="344"/>
      <c r="SKM43" s="344"/>
      <c r="SKN43" s="344"/>
      <c r="SKO43" s="344"/>
      <c r="SKP43" s="344"/>
      <c r="SKQ43" s="344"/>
      <c r="SKR43" s="344"/>
      <c r="SKS43" s="344"/>
      <c r="SKT43" s="344"/>
      <c r="SKU43" s="344"/>
      <c r="SKV43" s="344"/>
      <c r="SKW43" s="344"/>
      <c r="SKX43" s="344"/>
      <c r="SKY43" s="344"/>
      <c r="SKZ43" s="344"/>
      <c r="SLA43" s="344"/>
      <c r="SLB43" s="344"/>
      <c r="SLC43" s="344"/>
      <c r="SLD43" s="344"/>
      <c r="SLE43" s="344"/>
      <c r="SLF43" s="344"/>
      <c r="SLG43" s="344"/>
      <c r="SLH43" s="344"/>
      <c r="SLI43" s="344"/>
      <c r="SLJ43" s="344"/>
      <c r="SLK43" s="344"/>
      <c r="SLL43" s="344"/>
      <c r="SLM43" s="344"/>
      <c r="SLN43" s="344"/>
      <c r="SLO43" s="344"/>
      <c r="SLP43" s="344"/>
      <c r="SLQ43" s="344"/>
      <c r="SLR43" s="344"/>
      <c r="SLS43" s="344"/>
      <c r="SLT43" s="344"/>
      <c r="SLU43" s="344"/>
      <c r="SLV43" s="344"/>
      <c r="SLW43" s="344"/>
      <c r="SLX43" s="344"/>
      <c r="SLY43" s="344"/>
      <c r="SLZ43" s="344"/>
      <c r="SMA43" s="344"/>
      <c r="SMB43" s="344"/>
      <c r="SMC43" s="344"/>
      <c r="SMD43" s="344"/>
      <c r="SME43" s="344"/>
      <c r="SMF43" s="344"/>
      <c r="SMG43" s="344"/>
      <c r="SMH43" s="344"/>
      <c r="SMI43" s="344"/>
      <c r="SMJ43" s="344"/>
      <c r="SMK43" s="344"/>
      <c r="SML43" s="344"/>
      <c r="SMM43" s="344"/>
      <c r="SMN43" s="344"/>
      <c r="SMO43" s="344"/>
      <c r="SMP43" s="344"/>
      <c r="SMQ43" s="344"/>
      <c r="SMR43" s="344"/>
      <c r="SMS43" s="344"/>
      <c r="SMT43" s="344"/>
      <c r="SMU43" s="344"/>
      <c r="SMV43" s="344"/>
      <c r="SMW43" s="344"/>
      <c r="SMX43" s="344"/>
      <c r="SMY43" s="344"/>
      <c r="SMZ43" s="344"/>
      <c r="SNA43" s="344"/>
      <c r="SNB43" s="344"/>
      <c r="SNC43" s="344"/>
      <c r="SND43" s="344"/>
      <c r="SNE43" s="344"/>
      <c r="SNF43" s="344"/>
      <c r="SNG43" s="344"/>
      <c r="SNH43" s="344"/>
      <c r="SNI43" s="344"/>
      <c r="SNJ43" s="344"/>
      <c r="SNK43" s="344"/>
      <c r="SNL43" s="344"/>
      <c r="SNM43" s="344"/>
      <c r="SNN43" s="344"/>
      <c r="SNO43" s="344"/>
      <c r="SNP43" s="344"/>
      <c r="SNQ43" s="344"/>
      <c r="SNR43" s="344"/>
      <c r="SNS43" s="344"/>
      <c r="SNT43" s="344"/>
      <c r="SNU43" s="344"/>
      <c r="SNV43" s="344"/>
      <c r="SNW43" s="344"/>
      <c r="SNX43" s="344"/>
      <c r="SNY43" s="344"/>
      <c r="SNZ43" s="344"/>
      <c r="SOA43" s="344"/>
      <c r="SOB43" s="344"/>
      <c r="SOC43" s="344"/>
      <c r="SOD43" s="344"/>
      <c r="SOE43" s="344"/>
      <c r="SOF43" s="344"/>
      <c r="SOG43" s="344"/>
      <c r="SOH43" s="344"/>
      <c r="SOI43" s="344"/>
      <c r="SOJ43" s="344"/>
      <c r="SOK43" s="344"/>
      <c r="SOL43" s="344"/>
      <c r="SOM43" s="344"/>
      <c r="SON43" s="344"/>
      <c r="SOO43" s="344"/>
      <c r="SOP43" s="344"/>
      <c r="SOQ43" s="344"/>
      <c r="SOR43" s="344"/>
      <c r="SOS43" s="344"/>
      <c r="SOT43" s="344"/>
      <c r="SOU43" s="344"/>
      <c r="SOV43" s="344"/>
      <c r="SOW43" s="344"/>
      <c r="SOX43" s="344"/>
      <c r="SOY43" s="344"/>
      <c r="SOZ43" s="344"/>
      <c r="SPA43" s="344"/>
      <c r="SPB43" s="344"/>
      <c r="SPC43" s="344"/>
      <c r="SPD43" s="344"/>
      <c r="SPE43" s="344"/>
      <c r="SPF43" s="344"/>
      <c r="SPG43" s="344"/>
      <c r="SPH43" s="344"/>
      <c r="SPI43" s="344"/>
      <c r="SPJ43" s="344"/>
      <c r="SPK43" s="344"/>
      <c r="SPL43" s="344"/>
      <c r="SPM43" s="344"/>
      <c r="SPN43" s="344"/>
      <c r="SPO43" s="344"/>
      <c r="SPP43" s="344"/>
      <c r="SPQ43" s="344"/>
      <c r="SPR43" s="344"/>
      <c r="SPS43" s="344"/>
      <c r="SPT43" s="344"/>
      <c r="SPU43" s="344"/>
      <c r="SPV43" s="344"/>
      <c r="SPW43" s="344"/>
      <c r="SPX43" s="344"/>
      <c r="SPY43" s="344"/>
      <c r="SPZ43" s="344"/>
      <c r="SQA43" s="344"/>
      <c r="SQB43" s="344"/>
      <c r="SQC43" s="344"/>
      <c r="SQD43" s="344"/>
      <c r="SQE43" s="344"/>
      <c r="SQF43" s="344"/>
      <c r="SQG43" s="344"/>
      <c r="SQH43" s="344"/>
      <c r="SQI43" s="344"/>
      <c r="SQJ43" s="344"/>
      <c r="SQK43" s="344"/>
      <c r="SQL43" s="344"/>
      <c r="SQM43" s="344"/>
      <c r="SQN43" s="344"/>
      <c r="SQO43" s="344"/>
      <c r="SQP43" s="344"/>
      <c r="SQQ43" s="344"/>
      <c r="SQR43" s="344"/>
      <c r="SQS43" s="344"/>
      <c r="SQT43" s="344"/>
      <c r="SQU43" s="344"/>
      <c r="SQV43" s="344"/>
      <c r="SQW43" s="344"/>
      <c r="SQX43" s="344"/>
      <c r="SQY43" s="344"/>
      <c r="SQZ43" s="344"/>
      <c r="SRA43" s="344"/>
      <c r="SRB43" s="344"/>
      <c r="SRC43" s="344"/>
      <c r="SRD43" s="344"/>
      <c r="SRE43" s="344"/>
      <c r="SRF43" s="344"/>
      <c r="SRG43" s="344"/>
      <c r="SRH43" s="344"/>
      <c r="SRI43" s="344"/>
      <c r="SRJ43" s="344"/>
      <c r="SRK43" s="344"/>
      <c r="SRL43" s="344"/>
      <c r="SRM43" s="344"/>
      <c r="SRN43" s="344"/>
      <c r="SRO43" s="344"/>
      <c r="SRP43" s="344"/>
      <c r="SRQ43" s="344"/>
      <c r="SRR43" s="344"/>
      <c r="SRS43" s="344"/>
      <c r="SRT43" s="344"/>
      <c r="SRU43" s="344"/>
      <c r="SRV43" s="344"/>
      <c r="SRW43" s="344"/>
      <c r="SRX43" s="344"/>
      <c r="SRY43" s="344"/>
      <c r="SRZ43" s="344"/>
      <c r="SSA43" s="344"/>
      <c r="SSB43" s="344"/>
      <c r="SSC43" s="344"/>
      <c r="SSD43" s="344"/>
      <c r="SSE43" s="344"/>
      <c r="SSF43" s="344"/>
      <c r="SSG43" s="344"/>
      <c r="SSH43" s="344"/>
      <c r="SSI43" s="344"/>
      <c r="SSJ43" s="344"/>
      <c r="SSK43" s="344"/>
      <c r="SSL43" s="344"/>
      <c r="SSM43" s="344"/>
      <c r="SSN43" s="344"/>
      <c r="SSO43" s="344"/>
      <c r="SSP43" s="344"/>
      <c r="SSQ43" s="344"/>
      <c r="SSR43" s="344"/>
      <c r="SSS43" s="344"/>
      <c r="SST43" s="344"/>
      <c r="SSU43" s="344"/>
      <c r="SSV43" s="344"/>
      <c r="SSW43" s="344"/>
      <c r="SSX43" s="344"/>
      <c r="SSY43" s="344"/>
      <c r="SSZ43" s="344"/>
      <c r="STA43" s="344"/>
      <c r="STB43" s="344"/>
      <c r="STC43" s="344"/>
      <c r="STD43" s="344"/>
      <c r="STE43" s="344"/>
      <c r="STF43" s="344"/>
      <c r="STG43" s="344"/>
      <c r="STH43" s="344"/>
      <c r="STI43" s="344"/>
      <c r="STJ43" s="344"/>
      <c r="STK43" s="344"/>
      <c r="STL43" s="344"/>
      <c r="STM43" s="344"/>
      <c r="STN43" s="344"/>
      <c r="STO43" s="344"/>
      <c r="STP43" s="344"/>
      <c r="STQ43" s="344"/>
      <c r="STR43" s="344"/>
      <c r="STS43" s="344"/>
      <c r="STT43" s="344"/>
      <c r="STU43" s="344"/>
      <c r="STV43" s="344"/>
      <c r="STW43" s="344"/>
      <c r="STX43" s="344"/>
      <c r="STY43" s="344"/>
      <c r="STZ43" s="344"/>
      <c r="SUA43" s="344"/>
      <c r="SUB43" s="344"/>
      <c r="SUC43" s="344"/>
      <c r="SUD43" s="344"/>
      <c r="SUE43" s="344"/>
      <c r="SUF43" s="344"/>
      <c r="SUG43" s="344"/>
      <c r="SUH43" s="344"/>
      <c r="SUI43" s="344"/>
      <c r="SUJ43" s="344"/>
      <c r="SUK43" s="344"/>
      <c r="SUL43" s="344"/>
      <c r="SUM43" s="344"/>
      <c r="SUN43" s="344"/>
      <c r="SUO43" s="344"/>
      <c r="SUP43" s="344"/>
      <c r="SUQ43" s="344"/>
      <c r="SUR43" s="344"/>
      <c r="SUS43" s="344"/>
      <c r="SUT43" s="344"/>
      <c r="SUU43" s="344"/>
      <c r="SUV43" s="344"/>
      <c r="SUW43" s="344"/>
      <c r="SUX43" s="344"/>
      <c r="SUY43" s="344"/>
      <c r="SUZ43" s="344"/>
      <c r="SVA43" s="344"/>
      <c r="SVB43" s="344"/>
      <c r="SVC43" s="344"/>
      <c r="SVD43" s="344"/>
      <c r="SVE43" s="344"/>
      <c r="SVF43" s="344"/>
      <c r="SVG43" s="344"/>
      <c r="SVH43" s="344"/>
      <c r="SVI43" s="344"/>
      <c r="SVJ43" s="344"/>
      <c r="SVK43" s="344"/>
      <c r="SVL43" s="344"/>
      <c r="SVM43" s="344"/>
      <c r="SVN43" s="344"/>
      <c r="SVO43" s="344"/>
      <c r="SVP43" s="344"/>
      <c r="SVQ43" s="344"/>
      <c r="SVR43" s="344"/>
      <c r="SVS43" s="344"/>
      <c r="SVT43" s="344"/>
      <c r="SVU43" s="344"/>
      <c r="SVV43" s="344"/>
      <c r="SVW43" s="344"/>
      <c r="SVX43" s="344"/>
      <c r="SVY43" s="344"/>
      <c r="SVZ43" s="344"/>
      <c r="SWA43" s="344"/>
      <c r="SWB43" s="344"/>
      <c r="SWC43" s="344"/>
      <c r="SWD43" s="344"/>
      <c r="SWE43" s="344"/>
      <c r="SWF43" s="344"/>
      <c r="SWG43" s="344"/>
      <c r="SWH43" s="344"/>
      <c r="SWI43" s="344"/>
      <c r="SWJ43" s="344"/>
      <c r="SWK43" s="344"/>
      <c r="SWL43" s="344"/>
      <c r="SWM43" s="344"/>
      <c r="SWN43" s="344"/>
      <c r="SWO43" s="344"/>
      <c r="SWP43" s="344"/>
      <c r="SWQ43" s="344"/>
      <c r="SWR43" s="344"/>
      <c r="SWS43" s="344"/>
      <c r="SWT43" s="344"/>
      <c r="SWU43" s="344"/>
      <c r="SWV43" s="344"/>
      <c r="SWW43" s="344"/>
      <c r="SWX43" s="344"/>
      <c r="SWY43" s="344"/>
      <c r="SWZ43" s="344"/>
      <c r="SXA43" s="344"/>
      <c r="SXB43" s="344"/>
      <c r="SXC43" s="344"/>
      <c r="SXD43" s="344"/>
      <c r="SXE43" s="344"/>
      <c r="SXF43" s="344"/>
      <c r="SXG43" s="344"/>
      <c r="SXH43" s="344"/>
      <c r="SXI43" s="344"/>
      <c r="SXJ43" s="344"/>
      <c r="SXK43" s="344"/>
      <c r="SXL43" s="344"/>
      <c r="SXM43" s="344"/>
      <c r="SXN43" s="344"/>
      <c r="SXO43" s="344"/>
      <c r="SXP43" s="344"/>
      <c r="SXQ43" s="344"/>
      <c r="SXR43" s="344"/>
      <c r="SXS43" s="344"/>
      <c r="SXT43" s="344"/>
      <c r="SXU43" s="344"/>
      <c r="SXV43" s="344"/>
      <c r="SXW43" s="344"/>
      <c r="SXX43" s="344"/>
      <c r="SXY43" s="344"/>
      <c r="SXZ43" s="344"/>
      <c r="SYA43" s="344"/>
      <c r="SYB43" s="344"/>
      <c r="SYC43" s="344"/>
      <c r="SYD43" s="344"/>
      <c r="SYE43" s="344"/>
      <c r="SYF43" s="344"/>
      <c r="SYG43" s="344"/>
      <c r="SYH43" s="344"/>
      <c r="SYI43" s="344"/>
      <c r="SYJ43" s="344"/>
      <c r="SYK43" s="344"/>
      <c r="SYL43" s="344"/>
      <c r="SYM43" s="344"/>
      <c r="SYN43" s="344"/>
      <c r="SYO43" s="344"/>
      <c r="SYP43" s="344"/>
      <c r="SYQ43" s="344"/>
      <c r="SYR43" s="344"/>
      <c r="SYS43" s="344"/>
      <c r="SYT43" s="344"/>
      <c r="SYU43" s="344"/>
      <c r="SYV43" s="344"/>
      <c r="SYW43" s="344"/>
      <c r="SYX43" s="344"/>
      <c r="SYY43" s="344"/>
      <c r="SYZ43" s="344"/>
      <c r="SZA43" s="344"/>
      <c r="SZB43" s="344"/>
      <c r="SZC43" s="344"/>
      <c r="SZD43" s="344"/>
      <c r="SZE43" s="344"/>
      <c r="SZF43" s="344"/>
      <c r="SZG43" s="344"/>
      <c r="SZH43" s="344"/>
      <c r="SZI43" s="344"/>
      <c r="SZJ43" s="344"/>
      <c r="SZK43" s="344"/>
      <c r="SZL43" s="344"/>
      <c r="SZM43" s="344"/>
      <c r="SZN43" s="344"/>
      <c r="SZO43" s="344"/>
      <c r="SZP43" s="344"/>
      <c r="SZQ43" s="344"/>
      <c r="SZR43" s="344"/>
      <c r="SZS43" s="344"/>
      <c r="SZT43" s="344"/>
      <c r="SZU43" s="344"/>
      <c r="SZV43" s="344"/>
      <c r="SZW43" s="344"/>
      <c r="SZX43" s="344"/>
      <c r="SZY43" s="344"/>
      <c r="SZZ43" s="344"/>
      <c r="TAA43" s="344"/>
      <c r="TAB43" s="344"/>
      <c r="TAC43" s="344"/>
      <c r="TAD43" s="344"/>
      <c r="TAE43" s="344"/>
      <c r="TAF43" s="344"/>
      <c r="TAG43" s="344"/>
      <c r="TAH43" s="344"/>
      <c r="TAI43" s="344"/>
      <c r="TAJ43" s="344"/>
      <c r="TAK43" s="344"/>
      <c r="TAL43" s="344"/>
      <c r="TAM43" s="344"/>
      <c r="TAN43" s="344"/>
      <c r="TAO43" s="344"/>
      <c r="TAP43" s="344"/>
      <c r="TAQ43" s="344"/>
      <c r="TAR43" s="344"/>
      <c r="TAS43" s="344"/>
      <c r="TAT43" s="344"/>
      <c r="TAU43" s="344"/>
      <c r="TAV43" s="344"/>
      <c r="TAW43" s="344"/>
      <c r="TAX43" s="344"/>
      <c r="TAY43" s="344"/>
      <c r="TAZ43" s="344"/>
      <c r="TBA43" s="344"/>
      <c r="TBB43" s="344"/>
      <c r="TBC43" s="344"/>
      <c r="TBD43" s="344"/>
      <c r="TBE43" s="344"/>
      <c r="TBF43" s="344"/>
      <c r="TBG43" s="344"/>
      <c r="TBH43" s="344"/>
      <c r="TBI43" s="344"/>
      <c r="TBJ43" s="344"/>
      <c r="TBK43" s="344"/>
      <c r="TBL43" s="344"/>
      <c r="TBM43" s="344"/>
      <c r="TBN43" s="344"/>
      <c r="TBO43" s="344"/>
      <c r="TBP43" s="344"/>
      <c r="TBQ43" s="344"/>
      <c r="TBR43" s="344"/>
      <c r="TBS43" s="344"/>
      <c r="TBT43" s="344"/>
      <c r="TBU43" s="344"/>
      <c r="TBV43" s="344"/>
      <c r="TBW43" s="344"/>
      <c r="TBX43" s="344"/>
      <c r="TBY43" s="344"/>
      <c r="TBZ43" s="344"/>
      <c r="TCA43" s="344"/>
      <c r="TCB43" s="344"/>
      <c r="TCC43" s="344"/>
      <c r="TCD43" s="344"/>
      <c r="TCE43" s="344"/>
      <c r="TCF43" s="344"/>
      <c r="TCG43" s="344"/>
      <c r="TCH43" s="344"/>
      <c r="TCI43" s="344"/>
      <c r="TCJ43" s="344"/>
      <c r="TCK43" s="344"/>
      <c r="TCL43" s="344"/>
      <c r="TCM43" s="344"/>
      <c r="TCN43" s="344"/>
      <c r="TCO43" s="344"/>
      <c r="TCP43" s="344"/>
      <c r="TCQ43" s="344"/>
      <c r="TCR43" s="344"/>
      <c r="TCS43" s="344"/>
      <c r="TCT43" s="344"/>
      <c r="TCU43" s="344"/>
      <c r="TCV43" s="344"/>
      <c r="TCW43" s="344"/>
      <c r="TCX43" s="344"/>
      <c r="TCY43" s="344"/>
      <c r="TCZ43" s="344"/>
      <c r="TDA43" s="344"/>
      <c r="TDB43" s="344"/>
      <c r="TDC43" s="344"/>
      <c r="TDD43" s="344"/>
      <c r="TDE43" s="344"/>
      <c r="TDF43" s="344"/>
      <c r="TDG43" s="344"/>
      <c r="TDH43" s="344"/>
      <c r="TDI43" s="344"/>
      <c r="TDJ43" s="344"/>
      <c r="TDK43" s="344"/>
      <c r="TDL43" s="344"/>
      <c r="TDM43" s="344"/>
      <c r="TDN43" s="344"/>
      <c r="TDO43" s="344"/>
      <c r="TDP43" s="344"/>
      <c r="TDQ43" s="344"/>
      <c r="TDR43" s="344"/>
      <c r="TDS43" s="344"/>
      <c r="TDT43" s="344"/>
      <c r="TDU43" s="344"/>
      <c r="TDV43" s="344"/>
      <c r="TDW43" s="344"/>
      <c r="TDX43" s="344"/>
      <c r="TDY43" s="344"/>
      <c r="TDZ43" s="344"/>
      <c r="TEA43" s="344"/>
      <c r="TEB43" s="344"/>
      <c r="TEC43" s="344"/>
      <c r="TED43" s="344"/>
      <c r="TEE43" s="344"/>
      <c r="TEF43" s="344"/>
      <c r="TEG43" s="344"/>
      <c r="TEH43" s="344"/>
      <c r="TEI43" s="344"/>
      <c r="TEJ43" s="344"/>
      <c r="TEK43" s="344"/>
      <c r="TEL43" s="344"/>
      <c r="TEM43" s="344"/>
      <c r="TEN43" s="344"/>
      <c r="TEO43" s="344"/>
      <c r="TEP43" s="344"/>
      <c r="TEQ43" s="344"/>
      <c r="TER43" s="344"/>
      <c r="TES43" s="344"/>
      <c r="TET43" s="344"/>
      <c r="TEU43" s="344"/>
      <c r="TEV43" s="344"/>
      <c r="TEW43" s="344"/>
      <c r="TEX43" s="344"/>
      <c r="TEY43" s="344"/>
      <c r="TEZ43" s="344"/>
      <c r="TFA43" s="344"/>
      <c r="TFB43" s="344"/>
      <c r="TFC43" s="344"/>
      <c r="TFD43" s="344"/>
      <c r="TFE43" s="344"/>
      <c r="TFF43" s="344"/>
      <c r="TFG43" s="344"/>
      <c r="TFH43" s="344"/>
      <c r="TFI43" s="344"/>
      <c r="TFJ43" s="344"/>
      <c r="TFK43" s="344"/>
      <c r="TFL43" s="344"/>
      <c r="TFM43" s="344"/>
      <c r="TFN43" s="344"/>
      <c r="TFO43" s="344"/>
      <c r="TFP43" s="344"/>
      <c r="TFQ43" s="344"/>
      <c r="TFR43" s="344"/>
      <c r="TFS43" s="344"/>
      <c r="TFT43" s="344"/>
      <c r="TFU43" s="344"/>
      <c r="TFV43" s="344"/>
      <c r="TFW43" s="344"/>
      <c r="TFX43" s="344"/>
      <c r="TFY43" s="344"/>
      <c r="TFZ43" s="344"/>
      <c r="TGA43" s="344"/>
      <c r="TGB43" s="344"/>
      <c r="TGC43" s="344"/>
      <c r="TGD43" s="344"/>
      <c r="TGE43" s="344"/>
      <c r="TGF43" s="344"/>
      <c r="TGG43" s="344"/>
      <c r="TGH43" s="344"/>
      <c r="TGI43" s="344"/>
      <c r="TGJ43" s="344"/>
      <c r="TGK43" s="344"/>
      <c r="TGL43" s="344"/>
      <c r="TGM43" s="344"/>
      <c r="TGN43" s="344"/>
      <c r="TGO43" s="344"/>
      <c r="TGP43" s="344"/>
      <c r="TGQ43" s="344"/>
      <c r="TGR43" s="344"/>
      <c r="TGS43" s="344"/>
      <c r="TGT43" s="344"/>
      <c r="TGU43" s="344"/>
      <c r="TGV43" s="344"/>
      <c r="TGW43" s="344"/>
      <c r="TGX43" s="344"/>
      <c r="TGY43" s="344"/>
      <c r="TGZ43" s="344"/>
      <c r="THA43" s="344"/>
      <c r="THB43" s="344"/>
      <c r="THC43" s="344"/>
      <c r="THD43" s="344"/>
      <c r="THE43" s="344"/>
      <c r="THF43" s="344"/>
      <c r="THG43" s="344"/>
      <c r="THH43" s="344"/>
      <c r="THI43" s="344"/>
      <c r="THJ43" s="344"/>
      <c r="THK43" s="344"/>
      <c r="THL43" s="344"/>
      <c r="THM43" s="344"/>
      <c r="THN43" s="344"/>
      <c r="THO43" s="344"/>
      <c r="THP43" s="344"/>
      <c r="THQ43" s="344"/>
      <c r="THR43" s="344"/>
      <c r="THS43" s="344"/>
      <c r="THT43" s="344"/>
      <c r="THU43" s="344"/>
      <c r="THV43" s="344"/>
      <c r="THW43" s="344"/>
      <c r="THX43" s="344"/>
      <c r="THY43" s="344"/>
      <c r="THZ43" s="344"/>
      <c r="TIA43" s="344"/>
      <c r="TIB43" s="344"/>
      <c r="TIC43" s="344"/>
      <c r="TID43" s="344"/>
      <c r="TIE43" s="344"/>
      <c r="TIF43" s="344"/>
      <c r="TIG43" s="344"/>
      <c r="TIH43" s="344"/>
      <c r="TII43" s="344"/>
      <c r="TIJ43" s="344"/>
      <c r="TIK43" s="344"/>
      <c r="TIL43" s="344"/>
      <c r="TIM43" s="344"/>
      <c r="TIN43" s="344"/>
      <c r="TIO43" s="344"/>
      <c r="TIP43" s="344"/>
      <c r="TIQ43" s="344"/>
      <c r="TIR43" s="344"/>
      <c r="TIS43" s="344"/>
      <c r="TIT43" s="344"/>
      <c r="TIU43" s="344"/>
      <c r="TIV43" s="344"/>
      <c r="TIW43" s="344"/>
      <c r="TIX43" s="344"/>
      <c r="TIY43" s="344"/>
      <c r="TIZ43" s="344"/>
      <c r="TJA43" s="344"/>
      <c r="TJB43" s="344"/>
      <c r="TJC43" s="344"/>
      <c r="TJD43" s="344"/>
      <c r="TJE43" s="344"/>
      <c r="TJF43" s="344"/>
      <c r="TJG43" s="344"/>
      <c r="TJH43" s="344"/>
      <c r="TJI43" s="344"/>
      <c r="TJJ43" s="344"/>
      <c r="TJK43" s="344"/>
      <c r="TJL43" s="344"/>
      <c r="TJM43" s="344"/>
      <c r="TJN43" s="344"/>
      <c r="TJO43" s="344"/>
      <c r="TJP43" s="344"/>
      <c r="TJQ43" s="344"/>
      <c r="TJR43" s="344"/>
      <c r="TJS43" s="344"/>
      <c r="TJT43" s="344"/>
      <c r="TJU43" s="344"/>
      <c r="TJV43" s="344"/>
      <c r="TJW43" s="344"/>
      <c r="TJX43" s="344"/>
      <c r="TJY43" s="344"/>
      <c r="TJZ43" s="344"/>
      <c r="TKA43" s="344"/>
      <c r="TKB43" s="344"/>
      <c r="TKC43" s="344"/>
      <c r="TKD43" s="344"/>
      <c r="TKE43" s="344"/>
      <c r="TKF43" s="344"/>
      <c r="TKG43" s="344"/>
      <c r="TKH43" s="344"/>
      <c r="TKI43" s="344"/>
      <c r="TKJ43" s="344"/>
      <c r="TKK43" s="344"/>
      <c r="TKL43" s="344"/>
      <c r="TKM43" s="344"/>
      <c r="TKN43" s="344"/>
      <c r="TKO43" s="344"/>
      <c r="TKP43" s="344"/>
      <c r="TKQ43" s="344"/>
      <c r="TKR43" s="344"/>
      <c r="TKS43" s="344"/>
      <c r="TKT43" s="344"/>
      <c r="TKU43" s="344"/>
      <c r="TKV43" s="344"/>
      <c r="TKW43" s="344"/>
      <c r="TKX43" s="344"/>
      <c r="TKY43" s="344"/>
      <c r="TKZ43" s="344"/>
      <c r="TLA43" s="344"/>
      <c r="TLB43" s="344"/>
      <c r="TLC43" s="344"/>
      <c r="TLD43" s="344"/>
      <c r="TLE43" s="344"/>
      <c r="TLF43" s="344"/>
      <c r="TLG43" s="344"/>
      <c r="TLH43" s="344"/>
      <c r="TLI43" s="344"/>
      <c r="TLJ43" s="344"/>
      <c r="TLK43" s="344"/>
      <c r="TLL43" s="344"/>
      <c r="TLM43" s="344"/>
      <c r="TLN43" s="344"/>
      <c r="TLO43" s="344"/>
      <c r="TLP43" s="344"/>
      <c r="TLQ43" s="344"/>
      <c r="TLR43" s="344"/>
      <c r="TLS43" s="344"/>
      <c r="TLT43" s="344"/>
      <c r="TLU43" s="344"/>
      <c r="TLV43" s="344"/>
      <c r="TLW43" s="344"/>
      <c r="TLX43" s="344"/>
      <c r="TLY43" s="344"/>
      <c r="TLZ43" s="344"/>
      <c r="TMA43" s="344"/>
      <c r="TMB43" s="344"/>
      <c r="TMC43" s="344"/>
      <c r="TMD43" s="344"/>
      <c r="TME43" s="344"/>
      <c r="TMF43" s="344"/>
      <c r="TMG43" s="344"/>
      <c r="TMH43" s="344"/>
      <c r="TMI43" s="344"/>
      <c r="TMJ43" s="344"/>
      <c r="TMK43" s="344"/>
      <c r="TML43" s="344"/>
      <c r="TMM43" s="344"/>
      <c r="TMN43" s="344"/>
      <c r="TMO43" s="344"/>
      <c r="TMP43" s="344"/>
      <c r="TMQ43" s="344"/>
      <c r="TMR43" s="344"/>
      <c r="TMS43" s="344"/>
      <c r="TMT43" s="344"/>
      <c r="TMU43" s="344"/>
      <c r="TMV43" s="344"/>
      <c r="TMW43" s="344"/>
      <c r="TMX43" s="344"/>
      <c r="TMY43" s="344"/>
      <c r="TMZ43" s="344"/>
      <c r="TNA43" s="344"/>
      <c r="TNB43" s="344"/>
      <c r="TNC43" s="344"/>
      <c r="TND43" s="344"/>
      <c r="TNE43" s="344"/>
      <c r="TNF43" s="344"/>
      <c r="TNG43" s="344"/>
      <c r="TNH43" s="344"/>
      <c r="TNI43" s="344"/>
      <c r="TNJ43" s="344"/>
      <c r="TNK43" s="344"/>
      <c r="TNL43" s="344"/>
      <c r="TNM43" s="344"/>
      <c r="TNN43" s="344"/>
      <c r="TNO43" s="344"/>
      <c r="TNP43" s="344"/>
      <c r="TNQ43" s="344"/>
      <c r="TNR43" s="344"/>
      <c r="TNS43" s="344"/>
      <c r="TNT43" s="344"/>
      <c r="TNU43" s="344"/>
      <c r="TNV43" s="344"/>
      <c r="TNW43" s="344"/>
      <c r="TNX43" s="344"/>
      <c r="TNY43" s="344"/>
      <c r="TNZ43" s="344"/>
      <c r="TOA43" s="344"/>
      <c r="TOB43" s="344"/>
      <c r="TOC43" s="344"/>
      <c r="TOD43" s="344"/>
      <c r="TOE43" s="344"/>
      <c r="TOF43" s="344"/>
      <c r="TOG43" s="344"/>
      <c r="TOH43" s="344"/>
      <c r="TOI43" s="344"/>
      <c r="TOJ43" s="344"/>
      <c r="TOK43" s="344"/>
      <c r="TOL43" s="344"/>
      <c r="TOM43" s="344"/>
      <c r="TON43" s="344"/>
      <c r="TOO43" s="344"/>
      <c r="TOP43" s="344"/>
      <c r="TOQ43" s="344"/>
      <c r="TOR43" s="344"/>
      <c r="TOS43" s="344"/>
      <c r="TOT43" s="344"/>
      <c r="TOU43" s="344"/>
      <c r="TOV43" s="344"/>
      <c r="TOW43" s="344"/>
      <c r="TOX43" s="344"/>
      <c r="TOY43" s="344"/>
      <c r="TOZ43" s="344"/>
      <c r="TPA43" s="344"/>
      <c r="TPB43" s="344"/>
      <c r="TPC43" s="344"/>
      <c r="TPD43" s="344"/>
      <c r="TPE43" s="344"/>
      <c r="TPF43" s="344"/>
      <c r="TPG43" s="344"/>
      <c r="TPH43" s="344"/>
      <c r="TPI43" s="344"/>
      <c r="TPJ43" s="344"/>
      <c r="TPK43" s="344"/>
      <c r="TPL43" s="344"/>
      <c r="TPM43" s="344"/>
      <c r="TPN43" s="344"/>
      <c r="TPO43" s="344"/>
      <c r="TPP43" s="344"/>
      <c r="TPQ43" s="344"/>
      <c r="TPR43" s="344"/>
      <c r="TPS43" s="344"/>
      <c r="TPT43" s="344"/>
      <c r="TPU43" s="344"/>
      <c r="TPV43" s="344"/>
      <c r="TPW43" s="344"/>
      <c r="TPX43" s="344"/>
      <c r="TPY43" s="344"/>
      <c r="TPZ43" s="344"/>
      <c r="TQA43" s="344"/>
      <c r="TQB43" s="344"/>
      <c r="TQC43" s="344"/>
      <c r="TQD43" s="344"/>
      <c r="TQE43" s="344"/>
      <c r="TQF43" s="344"/>
      <c r="TQG43" s="344"/>
      <c r="TQH43" s="344"/>
      <c r="TQI43" s="344"/>
      <c r="TQJ43" s="344"/>
      <c r="TQK43" s="344"/>
      <c r="TQL43" s="344"/>
      <c r="TQM43" s="344"/>
      <c r="TQN43" s="344"/>
      <c r="TQO43" s="344"/>
      <c r="TQP43" s="344"/>
      <c r="TQQ43" s="344"/>
      <c r="TQR43" s="344"/>
      <c r="TQS43" s="344"/>
      <c r="TQT43" s="344"/>
      <c r="TQU43" s="344"/>
      <c r="TQV43" s="344"/>
      <c r="TQW43" s="344"/>
      <c r="TQX43" s="344"/>
      <c r="TQY43" s="344"/>
      <c r="TQZ43" s="344"/>
      <c r="TRA43" s="344"/>
      <c r="TRB43" s="344"/>
      <c r="TRC43" s="344"/>
      <c r="TRD43" s="344"/>
      <c r="TRE43" s="344"/>
      <c r="TRF43" s="344"/>
      <c r="TRG43" s="344"/>
      <c r="TRH43" s="344"/>
      <c r="TRI43" s="344"/>
      <c r="TRJ43" s="344"/>
      <c r="TRK43" s="344"/>
      <c r="TRL43" s="344"/>
      <c r="TRM43" s="344"/>
      <c r="TRN43" s="344"/>
      <c r="TRO43" s="344"/>
      <c r="TRP43" s="344"/>
      <c r="TRQ43" s="344"/>
      <c r="TRR43" s="344"/>
      <c r="TRS43" s="344"/>
      <c r="TRT43" s="344"/>
      <c r="TRU43" s="344"/>
      <c r="TRV43" s="344"/>
      <c r="TRW43" s="344"/>
      <c r="TRX43" s="344"/>
      <c r="TRY43" s="344"/>
      <c r="TRZ43" s="344"/>
      <c r="TSA43" s="344"/>
      <c r="TSB43" s="344"/>
      <c r="TSC43" s="344"/>
      <c r="TSD43" s="344"/>
      <c r="TSE43" s="344"/>
      <c r="TSF43" s="344"/>
      <c r="TSG43" s="344"/>
      <c r="TSH43" s="344"/>
      <c r="TSI43" s="344"/>
      <c r="TSJ43" s="344"/>
      <c r="TSK43" s="344"/>
      <c r="TSL43" s="344"/>
      <c r="TSM43" s="344"/>
      <c r="TSN43" s="344"/>
      <c r="TSO43" s="344"/>
      <c r="TSP43" s="344"/>
      <c r="TSQ43" s="344"/>
      <c r="TSR43" s="344"/>
      <c r="TSS43" s="344"/>
      <c r="TST43" s="344"/>
      <c r="TSU43" s="344"/>
      <c r="TSV43" s="344"/>
      <c r="TSW43" s="344"/>
      <c r="TSX43" s="344"/>
      <c r="TSY43" s="344"/>
      <c r="TSZ43" s="344"/>
      <c r="TTA43" s="344"/>
      <c r="TTB43" s="344"/>
      <c r="TTC43" s="344"/>
      <c r="TTD43" s="344"/>
      <c r="TTE43" s="344"/>
      <c r="TTF43" s="344"/>
      <c r="TTG43" s="344"/>
      <c r="TTH43" s="344"/>
      <c r="TTI43" s="344"/>
      <c r="TTJ43" s="344"/>
      <c r="TTK43" s="344"/>
      <c r="TTL43" s="344"/>
      <c r="TTM43" s="344"/>
      <c r="TTN43" s="344"/>
      <c r="TTO43" s="344"/>
      <c r="TTP43" s="344"/>
      <c r="TTQ43" s="344"/>
      <c r="TTR43" s="344"/>
      <c r="TTS43" s="344"/>
      <c r="TTT43" s="344"/>
      <c r="TTU43" s="344"/>
      <c r="TTV43" s="344"/>
      <c r="TTW43" s="344"/>
      <c r="TTX43" s="344"/>
      <c r="TTY43" s="344"/>
      <c r="TTZ43" s="344"/>
      <c r="TUA43" s="344"/>
      <c r="TUB43" s="344"/>
      <c r="TUC43" s="344"/>
      <c r="TUD43" s="344"/>
      <c r="TUE43" s="344"/>
      <c r="TUF43" s="344"/>
      <c r="TUG43" s="344"/>
      <c r="TUH43" s="344"/>
      <c r="TUI43" s="344"/>
      <c r="TUJ43" s="344"/>
      <c r="TUK43" s="344"/>
      <c r="TUL43" s="344"/>
      <c r="TUM43" s="344"/>
      <c r="TUN43" s="344"/>
      <c r="TUO43" s="344"/>
      <c r="TUP43" s="344"/>
      <c r="TUQ43" s="344"/>
      <c r="TUR43" s="344"/>
      <c r="TUS43" s="344"/>
      <c r="TUT43" s="344"/>
      <c r="TUU43" s="344"/>
      <c r="TUV43" s="344"/>
      <c r="TUW43" s="344"/>
      <c r="TUX43" s="344"/>
      <c r="TUY43" s="344"/>
      <c r="TUZ43" s="344"/>
      <c r="TVA43" s="344"/>
      <c r="TVB43" s="344"/>
      <c r="TVC43" s="344"/>
      <c r="TVD43" s="344"/>
      <c r="TVE43" s="344"/>
      <c r="TVF43" s="344"/>
      <c r="TVG43" s="344"/>
      <c r="TVH43" s="344"/>
      <c r="TVI43" s="344"/>
      <c r="TVJ43" s="344"/>
      <c r="TVK43" s="344"/>
      <c r="TVL43" s="344"/>
      <c r="TVM43" s="344"/>
      <c r="TVN43" s="344"/>
      <c r="TVO43" s="344"/>
      <c r="TVP43" s="344"/>
      <c r="TVQ43" s="344"/>
      <c r="TVR43" s="344"/>
      <c r="TVS43" s="344"/>
      <c r="TVT43" s="344"/>
      <c r="TVU43" s="344"/>
      <c r="TVV43" s="344"/>
      <c r="TVW43" s="344"/>
      <c r="TVX43" s="344"/>
      <c r="TVY43" s="344"/>
      <c r="TVZ43" s="344"/>
      <c r="TWA43" s="344"/>
      <c r="TWB43" s="344"/>
      <c r="TWC43" s="344"/>
      <c r="TWD43" s="344"/>
      <c r="TWE43" s="344"/>
      <c r="TWF43" s="344"/>
      <c r="TWG43" s="344"/>
      <c r="TWH43" s="344"/>
      <c r="TWI43" s="344"/>
      <c r="TWJ43" s="344"/>
      <c r="TWK43" s="344"/>
      <c r="TWL43" s="344"/>
      <c r="TWM43" s="344"/>
      <c r="TWN43" s="344"/>
      <c r="TWO43" s="344"/>
      <c r="TWP43" s="344"/>
      <c r="TWQ43" s="344"/>
      <c r="TWR43" s="344"/>
      <c r="TWS43" s="344"/>
      <c r="TWT43" s="344"/>
      <c r="TWU43" s="344"/>
      <c r="TWV43" s="344"/>
      <c r="TWW43" s="344"/>
      <c r="TWX43" s="344"/>
      <c r="TWY43" s="344"/>
      <c r="TWZ43" s="344"/>
      <c r="TXA43" s="344"/>
      <c r="TXB43" s="344"/>
      <c r="TXC43" s="344"/>
      <c r="TXD43" s="344"/>
      <c r="TXE43" s="344"/>
      <c r="TXF43" s="344"/>
      <c r="TXG43" s="344"/>
      <c r="TXH43" s="344"/>
      <c r="TXI43" s="344"/>
      <c r="TXJ43" s="344"/>
      <c r="TXK43" s="344"/>
      <c r="TXL43" s="344"/>
      <c r="TXM43" s="344"/>
      <c r="TXN43" s="344"/>
      <c r="TXO43" s="344"/>
      <c r="TXP43" s="344"/>
      <c r="TXQ43" s="344"/>
      <c r="TXR43" s="344"/>
      <c r="TXS43" s="344"/>
      <c r="TXT43" s="344"/>
      <c r="TXU43" s="344"/>
      <c r="TXV43" s="344"/>
      <c r="TXW43" s="344"/>
      <c r="TXX43" s="344"/>
      <c r="TXY43" s="344"/>
      <c r="TXZ43" s="344"/>
      <c r="TYA43" s="344"/>
      <c r="TYB43" s="344"/>
      <c r="TYC43" s="344"/>
      <c r="TYD43" s="344"/>
      <c r="TYE43" s="344"/>
      <c r="TYF43" s="344"/>
      <c r="TYG43" s="344"/>
      <c r="TYH43" s="344"/>
      <c r="TYI43" s="344"/>
      <c r="TYJ43" s="344"/>
      <c r="TYK43" s="344"/>
      <c r="TYL43" s="344"/>
      <c r="TYM43" s="344"/>
      <c r="TYN43" s="344"/>
      <c r="TYO43" s="344"/>
      <c r="TYP43" s="344"/>
      <c r="TYQ43" s="344"/>
      <c r="TYR43" s="344"/>
      <c r="TYS43" s="344"/>
      <c r="TYT43" s="344"/>
      <c r="TYU43" s="344"/>
      <c r="TYV43" s="344"/>
      <c r="TYW43" s="344"/>
      <c r="TYX43" s="344"/>
      <c r="TYY43" s="344"/>
      <c r="TYZ43" s="344"/>
      <c r="TZA43" s="344"/>
      <c r="TZB43" s="344"/>
      <c r="TZC43" s="344"/>
      <c r="TZD43" s="344"/>
      <c r="TZE43" s="344"/>
      <c r="TZF43" s="344"/>
      <c r="TZG43" s="344"/>
      <c r="TZH43" s="344"/>
      <c r="TZI43" s="344"/>
      <c r="TZJ43" s="344"/>
      <c r="TZK43" s="344"/>
      <c r="TZL43" s="344"/>
      <c r="TZM43" s="344"/>
      <c r="TZN43" s="344"/>
      <c r="TZO43" s="344"/>
      <c r="TZP43" s="344"/>
      <c r="TZQ43" s="344"/>
      <c r="TZR43" s="344"/>
      <c r="TZS43" s="344"/>
      <c r="TZT43" s="344"/>
      <c r="TZU43" s="344"/>
      <c r="TZV43" s="344"/>
      <c r="TZW43" s="344"/>
      <c r="TZX43" s="344"/>
      <c r="TZY43" s="344"/>
      <c r="TZZ43" s="344"/>
      <c r="UAA43" s="344"/>
      <c r="UAB43" s="344"/>
      <c r="UAC43" s="344"/>
      <c r="UAD43" s="344"/>
      <c r="UAE43" s="344"/>
      <c r="UAF43" s="344"/>
      <c r="UAG43" s="344"/>
      <c r="UAH43" s="344"/>
      <c r="UAI43" s="344"/>
      <c r="UAJ43" s="344"/>
      <c r="UAK43" s="344"/>
      <c r="UAL43" s="344"/>
      <c r="UAM43" s="344"/>
      <c r="UAN43" s="344"/>
      <c r="UAO43" s="344"/>
      <c r="UAP43" s="344"/>
      <c r="UAQ43" s="344"/>
      <c r="UAR43" s="344"/>
      <c r="UAS43" s="344"/>
      <c r="UAT43" s="344"/>
      <c r="UAU43" s="344"/>
      <c r="UAV43" s="344"/>
      <c r="UAW43" s="344"/>
      <c r="UAX43" s="344"/>
      <c r="UAY43" s="344"/>
      <c r="UAZ43" s="344"/>
      <c r="UBA43" s="344"/>
      <c r="UBB43" s="344"/>
      <c r="UBC43" s="344"/>
      <c r="UBD43" s="344"/>
      <c r="UBE43" s="344"/>
      <c r="UBF43" s="344"/>
      <c r="UBG43" s="344"/>
      <c r="UBH43" s="344"/>
      <c r="UBI43" s="344"/>
      <c r="UBJ43" s="344"/>
      <c r="UBK43" s="344"/>
      <c r="UBL43" s="344"/>
      <c r="UBM43" s="344"/>
      <c r="UBN43" s="344"/>
      <c r="UBO43" s="344"/>
      <c r="UBP43" s="344"/>
      <c r="UBQ43" s="344"/>
      <c r="UBR43" s="344"/>
      <c r="UBS43" s="344"/>
      <c r="UBT43" s="344"/>
      <c r="UBU43" s="344"/>
      <c r="UBV43" s="344"/>
      <c r="UBW43" s="344"/>
      <c r="UBX43" s="344"/>
      <c r="UBY43" s="344"/>
      <c r="UBZ43" s="344"/>
      <c r="UCA43" s="344"/>
      <c r="UCB43" s="344"/>
      <c r="UCC43" s="344"/>
      <c r="UCD43" s="344"/>
      <c r="UCE43" s="344"/>
      <c r="UCF43" s="344"/>
      <c r="UCG43" s="344"/>
      <c r="UCH43" s="344"/>
      <c r="UCI43" s="344"/>
      <c r="UCJ43" s="344"/>
      <c r="UCK43" s="344"/>
      <c r="UCL43" s="344"/>
      <c r="UCM43" s="344"/>
      <c r="UCN43" s="344"/>
      <c r="UCO43" s="344"/>
      <c r="UCP43" s="344"/>
      <c r="UCQ43" s="344"/>
      <c r="UCR43" s="344"/>
      <c r="UCS43" s="344"/>
      <c r="UCT43" s="344"/>
      <c r="UCU43" s="344"/>
      <c r="UCV43" s="344"/>
      <c r="UCW43" s="344"/>
      <c r="UCX43" s="344"/>
      <c r="UCY43" s="344"/>
      <c r="UCZ43" s="344"/>
      <c r="UDA43" s="344"/>
      <c r="UDB43" s="344"/>
      <c r="UDC43" s="344"/>
      <c r="UDD43" s="344"/>
      <c r="UDE43" s="344"/>
      <c r="UDF43" s="344"/>
      <c r="UDG43" s="344"/>
      <c r="UDH43" s="344"/>
      <c r="UDI43" s="344"/>
      <c r="UDJ43" s="344"/>
      <c r="UDK43" s="344"/>
      <c r="UDL43" s="344"/>
      <c r="UDM43" s="344"/>
      <c r="UDN43" s="344"/>
      <c r="UDO43" s="344"/>
      <c r="UDP43" s="344"/>
      <c r="UDQ43" s="344"/>
      <c r="UDR43" s="344"/>
      <c r="UDS43" s="344"/>
      <c r="UDT43" s="344"/>
      <c r="UDU43" s="344"/>
      <c r="UDV43" s="344"/>
      <c r="UDW43" s="344"/>
      <c r="UDX43" s="344"/>
      <c r="UDY43" s="344"/>
      <c r="UDZ43" s="344"/>
      <c r="UEA43" s="344"/>
      <c r="UEB43" s="344"/>
      <c r="UEC43" s="344"/>
      <c r="UED43" s="344"/>
      <c r="UEE43" s="344"/>
      <c r="UEF43" s="344"/>
      <c r="UEG43" s="344"/>
      <c r="UEH43" s="344"/>
      <c r="UEI43" s="344"/>
      <c r="UEJ43" s="344"/>
      <c r="UEK43" s="344"/>
      <c r="UEL43" s="344"/>
      <c r="UEM43" s="344"/>
      <c r="UEN43" s="344"/>
      <c r="UEO43" s="344"/>
      <c r="UEP43" s="344"/>
      <c r="UEQ43" s="344"/>
      <c r="UER43" s="344"/>
      <c r="UES43" s="344"/>
      <c r="UET43" s="344"/>
      <c r="UEU43" s="344"/>
      <c r="UEV43" s="344"/>
      <c r="UEW43" s="344"/>
      <c r="UEX43" s="344"/>
      <c r="UEY43" s="344"/>
      <c r="UEZ43" s="344"/>
      <c r="UFA43" s="344"/>
      <c r="UFB43" s="344"/>
      <c r="UFC43" s="344"/>
      <c r="UFD43" s="344"/>
      <c r="UFE43" s="344"/>
      <c r="UFF43" s="344"/>
      <c r="UFG43" s="344"/>
      <c r="UFH43" s="344"/>
      <c r="UFI43" s="344"/>
      <c r="UFJ43" s="344"/>
      <c r="UFK43" s="344"/>
      <c r="UFL43" s="344"/>
      <c r="UFM43" s="344"/>
      <c r="UFN43" s="344"/>
      <c r="UFO43" s="344"/>
      <c r="UFP43" s="344"/>
      <c r="UFQ43" s="344"/>
      <c r="UFR43" s="344"/>
      <c r="UFS43" s="344"/>
      <c r="UFT43" s="344"/>
      <c r="UFU43" s="344"/>
      <c r="UFV43" s="344"/>
      <c r="UFW43" s="344"/>
      <c r="UFX43" s="344"/>
      <c r="UFY43" s="344"/>
      <c r="UFZ43" s="344"/>
      <c r="UGA43" s="344"/>
      <c r="UGB43" s="344"/>
      <c r="UGC43" s="344"/>
      <c r="UGD43" s="344"/>
      <c r="UGE43" s="344"/>
      <c r="UGF43" s="344"/>
      <c r="UGG43" s="344"/>
      <c r="UGH43" s="344"/>
      <c r="UGI43" s="344"/>
      <c r="UGJ43" s="344"/>
      <c r="UGK43" s="344"/>
      <c r="UGL43" s="344"/>
      <c r="UGM43" s="344"/>
      <c r="UGN43" s="344"/>
      <c r="UGO43" s="344"/>
      <c r="UGP43" s="344"/>
      <c r="UGQ43" s="344"/>
      <c r="UGR43" s="344"/>
      <c r="UGS43" s="344"/>
      <c r="UGT43" s="344"/>
      <c r="UGU43" s="344"/>
      <c r="UGV43" s="344"/>
      <c r="UGW43" s="344"/>
      <c r="UGX43" s="344"/>
      <c r="UGY43" s="344"/>
      <c r="UGZ43" s="344"/>
      <c r="UHA43" s="344"/>
      <c r="UHB43" s="344"/>
      <c r="UHC43" s="344"/>
      <c r="UHD43" s="344"/>
      <c r="UHE43" s="344"/>
      <c r="UHF43" s="344"/>
      <c r="UHG43" s="344"/>
      <c r="UHH43" s="344"/>
      <c r="UHI43" s="344"/>
      <c r="UHJ43" s="344"/>
      <c r="UHK43" s="344"/>
      <c r="UHL43" s="344"/>
      <c r="UHM43" s="344"/>
      <c r="UHN43" s="344"/>
      <c r="UHO43" s="344"/>
      <c r="UHP43" s="344"/>
      <c r="UHQ43" s="344"/>
      <c r="UHR43" s="344"/>
      <c r="UHS43" s="344"/>
      <c r="UHT43" s="344"/>
      <c r="UHU43" s="344"/>
      <c r="UHV43" s="344"/>
      <c r="UHW43" s="344"/>
      <c r="UHX43" s="344"/>
      <c r="UHY43" s="344"/>
      <c r="UHZ43" s="344"/>
      <c r="UIA43" s="344"/>
      <c r="UIB43" s="344"/>
      <c r="UIC43" s="344"/>
      <c r="UID43" s="344"/>
      <c r="UIE43" s="344"/>
      <c r="UIF43" s="344"/>
      <c r="UIG43" s="344"/>
      <c r="UIH43" s="344"/>
      <c r="UII43" s="344"/>
      <c r="UIJ43" s="344"/>
      <c r="UIK43" s="344"/>
      <c r="UIL43" s="344"/>
      <c r="UIM43" s="344"/>
      <c r="UIN43" s="344"/>
      <c r="UIO43" s="344"/>
      <c r="UIP43" s="344"/>
      <c r="UIQ43" s="344"/>
      <c r="UIR43" s="344"/>
      <c r="UIS43" s="344"/>
      <c r="UIT43" s="344"/>
      <c r="UIU43" s="344"/>
      <c r="UIV43" s="344"/>
      <c r="UIW43" s="344"/>
      <c r="UIX43" s="344"/>
      <c r="UIY43" s="344"/>
      <c r="UIZ43" s="344"/>
      <c r="UJA43" s="344"/>
      <c r="UJB43" s="344"/>
      <c r="UJC43" s="344"/>
      <c r="UJD43" s="344"/>
      <c r="UJE43" s="344"/>
      <c r="UJF43" s="344"/>
      <c r="UJG43" s="344"/>
      <c r="UJH43" s="344"/>
      <c r="UJI43" s="344"/>
      <c r="UJJ43" s="344"/>
      <c r="UJK43" s="344"/>
      <c r="UJL43" s="344"/>
      <c r="UJM43" s="344"/>
      <c r="UJN43" s="344"/>
      <c r="UJO43" s="344"/>
      <c r="UJP43" s="344"/>
      <c r="UJQ43" s="344"/>
      <c r="UJR43" s="344"/>
      <c r="UJS43" s="344"/>
      <c r="UJT43" s="344"/>
      <c r="UJU43" s="344"/>
      <c r="UJV43" s="344"/>
      <c r="UJW43" s="344"/>
      <c r="UJX43" s="344"/>
      <c r="UJY43" s="344"/>
      <c r="UJZ43" s="344"/>
      <c r="UKA43" s="344"/>
      <c r="UKB43" s="344"/>
      <c r="UKC43" s="344"/>
      <c r="UKD43" s="344"/>
      <c r="UKE43" s="344"/>
      <c r="UKF43" s="344"/>
      <c r="UKG43" s="344"/>
      <c r="UKH43" s="344"/>
      <c r="UKI43" s="344"/>
      <c r="UKJ43" s="344"/>
      <c r="UKK43" s="344"/>
      <c r="UKL43" s="344"/>
      <c r="UKM43" s="344"/>
      <c r="UKN43" s="344"/>
      <c r="UKO43" s="344"/>
      <c r="UKP43" s="344"/>
      <c r="UKQ43" s="344"/>
      <c r="UKR43" s="344"/>
      <c r="UKS43" s="344"/>
      <c r="UKT43" s="344"/>
      <c r="UKU43" s="344"/>
      <c r="UKV43" s="344"/>
      <c r="UKW43" s="344"/>
      <c r="UKX43" s="344"/>
      <c r="UKY43" s="344"/>
      <c r="UKZ43" s="344"/>
      <c r="ULA43" s="344"/>
      <c r="ULB43" s="344"/>
      <c r="ULC43" s="344"/>
      <c r="ULD43" s="344"/>
      <c r="ULE43" s="344"/>
      <c r="ULF43" s="344"/>
      <c r="ULG43" s="344"/>
      <c r="ULH43" s="344"/>
      <c r="ULI43" s="344"/>
      <c r="ULJ43" s="344"/>
      <c r="ULK43" s="344"/>
      <c r="ULL43" s="344"/>
      <c r="ULM43" s="344"/>
      <c r="ULN43" s="344"/>
      <c r="ULO43" s="344"/>
      <c r="ULP43" s="344"/>
      <c r="ULQ43" s="344"/>
      <c r="ULR43" s="344"/>
      <c r="ULS43" s="344"/>
      <c r="ULT43" s="344"/>
      <c r="ULU43" s="344"/>
      <c r="ULV43" s="344"/>
      <c r="ULW43" s="344"/>
      <c r="ULX43" s="344"/>
      <c r="ULY43" s="344"/>
      <c r="ULZ43" s="344"/>
      <c r="UMA43" s="344"/>
      <c r="UMB43" s="344"/>
      <c r="UMC43" s="344"/>
      <c r="UMD43" s="344"/>
      <c r="UME43" s="344"/>
      <c r="UMF43" s="344"/>
      <c r="UMG43" s="344"/>
      <c r="UMH43" s="344"/>
      <c r="UMI43" s="344"/>
      <c r="UMJ43" s="344"/>
      <c r="UMK43" s="344"/>
      <c r="UML43" s="344"/>
      <c r="UMM43" s="344"/>
      <c r="UMN43" s="344"/>
      <c r="UMO43" s="344"/>
      <c r="UMP43" s="344"/>
      <c r="UMQ43" s="344"/>
      <c r="UMR43" s="344"/>
      <c r="UMS43" s="344"/>
      <c r="UMT43" s="344"/>
      <c r="UMU43" s="344"/>
      <c r="UMV43" s="344"/>
      <c r="UMW43" s="344"/>
      <c r="UMX43" s="344"/>
      <c r="UMY43" s="344"/>
      <c r="UMZ43" s="344"/>
      <c r="UNA43" s="344"/>
      <c r="UNB43" s="344"/>
      <c r="UNC43" s="344"/>
      <c r="UND43" s="344"/>
      <c r="UNE43" s="344"/>
      <c r="UNF43" s="344"/>
      <c r="UNG43" s="344"/>
      <c r="UNH43" s="344"/>
      <c r="UNI43" s="344"/>
      <c r="UNJ43" s="344"/>
      <c r="UNK43" s="344"/>
      <c r="UNL43" s="344"/>
      <c r="UNM43" s="344"/>
      <c r="UNN43" s="344"/>
      <c r="UNO43" s="344"/>
      <c r="UNP43" s="344"/>
      <c r="UNQ43" s="344"/>
      <c r="UNR43" s="344"/>
      <c r="UNS43" s="344"/>
      <c r="UNT43" s="344"/>
      <c r="UNU43" s="344"/>
      <c r="UNV43" s="344"/>
      <c r="UNW43" s="344"/>
      <c r="UNX43" s="344"/>
      <c r="UNY43" s="344"/>
      <c r="UNZ43" s="344"/>
      <c r="UOA43" s="344"/>
      <c r="UOB43" s="344"/>
      <c r="UOC43" s="344"/>
      <c r="UOD43" s="344"/>
      <c r="UOE43" s="344"/>
      <c r="UOF43" s="344"/>
      <c r="UOG43" s="344"/>
      <c r="UOH43" s="344"/>
      <c r="UOI43" s="344"/>
      <c r="UOJ43" s="344"/>
      <c r="UOK43" s="344"/>
      <c r="UOL43" s="344"/>
      <c r="UOM43" s="344"/>
      <c r="UON43" s="344"/>
      <c r="UOO43" s="344"/>
      <c r="UOP43" s="344"/>
      <c r="UOQ43" s="344"/>
      <c r="UOR43" s="344"/>
      <c r="UOS43" s="344"/>
      <c r="UOT43" s="344"/>
      <c r="UOU43" s="344"/>
      <c r="UOV43" s="344"/>
      <c r="UOW43" s="344"/>
      <c r="UOX43" s="344"/>
      <c r="UOY43" s="344"/>
      <c r="UOZ43" s="344"/>
      <c r="UPA43" s="344"/>
      <c r="UPB43" s="344"/>
      <c r="UPC43" s="344"/>
      <c r="UPD43" s="344"/>
      <c r="UPE43" s="344"/>
      <c r="UPF43" s="344"/>
      <c r="UPG43" s="344"/>
      <c r="UPH43" s="344"/>
      <c r="UPI43" s="344"/>
      <c r="UPJ43" s="344"/>
      <c r="UPK43" s="344"/>
      <c r="UPL43" s="344"/>
      <c r="UPM43" s="344"/>
      <c r="UPN43" s="344"/>
      <c r="UPO43" s="344"/>
      <c r="UPP43" s="344"/>
      <c r="UPQ43" s="344"/>
      <c r="UPR43" s="344"/>
      <c r="UPS43" s="344"/>
      <c r="UPT43" s="344"/>
      <c r="UPU43" s="344"/>
      <c r="UPV43" s="344"/>
      <c r="UPW43" s="344"/>
      <c r="UPX43" s="344"/>
      <c r="UPY43" s="344"/>
      <c r="UPZ43" s="344"/>
      <c r="UQA43" s="344"/>
      <c r="UQB43" s="344"/>
      <c r="UQC43" s="344"/>
      <c r="UQD43" s="344"/>
      <c r="UQE43" s="344"/>
      <c r="UQF43" s="344"/>
      <c r="UQG43" s="344"/>
      <c r="UQH43" s="344"/>
      <c r="UQI43" s="344"/>
      <c r="UQJ43" s="344"/>
      <c r="UQK43" s="344"/>
      <c r="UQL43" s="344"/>
      <c r="UQM43" s="344"/>
      <c r="UQN43" s="344"/>
      <c r="UQO43" s="344"/>
      <c r="UQP43" s="344"/>
      <c r="UQQ43" s="344"/>
      <c r="UQR43" s="344"/>
      <c r="UQS43" s="344"/>
      <c r="UQT43" s="344"/>
      <c r="UQU43" s="344"/>
      <c r="UQV43" s="344"/>
      <c r="UQW43" s="344"/>
      <c r="UQX43" s="344"/>
      <c r="UQY43" s="344"/>
      <c r="UQZ43" s="344"/>
      <c r="URA43" s="344"/>
      <c r="URB43" s="344"/>
      <c r="URC43" s="344"/>
      <c r="URD43" s="344"/>
      <c r="URE43" s="344"/>
      <c r="URF43" s="344"/>
      <c r="URG43" s="344"/>
      <c r="URH43" s="344"/>
      <c r="URI43" s="344"/>
      <c r="URJ43" s="344"/>
      <c r="URK43" s="344"/>
      <c r="URL43" s="344"/>
      <c r="URM43" s="344"/>
      <c r="URN43" s="344"/>
      <c r="URO43" s="344"/>
      <c r="URP43" s="344"/>
      <c r="URQ43" s="344"/>
      <c r="URR43" s="344"/>
      <c r="URS43" s="344"/>
      <c r="URT43" s="344"/>
      <c r="URU43" s="344"/>
      <c r="URV43" s="344"/>
      <c r="URW43" s="344"/>
      <c r="URX43" s="344"/>
      <c r="URY43" s="344"/>
      <c r="URZ43" s="344"/>
      <c r="USA43" s="344"/>
      <c r="USB43" s="344"/>
      <c r="USC43" s="344"/>
      <c r="USD43" s="344"/>
      <c r="USE43" s="344"/>
      <c r="USF43" s="344"/>
      <c r="USG43" s="344"/>
      <c r="USH43" s="344"/>
      <c r="USI43" s="344"/>
      <c r="USJ43" s="344"/>
      <c r="USK43" s="344"/>
      <c r="USL43" s="344"/>
      <c r="USM43" s="344"/>
      <c r="USN43" s="344"/>
      <c r="USO43" s="344"/>
      <c r="USP43" s="344"/>
      <c r="USQ43" s="344"/>
      <c r="USR43" s="344"/>
      <c r="USS43" s="344"/>
      <c r="UST43" s="344"/>
      <c r="USU43" s="344"/>
      <c r="USV43" s="344"/>
      <c r="USW43" s="344"/>
      <c r="USX43" s="344"/>
      <c r="USY43" s="344"/>
      <c r="USZ43" s="344"/>
      <c r="UTA43" s="344"/>
      <c r="UTB43" s="344"/>
      <c r="UTC43" s="344"/>
      <c r="UTD43" s="344"/>
      <c r="UTE43" s="344"/>
      <c r="UTF43" s="344"/>
      <c r="UTG43" s="344"/>
      <c r="UTH43" s="344"/>
      <c r="UTI43" s="344"/>
      <c r="UTJ43" s="344"/>
      <c r="UTK43" s="344"/>
      <c r="UTL43" s="344"/>
      <c r="UTM43" s="344"/>
      <c r="UTN43" s="344"/>
      <c r="UTO43" s="344"/>
      <c r="UTP43" s="344"/>
      <c r="UTQ43" s="344"/>
      <c r="UTR43" s="344"/>
      <c r="UTS43" s="344"/>
      <c r="UTT43" s="344"/>
      <c r="UTU43" s="344"/>
      <c r="UTV43" s="344"/>
      <c r="UTW43" s="344"/>
      <c r="UTX43" s="344"/>
      <c r="UTY43" s="344"/>
      <c r="UTZ43" s="344"/>
      <c r="UUA43" s="344"/>
      <c r="UUB43" s="344"/>
      <c r="UUC43" s="344"/>
      <c r="UUD43" s="344"/>
      <c r="UUE43" s="344"/>
      <c r="UUF43" s="344"/>
      <c r="UUG43" s="344"/>
      <c r="UUH43" s="344"/>
      <c r="UUI43" s="344"/>
      <c r="UUJ43" s="344"/>
      <c r="UUK43" s="344"/>
      <c r="UUL43" s="344"/>
      <c r="UUM43" s="344"/>
      <c r="UUN43" s="344"/>
      <c r="UUO43" s="344"/>
      <c r="UUP43" s="344"/>
      <c r="UUQ43" s="344"/>
      <c r="UUR43" s="344"/>
      <c r="UUS43" s="344"/>
      <c r="UUT43" s="344"/>
      <c r="UUU43" s="344"/>
      <c r="UUV43" s="344"/>
      <c r="UUW43" s="344"/>
      <c r="UUX43" s="344"/>
      <c r="UUY43" s="344"/>
      <c r="UUZ43" s="344"/>
      <c r="UVA43" s="344"/>
      <c r="UVB43" s="344"/>
      <c r="UVC43" s="344"/>
      <c r="UVD43" s="344"/>
      <c r="UVE43" s="344"/>
      <c r="UVF43" s="344"/>
      <c r="UVG43" s="344"/>
      <c r="UVH43" s="344"/>
      <c r="UVI43" s="344"/>
      <c r="UVJ43" s="344"/>
      <c r="UVK43" s="344"/>
      <c r="UVL43" s="344"/>
      <c r="UVM43" s="344"/>
      <c r="UVN43" s="344"/>
      <c r="UVO43" s="344"/>
      <c r="UVP43" s="344"/>
      <c r="UVQ43" s="344"/>
      <c r="UVR43" s="344"/>
      <c r="UVS43" s="344"/>
      <c r="UVT43" s="344"/>
      <c r="UVU43" s="344"/>
      <c r="UVV43" s="344"/>
      <c r="UVW43" s="344"/>
      <c r="UVX43" s="344"/>
      <c r="UVY43" s="344"/>
      <c r="UVZ43" s="344"/>
      <c r="UWA43" s="344"/>
      <c r="UWB43" s="344"/>
      <c r="UWC43" s="344"/>
      <c r="UWD43" s="344"/>
      <c r="UWE43" s="344"/>
      <c r="UWF43" s="344"/>
      <c r="UWG43" s="344"/>
      <c r="UWH43" s="344"/>
      <c r="UWI43" s="344"/>
      <c r="UWJ43" s="344"/>
      <c r="UWK43" s="344"/>
      <c r="UWL43" s="344"/>
      <c r="UWM43" s="344"/>
      <c r="UWN43" s="344"/>
      <c r="UWO43" s="344"/>
      <c r="UWP43" s="344"/>
      <c r="UWQ43" s="344"/>
      <c r="UWR43" s="344"/>
      <c r="UWS43" s="344"/>
      <c r="UWT43" s="344"/>
      <c r="UWU43" s="344"/>
      <c r="UWV43" s="344"/>
      <c r="UWW43" s="344"/>
      <c r="UWX43" s="344"/>
      <c r="UWY43" s="344"/>
      <c r="UWZ43" s="344"/>
      <c r="UXA43" s="344"/>
      <c r="UXB43" s="344"/>
      <c r="UXC43" s="344"/>
      <c r="UXD43" s="344"/>
      <c r="UXE43" s="344"/>
      <c r="UXF43" s="344"/>
      <c r="UXG43" s="344"/>
      <c r="UXH43" s="344"/>
      <c r="UXI43" s="344"/>
      <c r="UXJ43" s="344"/>
      <c r="UXK43" s="344"/>
      <c r="UXL43" s="344"/>
      <c r="UXM43" s="344"/>
      <c r="UXN43" s="344"/>
      <c r="UXO43" s="344"/>
      <c r="UXP43" s="344"/>
      <c r="UXQ43" s="344"/>
      <c r="UXR43" s="344"/>
      <c r="UXS43" s="344"/>
      <c r="UXT43" s="344"/>
      <c r="UXU43" s="344"/>
      <c r="UXV43" s="344"/>
      <c r="UXW43" s="344"/>
      <c r="UXX43" s="344"/>
      <c r="UXY43" s="344"/>
      <c r="UXZ43" s="344"/>
      <c r="UYA43" s="344"/>
      <c r="UYB43" s="344"/>
      <c r="UYC43" s="344"/>
      <c r="UYD43" s="344"/>
      <c r="UYE43" s="344"/>
      <c r="UYF43" s="344"/>
      <c r="UYG43" s="344"/>
      <c r="UYH43" s="344"/>
      <c r="UYI43" s="344"/>
      <c r="UYJ43" s="344"/>
      <c r="UYK43" s="344"/>
      <c r="UYL43" s="344"/>
      <c r="UYM43" s="344"/>
      <c r="UYN43" s="344"/>
      <c r="UYO43" s="344"/>
      <c r="UYP43" s="344"/>
      <c r="UYQ43" s="344"/>
      <c r="UYR43" s="344"/>
      <c r="UYS43" s="344"/>
      <c r="UYT43" s="344"/>
      <c r="UYU43" s="344"/>
      <c r="UYV43" s="344"/>
      <c r="UYW43" s="344"/>
      <c r="UYX43" s="344"/>
      <c r="UYY43" s="344"/>
      <c r="UYZ43" s="344"/>
      <c r="UZA43" s="344"/>
      <c r="UZB43" s="344"/>
      <c r="UZC43" s="344"/>
      <c r="UZD43" s="344"/>
      <c r="UZE43" s="344"/>
      <c r="UZF43" s="344"/>
      <c r="UZG43" s="344"/>
      <c r="UZH43" s="344"/>
      <c r="UZI43" s="344"/>
      <c r="UZJ43" s="344"/>
      <c r="UZK43" s="344"/>
      <c r="UZL43" s="344"/>
      <c r="UZM43" s="344"/>
      <c r="UZN43" s="344"/>
      <c r="UZO43" s="344"/>
      <c r="UZP43" s="344"/>
      <c r="UZQ43" s="344"/>
      <c r="UZR43" s="344"/>
      <c r="UZS43" s="344"/>
      <c r="UZT43" s="344"/>
      <c r="UZU43" s="344"/>
      <c r="UZV43" s="344"/>
      <c r="UZW43" s="344"/>
      <c r="UZX43" s="344"/>
      <c r="UZY43" s="344"/>
      <c r="UZZ43" s="344"/>
      <c r="VAA43" s="344"/>
      <c r="VAB43" s="344"/>
      <c r="VAC43" s="344"/>
      <c r="VAD43" s="344"/>
      <c r="VAE43" s="344"/>
      <c r="VAF43" s="344"/>
      <c r="VAG43" s="344"/>
      <c r="VAH43" s="344"/>
      <c r="VAI43" s="344"/>
      <c r="VAJ43" s="344"/>
      <c r="VAK43" s="344"/>
      <c r="VAL43" s="344"/>
      <c r="VAM43" s="344"/>
      <c r="VAN43" s="344"/>
      <c r="VAO43" s="344"/>
      <c r="VAP43" s="344"/>
      <c r="VAQ43" s="344"/>
      <c r="VAR43" s="344"/>
      <c r="VAS43" s="344"/>
      <c r="VAT43" s="344"/>
      <c r="VAU43" s="344"/>
      <c r="VAV43" s="344"/>
      <c r="VAW43" s="344"/>
      <c r="VAX43" s="344"/>
      <c r="VAY43" s="344"/>
      <c r="VAZ43" s="344"/>
      <c r="VBA43" s="344"/>
      <c r="VBB43" s="344"/>
      <c r="VBC43" s="344"/>
      <c r="VBD43" s="344"/>
      <c r="VBE43" s="344"/>
      <c r="VBF43" s="344"/>
      <c r="VBG43" s="344"/>
      <c r="VBH43" s="344"/>
      <c r="VBI43" s="344"/>
      <c r="VBJ43" s="344"/>
      <c r="VBK43" s="344"/>
      <c r="VBL43" s="344"/>
      <c r="VBM43" s="344"/>
      <c r="VBN43" s="344"/>
      <c r="VBO43" s="344"/>
      <c r="VBP43" s="344"/>
      <c r="VBQ43" s="344"/>
      <c r="VBR43" s="344"/>
      <c r="VBS43" s="344"/>
      <c r="VBT43" s="344"/>
      <c r="VBU43" s="344"/>
      <c r="VBV43" s="344"/>
      <c r="VBW43" s="344"/>
      <c r="VBX43" s="344"/>
      <c r="VBY43" s="344"/>
      <c r="VBZ43" s="344"/>
      <c r="VCA43" s="344"/>
      <c r="VCB43" s="344"/>
      <c r="VCC43" s="344"/>
      <c r="VCD43" s="344"/>
      <c r="VCE43" s="344"/>
      <c r="VCF43" s="344"/>
      <c r="VCG43" s="344"/>
      <c r="VCH43" s="344"/>
      <c r="VCI43" s="344"/>
      <c r="VCJ43" s="344"/>
      <c r="VCK43" s="344"/>
      <c r="VCL43" s="344"/>
      <c r="VCM43" s="344"/>
      <c r="VCN43" s="344"/>
      <c r="VCO43" s="344"/>
      <c r="VCP43" s="344"/>
      <c r="VCQ43" s="344"/>
      <c r="VCR43" s="344"/>
      <c r="VCS43" s="344"/>
      <c r="VCT43" s="344"/>
      <c r="VCU43" s="344"/>
      <c r="VCV43" s="344"/>
      <c r="VCW43" s="344"/>
      <c r="VCX43" s="344"/>
      <c r="VCY43" s="344"/>
      <c r="VCZ43" s="344"/>
      <c r="VDA43" s="344"/>
      <c r="VDB43" s="344"/>
      <c r="VDC43" s="344"/>
      <c r="VDD43" s="344"/>
      <c r="VDE43" s="344"/>
      <c r="VDF43" s="344"/>
      <c r="VDG43" s="344"/>
      <c r="VDH43" s="344"/>
      <c r="VDI43" s="344"/>
      <c r="VDJ43" s="344"/>
      <c r="VDK43" s="344"/>
      <c r="VDL43" s="344"/>
      <c r="VDM43" s="344"/>
      <c r="VDN43" s="344"/>
      <c r="VDO43" s="344"/>
      <c r="VDP43" s="344"/>
      <c r="VDQ43" s="344"/>
      <c r="VDR43" s="344"/>
      <c r="VDS43" s="344"/>
      <c r="VDT43" s="344"/>
      <c r="VDU43" s="344"/>
      <c r="VDV43" s="344"/>
      <c r="VDW43" s="344"/>
      <c r="VDX43" s="344"/>
      <c r="VDY43" s="344"/>
      <c r="VDZ43" s="344"/>
      <c r="VEA43" s="344"/>
      <c r="VEB43" s="344"/>
      <c r="VEC43" s="344"/>
      <c r="VED43" s="344"/>
      <c r="VEE43" s="344"/>
      <c r="VEF43" s="344"/>
      <c r="VEG43" s="344"/>
      <c r="VEH43" s="344"/>
      <c r="VEI43" s="344"/>
      <c r="VEJ43" s="344"/>
      <c r="VEK43" s="344"/>
      <c r="VEL43" s="344"/>
      <c r="VEM43" s="344"/>
      <c r="VEN43" s="344"/>
      <c r="VEO43" s="344"/>
      <c r="VEP43" s="344"/>
      <c r="VEQ43" s="344"/>
      <c r="VER43" s="344"/>
      <c r="VES43" s="344"/>
      <c r="VET43" s="344"/>
      <c r="VEU43" s="344"/>
      <c r="VEV43" s="344"/>
      <c r="VEW43" s="344"/>
      <c r="VEX43" s="344"/>
      <c r="VEY43" s="344"/>
      <c r="VEZ43" s="344"/>
      <c r="VFA43" s="344"/>
      <c r="VFB43" s="344"/>
      <c r="VFC43" s="344"/>
      <c r="VFD43" s="344"/>
      <c r="VFE43" s="344"/>
      <c r="VFF43" s="344"/>
      <c r="VFG43" s="344"/>
      <c r="VFH43" s="344"/>
      <c r="VFI43" s="344"/>
      <c r="VFJ43" s="344"/>
      <c r="VFK43" s="344"/>
      <c r="VFL43" s="344"/>
      <c r="VFM43" s="344"/>
      <c r="VFN43" s="344"/>
      <c r="VFO43" s="344"/>
      <c r="VFP43" s="344"/>
      <c r="VFQ43" s="344"/>
      <c r="VFR43" s="344"/>
      <c r="VFS43" s="344"/>
      <c r="VFT43" s="344"/>
      <c r="VFU43" s="344"/>
      <c r="VFV43" s="344"/>
      <c r="VFW43" s="344"/>
      <c r="VFX43" s="344"/>
      <c r="VFY43" s="344"/>
      <c r="VFZ43" s="344"/>
      <c r="VGA43" s="344"/>
      <c r="VGB43" s="344"/>
      <c r="VGC43" s="344"/>
      <c r="VGD43" s="344"/>
      <c r="VGE43" s="344"/>
      <c r="VGF43" s="344"/>
      <c r="VGG43" s="344"/>
      <c r="VGH43" s="344"/>
      <c r="VGI43" s="344"/>
      <c r="VGJ43" s="344"/>
      <c r="VGK43" s="344"/>
      <c r="VGL43" s="344"/>
      <c r="VGM43" s="344"/>
      <c r="VGN43" s="344"/>
      <c r="VGO43" s="344"/>
      <c r="VGP43" s="344"/>
      <c r="VGQ43" s="344"/>
      <c r="VGR43" s="344"/>
      <c r="VGS43" s="344"/>
      <c r="VGT43" s="344"/>
      <c r="VGU43" s="344"/>
      <c r="VGV43" s="344"/>
      <c r="VGW43" s="344"/>
      <c r="VGX43" s="344"/>
      <c r="VGY43" s="344"/>
      <c r="VGZ43" s="344"/>
      <c r="VHA43" s="344"/>
      <c r="VHB43" s="344"/>
      <c r="VHC43" s="344"/>
      <c r="VHD43" s="344"/>
      <c r="VHE43" s="344"/>
      <c r="VHF43" s="344"/>
      <c r="VHG43" s="344"/>
      <c r="VHH43" s="344"/>
      <c r="VHI43" s="344"/>
      <c r="VHJ43" s="344"/>
      <c r="VHK43" s="344"/>
      <c r="VHL43" s="344"/>
      <c r="VHM43" s="344"/>
      <c r="VHN43" s="344"/>
      <c r="VHO43" s="344"/>
      <c r="VHP43" s="344"/>
      <c r="VHQ43" s="344"/>
      <c r="VHR43" s="344"/>
      <c r="VHS43" s="344"/>
      <c r="VHT43" s="344"/>
      <c r="VHU43" s="344"/>
      <c r="VHV43" s="344"/>
      <c r="VHW43" s="344"/>
      <c r="VHX43" s="344"/>
      <c r="VHY43" s="344"/>
      <c r="VHZ43" s="344"/>
      <c r="VIA43" s="344"/>
      <c r="VIB43" s="344"/>
      <c r="VIC43" s="344"/>
      <c r="VID43" s="344"/>
      <c r="VIE43" s="344"/>
      <c r="VIF43" s="344"/>
      <c r="VIG43" s="344"/>
      <c r="VIH43" s="344"/>
      <c r="VII43" s="344"/>
      <c r="VIJ43" s="344"/>
      <c r="VIK43" s="344"/>
      <c r="VIL43" s="344"/>
      <c r="VIM43" s="344"/>
      <c r="VIN43" s="344"/>
      <c r="VIO43" s="344"/>
      <c r="VIP43" s="344"/>
      <c r="VIQ43" s="344"/>
      <c r="VIR43" s="344"/>
      <c r="VIS43" s="344"/>
      <c r="VIT43" s="344"/>
      <c r="VIU43" s="344"/>
      <c r="VIV43" s="344"/>
      <c r="VIW43" s="344"/>
      <c r="VIX43" s="344"/>
      <c r="VIY43" s="344"/>
      <c r="VIZ43" s="344"/>
      <c r="VJA43" s="344"/>
      <c r="VJB43" s="344"/>
      <c r="VJC43" s="344"/>
      <c r="VJD43" s="344"/>
      <c r="VJE43" s="344"/>
      <c r="VJF43" s="344"/>
      <c r="VJG43" s="344"/>
      <c r="VJH43" s="344"/>
      <c r="VJI43" s="344"/>
      <c r="VJJ43" s="344"/>
      <c r="VJK43" s="344"/>
      <c r="VJL43" s="344"/>
      <c r="VJM43" s="344"/>
      <c r="VJN43" s="344"/>
      <c r="VJO43" s="344"/>
      <c r="VJP43" s="344"/>
      <c r="VJQ43" s="344"/>
      <c r="VJR43" s="344"/>
      <c r="VJS43" s="344"/>
      <c r="VJT43" s="344"/>
      <c r="VJU43" s="344"/>
      <c r="VJV43" s="344"/>
      <c r="VJW43" s="344"/>
      <c r="VJX43" s="344"/>
      <c r="VJY43" s="344"/>
      <c r="VJZ43" s="344"/>
      <c r="VKA43" s="344"/>
      <c r="VKB43" s="344"/>
      <c r="VKC43" s="344"/>
      <c r="VKD43" s="344"/>
      <c r="VKE43" s="344"/>
      <c r="VKF43" s="344"/>
      <c r="VKG43" s="344"/>
      <c r="VKH43" s="344"/>
      <c r="VKI43" s="344"/>
      <c r="VKJ43" s="344"/>
      <c r="VKK43" s="344"/>
      <c r="VKL43" s="344"/>
      <c r="VKM43" s="344"/>
      <c r="VKN43" s="344"/>
      <c r="VKO43" s="344"/>
      <c r="VKP43" s="344"/>
      <c r="VKQ43" s="344"/>
      <c r="VKR43" s="344"/>
      <c r="VKS43" s="344"/>
      <c r="VKT43" s="344"/>
      <c r="VKU43" s="344"/>
      <c r="VKV43" s="344"/>
      <c r="VKW43" s="344"/>
      <c r="VKX43" s="344"/>
      <c r="VKY43" s="344"/>
      <c r="VKZ43" s="344"/>
      <c r="VLA43" s="344"/>
      <c r="VLB43" s="344"/>
      <c r="VLC43" s="344"/>
      <c r="VLD43" s="344"/>
      <c r="VLE43" s="344"/>
      <c r="VLF43" s="344"/>
      <c r="VLG43" s="344"/>
      <c r="VLH43" s="344"/>
      <c r="VLI43" s="344"/>
      <c r="VLJ43" s="344"/>
      <c r="VLK43" s="344"/>
      <c r="VLL43" s="344"/>
      <c r="VLM43" s="344"/>
      <c r="VLN43" s="344"/>
      <c r="VLO43" s="344"/>
      <c r="VLP43" s="344"/>
      <c r="VLQ43" s="344"/>
      <c r="VLR43" s="344"/>
      <c r="VLS43" s="344"/>
      <c r="VLT43" s="344"/>
      <c r="VLU43" s="344"/>
      <c r="VLV43" s="344"/>
      <c r="VLW43" s="344"/>
      <c r="VLX43" s="344"/>
      <c r="VLY43" s="344"/>
      <c r="VLZ43" s="344"/>
      <c r="VMA43" s="344"/>
      <c r="VMB43" s="344"/>
      <c r="VMC43" s="344"/>
      <c r="VMD43" s="344"/>
      <c r="VME43" s="344"/>
      <c r="VMF43" s="344"/>
      <c r="VMG43" s="344"/>
      <c r="VMH43" s="344"/>
      <c r="VMI43" s="344"/>
      <c r="VMJ43" s="344"/>
      <c r="VMK43" s="344"/>
      <c r="VML43" s="344"/>
      <c r="VMM43" s="344"/>
      <c r="VMN43" s="344"/>
      <c r="VMO43" s="344"/>
      <c r="VMP43" s="344"/>
      <c r="VMQ43" s="344"/>
      <c r="VMR43" s="344"/>
      <c r="VMS43" s="344"/>
      <c r="VMT43" s="344"/>
      <c r="VMU43" s="344"/>
      <c r="VMV43" s="344"/>
      <c r="VMW43" s="344"/>
      <c r="VMX43" s="344"/>
      <c r="VMY43" s="344"/>
      <c r="VMZ43" s="344"/>
      <c r="VNA43" s="344"/>
      <c r="VNB43" s="344"/>
      <c r="VNC43" s="344"/>
      <c r="VND43" s="344"/>
      <c r="VNE43" s="344"/>
      <c r="VNF43" s="344"/>
      <c r="VNG43" s="344"/>
      <c r="VNH43" s="344"/>
      <c r="VNI43" s="344"/>
      <c r="VNJ43" s="344"/>
      <c r="VNK43" s="344"/>
      <c r="VNL43" s="344"/>
      <c r="VNM43" s="344"/>
      <c r="VNN43" s="344"/>
      <c r="VNO43" s="344"/>
      <c r="VNP43" s="344"/>
      <c r="VNQ43" s="344"/>
      <c r="VNR43" s="344"/>
      <c r="VNS43" s="344"/>
      <c r="VNT43" s="344"/>
      <c r="VNU43" s="344"/>
      <c r="VNV43" s="344"/>
      <c r="VNW43" s="344"/>
      <c r="VNX43" s="344"/>
      <c r="VNY43" s="344"/>
      <c r="VNZ43" s="344"/>
      <c r="VOA43" s="344"/>
      <c r="VOB43" s="344"/>
      <c r="VOC43" s="344"/>
      <c r="VOD43" s="344"/>
      <c r="VOE43" s="344"/>
      <c r="VOF43" s="344"/>
      <c r="VOG43" s="344"/>
      <c r="VOH43" s="344"/>
      <c r="VOI43" s="344"/>
      <c r="VOJ43" s="344"/>
      <c r="VOK43" s="344"/>
      <c r="VOL43" s="344"/>
      <c r="VOM43" s="344"/>
      <c r="VON43" s="344"/>
      <c r="VOO43" s="344"/>
      <c r="VOP43" s="344"/>
      <c r="VOQ43" s="344"/>
      <c r="VOR43" s="344"/>
      <c r="VOS43" s="344"/>
      <c r="VOT43" s="344"/>
      <c r="VOU43" s="344"/>
      <c r="VOV43" s="344"/>
      <c r="VOW43" s="344"/>
      <c r="VOX43" s="344"/>
      <c r="VOY43" s="344"/>
      <c r="VOZ43" s="344"/>
      <c r="VPA43" s="344"/>
      <c r="VPB43" s="344"/>
      <c r="VPC43" s="344"/>
      <c r="VPD43" s="344"/>
      <c r="VPE43" s="344"/>
      <c r="VPF43" s="344"/>
      <c r="VPG43" s="344"/>
      <c r="VPH43" s="344"/>
      <c r="VPI43" s="344"/>
      <c r="VPJ43" s="344"/>
      <c r="VPK43" s="344"/>
      <c r="VPL43" s="344"/>
      <c r="VPM43" s="344"/>
      <c r="VPN43" s="344"/>
      <c r="VPO43" s="344"/>
      <c r="VPP43" s="344"/>
      <c r="VPQ43" s="344"/>
      <c r="VPR43" s="344"/>
      <c r="VPS43" s="344"/>
      <c r="VPT43" s="344"/>
      <c r="VPU43" s="344"/>
      <c r="VPV43" s="344"/>
      <c r="VPW43" s="344"/>
      <c r="VPX43" s="344"/>
      <c r="VPY43" s="344"/>
      <c r="VPZ43" s="344"/>
      <c r="VQA43" s="344"/>
      <c r="VQB43" s="344"/>
      <c r="VQC43" s="344"/>
      <c r="VQD43" s="344"/>
      <c r="VQE43" s="344"/>
      <c r="VQF43" s="344"/>
      <c r="VQG43" s="344"/>
      <c r="VQH43" s="344"/>
      <c r="VQI43" s="344"/>
      <c r="VQJ43" s="344"/>
      <c r="VQK43" s="344"/>
      <c r="VQL43" s="344"/>
      <c r="VQM43" s="344"/>
      <c r="VQN43" s="344"/>
      <c r="VQO43" s="344"/>
      <c r="VQP43" s="344"/>
      <c r="VQQ43" s="344"/>
      <c r="VQR43" s="344"/>
      <c r="VQS43" s="344"/>
      <c r="VQT43" s="344"/>
      <c r="VQU43" s="344"/>
      <c r="VQV43" s="344"/>
      <c r="VQW43" s="344"/>
      <c r="VQX43" s="344"/>
      <c r="VQY43" s="344"/>
      <c r="VQZ43" s="344"/>
      <c r="VRA43" s="344"/>
      <c r="VRB43" s="344"/>
      <c r="VRC43" s="344"/>
      <c r="VRD43" s="344"/>
      <c r="VRE43" s="344"/>
      <c r="VRF43" s="344"/>
      <c r="VRG43" s="344"/>
      <c r="VRH43" s="344"/>
      <c r="VRI43" s="344"/>
      <c r="VRJ43" s="344"/>
      <c r="VRK43" s="344"/>
      <c r="VRL43" s="344"/>
      <c r="VRM43" s="344"/>
      <c r="VRN43" s="344"/>
      <c r="VRO43" s="344"/>
      <c r="VRP43" s="344"/>
      <c r="VRQ43" s="344"/>
      <c r="VRR43" s="344"/>
      <c r="VRS43" s="344"/>
      <c r="VRT43" s="344"/>
      <c r="VRU43" s="344"/>
      <c r="VRV43" s="344"/>
      <c r="VRW43" s="344"/>
      <c r="VRX43" s="344"/>
      <c r="VRY43" s="344"/>
      <c r="VRZ43" s="344"/>
      <c r="VSA43" s="344"/>
      <c r="VSB43" s="344"/>
      <c r="VSC43" s="344"/>
      <c r="VSD43" s="344"/>
      <c r="VSE43" s="344"/>
      <c r="VSF43" s="344"/>
      <c r="VSG43" s="344"/>
      <c r="VSH43" s="344"/>
      <c r="VSI43" s="344"/>
      <c r="VSJ43" s="344"/>
      <c r="VSK43" s="344"/>
      <c r="VSL43" s="344"/>
      <c r="VSM43" s="344"/>
      <c r="VSN43" s="344"/>
      <c r="VSO43" s="344"/>
      <c r="VSP43" s="344"/>
      <c r="VSQ43" s="344"/>
      <c r="VSR43" s="344"/>
      <c r="VSS43" s="344"/>
      <c r="VST43" s="344"/>
      <c r="VSU43" s="344"/>
      <c r="VSV43" s="344"/>
      <c r="VSW43" s="344"/>
      <c r="VSX43" s="344"/>
      <c r="VSY43" s="344"/>
      <c r="VSZ43" s="344"/>
      <c r="VTA43" s="344"/>
      <c r="VTB43" s="344"/>
      <c r="VTC43" s="344"/>
      <c r="VTD43" s="344"/>
      <c r="VTE43" s="344"/>
      <c r="VTF43" s="344"/>
      <c r="VTG43" s="344"/>
      <c r="VTH43" s="344"/>
      <c r="VTI43" s="344"/>
      <c r="VTJ43" s="344"/>
      <c r="VTK43" s="344"/>
      <c r="VTL43" s="344"/>
      <c r="VTM43" s="344"/>
      <c r="VTN43" s="344"/>
      <c r="VTO43" s="344"/>
      <c r="VTP43" s="344"/>
      <c r="VTQ43" s="344"/>
      <c r="VTR43" s="344"/>
      <c r="VTS43" s="344"/>
      <c r="VTT43" s="344"/>
      <c r="VTU43" s="344"/>
      <c r="VTV43" s="344"/>
      <c r="VTW43" s="344"/>
      <c r="VTX43" s="344"/>
      <c r="VTY43" s="344"/>
      <c r="VTZ43" s="344"/>
      <c r="VUA43" s="344"/>
      <c r="VUB43" s="344"/>
      <c r="VUC43" s="344"/>
      <c r="VUD43" s="344"/>
      <c r="VUE43" s="344"/>
      <c r="VUF43" s="344"/>
      <c r="VUG43" s="344"/>
      <c r="VUH43" s="344"/>
      <c r="VUI43" s="344"/>
      <c r="VUJ43" s="344"/>
      <c r="VUK43" s="344"/>
      <c r="VUL43" s="344"/>
      <c r="VUM43" s="344"/>
      <c r="VUN43" s="344"/>
      <c r="VUO43" s="344"/>
      <c r="VUP43" s="344"/>
      <c r="VUQ43" s="344"/>
      <c r="VUR43" s="344"/>
      <c r="VUS43" s="344"/>
      <c r="VUT43" s="344"/>
      <c r="VUU43" s="344"/>
      <c r="VUV43" s="344"/>
      <c r="VUW43" s="344"/>
      <c r="VUX43" s="344"/>
      <c r="VUY43" s="344"/>
      <c r="VUZ43" s="344"/>
      <c r="VVA43" s="344"/>
      <c r="VVB43" s="344"/>
      <c r="VVC43" s="344"/>
      <c r="VVD43" s="344"/>
      <c r="VVE43" s="344"/>
      <c r="VVF43" s="344"/>
      <c r="VVG43" s="344"/>
      <c r="VVH43" s="344"/>
      <c r="VVI43" s="344"/>
      <c r="VVJ43" s="344"/>
      <c r="VVK43" s="344"/>
      <c r="VVL43" s="344"/>
      <c r="VVM43" s="344"/>
      <c r="VVN43" s="344"/>
      <c r="VVO43" s="344"/>
      <c r="VVP43" s="344"/>
      <c r="VVQ43" s="344"/>
      <c r="VVR43" s="344"/>
      <c r="VVS43" s="344"/>
      <c r="VVT43" s="344"/>
      <c r="VVU43" s="344"/>
      <c r="VVV43" s="344"/>
      <c r="VVW43" s="344"/>
      <c r="VVX43" s="344"/>
      <c r="VVY43" s="344"/>
      <c r="VVZ43" s="344"/>
      <c r="VWA43" s="344"/>
      <c r="VWB43" s="344"/>
      <c r="VWC43" s="344"/>
      <c r="VWD43" s="344"/>
      <c r="VWE43" s="344"/>
      <c r="VWF43" s="344"/>
      <c r="VWG43" s="344"/>
      <c r="VWH43" s="344"/>
      <c r="VWI43" s="344"/>
      <c r="VWJ43" s="344"/>
      <c r="VWK43" s="344"/>
      <c r="VWL43" s="344"/>
      <c r="VWM43" s="344"/>
      <c r="VWN43" s="344"/>
      <c r="VWO43" s="344"/>
      <c r="VWP43" s="344"/>
      <c r="VWQ43" s="344"/>
      <c r="VWR43" s="344"/>
      <c r="VWS43" s="344"/>
      <c r="VWT43" s="344"/>
      <c r="VWU43" s="344"/>
      <c r="VWV43" s="344"/>
      <c r="VWW43" s="344"/>
      <c r="VWX43" s="344"/>
      <c r="VWY43" s="344"/>
      <c r="VWZ43" s="344"/>
      <c r="VXA43" s="344"/>
      <c r="VXB43" s="344"/>
      <c r="VXC43" s="344"/>
      <c r="VXD43" s="344"/>
      <c r="VXE43" s="344"/>
      <c r="VXF43" s="344"/>
      <c r="VXG43" s="344"/>
      <c r="VXH43" s="344"/>
      <c r="VXI43" s="344"/>
      <c r="VXJ43" s="344"/>
      <c r="VXK43" s="344"/>
      <c r="VXL43" s="344"/>
      <c r="VXM43" s="344"/>
      <c r="VXN43" s="344"/>
      <c r="VXO43" s="344"/>
      <c r="VXP43" s="344"/>
      <c r="VXQ43" s="344"/>
      <c r="VXR43" s="344"/>
      <c r="VXS43" s="344"/>
      <c r="VXT43" s="344"/>
      <c r="VXU43" s="344"/>
      <c r="VXV43" s="344"/>
      <c r="VXW43" s="344"/>
      <c r="VXX43" s="344"/>
      <c r="VXY43" s="344"/>
      <c r="VXZ43" s="344"/>
      <c r="VYA43" s="344"/>
      <c r="VYB43" s="344"/>
      <c r="VYC43" s="344"/>
      <c r="VYD43" s="344"/>
      <c r="VYE43" s="344"/>
      <c r="VYF43" s="344"/>
      <c r="VYG43" s="344"/>
      <c r="VYH43" s="344"/>
      <c r="VYI43" s="344"/>
      <c r="VYJ43" s="344"/>
      <c r="VYK43" s="344"/>
      <c r="VYL43" s="344"/>
      <c r="VYM43" s="344"/>
      <c r="VYN43" s="344"/>
      <c r="VYO43" s="344"/>
      <c r="VYP43" s="344"/>
      <c r="VYQ43" s="344"/>
      <c r="VYR43" s="344"/>
      <c r="VYS43" s="344"/>
      <c r="VYT43" s="344"/>
      <c r="VYU43" s="344"/>
      <c r="VYV43" s="344"/>
      <c r="VYW43" s="344"/>
      <c r="VYX43" s="344"/>
      <c r="VYY43" s="344"/>
      <c r="VYZ43" s="344"/>
      <c r="VZA43" s="344"/>
      <c r="VZB43" s="344"/>
      <c r="VZC43" s="344"/>
      <c r="VZD43" s="344"/>
      <c r="VZE43" s="344"/>
      <c r="VZF43" s="344"/>
      <c r="VZG43" s="344"/>
      <c r="VZH43" s="344"/>
      <c r="VZI43" s="344"/>
      <c r="VZJ43" s="344"/>
      <c r="VZK43" s="344"/>
      <c r="VZL43" s="344"/>
      <c r="VZM43" s="344"/>
      <c r="VZN43" s="344"/>
      <c r="VZO43" s="344"/>
      <c r="VZP43" s="344"/>
      <c r="VZQ43" s="344"/>
      <c r="VZR43" s="344"/>
      <c r="VZS43" s="344"/>
      <c r="VZT43" s="344"/>
      <c r="VZU43" s="344"/>
      <c r="VZV43" s="344"/>
      <c r="VZW43" s="344"/>
      <c r="VZX43" s="344"/>
      <c r="VZY43" s="344"/>
      <c r="VZZ43" s="344"/>
      <c r="WAA43" s="344"/>
      <c r="WAB43" s="344"/>
      <c r="WAC43" s="344"/>
      <c r="WAD43" s="344"/>
      <c r="WAE43" s="344"/>
      <c r="WAF43" s="344"/>
      <c r="WAG43" s="344"/>
      <c r="WAH43" s="344"/>
      <c r="WAI43" s="344"/>
      <c r="WAJ43" s="344"/>
      <c r="WAK43" s="344"/>
      <c r="WAL43" s="344"/>
      <c r="WAM43" s="344"/>
      <c r="WAN43" s="344"/>
      <c r="WAO43" s="344"/>
      <c r="WAP43" s="344"/>
      <c r="WAQ43" s="344"/>
      <c r="WAR43" s="344"/>
      <c r="WAS43" s="344"/>
      <c r="WAT43" s="344"/>
      <c r="WAU43" s="344"/>
      <c r="WAV43" s="344"/>
      <c r="WAW43" s="344"/>
      <c r="WAX43" s="344"/>
      <c r="WAY43" s="344"/>
      <c r="WAZ43" s="344"/>
      <c r="WBA43" s="344"/>
      <c r="WBB43" s="344"/>
      <c r="WBC43" s="344"/>
      <c r="WBD43" s="344"/>
      <c r="WBE43" s="344"/>
      <c r="WBF43" s="344"/>
      <c r="WBG43" s="344"/>
      <c r="WBH43" s="344"/>
      <c r="WBI43" s="344"/>
      <c r="WBJ43" s="344"/>
      <c r="WBK43" s="344"/>
      <c r="WBL43" s="344"/>
      <c r="WBM43" s="344"/>
      <c r="WBN43" s="344"/>
      <c r="WBO43" s="344"/>
      <c r="WBP43" s="344"/>
      <c r="WBQ43" s="344"/>
      <c r="WBR43" s="344"/>
      <c r="WBS43" s="344"/>
      <c r="WBT43" s="344"/>
      <c r="WBU43" s="344"/>
      <c r="WBV43" s="344"/>
      <c r="WBW43" s="344"/>
      <c r="WBX43" s="344"/>
      <c r="WBY43" s="344"/>
      <c r="WBZ43" s="344"/>
      <c r="WCA43" s="344"/>
      <c r="WCB43" s="344"/>
      <c r="WCC43" s="344"/>
      <c r="WCD43" s="344"/>
      <c r="WCE43" s="344"/>
      <c r="WCF43" s="344"/>
      <c r="WCG43" s="344"/>
      <c r="WCH43" s="344"/>
      <c r="WCI43" s="344"/>
      <c r="WCJ43" s="344"/>
      <c r="WCK43" s="344"/>
      <c r="WCL43" s="344"/>
      <c r="WCM43" s="344"/>
      <c r="WCN43" s="344"/>
      <c r="WCO43" s="344"/>
      <c r="WCP43" s="344"/>
      <c r="WCQ43" s="344"/>
      <c r="WCR43" s="344"/>
      <c r="WCS43" s="344"/>
      <c r="WCT43" s="344"/>
      <c r="WCU43" s="344"/>
      <c r="WCV43" s="344"/>
      <c r="WCW43" s="344"/>
      <c r="WCX43" s="344"/>
      <c r="WCY43" s="344"/>
      <c r="WCZ43" s="344"/>
      <c r="WDA43" s="344"/>
      <c r="WDB43" s="344"/>
      <c r="WDC43" s="344"/>
      <c r="WDD43" s="344"/>
      <c r="WDE43" s="344"/>
      <c r="WDF43" s="344"/>
      <c r="WDG43" s="344"/>
      <c r="WDH43" s="344"/>
      <c r="WDI43" s="344"/>
      <c r="WDJ43" s="344"/>
      <c r="WDK43" s="344"/>
      <c r="WDL43" s="344"/>
      <c r="WDM43" s="344"/>
      <c r="WDN43" s="344"/>
      <c r="WDO43" s="344"/>
      <c r="WDP43" s="344"/>
      <c r="WDQ43" s="344"/>
      <c r="WDR43" s="344"/>
      <c r="WDS43" s="344"/>
      <c r="WDT43" s="344"/>
      <c r="WDU43" s="344"/>
      <c r="WDV43" s="344"/>
      <c r="WDW43" s="344"/>
      <c r="WDX43" s="344"/>
      <c r="WDY43" s="344"/>
      <c r="WDZ43" s="344"/>
      <c r="WEA43" s="344"/>
      <c r="WEB43" s="344"/>
      <c r="WEC43" s="344"/>
      <c r="WED43" s="344"/>
      <c r="WEE43" s="344"/>
      <c r="WEF43" s="344"/>
      <c r="WEG43" s="344"/>
      <c r="WEH43" s="344"/>
      <c r="WEI43" s="344"/>
      <c r="WEJ43" s="344"/>
      <c r="WEK43" s="344"/>
      <c r="WEL43" s="344"/>
      <c r="WEM43" s="344"/>
      <c r="WEN43" s="344"/>
      <c r="WEO43" s="344"/>
      <c r="WEP43" s="344"/>
      <c r="WEQ43" s="344"/>
      <c r="WER43" s="344"/>
      <c r="WES43" s="344"/>
      <c r="WET43" s="344"/>
      <c r="WEU43" s="344"/>
      <c r="WEV43" s="344"/>
      <c r="WEW43" s="344"/>
      <c r="WEX43" s="344"/>
      <c r="WEY43" s="344"/>
      <c r="WEZ43" s="344"/>
      <c r="WFA43" s="344"/>
      <c r="WFB43" s="344"/>
      <c r="WFC43" s="344"/>
      <c r="WFD43" s="344"/>
      <c r="WFE43" s="344"/>
      <c r="WFF43" s="344"/>
      <c r="WFG43" s="344"/>
      <c r="WFH43" s="344"/>
      <c r="WFI43" s="344"/>
      <c r="WFJ43" s="344"/>
      <c r="WFK43" s="344"/>
      <c r="WFL43" s="344"/>
      <c r="WFM43" s="344"/>
      <c r="WFN43" s="344"/>
      <c r="WFO43" s="344"/>
      <c r="WFP43" s="344"/>
      <c r="WFQ43" s="344"/>
      <c r="WFR43" s="344"/>
      <c r="WFS43" s="344"/>
      <c r="WFT43" s="344"/>
      <c r="WFU43" s="344"/>
      <c r="WFV43" s="344"/>
      <c r="WFW43" s="344"/>
      <c r="WFX43" s="344"/>
      <c r="WFY43" s="344"/>
      <c r="WFZ43" s="344"/>
      <c r="WGA43" s="344"/>
      <c r="WGB43" s="344"/>
      <c r="WGC43" s="344"/>
      <c r="WGD43" s="344"/>
      <c r="WGE43" s="344"/>
      <c r="WGF43" s="344"/>
      <c r="WGG43" s="344"/>
      <c r="WGH43" s="344"/>
      <c r="WGI43" s="344"/>
      <c r="WGJ43" s="344"/>
      <c r="WGK43" s="344"/>
      <c r="WGL43" s="344"/>
      <c r="WGM43" s="344"/>
      <c r="WGN43" s="344"/>
      <c r="WGO43" s="344"/>
      <c r="WGP43" s="344"/>
      <c r="WGQ43" s="344"/>
      <c r="WGR43" s="344"/>
      <c r="WGS43" s="344"/>
      <c r="WGT43" s="344"/>
      <c r="WGU43" s="344"/>
      <c r="WGV43" s="344"/>
      <c r="WGW43" s="344"/>
      <c r="WGX43" s="344"/>
      <c r="WGY43" s="344"/>
      <c r="WGZ43" s="344"/>
      <c r="WHA43" s="344"/>
      <c r="WHB43" s="344"/>
      <c r="WHC43" s="344"/>
      <c r="WHD43" s="344"/>
      <c r="WHE43" s="344"/>
      <c r="WHF43" s="344"/>
      <c r="WHG43" s="344"/>
      <c r="WHH43" s="344"/>
      <c r="WHI43" s="344"/>
      <c r="WHJ43" s="344"/>
      <c r="WHK43" s="344"/>
      <c r="WHL43" s="344"/>
      <c r="WHM43" s="344"/>
      <c r="WHN43" s="344"/>
      <c r="WHO43" s="344"/>
      <c r="WHP43" s="344"/>
      <c r="WHQ43" s="344"/>
      <c r="WHR43" s="344"/>
      <c r="WHS43" s="344"/>
      <c r="WHT43" s="344"/>
      <c r="WHU43" s="344"/>
      <c r="WHV43" s="344"/>
      <c r="WHW43" s="344"/>
      <c r="WHX43" s="344"/>
      <c r="WHY43" s="344"/>
      <c r="WHZ43" s="344"/>
      <c r="WIA43" s="344"/>
      <c r="WIB43" s="344"/>
      <c r="WIC43" s="344"/>
      <c r="WID43" s="344"/>
      <c r="WIE43" s="344"/>
      <c r="WIF43" s="344"/>
      <c r="WIG43" s="344"/>
      <c r="WIH43" s="344"/>
      <c r="WII43" s="344"/>
      <c r="WIJ43" s="344"/>
      <c r="WIK43" s="344"/>
      <c r="WIL43" s="344"/>
      <c r="WIM43" s="344"/>
      <c r="WIN43" s="344"/>
      <c r="WIO43" s="344"/>
      <c r="WIP43" s="344"/>
      <c r="WIQ43" s="344"/>
      <c r="WIR43" s="344"/>
      <c r="WIS43" s="344"/>
      <c r="WIT43" s="344"/>
      <c r="WIU43" s="344"/>
      <c r="WIV43" s="344"/>
      <c r="WIW43" s="344"/>
      <c r="WIX43" s="344"/>
      <c r="WIY43" s="344"/>
      <c r="WIZ43" s="344"/>
      <c r="WJA43" s="344"/>
      <c r="WJB43" s="344"/>
      <c r="WJC43" s="344"/>
      <c r="WJD43" s="344"/>
      <c r="WJE43" s="344"/>
      <c r="WJF43" s="344"/>
      <c r="WJG43" s="344"/>
      <c r="WJH43" s="344"/>
      <c r="WJI43" s="344"/>
      <c r="WJJ43" s="344"/>
      <c r="WJK43" s="344"/>
      <c r="WJL43" s="344"/>
      <c r="WJM43" s="344"/>
      <c r="WJN43" s="344"/>
      <c r="WJO43" s="344"/>
      <c r="WJP43" s="344"/>
      <c r="WJQ43" s="344"/>
      <c r="WJR43" s="344"/>
      <c r="WJS43" s="344"/>
      <c r="WJT43" s="344"/>
      <c r="WJU43" s="344"/>
      <c r="WJV43" s="344"/>
      <c r="WJW43" s="344"/>
      <c r="WJX43" s="344"/>
      <c r="WJY43" s="344"/>
      <c r="WJZ43" s="344"/>
      <c r="WKA43" s="344"/>
      <c r="WKB43" s="344"/>
      <c r="WKC43" s="344"/>
      <c r="WKD43" s="344"/>
      <c r="WKE43" s="344"/>
      <c r="WKF43" s="344"/>
      <c r="WKG43" s="344"/>
      <c r="WKH43" s="344"/>
      <c r="WKI43" s="344"/>
      <c r="WKJ43" s="344"/>
      <c r="WKK43" s="344"/>
      <c r="WKL43" s="344"/>
      <c r="WKM43" s="344"/>
      <c r="WKN43" s="344"/>
      <c r="WKO43" s="344"/>
      <c r="WKP43" s="344"/>
      <c r="WKQ43" s="344"/>
      <c r="WKR43" s="344"/>
      <c r="WKS43" s="344"/>
      <c r="WKT43" s="344"/>
      <c r="WKU43" s="344"/>
      <c r="WKV43" s="344"/>
      <c r="WKW43" s="344"/>
      <c r="WKX43" s="344"/>
      <c r="WKY43" s="344"/>
      <c r="WKZ43" s="344"/>
      <c r="WLA43" s="344"/>
      <c r="WLB43" s="344"/>
      <c r="WLC43" s="344"/>
      <c r="WLD43" s="344"/>
      <c r="WLE43" s="344"/>
      <c r="WLF43" s="344"/>
      <c r="WLG43" s="344"/>
      <c r="WLH43" s="344"/>
      <c r="WLI43" s="344"/>
      <c r="WLJ43" s="344"/>
      <c r="WLK43" s="344"/>
      <c r="WLL43" s="344"/>
      <c r="WLM43" s="344"/>
      <c r="WLN43" s="344"/>
      <c r="WLO43" s="344"/>
      <c r="WLP43" s="344"/>
      <c r="WLQ43" s="344"/>
      <c r="WLR43" s="344"/>
      <c r="WLS43" s="344"/>
      <c r="WLT43" s="344"/>
      <c r="WLU43" s="344"/>
      <c r="WLV43" s="344"/>
      <c r="WLW43" s="344"/>
      <c r="WLX43" s="344"/>
      <c r="WLY43" s="344"/>
      <c r="WLZ43" s="344"/>
      <c r="WMA43" s="344"/>
      <c r="WMB43" s="344"/>
      <c r="WMC43" s="344"/>
      <c r="WMD43" s="344"/>
      <c r="WME43" s="344"/>
      <c r="WMF43" s="344"/>
      <c r="WMG43" s="344"/>
      <c r="WMH43" s="344"/>
      <c r="WMI43" s="344"/>
      <c r="WMJ43" s="344"/>
      <c r="WMK43" s="344"/>
      <c r="WML43" s="344"/>
      <c r="WMM43" s="344"/>
      <c r="WMN43" s="344"/>
      <c r="WMO43" s="344"/>
      <c r="WMP43" s="344"/>
      <c r="WMQ43" s="344"/>
      <c r="WMR43" s="344"/>
      <c r="WMS43" s="344"/>
      <c r="WMT43" s="344"/>
      <c r="WMU43" s="344"/>
      <c r="WMV43" s="344"/>
      <c r="WMW43" s="344"/>
      <c r="WMX43" s="344"/>
      <c r="WMY43" s="344"/>
      <c r="WMZ43" s="344"/>
      <c r="WNA43" s="344"/>
      <c r="WNB43" s="344"/>
      <c r="WNC43" s="344"/>
      <c r="WND43" s="344"/>
      <c r="WNE43" s="344"/>
      <c r="WNF43" s="344"/>
      <c r="WNG43" s="344"/>
      <c r="WNH43" s="344"/>
      <c r="WNI43" s="344"/>
      <c r="WNJ43" s="344"/>
      <c r="WNK43" s="344"/>
      <c r="WNL43" s="344"/>
      <c r="WNM43" s="344"/>
      <c r="WNN43" s="344"/>
      <c r="WNO43" s="344"/>
      <c r="WNP43" s="344"/>
      <c r="WNQ43" s="344"/>
      <c r="WNR43" s="344"/>
      <c r="WNS43" s="344"/>
      <c r="WNT43" s="344"/>
      <c r="WNU43" s="344"/>
      <c r="WNV43" s="344"/>
      <c r="WNW43" s="344"/>
      <c r="WNX43" s="344"/>
      <c r="WNY43" s="344"/>
      <c r="WNZ43" s="344"/>
      <c r="WOA43" s="344"/>
      <c r="WOB43" s="344"/>
      <c r="WOC43" s="344"/>
      <c r="WOD43" s="344"/>
      <c r="WOE43" s="344"/>
      <c r="WOF43" s="344"/>
      <c r="WOG43" s="344"/>
      <c r="WOH43" s="344"/>
      <c r="WOI43" s="344"/>
      <c r="WOJ43" s="344"/>
      <c r="WOK43" s="344"/>
      <c r="WOL43" s="344"/>
      <c r="WOM43" s="344"/>
      <c r="WON43" s="344"/>
      <c r="WOO43" s="344"/>
      <c r="WOP43" s="344"/>
      <c r="WOQ43" s="344"/>
      <c r="WOR43" s="344"/>
      <c r="WOS43" s="344"/>
      <c r="WOT43" s="344"/>
      <c r="WOU43" s="344"/>
      <c r="WOV43" s="344"/>
      <c r="WOW43" s="344"/>
      <c r="WOX43" s="344"/>
      <c r="WOY43" s="344"/>
      <c r="WOZ43" s="344"/>
      <c r="WPA43" s="344"/>
      <c r="WPB43" s="344"/>
      <c r="WPC43" s="344"/>
      <c r="WPD43" s="344"/>
      <c r="WPE43" s="344"/>
      <c r="WPF43" s="344"/>
      <c r="WPG43" s="344"/>
      <c r="WPH43" s="344"/>
      <c r="WPI43" s="344"/>
      <c r="WPJ43" s="344"/>
      <c r="WPK43" s="344"/>
      <c r="WPL43" s="344"/>
      <c r="WPM43" s="344"/>
      <c r="WPN43" s="344"/>
      <c r="WPO43" s="344"/>
      <c r="WPP43" s="344"/>
      <c r="WPQ43" s="344"/>
      <c r="WPR43" s="344"/>
      <c r="WPS43" s="344"/>
      <c r="WPT43" s="344"/>
      <c r="WPU43" s="344"/>
      <c r="WPV43" s="344"/>
      <c r="WPW43" s="344"/>
      <c r="WPX43" s="344"/>
      <c r="WPY43" s="344"/>
      <c r="WPZ43" s="344"/>
      <c r="WQA43" s="344"/>
      <c r="WQB43" s="344"/>
      <c r="WQC43" s="344"/>
      <c r="WQD43" s="344"/>
      <c r="WQE43" s="344"/>
      <c r="WQF43" s="344"/>
      <c r="WQG43" s="344"/>
      <c r="WQH43" s="344"/>
      <c r="WQI43" s="344"/>
      <c r="WQJ43" s="344"/>
      <c r="WQK43" s="344"/>
      <c r="WQL43" s="344"/>
      <c r="WQM43" s="344"/>
      <c r="WQN43" s="344"/>
      <c r="WQO43" s="344"/>
      <c r="WQP43" s="344"/>
      <c r="WQQ43" s="344"/>
      <c r="WQR43" s="344"/>
      <c r="WQS43" s="344"/>
      <c r="WQT43" s="344"/>
      <c r="WQU43" s="344"/>
      <c r="WQV43" s="344"/>
      <c r="WQW43" s="344"/>
      <c r="WQX43" s="344"/>
      <c r="WQY43" s="344"/>
      <c r="WQZ43" s="344"/>
      <c r="WRA43" s="344"/>
      <c r="WRB43" s="344"/>
      <c r="WRC43" s="344"/>
      <c r="WRD43" s="344"/>
      <c r="WRE43" s="344"/>
      <c r="WRF43" s="344"/>
      <c r="WRG43" s="344"/>
      <c r="WRH43" s="344"/>
      <c r="WRI43" s="344"/>
      <c r="WRJ43" s="344"/>
      <c r="WRK43" s="344"/>
      <c r="WRL43" s="344"/>
      <c r="WRM43" s="344"/>
      <c r="WRN43" s="344"/>
      <c r="WRO43" s="344"/>
      <c r="WRP43" s="344"/>
      <c r="WRQ43" s="344"/>
      <c r="WRR43" s="344"/>
      <c r="WRS43" s="344"/>
      <c r="WRT43" s="344"/>
      <c r="WRU43" s="344"/>
      <c r="WRV43" s="344"/>
      <c r="WRW43" s="344"/>
      <c r="WRX43" s="344"/>
      <c r="WRY43" s="344"/>
      <c r="WRZ43" s="344"/>
      <c r="WSA43" s="344"/>
      <c r="WSB43" s="344"/>
      <c r="WSC43" s="344"/>
      <c r="WSD43" s="344"/>
      <c r="WSE43" s="344"/>
      <c r="WSF43" s="344"/>
      <c r="WSG43" s="344"/>
      <c r="WSH43" s="344"/>
      <c r="WSI43" s="344"/>
      <c r="WSJ43" s="344"/>
      <c r="WSK43" s="344"/>
      <c r="WSL43" s="344"/>
      <c r="WSM43" s="344"/>
      <c r="WSN43" s="344"/>
      <c r="WSO43" s="344"/>
      <c r="WSP43" s="344"/>
      <c r="WSQ43" s="344"/>
      <c r="WSR43" s="344"/>
      <c r="WSS43" s="344"/>
      <c r="WST43" s="344"/>
      <c r="WSU43" s="344"/>
      <c r="WSV43" s="344"/>
      <c r="WSW43" s="344"/>
      <c r="WSX43" s="344"/>
      <c r="WSY43" s="344"/>
      <c r="WSZ43" s="344"/>
      <c r="WTA43" s="344"/>
      <c r="WTB43" s="344"/>
      <c r="WTC43" s="344"/>
      <c r="WTD43" s="344"/>
      <c r="WTE43" s="344"/>
      <c r="WTF43" s="344"/>
      <c r="WTG43" s="344"/>
      <c r="WTH43" s="344"/>
      <c r="WTI43" s="344"/>
      <c r="WTJ43" s="344"/>
      <c r="WTK43" s="344"/>
      <c r="WTL43" s="344"/>
      <c r="WTM43" s="344"/>
      <c r="WTN43" s="344"/>
      <c r="WTO43" s="344"/>
      <c r="WTP43" s="344"/>
      <c r="WTQ43" s="344"/>
      <c r="WTR43" s="344"/>
      <c r="WTS43" s="344"/>
      <c r="WTT43" s="344"/>
      <c r="WTU43" s="344"/>
      <c r="WTV43" s="344"/>
      <c r="WTW43" s="344"/>
      <c r="WTX43" s="344"/>
      <c r="WTY43" s="344"/>
      <c r="WTZ43" s="344"/>
      <c r="WUA43" s="344"/>
      <c r="WUB43" s="344"/>
      <c r="WUC43" s="344"/>
      <c r="WUD43" s="344"/>
      <c r="WUE43" s="344"/>
      <c r="WUF43" s="344"/>
      <c r="WUG43" s="344"/>
      <c r="WUH43" s="344"/>
      <c r="WUI43" s="344"/>
      <c r="WUJ43" s="344"/>
      <c r="WUK43" s="344"/>
      <c r="WUL43" s="344"/>
      <c r="WUM43" s="344"/>
      <c r="WUN43" s="344"/>
      <c r="WUO43" s="344"/>
      <c r="WUP43" s="344"/>
      <c r="WUQ43" s="344"/>
      <c r="WUR43" s="344"/>
      <c r="WUS43" s="344"/>
      <c r="WUT43" s="344"/>
      <c r="WUU43" s="344"/>
      <c r="WUV43" s="344"/>
      <c r="WUW43" s="344"/>
      <c r="WUX43" s="344"/>
      <c r="WUY43" s="344"/>
      <c r="WUZ43" s="344"/>
      <c r="WVA43" s="344"/>
      <c r="WVB43" s="344"/>
      <c r="WVC43" s="344"/>
      <c r="WVD43" s="344"/>
      <c r="WVE43" s="344"/>
      <c r="WVF43" s="344"/>
      <c r="WVG43" s="344"/>
      <c r="WVH43" s="344"/>
      <c r="WVI43" s="344"/>
      <c r="WVJ43" s="344"/>
      <c r="WVK43" s="344"/>
      <c r="WVL43" s="344"/>
      <c r="WVM43" s="344"/>
      <c r="WVN43" s="344"/>
      <c r="WVO43" s="344"/>
      <c r="WVP43" s="344"/>
      <c r="WVQ43" s="344"/>
      <c r="WVR43" s="344"/>
      <c r="WVS43" s="344"/>
      <c r="WVT43" s="344"/>
      <c r="WVU43" s="344"/>
      <c r="WVV43" s="344"/>
      <c r="WVW43" s="344"/>
      <c r="WVX43" s="344"/>
      <c r="WVY43" s="344"/>
      <c r="WVZ43" s="344"/>
      <c r="WWA43" s="344"/>
      <c r="WWB43" s="344"/>
      <c r="WWC43" s="344"/>
      <c r="WWD43" s="344"/>
      <c r="WWE43" s="344"/>
      <c r="WWF43" s="344"/>
      <c r="WWG43" s="344"/>
      <c r="WWH43" s="344"/>
      <c r="WWI43" s="344"/>
      <c r="WWJ43" s="344"/>
      <c r="WWK43" s="344"/>
      <c r="WWL43" s="344"/>
      <c r="WWM43" s="344"/>
      <c r="WWN43" s="344"/>
      <c r="WWO43" s="344"/>
      <c r="WWP43" s="344"/>
      <c r="WWQ43" s="344"/>
      <c r="WWR43" s="344"/>
      <c r="WWS43" s="344"/>
      <c r="WWT43" s="344"/>
      <c r="WWU43" s="344"/>
      <c r="WWV43" s="344"/>
      <c r="WWW43" s="344"/>
      <c r="WWX43" s="344"/>
      <c r="WWY43" s="344"/>
      <c r="WWZ43" s="344"/>
      <c r="WXA43" s="344"/>
      <c r="WXB43" s="344"/>
      <c r="WXC43" s="344"/>
      <c r="WXD43" s="344"/>
      <c r="WXE43" s="344"/>
      <c r="WXF43" s="344"/>
      <c r="WXG43" s="344"/>
      <c r="WXH43" s="344"/>
      <c r="WXI43" s="344"/>
      <c r="WXJ43" s="344"/>
      <c r="WXK43" s="344"/>
      <c r="WXL43" s="344"/>
      <c r="WXM43" s="344"/>
      <c r="WXN43" s="344"/>
      <c r="WXO43" s="344"/>
      <c r="WXP43" s="344"/>
      <c r="WXQ43" s="344"/>
      <c r="WXR43" s="344"/>
      <c r="WXS43" s="344"/>
      <c r="WXT43" s="344"/>
      <c r="WXU43" s="344"/>
      <c r="WXV43" s="344"/>
      <c r="WXW43" s="344"/>
      <c r="WXX43" s="344"/>
      <c r="WXY43" s="344"/>
      <c r="WXZ43" s="344"/>
      <c r="WYA43" s="344"/>
      <c r="WYB43" s="344"/>
      <c r="WYC43" s="344"/>
      <c r="WYD43" s="344"/>
      <c r="WYE43" s="344"/>
      <c r="WYF43" s="344"/>
      <c r="WYG43" s="344"/>
      <c r="WYH43" s="344"/>
      <c r="WYI43" s="344"/>
      <c r="WYJ43" s="344"/>
      <c r="WYK43" s="344"/>
      <c r="WYL43" s="344"/>
      <c r="WYM43" s="344"/>
      <c r="WYN43" s="344"/>
      <c r="WYO43" s="344"/>
      <c r="WYP43" s="344"/>
      <c r="WYQ43" s="344"/>
      <c r="WYR43" s="344"/>
      <c r="WYS43" s="344"/>
      <c r="WYT43" s="344"/>
      <c r="WYU43" s="344"/>
      <c r="WYV43" s="344"/>
      <c r="WYW43" s="344"/>
      <c r="WYX43" s="344"/>
      <c r="WYY43" s="344"/>
      <c r="WYZ43" s="344"/>
      <c r="WZA43" s="344"/>
      <c r="WZB43" s="344"/>
      <c r="WZC43" s="344"/>
      <c r="WZD43" s="344"/>
      <c r="WZE43" s="344"/>
      <c r="WZF43" s="344"/>
      <c r="WZG43" s="344"/>
      <c r="WZH43" s="344"/>
      <c r="WZI43" s="344"/>
      <c r="WZJ43" s="344"/>
      <c r="WZK43" s="344"/>
      <c r="WZL43" s="344"/>
      <c r="WZM43" s="344"/>
      <c r="WZN43" s="344"/>
      <c r="WZO43" s="344"/>
      <c r="WZP43" s="344"/>
      <c r="WZQ43" s="344"/>
      <c r="WZR43" s="344"/>
      <c r="WZS43" s="344"/>
      <c r="WZT43" s="344"/>
      <c r="WZU43" s="344"/>
      <c r="WZV43" s="344"/>
      <c r="WZW43" s="344"/>
      <c r="WZX43" s="344"/>
      <c r="WZY43" s="344"/>
      <c r="WZZ43" s="344"/>
      <c r="XAA43" s="344"/>
      <c r="XAB43" s="344"/>
      <c r="XAC43" s="344"/>
      <c r="XAD43" s="344"/>
      <c r="XAE43" s="344"/>
      <c r="XAF43" s="344"/>
      <c r="XAG43" s="344"/>
      <c r="XAH43" s="344"/>
      <c r="XAI43" s="344"/>
      <c r="XAJ43" s="344"/>
      <c r="XAK43" s="344"/>
      <c r="XAL43" s="344"/>
      <c r="XAM43" s="344"/>
      <c r="XAN43" s="344"/>
      <c r="XAO43" s="344"/>
      <c r="XAP43" s="344"/>
      <c r="XAQ43" s="344"/>
      <c r="XAR43" s="344"/>
      <c r="XAS43" s="344"/>
      <c r="XAT43" s="344"/>
      <c r="XAU43" s="344"/>
      <c r="XAV43" s="344"/>
      <c r="XAW43" s="344"/>
      <c r="XAX43" s="344"/>
      <c r="XAY43" s="344"/>
      <c r="XAZ43" s="344"/>
      <c r="XBA43" s="344"/>
      <c r="XBB43" s="344"/>
      <c r="XBC43" s="344"/>
      <c r="XBD43" s="344"/>
      <c r="XBE43" s="344"/>
      <c r="XBF43" s="344"/>
      <c r="XBG43" s="344"/>
      <c r="XBH43" s="344"/>
      <c r="XBI43" s="344"/>
      <c r="XBJ43" s="344"/>
      <c r="XBK43" s="344"/>
      <c r="XBL43" s="344"/>
      <c r="XBM43" s="344"/>
      <c r="XBN43" s="344"/>
      <c r="XBO43" s="344"/>
      <c r="XBP43" s="344"/>
      <c r="XBQ43" s="344"/>
      <c r="XBR43" s="344"/>
      <c r="XBS43" s="344"/>
      <c r="XBT43" s="344"/>
      <c r="XBU43" s="344"/>
      <c r="XBV43" s="344"/>
      <c r="XBW43" s="344"/>
      <c r="XBX43" s="344"/>
      <c r="XBY43" s="344"/>
      <c r="XBZ43" s="344"/>
      <c r="XCA43" s="344"/>
      <c r="XCB43" s="344"/>
      <c r="XCC43" s="344"/>
      <c r="XCD43" s="344"/>
      <c r="XCE43" s="344"/>
      <c r="XCF43" s="344"/>
      <c r="XCG43" s="344"/>
      <c r="XCH43" s="344"/>
      <c r="XCI43" s="344"/>
      <c r="XCJ43" s="344"/>
      <c r="XCK43" s="344"/>
      <c r="XCL43" s="344"/>
      <c r="XCM43" s="344"/>
      <c r="XCN43" s="344"/>
      <c r="XCO43" s="344"/>
      <c r="XCP43" s="344"/>
      <c r="XCQ43" s="344"/>
      <c r="XCR43" s="344"/>
      <c r="XCS43" s="344"/>
      <c r="XCT43" s="344"/>
      <c r="XCU43" s="344"/>
      <c r="XCV43" s="344"/>
      <c r="XCW43" s="344"/>
      <c r="XCX43" s="344"/>
      <c r="XCY43" s="344"/>
      <c r="XCZ43" s="344"/>
      <c r="XDA43" s="344"/>
      <c r="XDB43" s="344"/>
      <c r="XDC43" s="344"/>
      <c r="XDD43" s="344"/>
      <c r="XDE43" s="344"/>
      <c r="XDF43" s="344"/>
      <c r="XDG43" s="344"/>
      <c r="XDH43" s="344"/>
      <c r="XDI43" s="344"/>
      <c r="XDJ43" s="344"/>
      <c r="XDK43" s="344"/>
      <c r="XDL43" s="344"/>
      <c r="XDM43" s="344"/>
      <c r="XDN43" s="344"/>
      <c r="XDO43" s="344"/>
      <c r="XDP43" s="344"/>
      <c r="XDQ43" s="344"/>
      <c r="XDR43" s="344"/>
      <c r="XDS43" s="344"/>
      <c r="XDT43" s="344"/>
      <c r="XDU43" s="344"/>
      <c r="XDV43" s="344"/>
      <c r="XDW43" s="344"/>
      <c r="XDX43" s="344"/>
      <c r="XDY43" s="344"/>
      <c r="XDZ43" s="344"/>
      <c r="XEA43" s="344"/>
      <c r="XEB43" s="344"/>
      <c r="XEC43" s="344"/>
      <c r="XED43" s="344"/>
      <c r="XEE43" s="344"/>
      <c r="XEF43" s="344"/>
      <c r="XEG43" s="344"/>
      <c r="XEH43" s="344"/>
      <c r="XEI43" s="344"/>
      <c r="XEJ43" s="344"/>
      <c r="XEK43" s="344"/>
      <c r="XEL43" s="344"/>
      <c r="XEM43" s="344"/>
      <c r="XEN43" s="344"/>
      <c r="XEO43" s="344"/>
      <c r="XEP43" s="344"/>
      <c r="XEQ43" s="344"/>
      <c r="XER43" s="344"/>
      <c r="XES43" s="344"/>
      <c r="XET43" s="344"/>
      <c r="XEU43" s="344"/>
      <c r="XEV43" s="344"/>
      <c r="XEW43" s="344"/>
      <c r="XEX43" s="344"/>
      <c r="XEY43" s="344"/>
      <c r="XEZ43" s="344"/>
      <c r="XFA43" s="344"/>
    </row>
    <row r="44" s="338" customFormat="1" ht="29.25" customHeight="1" spans="1:1024 1025:16381">
      <c r="A44" s="344"/>
      <c r="B44" s="382">
        <v>34</v>
      </c>
      <c r="C44" s="380" t="e">
        <f>_xlfn.XLOOKUP(D44,商品汇总表!$B:$B,商品汇总表!$A:$A,"")</f>
        <v>#N/A</v>
      </c>
      <c r="D44" s="362" t="e" cm="1">
        <f t="array" ref="D44">LOOKUP(1,0/(('5.21出货明细'!AR:AR=$D$52)*('5.21出货明细'!A:A=B44)),'5.21出货明细'!E:E)</f>
        <v>#N/A</v>
      </c>
      <c r="E44" s="358" t="e">
        <f>_xlfn.XLOOKUP(D44,商品汇总表!$B:$B,商品汇总表!$D:$D,"")</f>
        <v>#N/A</v>
      </c>
      <c r="F44" s="363" t="e" cm="1">
        <f t="array" ref="F44">_xlfn.LET(_xlpm.数组,B44&amp;D44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4" s="373"/>
      <c r="H44" s="364"/>
      <c r="I44" s="365"/>
      <c r="J44" s="366"/>
      <c r="K44" s="367"/>
      <c r="L44" s="368"/>
      <c r="M44" s="369" t="s">
        <v>2953</v>
      </c>
      <c r="N44" s="370"/>
      <c r="O44" s="370"/>
      <c r="P44" s="383"/>
      <c r="Q44" s="372"/>
      <c r="R44" s="372"/>
      <c r="S44" s="372"/>
      <c r="T44" s="372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344"/>
      <c r="AN44" s="344"/>
      <c r="AO44" s="344"/>
      <c r="AP44" s="344"/>
      <c r="AQ44" s="344"/>
      <c r="AR44" s="344"/>
      <c r="AS44" s="344"/>
      <c r="AT44" s="344"/>
      <c r="AU44" s="344"/>
      <c r="AV44" s="344"/>
      <c r="AW44" s="344"/>
      <c r="AX44" s="344"/>
      <c r="AY44" s="344"/>
      <c r="AZ44" s="344"/>
      <c r="BA44" s="344"/>
      <c r="BB44" s="344"/>
      <c r="BC44" s="344"/>
      <c r="BD44" s="344"/>
      <c r="BE44" s="344"/>
      <c r="BF44" s="344"/>
      <c r="BG44" s="344"/>
      <c r="BH44" s="344"/>
      <c r="BI44" s="344"/>
      <c r="BJ44" s="344"/>
      <c r="BK44" s="344"/>
      <c r="BL44" s="344"/>
      <c r="BM44" s="344"/>
      <c r="BN44" s="344"/>
      <c r="BO44" s="344"/>
      <c r="BP44" s="344"/>
      <c r="BQ44" s="344"/>
      <c r="BR44" s="344"/>
      <c r="BS44" s="344"/>
      <c r="BT44" s="344"/>
      <c r="BU44" s="344"/>
      <c r="BV44" s="344"/>
      <c r="BW44" s="344"/>
      <c r="BX44" s="344"/>
      <c r="BY44" s="344"/>
      <c r="BZ44" s="344"/>
      <c r="CA44" s="344"/>
      <c r="CB44" s="344"/>
      <c r="CC44" s="344"/>
      <c r="CD44" s="344"/>
      <c r="CE44" s="344"/>
      <c r="CF44" s="344"/>
      <c r="CG44" s="344"/>
      <c r="CH44" s="344"/>
      <c r="CI44" s="344"/>
      <c r="CJ44" s="344"/>
      <c r="CK44" s="344"/>
      <c r="CL44" s="344"/>
      <c r="CM44" s="344"/>
      <c r="CN44" s="344"/>
      <c r="CO44" s="344"/>
      <c r="CP44" s="344"/>
      <c r="CQ44" s="344"/>
      <c r="CR44" s="344"/>
      <c r="CS44" s="344"/>
      <c r="CT44" s="344"/>
      <c r="CU44" s="344"/>
      <c r="CV44" s="344"/>
      <c r="CW44" s="344"/>
      <c r="CX44" s="344"/>
      <c r="CY44" s="344"/>
      <c r="CZ44" s="344"/>
      <c r="DA44" s="344"/>
      <c r="DB44" s="344"/>
      <c r="DC44" s="344"/>
      <c r="DD44" s="344"/>
      <c r="DE44" s="344"/>
      <c r="DF44" s="344"/>
      <c r="DG44" s="344"/>
      <c r="DH44" s="344"/>
      <c r="DI44" s="344"/>
      <c r="DJ44" s="344"/>
      <c r="DK44" s="344"/>
      <c r="DL44" s="344"/>
      <c r="DM44" s="344"/>
      <c r="DN44" s="344"/>
      <c r="DO44" s="344"/>
      <c r="DP44" s="344"/>
      <c r="DQ44" s="344"/>
      <c r="DR44" s="344"/>
      <c r="DS44" s="344"/>
      <c r="DT44" s="344"/>
      <c r="DU44" s="344"/>
      <c r="DV44" s="344"/>
      <c r="DW44" s="344"/>
      <c r="DX44" s="344"/>
      <c r="DY44" s="344"/>
      <c r="DZ44" s="344"/>
      <c r="EA44" s="344"/>
      <c r="EB44" s="344"/>
      <c r="EC44" s="344"/>
      <c r="ED44" s="344"/>
      <c r="EE44" s="344"/>
      <c r="EF44" s="344"/>
      <c r="EG44" s="344"/>
      <c r="EH44" s="344"/>
      <c r="EI44" s="344"/>
      <c r="EJ44" s="344"/>
      <c r="EK44" s="344"/>
      <c r="EL44" s="344"/>
      <c r="EM44" s="344"/>
      <c r="EN44" s="344"/>
      <c r="EO44" s="344"/>
      <c r="EP44" s="344"/>
      <c r="EQ44" s="344"/>
      <c r="ER44" s="344"/>
      <c r="ES44" s="344"/>
      <c r="ET44" s="344"/>
      <c r="EU44" s="344"/>
      <c r="EV44" s="344"/>
      <c r="EW44" s="344"/>
      <c r="EX44" s="344"/>
      <c r="EY44" s="344"/>
      <c r="EZ44" s="344"/>
      <c r="FA44" s="344"/>
      <c r="FB44" s="344"/>
      <c r="FC44" s="344"/>
      <c r="FD44" s="344"/>
      <c r="FE44" s="344"/>
      <c r="FF44" s="344"/>
      <c r="FG44" s="344"/>
      <c r="FH44" s="344"/>
      <c r="FI44" s="344"/>
      <c r="FJ44" s="344"/>
      <c r="FK44" s="344"/>
      <c r="FL44" s="344"/>
      <c r="FM44" s="344"/>
      <c r="FN44" s="344"/>
      <c r="FO44" s="344"/>
      <c r="FP44" s="344"/>
      <c r="FQ44" s="344"/>
      <c r="FR44" s="344"/>
      <c r="FS44" s="344"/>
      <c r="FT44" s="344"/>
      <c r="FU44" s="344"/>
      <c r="FV44" s="344"/>
      <c r="FW44" s="344"/>
      <c r="FX44" s="344"/>
      <c r="FY44" s="344"/>
      <c r="FZ44" s="344"/>
      <c r="GA44" s="344"/>
      <c r="GB44" s="344"/>
      <c r="GC44" s="344"/>
      <c r="GD44" s="344"/>
      <c r="GE44" s="344"/>
      <c r="GF44" s="344"/>
      <c r="GG44" s="344"/>
      <c r="GH44" s="344"/>
      <c r="GI44" s="344"/>
      <c r="GJ44" s="344"/>
      <c r="GK44" s="344"/>
      <c r="GL44" s="344"/>
      <c r="GM44" s="344"/>
      <c r="GN44" s="344"/>
      <c r="GO44" s="344"/>
      <c r="GP44" s="344"/>
      <c r="GQ44" s="344"/>
      <c r="GR44" s="344"/>
      <c r="GS44" s="344"/>
      <c r="GT44" s="344"/>
      <c r="GU44" s="344"/>
      <c r="GV44" s="344"/>
      <c r="GW44" s="344"/>
      <c r="GX44" s="344"/>
      <c r="GY44" s="344"/>
      <c r="GZ44" s="344"/>
      <c r="HA44" s="344"/>
      <c r="HB44" s="344"/>
      <c r="HC44" s="344"/>
      <c r="HD44" s="344"/>
      <c r="HE44" s="344"/>
      <c r="HF44" s="344"/>
      <c r="HG44" s="344"/>
      <c r="HH44" s="344"/>
      <c r="HI44" s="344"/>
      <c r="HJ44" s="344"/>
      <c r="HK44" s="344"/>
      <c r="HL44" s="344"/>
      <c r="HM44" s="344"/>
      <c r="HN44" s="344"/>
      <c r="HO44" s="344"/>
      <c r="HP44" s="344"/>
      <c r="HQ44" s="344"/>
      <c r="HR44" s="344"/>
      <c r="HS44" s="344"/>
      <c r="HT44" s="344"/>
      <c r="HU44" s="344"/>
      <c r="HV44" s="344"/>
      <c r="HW44" s="344"/>
      <c r="HX44" s="344"/>
      <c r="HY44" s="344"/>
      <c r="HZ44" s="344"/>
      <c r="IA44" s="344"/>
      <c r="IB44" s="344"/>
      <c r="IC44" s="344"/>
      <c r="ID44" s="344"/>
      <c r="IE44" s="344"/>
      <c r="IF44" s="344"/>
      <c r="IG44" s="344"/>
      <c r="IH44" s="344"/>
      <c r="II44" s="344"/>
      <c r="IJ44" s="344"/>
      <c r="IK44" s="344"/>
      <c r="IL44" s="344"/>
      <c r="IM44" s="344"/>
      <c r="IN44" s="344"/>
      <c r="IO44" s="344"/>
      <c r="IP44" s="344"/>
      <c r="IQ44" s="344"/>
      <c r="IR44" s="344"/>
      <c r="IS44" s="344"/>
      <c r="IT44" s="344"/>
      <c r="IU44" s="344"/>
      <c r="IV44" s="344"/>
      <c r="IW44" s="344"/>
      <c r="IX44" s="344"/>
      <c r="IY44" s="344"/>
      <c r="IZ44" s="344"/>
      <c r="JA44" s="344"/>
      <c r="JB44" s="344"/>
      <c r="JC44" s="344"/>
      <c r="JD44" s="344"/>
      <c r="JE44" s="344"/>
      <c r="JF44" s="344"/>
      <c r="JG44" s="344"/>
      <c r="JH44" s="344"/>
      <c r="JI44" s="344"/>
      <c r="JJ44" s="344"/>
      <c r="JK44" s="344"/>
      <c r="JL44" s="344"/>
      <c r="JM44" s="344"/>
      <c r="JN44" s="344"/>
      <c r="JO44" s="344"/>
      <c r="JP44" s="344"/>
      <c r="JQ44" s="344"/>
      <c r="JR44" s="344"/>
      <c r="JS44" s="344"/>
      <c r="JT44" s="344"/>
      <c r="JU44" s="344"/>
      <c r="JV44" s="344"/>
      <c r="JW44" s="344"/>
      <c r="JX44" s="344"/>
      <c r="JY44" s="344"/>
      <c r="JZ44" s="344"/>
      <c r="KA44" s="344"/>
      <c r="KB44" s="344"/>
      <c r="KC44" s="344"/>
      <c r="KD44" s="344"/>
      <c r="KE44" s="344"/>
      <c r="KF44" s="344"/>
      <c r="KG44" s="344"/>
      <c r="KH44" s="344"/>
      <c r="KI44" s="344"/>
      <c r="KJ44" s="344"/>
      <c r="KK44" s="344"/>
      <c r="KL44" s="344"/>
      <c r="KM44" s="344"/>
      <c r="KN44" s="344"/>
      <c r="KO44" s="344"/>
      <c r="KP44" s="344"/>
      <c r="KQ44" s="344"/>
      <c r="KR44" s="344"/>
      <c r="KS44" s="344"/>
      <c r="KT44" s="344"/>
      <c r="KU44" s="344"/>
      <c r="KV44" s="344"/>
      <c r="KW44" s="344"/>
      <c r="KX44" s="344"/>
      <c r="KY44" s="344"/>
      <c r="KZ44" s="344"/>
      <c r="LA44" s="344"/>
      <c r="LB44" s="344"/>
      <c r="LC44" s="344"/>
      <c r="LD44" s="344"/>
      <c r="LE44" s="344"/>
      <c r="LF44" s="344"/>
      <c r="LG44" s="344"/>
      <c r="LH44" s="344"/>
      <c r="LI44" s="344"/>
      <c r="LJ44" s="344"/>
      <c r="LK44" s="344"/>
      <c r="LL44" s="344"/>
      <c r="LM44" s="344"/>
      <c r="LN44" s="344"/>
      <c r="LO44" s="344"/>
      <c r="LP44" s="344"/>
      <c r="LQ44" s="344"/>
      <c r="LR44" s="344"/>
      <c r="LS44" s="344"/>
      <c r="LT44" s="344"/>
      <c r="LU44" s="344"/>
      <c r="LV44" s="344"/>
      <c r="LW44" s="344"/>
      <c r="LX44" s="344"/>
      <c r="LY44" s="344"/>
      <c r="LZ44" s="344"/>
      <c r="MA44" s="344"/>
      <c r="MB44" s="344"/>
      <c r="MC44" s="344"/>
      <c r="MD44" s="344"/>
      <c r="ME44" s="344"/>
      <c r="MF44" s="344"/>
      <c r="MG44" s="344"/>
      <c r="MH44" s="344"/>
      <c r="MI44" s="344"/>
      <c r="MJ44" s="344"/>
      <c r="MK44" s="344"/>
      <c r="ML44" s="344"/>
      <c r="MM44" s="344"/>
      <c r="MN44" s="344"/>
      <c r="MO44" s="344"/>
      <c r="MP44" s="344"/>
      <c r="MQ44" s="344"/>
      <c r="MR44" s="344"/>
      <c r="MS44" s="344"/>
      <c r="MT44" s="344"/>
      <c r="MU44" s="344"/>
      <c r="MV44" s="344"/>
      <c r="MW44" s="344"/>
      <c r="MX44" s="344"/>
      <c r="MY44" s="344"/>
      <c r="MZ44" s="344"/>
      <c r="NA44" s="344"/>
      <c r="NB44" s="344"/>
      <c r="NC44" s="344"/>
      <c r="ND44" s="344"/>
      <c r="NE44" s="344"/>
      <c r="NF44" s="344"/>
      <c r="NG44" s="344"/>
      <c r="NH44" s="344"/>
      <c r="NI44" s="344"/>
      <c r="NJ44" s="344"/>
      <c r="NK44" s="344"/>
      <c r="NL44" s="344"/>
      <c r="NM44" s="344"/>
      <c r="NN44" s="344"/>
      <c r="NO44" s="344"/>
      <c r="NP44" s="344"/>
      <c r="NQ44" s="344"/>
      <c r="NR44" s="344"/>
      <c r="NS44" s="344"/>
      <c r="NT44" s="344"/>
      <c r="NU44" s="344"/>
      <c r="NV44" s="344"/>
      <c r="NW44" s="344"/>
      <c r="NX44" s="344"/>
      <c r="NY44" s="344"/>
      <c r="NZ44" s="344"/>
      <c r="OA44" s="344"/>
      <c r="OB44" s="344"/>
      <c r="OC44" s="344"/>
      <c r="OD44" s="344"/>
      <c r="OE44" s="344"/>
      <c r="OF44" s="344"/>
      <c r="OG44" s="344"/>
      <c r="OH44" s="344"/>
      <c r="OI44" s="344"/>
      <c r="OJ44" s="344"/>
      <c r="OK44" s="344"/>
      <c r="OL44" s="344"/>
      <c r="OM44" s="344"/>
      <c r="ON44" s="344"/>
      <c r="OO44" s="344"/>
      <c r="OP44" s="344"/>
      <c r="OQ44" s="344"/>
      <c r="OR44" s="344"/>
      <c r="OS44" s="344"/>
      <c r="OT44" s="344"/>
      <c r="OU44" s="344"/>
      <c r="OV44" s="344"/>
      <c r="OW44" s="344"/>
      <c r="OX44" s="344"/>
      <c r="OY44" s="344"/>
      <c r="OZ44" s="344"/>
      <c r="PA44" s="344"/>
      <c r="PB44" s="344"/>
      <c r="PC44" s="344"/>
      <c r="PD44" s="344"/>
      <c r="PE44" s="344"/>
      <c r="PF44" s="344"/>
      <c r="PG44" s="344"/>
      <c r="PH44" s="344"/>
      <c r="PI44" s="344"/>
      <c r="PJ44" s="344"/>
      <c r="PK44" s="344"/>
      <c r="PL44" s="344"/>
      <c r="PM44" s="344"/>
      <c r="PN44" s="344"/>
      <c r="PO44" s="344"/>
      <c r="PP44" s="344"/>
      <c r="PQ44" s="344"/>
      <c r="PR44" s="344"/>
      <c r="PS44" s="344"/>
      <c r="PT44" s="344"/>
      <c r="PU44" s="344"/>
      <c r="PV44" s="344"/>
      <c r="PW44" s="344"/>
      <c r="PX44" s="344"/>
      <c r="PY44" s="344"/>
      <c r="PZ44" s="344"/>
      <c r="QA44" s="344"/>
      <c r="QB44" s="344"/>
      <c r="QC44" s="344"/>
      <c r="QD44" s="344"/>
      <c r="QE44" s="344"/>
      <c r="QF44" s="344"/>
      <c r="QG44" s="344"/>
      <c r="QH44" s="344"/>
      <c r="QI44" s="344"/>
      <c r="QJ44" s="344"/>
      <c r="QK44" s="344"/>
      <c r="QL44" s="344"/>
      <c r="QM44" s="344"/>
      <c r="QN44" s="344"/>
      <c r="QO44" s="344"/>
      <c r="QP44" s="344"/>
      <c r="QQ44" s="344"/>
      <c r="QR44" s="344"/>
      <c r="QS44" s="344"/>
      <c r="QT44" s="344"/>
      <c r="QU44" s="344"/>
      <c r="QV44" s="344"/>
      <c r="QW44" s="344"/>
      <c r="QX44" s="344"/>
      <c r="QY44" s="344"/>
      <c r="QZ44" s="344"/>
      <c r="RA44" s="344"/>
      <c r="RB44" s="344"/>
      <c r="RC44" s="344"/>
      <c r="RD44" s="344"/>
      <c r="RE44" s="344"/>
      <c r="RF44" s="344"/>
      <c r="RG44" s="344"/>
      <c r="RH44" s="344"/>
      <c r="RI44" s="344"/>
      <c r="RJ44" s="344"/>
      <c r="RK44" s="344"/>
      <c r="RL44" s="344"/>
      <c r="RM44" s="344"/>
      <c r="RN44" s="344"/>
      <c r="RO44" s="344"/>
      <c r="RP44" s="344"/>
      <c r="RQ44" s="344"/>
      <c r="RR44" s="344"/>
      <c r="RS44" s="344"/>
      <c r="RT44" s="344"/>
      <c r="RU44" s="344"/>
      <c r="RV44" s="344"/>
      <c r="RW44" s="344"/>
      <c r="RX44" s="344"/>
      <c r="RY44" s="344"/>
      <c r="RZ44" s="344"/>
      <c r="SA44" s="344"/>
      <c r="SB44" s="344"/>
      <c r="SC44" s="344"/>
      <c r="SD44" s="344"/>
      <c r="SE44" s="344"/>
      <c r="SF44" s="344"/>
      <c r="SG44" s="344"/>
      <c r="SH44" s="344"/>
      <c r="SI44" s="344"/>
      <c r="SJ44" s="344"/>
      <c r="SK44" s="344"/>
      <c r="SL44" s="344"/>
      <c r="SM44" s="344"/>
      <c r="SN44" s="344"/>
      <c r="SO44" s="344"/>
      <c r="SP44" s="344"/>
      <c r="SQ44" s="344"/>
      <c r="SR44" s="344"/>
      <c r="SS44" s="344"/>
      <c r="ST44" s="344"/>
      <c r="SU44" s="344"/>
      <c r="SV44" s="344"/>
      <c r="SW44" s="344"/>
      <c r="SX44" s="344"/>
      <c r="SY44" s="344"/>
      <c r="SZ44" s="344"/>
      <c r="TA44" s="344"/>
      <c r="TB44" s="344"/>
      <c r="TC44" s="344"/>
      <c r="TD44" s="344"/>
      <c r="TE44" s="344"/>
      <c r="TF44" s="344"/>
      <c r="TG44" s="344"/>
      <c r="TH44" s="344"/>
      <c r="TI44" s="344"/>
      <c r="TJ44" s="344"/>
      <c r="TK44" s="344"/>
      <c r="TL44" s="344"/>
      <c r="TM44" s="344"/>
      <c r="TN44" s="344"/>
      <c r="TO44" s="344"/>
      <c r="TP44" s="344"/>
      <c r="TQ44" s="344"/>
      <c r="TR44" s="344"/>
      <c r="TS44" s="344"/>
      <c r="TT44" s="344"/>
      <c r="TU44" s="344"/>
      <c r="TV44" s="344"/>
      <c r="TW44" s="344"/>
      <c r="TX44" s="344"/>
      <c r="TY44" s="344"/>
      <c r="TZ44" s="344"/>
      <c r="UA44" s="344"/>
      <c r="UB44" s="344"/>
      <c r="UC44" s="344"/>
      <c r="UD44" s="344"/>
      <c r="UE44" s="344"/>
      <c r="UF44" s="344"/>
      <c r="UG44" s="344"/>
      <c r="UH44" s="344"/>
      <c r="UI44" s="344"/>
      <c r="UJ44" s="344"/>
      <c r="UK44" s="344"/>
      <c r="UL44" s="344"/>
      <c r="UM44" s="344"/>
      <c r="UN44" s="344"/>
      <c r="UO44" s="344"/>
      <c r="UP44" s="344"/>
      <c r="UQ44" s="344"/>
      <c r="UR44" s="344"/>
      <c r="US44" s="344"/>
      <c r="UT44" s="344"/>
      <c r="UU44" s="344"/>
      <c r="UV44" s="344"/>
      <c r="UW44" s="344"/>
      <c r="UX44" s="344"/>
      <c r="UY44" s="344"/>
      <c r="UZ44" s="344"/>
      <c r="VA44" s="344"/>
      <c r="VB44" s="344"/>
      <c r="VC44" s="344"/>
      <c r="VD44" s="344"/>
      <c r="VE44" s="344"/>
      <c r="VF44" s="344"/>
      <c r="VG44" s="344"/>
      <c r="VH44" s="344"/>
      <c r="VI44" s="344"/>
      <c r="VJ44" s="344"/>
      <c r="VK44" s="344"/>
      <c r="VL44" s="344"/>
      <c r="VM44" s="344"/>
      <c r="VN44" s="344"/>
      <c r="VO44" s="344"/>
      <c r="VP44" s="344"/>
      <c r="VQ44" s="344"/>
      <c r="VR44" s="344"/>
      <c r="VS44" s="344"/>
      <c r="VT44" s="344"/>
      <c r="VU44" s="344"/>
      <c r="VV44" s="344"/>
      <c r="VW44" s="344"/>
      <c r="VX44" s="344"/>
      <c r="VY44" s="344"/>
      <c r="VZ44" s="344"/>
      <c r="WA44" s="344"/>
      <c r="WB44" s="344"/>
      <c r="WC44" s="344"/>
      <c r="WD44" s="344"/>
      <c r="WE44" s="344"/>
      <c r="WF44" s="344"/>
      <c r="WG44" s="344"/>
      <c r="WH44" s="344"/>
      <c r="WI44" s="344"/>
      <c r="WJ44" s="344"/>
      <c r="WK44" s="344"/>
      <c r="WL44" s="344"/>
      <c r="WM44" s="344"/>
      <c r="WN44" s="344"/>
      <c r="WO44" s="344"/>
      <c r="WP44" s="344"/>
      <c r="WQ44" s="344"/>
      <c r="WR44" s="344"/>
      <c r="WS44" s="344"/>
      <c r="WT44" s="344"/>
      <c r="WU44" s="344"/>
      <c r="WV44" s="344"/>
      <c r="WW44" s="344"/>
      <c r="WX44" s="344"/>
      <c r="WY44" s="344"/>
      <c r="WZ44" s="344"/>
      <c r="XA44" s="344"/>
      <c r="XB44" s="344"/>
      <c r="XC44" s="344"/>
      <c r="XD44" s="344"/>
      <c r="XE44" s="344"/>
      <c r="XF44" s="344"/>
      <c r="XG44" s="344"/>
      <c r="XH44" s="344"/>
      <c r="XI44" s="344"/>
      <c r="XJ44" s="344"/>
      <c r="XK44" s="344"/>
      <c r="XL44" s="344"/>
      <c r="XM44" s="344"/>
      <c r="XN44" s="344"/>
      <c r="XO44" s="344"/>
      <c r="XP44" s="344"/>
      <c r="XQ44" s="344"/>
      <c r="XR44" s="344"/>
      <c r="XS44" s="344"/>
      <c r="XT44" s="344"/>
      <c r="XU44" s="344"/>
      <c r="XV44" s="344"/>
      <c r="XW44" s="344"/>
      <c r="XX44" s="344"/>
      <c r="XY44" s="344"/>
      <c r="XZ44" s="344"/>
      <c r="YA44" s="344"/>
      <c r="YB44" s="344"/>
      <c r="YC44" s="344"/>
      <c r="YD44" s="344"/>
      <c r="YE44" s="344"/>
      <c r="YF44" s="344"/>
      <c r="YG44" s="344"/>
      <c r="YH44" s="344"/>
      <c r="YI44" s="344"/>
      <c r="YJ44" s="344"/>
      <c r="YK44" s="344"/>
      <c r="YL44" s="344"/>
      <c r="YM44" s="344"/>
      <c r="YN44" s="344"/>
      <c r="YO44" s="344"/>
      <c r="YP44" s="344"/>
      <c r="YQ44" s="344"/>
      <c r="YR44" s="344"/>
      <c r="YS44" s="344"/>
      <c r="YT44" s="344"/>
      <c r="YU44" s="344"/>
      <c r="YV44" s="344"/>
      <c r="YW44" s="344"/>
      <c r="YX44" s="344"/>
      <c r="YY44" s="344"/>
      <c r="YZ44" s="344"/>
      <c r="ZA44" s="344"/>
      <c r="ZB44" s="344"/>
      <c r="ZC44" s="344"/>
      <c r="ZD44" s="344"/>
      <c r="ZE44" s="344"/>
      <c r="ZF44" s="344"/>
      <c r="ZG44" s="344"/>
      <c r="ZH44" s="344"/>
      <c r="ZI44" s="344"/>
      <c r="ZJ44" s="344"/>
      <c r="ZK44" s="344"/>
      <c r="ZL44" s="344"/>
      <c r="ZM44" s="344"/>
      <c r="ZN44" s="344"/>
      <c r="ZO44" s="344"/>
      <c r="ZP44" s="344"/>
      <c r="ZQ44" s="344"/>
      <c r="ZR44" s="344"/>
      <c r="ZS44" s="344"/>
      <c r="ZT44" s="344"/>
      <c r="ZU44" s="344"/>
      <c r="ZV44" s="344"/>
      <c r="ZW44" s="344"/>
      <c r="ZX44" s="344"/>
      <c r="ZY44" s="344"/>
      <c r="ZZ44" s="344"/>
      <c r="AAA44" s="344"/>
      <c r="AAB44" s="344"/>
      <c r="AAC44" s="344"/>
      <c r="AAD44" s="344"/>
      <c r="AAE44" s="344"/>
      <c r="AAF44" s="344"/>
      <c r="AAG44" s="344"/>
      <c r="AAH44" s="344"/>
      <c r="AAI44" s="344"/>
      <c r="AAJ44" s="344"/>
      <c r="AAK44" s="344"/>
      <c r="AAL44" s="344"/>
      <c r="AAM44" s="344"/>
      <c r="AAN44" s="344"/>
      <c r="AAO44" s="344"/>
      <c r="AAP44" s="344"/>
      <c r="AAQ44" s="344"/>
      <c r="AAR44" s="344"/>
      <c r="AAS44" s="344"/>
      <c r="AAT44" s="344"/>
      <c r="AAU44" s="344"/>
      <c r="AAV44" s="344"/>
      <c r="AAW44" s="344"/>
      <c r="AAX44" s="344"/>
      <c r="AAY44" s="344"/>
      <c r="AAZ44" s="344"/>
      <c r="ABA44" s="344"/>
      <c r="ABB44" s="344"/>
      <c r="ABC44" s="344"/>
      <c r="ABD44" s="344"/>
      <c r="ABE44" s="344"/>
      <c r="ABF44" s="344"/>
      <c r="ABG44" s="344"/>
      <c r="ABH44" s="344"/>
      <c r="ABI44" s="344"/>
      <c r="ABJ44" s="344"/>
      <c r="ABK44" s="344"/>
      <c r="ABL44" s="344"/>
      <c r="ABM44" s="344"/>
      <c r="ABN44" s="344"/>
      <c r="ABO44" s="344"/>
      <c r="ABP44" s="344"/>
      <c r="ABQ44" s="344"/>
      <c r="ABR44" s="344"/>
      <c r="ABS44" s="344"/>
      <c r="ABT44" s="344"/>
      <c r="ABU44" s="344"/>
      <c r="ABV44" s="344"/>
      <c r="ABW44" s="344"/>
      <c r="ABX44" s="344"/>
      <c r="ABY44" s="344"/>
      <c r="ABZ44" s="344"/>
      <c r="ACA44" s="344"/>
      <c r="ACB44" s="344"/>
      <c r="ACC44" s="344"/>
      <c r="ACD44" s="344"/>
      <c r="ACE44" s="344"/>
      <c r="ACF44" s="344"/>
      <c r="ACG44" s="344"/>
      <c r="ACH44" s="344"/>
      <c r="ACI44" s="344"/>
      <c r="ACJ44" s="344"/>
      <c r="ACK44" s="344"/>
      <c r="ACL44" s="344"/>
      <c r="ACM44" s="344"/>
      <c r="ACN44" s="344"/>
      <c r="ACO44" s="344"/>
      <c r="ACP44" s="344"/>
      <c r="ACQ44" s="344"/>
      <c r="ACR44" s="344"/>
      <c r="ACS44" s="344"/>
      <c r="ACT44" s="344"/>
      <c r="ACU44" s="344"/>
      <c r="ACV44" s="344"/>
      <c r="ACW44" s="344"/>
      <c r="ACX44" s="344"/>
      <c r="ACY44" s="344"/>
      <c r="ACZ44" s="344"/>
      <c r="ADA44" s="344"/>
      <c r="ADB44" s="344"/>
      <c r="ADC44" s="344"/>
      <c r="ADD44" s="344"/>
      <c r="ADE44" s="344"/>
      <c r="ADF44" s="344"/>
      <c r="ADG44" s="344"/>
      <c r="ADH44" s="344"/>
      <c r="ADI44" s="344"/>
      <c r="ADJ44" s="344"/>
      <c r="ADK44" s="344"/>
      <c r="ADL44" s="344"/>
      <c r="ADM44" s="344"/>
      <c r="ADN44" s="344"/>
      <c r="ADO44" s="344"/>
      <c r="ADP44" s="344"/>
      <c r="ADQ44" s="344"/>
      <c r="ADR44" s="344"/>
      <c r="ADS44" s="344"/>
      <c r="ADT44" s="344"/>
      <c r="ADU44" s="344"/>
      <c r="ADV44" s="344"/>
      <c r="ADW44" s="344"/>
      <c r="ADX44" s="344"/>
      <c r="ADY44" s="344"/>
      <c r="ADZ44" s="344"/>
      <c r="AEA44" s="344"/>
      <c r="AEB44" s="344"/>
      <c r="AEC44" s="344"/>
      <c r="AED44" s="344"/>
      <c r="AEE44" s="344"/>
      <c r="AEF44" s="344"/>
      <c r="AEG44" s="344"/>
      <c r="AEH44" s="344"/>
      <c r="AEI44" s="344"/>
      <c r="AEJ44" s="344"/>
      <c r="AEK44" s="344"/>
      <c r="AEL44" s="344"/>
      <c r="AEM44" s="344"/>
      <c r="AEN44" s="344"/>
      <c r="AEO44" s="344"/>
      <c r="AEP44" s="344"/>
      <c r="AEQ44" s="344"/>
      <c r="AER44" s="344"/>
      <c r="AES44" s="344"/>
      <c r="AET44" s="344"/>
      <c r="AEU44" s="344"/>
      <c r="AEV44" s="344"/>
      <c r="AEW44" s="344"/>
      <c r="AEX44" s="344"/>
      <c r="AEY44" s="344"/>
      <c r="AEZ44" s="344"/>
      <c r="AFA44" s="344"/>
      <c r="AFB44" s="344"/>
      <c r="AFC44" s="344"/>
      <c r="AFD44" s="344"/>
      <c r="AFE44" s="344"/>
      <c r="AFF44" s="344"/>
      <c r="AFG44" s="344"/>
      <c r="AFH44" s="344"/>
      <c r="AFI44" s="344"/>
      <c r="AFJ44" s="344"/>
      <c r="AFK44" s="344"/>
      <c r="AFL44" s="344"/>
      <c r="AFM44" s="344"/>
      <c r="AFN44" s="344"/>
      <c r="AFO44" s="344"/>
      <c r="AFP44" s="344"/>
      <c r="AFQ44" s="344"/>
      <c r="AFR44" s="344"/>
      <c r="AFS44" s="344"/>
      <c r="AFT44" s="344"/>
      <c r="AFU44" s="344"/>
      <c r="AFV44" s="344"/>
      <c r="AFW44" s="344"/>
      <c r="AFX44" s="344"/>
      <c r="AFY44" s="344"/>
      <c r="AFZ44" s="344"/>
      <c r="AGA44" s="344"/>
      <c r="AGB44" s="344"/>
      <c r="AGC44" s="344"/>
      <c r="AGD44" s="344"/>
      <c r="AGE44" s="344"/>
      <c r="AGF44" s="344"/>
      <c r="AGG44" s="344"/>
      <c r="AGH44" s="344"/>
      <c r="AGI44" s="344"/>
      <c r="AGJ44" s="344"/>
      <c r="AGK44" s="344"/>
      <c r="AGL44" s="344"/>
      <c r="AGM44" s="344"/>
      <c r="AGN44" s="344"/>
      <c r="AGO44" s="344"/>
      <c r="AGP44" s="344"/>
      <c r="AGQ44" s="344"/>
      <c r="AGR44" s="344"/>
      <c r="AGS44" s="344"/>
      <c r="AGT44" s="344"/>
      <c r="AGU44" s="344"/>
      <c r="AGV44" s="344"/>
      <c r="AGW44" s="344"/>
      <c r="AGX44" s="344"/>
      <c r="AGY44" s="344"/>
      <c r="AGZ44" s="344"/>
      <c r="AHA44" s="344"/>
      <c r="AHB44" s="344"/>
      <c r="AHC44" s="344"/>
      <c r="AHD44" s="344"/>
      <c r="AHE44" s="344"/>
      <c r="AHF44" s="344"/>
      <c r="AHG44" s="344"/>
      <c r="AHH44" s="344"/>
      <c r="AHI44" s="344"/>
      <c r="AHJ44" s="344"/>
      <c r="AHK44" s="344"/>
      <c r="AHL44" s="344"/>
      <c r="AHM44" s="344"/>
      <c r="AHN44" s="344"/>
      <c r="AHO44" s="344"/>
      <c r="AHP44" s="344"/>
      <c r="AHQ44" s="344"/>
      <c r="AHR44" s="344"/>
      <c r="AHS44" s="344"/>
      <c r="AHT44" s="344"/>
      <c r="AHU44" s="344"/>
      <c r="AHV44" s="344"/>
      <c r="AHW44" s="344"/>
      <c r="AHX44" s="344"/>
      <c r="AHY44" s="344"/>
      <c r="AHZ44" s="344"/>
      <c r="AIA44" s="344"/>
      <c r="AIB44" s="344"/>
      <c r="AIC44" s="344"/>
      <c r="AID44" s="344"/>
      <c r="AIE44" s="344"/>
      <c r="AIF44" s="344"/>
      <c r="AIG44" s="344"/>
      <c r="AIH44" s="344"/>
      <c r="AII44" s="344"/>
      <c r="AIJ44" s="344"/>
      <c r="AIK44" s="344"/>
      <c r="AIL44" s="344"/>
      <c r="AIM44" s="344"/>
      <c r="AIN44" s="344"/>
      <c r="AIO44" s="344"/>
      <c r="AIP44" s="344"/>
      <c r="AIQ44" s="344"/>
      <c r="AIR44" s="344"/>
      <c r="AIS44" s="344"/>
      <c r="AIT44" s="344"/>
      <c r="AIU44" s="344"/>
      <c r="AIV44" s="344"/>
      <c r="AIW44" s="344"/>
      <c r="AIX44" s="344"/>
      <c r="AIY44" s="344"/>
      <c r="AIZ44" s="344"/>
      <c r="AJA44" s="344"/>
      <c r="AJB44" s="344"/>
      <c r="AJC44" s="344"/>
      <c r="AJD44" s="344"/>
      <c r="AJE44" s="344"/>
      <c r="AJF44" s="344"/>
      <c r="AJG44" s="344"/>
      <c r="AJH44" s="344"/>
      <c r="AJI44" s="344"/>
      <c r="AJJ44" s="344"/>
      <c r="AJK44" s="344"/>
      <c r="AJL44" s="344"/>
      <c r="AJM44" s="344"/>
      <c r="AJN44" s="344"/>
      <c r="AJO44" s="344"/>
      <c r="AJP44" s="344"/>
      <c r="AJQ44" s="344"/>
      <c r="AJR44" s="344"/>
      <c r="AJS44" s="344"/>
      <c r="AJT44" s="344"/>
      <c r="AJU44" s="344"/>
      <c r="AJV44" s="344"/>
      <c r="AJW44" s="344"/>
      <c r="AJX44" s="344"/>
      <c r="AJY44" s="344"/>
      <c r="AJZ44" s="344"/>
      <c r="AKA44" s="344"/>
      <c r="AKB44" s="344"/>
      <c r="AKC44" s="344"/>
      <c r="AKD44" s="344"/>
      <c r="AKE44" s="344"/>
      <c r="AKF44" s="344"/>
      <c r="AKG44" s="344"/>
      <c r="AKH44" s="344"/>
      <c r="AKI44" s="344"/>
      <c r="AKJ44" s="344"/>
      <c r="AKK44" s="344"/>
      <c r="AKL44" s="344"/>
      <c r="AKM44" s="344"/>
      <c r="AKN44" s="344"/>
      <c r="AKO44" s="344"/>
      <c r="AKP44" s="344"/>
      <c r="AKQ44" s="344"/>
      <c r="AKR44" s="344"/>
      <c r="AKS44" s="344"/>
      <c r="AKT44" s="344"/>
      <c r="AKU44" s="344"/>
      <c r="AKV44" s="344"/>
      <c r="AKW44" s="344"/>
      <c r="AKX44" s="344"/>
      <c r="AKY44" s="344"/>
      <c r="AKZ44" s="344"/>
      <c r="ALA44" s="344"/>
      <c r="ALB44" s="344"/>
      <c r="ALC44" s="344"/>
      <c r="ALD44" s="344"/>
      <c r="ALE44" s="344"/>
      <c r="ALF44" s="344"/>
      <c r="ALG44" s="344"/>
      <c r="ALH44" s="344"/>
      <c r="ALI44" s="344"/>
      <c r="ALJ44" s="344"/>
      <c r="ALK44" s="344"/>
      <c r="ALL44" s="344"/>
      <c r="ALM44" s="344"/>
      <c r="ALN44" s="344"/>
      <c r="ALO44" s="344"/>
      <c r="ALP44" s="344"/>
      <c r="ALQ44" s="344"/>
      <c r="ALR44" s="344"/>
      <c r="ALS44" s="344"/>
      <c r="ALT44" s="344"/>
      <c r="ALU44" s="344"/>
      <c r="ALV44" s="344"/>
      <c r="ALW44" s="344"/>
      <c r="ALX44" s="344"/>
      <c r="ALY44" s="344"/>
      <c r="ALZ44" s="344"/>
      <c r="AMA44" s="344"/>
      <c r="AMB44" s="344"/>
      <c r="AMC44" s="344"/>
      <c r="AMD44" s="344"/>
      <c r="AME44" s="344"/>
      <c r="AMF44" s="344"/>
      <c r="AMG44" s="344"/>
      <c r="AMH44" s="344"/>
      <c r="AMI44" s="344"/>
      <c r="AMJ44" s="344"/>
      <c r="AMK44" s="344"/>
      <c r="AML44" s="344"/>
      <c r="AMM44" s="344"/>
      <c r="AMN44" s="344"/>
      <c r="AMO44" s="344"/>
      <c r="AMP44" s="344"/>
      <c r="AMQ44" s="344"/>
      <c r="AMR44" s="344"/>
      <c r="AMS44" s="344"/>
      <c r="AMT44" s="344"/>
      <c r="AMU44" s="344"/>
      <c r="AMV44" s="344"/>
      <c r="AMW44" s="344"/>
      <c r="AMX44" s="344"/>
      <c r="AMY44" s="344"/>
      <c r="AMZ44" s="344"/>
      <c r="ANA44" s="344"/>
      <c r="ANB44" s="344"/>
      <c r="ANC44" s="344"/>
      <c r="AND44" s="344"/>
      <c r="ANE44" s="344"/>
      <c r="ANF44" s="344"/>
      <c r="ANG44" s="344"/>
      <c r="ANH44" s="344"/>
      <c r="ANI44" s="344"/>
      <c r="ANJ44" s="344"/>
      <c r="ANK44" s="344"/>
      <c r="ANL44" s="344"/>
      <c r="ANM44" s="344"/>
      <c r="ANN44" s="344"/>
      <c r="ANO44" s="344"/>
      <c r="ANP44" s="344"/>
      <c r="ANQ44" s="344"/>
      <c r="ANR44" s="344"/>
      <c r="ANS44" s="344"/>
      <c r="ANT44" s="344"/>
      <c r="ANU44" s="344"/>
      <c r="ANV44" s="344"/>
      <c r="ANW44" s="344"/>
      <c r="ANX44" s="344"/>
      <c r="ANY44" s="344"/>
      <c r="ANZ44" s="344"/>
      <c r="AOA44" s="344"/>
      <c r="AOB44" s="344"/>
      <c r="AOC44" s="344"/>
      <c r="AOD44" s="344"/>
      <c r="AOE44" s="344"/>
      <c r="AOF44" s="344"/>
      <c r="AOG44" s="344"/>
      <c r="AOH44" s="344"/>
      <c r="AOI44" s="344"/>
      <c r="AOJ44" s="344"/>
      <c r="AOK44" s="344"/>
      <c r="AOL44" s="344"/>
      <c r="AOM44" s="344"/>
      <c r="AON44" s="344"/>
      <c r="AOO44" s="344"/>
      <c r="AOP44" s="344"/>
      <c r="AOQ44" s="344"/>
      <c r="AOR44" s="344"/>
      <c r="AOS44" s="344"/>
      <c r="AOT44" s="344"/>
      <c r="AOU44" s="344"/>
      <c r="AOV44" s="344"/>
      <c r="AOW44" s="344"/>
      <c r="AOX44" s="344"/>
      <c r="AOY44" s="344"/>
      <c r="AOZ44" s="344"/>
      <c r="APA44" s="344"/>
      <c r="APB44" s="344"/>
      <c r="APC44" s="344"/>
      <c r="APD44" s="344"/>
      <c r="APE44" s="344"/>
      <c r="APF44" s="344"/>
      <c r="APG44" s="344"/>
      <c r="APH44" s="344"/>
      <c r="API44" s="344"/>
      <c r="APJ44" s="344"/>
      <c r="APK44" s="344"/>
      <c r="APL44" s="344"/>
      <c r="APM44" s="344"/>
      <c r="APN44" s="344"/>
      <c r="APO44" s="344"/>
      <c r="APP44" s="344"/>
      <c r="APQ44" s="344"/>
      <c r="APR44" s="344"/>
      <c r="APS44" s="344"/>
      <c r="APT44" s="344"/>
      <c r="APU44" s="344"/>
      <c r="APV44" s="344"/>
      <c r="APW44" s="344"/>
      <c r="APX44" s="344"/>
      <c r="APY44" s="344"/>
      <c r="APZ44" s="344"/>
      <c r="AQA44" s="344"/>
      <c r="AQB44" s="344"/>
      <c r="AQC44" s="344"/>
      <c r="AQD44" s="344"/>
      <c r="AQE44" s="344"/>
      <c r="AQF44" s="344"/>
      <c r="AQG44" s="344"/>
      <c r="AQH44" s="344"/>
      <c r="AQI44" s="344"/>
      <c r="AQJ44" s="344"/>
      <c r="AQK44" s="344"/>
      <c r="AQL44" s="344"/>
      <c r="AQM44" s="344"/>
      <c r="AQN44" s="344"/>
      <c r="AQO44" s="344"/>
      <c r="AQP44" s="344"/>
      <c r="AQQ44" s="344"/>
      <c r="AQR44" s="344"/>
      <c r="AQS44" s="344"/>
      <c r="AQT44" s="344"/>
      <c r="AQU44" s="344"/>
      <c r="AQV44" s="344"/>
      <c r="AQW44" s="344"/>
      <c r="AQX44" s="344"/>
      <c r="AQY44" s="344"/>
      <c r="AQZ44" s="344"/>
      <c r="ARA44" s="344"/>
      <c r="ARB44" s="344"/>
      <c r="ARC44" s="344"/>
      <c r="ARD44" s="344"/>
      <c r="ARE44" s="344"/>
      <c r="ARF44" s="344"/>
      <c r="ARG44" s="344"/>
      <c r="ARH44" s="344"/>
      <c r="ARI44" s="344"/>
      <c r="ARJ44" s="344"/>
      <c r="ARK44" s="344"/>
      <c r="ARL44" s="344"/>
      <c r="ARM44" s="344"/>
      <c r="ARN44" s="344"/>
      <c r="ARO44" s="344"/>
      <c r="ARP44" s="344"/>
      <c r="ARQ44" s="344"/>
      <c r="ARR44" s="344"/>
      <c r="ARS44" s="344"/>
      <c r="ART44" s="344"/>
      <c r="ARU44" s="344"/>
      <c r="ARV44" s="344"/>
      <c r="ARW44" s="344"/>
      <c r="ARX44" s="344"/>
      <c r="ARY44" s="344"/>
      <c r="ARZ44" s="344"/>
      <c r="ASA44" s="344"/>
      <c r="ASB44" s="344"/>
      <c r="ASC44" s="344"/>
      <c r="ASD44" s="344"/>
      <c r="ASE44" s="344"/>
      <c r="ASF44" s="344"/>
      <c r="ASG44" s="344"/>
      <c r="ASH44" s="344"/>
      <c r="ASI44" s="344"/>
      <c r="ASJ44" s="344"/>
      <c r="ASK44" s="344"/>
      <c r="ASL44" s="344"/>
      <c r="ASM44" s="344"/>
      <c r="ASN44" s="344"/>
      <c r="ASO44" s="344"/>
      <c r="ASP44" s="344"/>
      <c r="ASQ44" s="344"/>
      <c r="ASR44" s="344"/>
      <c r="ASS44" s="344"/>
      <c r="AST44" s="344"/>
      <c r="ASU44" s="344"/>
      <c r="ASV44" s="344"/>
      <c r="ASW44" s="344"/>
      <c r="ASX44" s="344"/>
      <c r="ASY44" s="344"/>
      <c r="ASZ44" s="344"/>
      <c r="ATA44" s="344"/>
      <c r="ATB44" s="344"/>
      <c r="ATC44" s="344"/>
      <c r="ATD44" s="344"/>
      <c r="ATE44" s="344"/>
      <c r="ATF44" s="344"/>
      <c r="ATG44" s="344"/>
      <c r="ATH44" s="344"/>
      <c r="ATI44" s="344"/>
      <c r="ATJ44" s="344"/>
      <c r="ATK44" s="344"/>
      <c r="ATL44" s="344"/>
      <c r="ATM44" s="344"/>
      <c r="ATN44" s="344"/>
      <c r="ATO44" s="344"/>
      <c r="ATP44" s="344"/>
      <c r="ATQ44" s="344"/>
      <c r="ATR44" s="344"/>
      <c r="ATS44" s="344"/>
      <c r="ATT44" s="344"/>
      <c r="ATU44" s="344"/>
      <c r="ATV44" s="344"/>
      <c r="ATW44" s="344"/>
      <c r="ATX44" s="344"/>
      <c r="ATY44" s="344"/>
      <c r="ATZ44" s="344"/>
      <c r="AUA44" s="344"/>
      <c r="AUB44" s="344"/>
      <c r="AUC44" s="344"/>
      <c r="AUD44" s="344"/>
      <c r="AUE44" s="344"/>
      <c r="AUF44" s="344"/>
      <c r="AUG44" s="344"/>
      <c r="AUH44" s="344"/>
      <c r="AUI44" s="344"/>
      <c r="AUJ44" s="344"/>
      <c r="AUK44" s="344"/>
      <c r="AUL44" s="344"/>
      <c r="AUM44" s="344"/>
      <c r="AUN44" s="344"/>
      <c r="AUO44" s="344"/>
      <c r="AUP44" s="344"/>
      <c r="AUQ44" s="344"/>
      <c r="AUR44" s="344"/>
      <c r="AUS44" s="344"/>
      <c r="AUT44" s="344"/>
      <c r="AUU44" s="344"/>
      <c r="AUV44" s="344"/>
      <c r="AUW44" s="344"/>
      <c r="AUX44" s="344"/>
      <c r="AUY44" s="344"/>
      <c r="AUZ44" s="344"/>
      <c r="AVA44" s="344"/>
      <c r="AVB44" s="344"/>
      <c r="AVC44" s="344"/>
      <c r="AVD44" s="344"/>
      <c r="AVE44" s="344"/>
      <c r="AVF44" s="344"/>
      <c r="AVG44" s="344"/>
      <c r="AVH44" s="344"/>
      <c r="AVI44" s="344"/>
      <c r="AVJ44" s="344"/>
      <c r="AVK44" s="344"/>
      <c r="AVL44" s="344"/>
      <c r="AVM44" s="344"/>
      <c r="AVN44" s="344"/>
      <c r="AVO44" s="344"/>
      <c r="AVP44" s="344"/>
      <c r="AVQ44" s="344"/>
      <c r="AVR44" s="344"/>
      <c r="AVS44" s="344"/>
      <c r="AVT44" s="344"/>
      <c r="AVU44" s="344"/>
      <c r="AVV44" s="344"/>
      <c r="AVW44" s="344"/>
      <c r="AVX44" s="344"/>
      <c r="AVY44" s="344"/>
      <c r="AVZ44" s="344"/>
      <c r="AWA44" s="344"/>
      <c r="AWB44" s="344"/>
      <c r="AWC44" s="344"/>
      <c r="AWD44" s="344"/>
      <c r="AWE44" s="344"/>
      <c r="AWF44" s="344"/>
      <c r="AWG44" s="344"/>
      <c r="AWH44" s="344"/>
      <c r="AWI44" s="344"/>
      <c r="AWJ44" s="344"/>
      <c r="AWK44" s="344"/>
      <c r="AWL44" s="344"/>
      <c r="AWM44" s="344"/>
      <c r="AWN44" s="344"/>
      <c r="AWO44" s="344"/>
      <c r="AWP44" s="344"/>
      <c r="AWQ44" s="344"/>
      <c r="AWR44" s="344"/>
      <c r="AWS44" s="344"/>
      <c r="AWT44" s="344"/>
      <c r="AWU44" s="344"/>
      <c r="AWV44" s="344"/>
      <c r="AWW44" s="344"/>
      <c r="AWX44" s="344"/>
      <c r="AWY44" s="344"/>
      <c r="AWZ44" s="344"/>
      <c r="AXA44" s="344"/>
      <c r="AXB44" s="344"/>
      <c r="AXC44" s="344"/>
      <c r="AXD44" s="344"/>
      <c r="AXE44" s="344"/>
      <c r="AXF44" s="344"/>
      <c r="AXG44" s="344"/>
      <c r="AXH44" s="344"/>
      <c r="AXI44" s="344"/>
      <c r="AXJ44" s="344"/>
      <c r="AXK44" s="344"/>
      <c r="AXL44" s="344"/>
      <c r="AXM44" s="344"/>
      <c r="AXN44" s="344"/>
      <c r="AXO44" s="344"/>
      <c r="AXP44" s="344"/>
      <c r="AXQ44" s="344"/>
      <c r="AXR44" s="344"/>
      <c r="AXS44" s="344"/>
      <c r="AXT44" s="344"/>
      <c r="AXU44" s="344"/>
      <c r="AXV44" s="344"/>
      <c r="AXW44" s="344"/>
      <c r="AXX44" s="344"/>
      <c r="AXY44" s="344"/>
      <c r="AXZ44" s="344"/>
      <c r="AYA44" s="344"/>
      <c r="AYB44" s="344"/>
      <c r="AYC44" s="344"/>
      <c r="AYD44" s="344"/>
      <c r="AYE44" s="344"/>
      <c r="AYF44" s="344"/>
      <c r="AYG44" s="344"/>
      <c r="AYH44" s="344"/>
      <c r="AYI44" s="344"/>
      <c r="AYJ44" s="344"/>
      <c r="AYK44" s="344"/>
      <c r="AYL44" s="344"/>
      <c r="AYM44" s="344"/>
      <c r="AYN44" s="344"/>
      <c r="AYO44" s="344"/>
      <c r="AYP44" s="344"/>
      <c r="AYQ44" s="344"/>
      <c r="AYR44" s="344"/>
      <c r="AYS44" s="344"/>
      <c r="AYT44" s="344"/>
      <c r="AYU44" s="344"/>
      <c r="AYV44" s="344"/>
      <c r="AYW44" s="344"/>
      <c r="AYX44" s="344"/>
      <c r="AYY44" s="344"/>
      <c r="AYZ44" s="344"/>
      <c r="AZA44" s="344"/>
      <c r="AZB44" s="344"/>
      <c r="AZC44" s="344"/>
      <c r="AZD44" s="344"/>
      <c r="AZE44" s="344"/>
      <c r="AZF44" s="344"/>
      <c r="AZG44" s="344"/>
      <c r="AZH44" s="344"/>
      <c r="AZI44" s="344"/>
      <c r="AZJ44" s="344"/>
      <c r="AZK44" s="344"/>
      <c r="AZL44" s="344"/>
      <c r="AZM44" s="344"/>
      <c r="AZN44" s="344"/>
      <c r="AZO44" s="344"/>
      <c r="AZP44" s="344"/>
      <c r="AZQ44" s="344"/>
      <c r="AZR44" s="344"/>
      <c r="AZS44" s="344"/>
      <c r="AZT44" s="344"/>
      <c r="AZU44" s="344"/>
      <c r="AZV44" s="344"/>
      <c r="AZW44" s="344"/>
      <c r="AZX44" s="344"/>
      <c r="AZY44" s="344"/>
      <c r="AZZ44" s="344"/>
      <c r="BAA44" s="344"/>
      <c r="BAB44" s="344"/>
      <c r="BAC44" s="344"/>
      <c r="BAD44" s="344"/>
      <c r="BAE44" s="344"/>
      <c r="BAF44" s="344"/>
      <c r="BAG44" s="344"/>
      <c r="BAH44" s="344"/>
      <c r="BAI44" s="344"/>
      <c r="BAJ44" s="344"/>
      <c r="BAK44" s="344"/>
      <c r="BAL44" s="344"/>
      <c r="BAM44" s="344"/>
      <c r="BAN44" s="344"/>
      <c r="BAO44" s="344"/>
      <c r="BAP44" s="344"/>
      <c r="BAQ44" s="344"/>
      <c r="BAR44" s="344"/>
      <c r="BAS44" s="344"/>
      <c r="BAT44" s="344"/>
      <c r="BAU44" s="344"/>
      <c r="BAV44" s="344"/>
      <c r="BAW44" s="344"/>
      <c r="BAX44" s="344"/>
      <c r="BAY44" s="344"/>
      <c r="BAZ44" s="344"/>
      <c r="BBA44" s="344"/>
      <c r="BBB44" s="344"/>
      <c r="BBC44" s="344"/>
      <c r="BBD44" s="344"/>
      <c r="BBE44" s="344"/>
      <c r="BBF44" s="344"/>
      <c r="BBG44" s="344"/>
      <c r="BBH44" s="344"/>
      <c r="BBI44" s="344"/>
      <c r="BBJ44" s="344"/>
      <c r="BBK44" s="344"/>
      <c r="BBL44" s="344"/>
      <c r="BBM44" s="344"/>
      <c r="BBN44" s="344"/>
      <c r="BBO44" s="344"/>
      <c r="BBP44" s="344"/>
      <c r="BBQ44" s="344"/>
      <c r="BBR44" s="344"/>
      <c r="BBS44" s="344"/>
      <c r="BBT44" s="344"/>
      <c r="BBU44" s="344"/>
      <c r="BBV44" s="344"/>
      <c r="BBW44" s="344"/>
      <c r="BBX44" s="344"/>
      <c r="BBY44" s="344"/>
      <c r="BBZ44" s="344"/>
      <c r="BCA44" s="344"/>
      <c r="BCB44" s="344"/>
      <c r="BCC44" s="344"/>
      <c r="BCD44" s="344"/>
      <c r="BCE44" s="344"/>
      <c r="BCF44" s="344"/>
      <c r="BCG44" s="344"/>
      <c r="BCH44" s="344"/>
      <c r="BCI44" s="344"/>
      <c r="BCJ44" s="344"/>
      <c r="BCK44" s="344"/>
      <c r="BCL44" s="344"/>
      <c r="BCM44" s="344"/>
      <c r="BCN44" s="344"/>
      <c r="BCO44" s="344"/>
      <c r="BCP44" s="344"/>
      <c r="BCQ44" s="344"/>
      <c r="BCR44" s="344"/>
      <c r="BCS44" s="344"/>
      <c r="BCT44" s="344"/>
      <c r="BCU44" s="344"/>
      <c r="BCV44" s="344"/>
      <c r="BCW44" s="344"/>
      <c r="BCX44" s="344"/>
      <c r="BCY44" s="344"/>
      <c r="BCZ44" s="344"/>
      <c r="BDA44" s="344"/>
      <c r="BDB44" s="344"/>
      <c r="BDC44" s="344"/>
      <c r="BDD44" s="344"/>
      <c r="BDE44" s="344"/>
      <c r="BDF44" s="344"/>
      <c r="BDG44" s="344"/>
      <c r="BDH44" s="344"/>
      <c r="BDI44" s="344"/>
      <c r="BDJ44" s="344"/>
      <c r="BDK44" s="344"/>
      <c r="BDL44" s="344"/>
      <c r="BDM44" s="344"/>
      <c r="BDN44" s="344"/>
      <c r="BDO44" s="344"/>
      <c r="BDP44" s="344"/>
      <c r="BDQ44" s="344"/>
      <c r="BDR44" s="344"/>
      <c r="BDS44" s="344"/>
      <c r="BDT44" s="344"/>
      <c r="BDU44" s="344"/>
      <c r="BDV44" s="344"/>
      <c r="BDW44" s="344"/>
      <c r="BDX44" s="344"/>
      <c r="BDY44" s="344"/>
      <c r="BDZ44" s="344"/>
      <c r="BEA44" s="344"/>
      <c r="BEB44" s="344"/>
      <c r="BEC44" s="344"/>
      <c r="BED44" s="344"/>
      <c r="BEE44" s="344"/>
      <c r="BEF44" s="344"/>
      <c r="BEG44" s="344"/>
      <c r="BEH44" s="344"/>
      <c r="BEI44" s="344"/>
      <c r="BEJ44" s="344"/>
      <c r="BEK44" s="344"/>
      <c r="BEL44" s="344"/>
      <c r="BEM44" s="344"/>
      <c r="BEN44" s="344"/>
      <c r="BEO44" s="344"/>
      <c r="BEP44" s="344"/>
      <c r="BEQ44" s="344"/>
      <c r="BER44" s="344"/>
      <c r="BES44" s="344"/>
      <c r="BET44" s="344"/>
      <c r="BEU44" s="344"/>
      <c r="BEV44" s="344"/>
      <c r="BEW44" s="344"/>
      <c r="BEX44" s="344"/>
      <c r="BEY44" s="344"/>
      <c r="BEZ44" s="344"/>
      <c r="BFA44" s="344"/>
      <c r="BFB44" s="344"/>
      <c r="BFC44" s="344"/>
      <c r="BFD44" s="344"/>
      <c r="BFE44" s="344"/>
      <c r="BFF44" s="344"/>
      <c r="BFG44" s="344"/>
      <c r="BFH44" s="344"/>
      <c r="BFI44" s="344"/>
      <c r="BFJ44" s="344"/>
      <c r="BFK44" s="344"/>
      <c r="BFL44" s="344"/>
      <c r="BFM44" s="344"/>
      <c r="BFN44" s="344"/>
      <c r="BFO44" s="344"/>
      <c r="BFP44" s="344"/>
      <c r="BFQ44" s="344"/>
      <c r="BFR44" s="344"/>
      <c r="BFS44" s="344"/>
      <c r="BFT44" s="344"/>
      <c r="BFU44" s="344"/>
      <c r="BFV44" s="344"/>
      <c r="BFW44" s="344"/>
      <c r="BFX44" s="344"/>
      <c r="BFY44" s="344"/>
      <c r="BFZ44" s="344"/>
      <c r="BGA44" s="344"/>
      <c r="BGB44" s="344"/>
      <c r="BGC44" s="344"/>
      <c r="BGD44" s="344"/>
      <c r="BGE44" s="344"/>
      <c r="BGF44" s="344"/>
      <c r="BGG44" s="344"/>
      <c r="BGH44" s="344"/>
      <c r="BGI44" s="344"/>
      <c r="BGJ44" s="344"/>
      <c r="BGK44" s="344"/>
      <c r="BGL44" s="344"/>
      <c r="BGM44" s="344"/>
      <c r="BGN44" s="344"/>
      <c r="BGO44" s="344"/>
      <c r="BGP44" s="344"/>
      <c r="BGQ44" s="344"/>
      <c r="BGR44" s="344"/>
      <c r="BGS44" s="344"/>
      <c r="BGT44" s="344"/>
      <c r="BGU44" s="344"/>
      <c r="BGV44" s="344"/>
      <c r="BGW44" s="344"/>
      <c r="BGX44" s="344"/>
      <c r="BGY44" s="344"/>
      <c r="BGZ44" s="344"/>
      <c r="BHA44" s="344"/>
      <c r="BHB44" s="344"/>
      <c r="BHC44" s="344"/>
      <c r="BHD44" s="344"/>
      <c r="BHE44" s="344"/>
      <c r="BHF44" s="344"/>
      <c r="BHG44" s="344"/>
      <c r="BHH44" s="344"/>
      <c r="BHI44" s="344"/>
      <c r="BHJ44" s="344"/>
      <c r="BHK44" s="344"/>
      <c r="BHL44" s="344"/>
      <c r="BHM44" s="344"/>
      <c r="BHN44" s="344"/>
      <c r="BHO44" s="344"/>
      <c r="BHP44" s="344"/>
      <c r="BHQ44" s="344"/>
      <c r="BHR44" s="344"/>
      <c r="BHS44" s="344"/>
      <c r="BHT44" s="344"/>
      <c r="BHU44" s="344"/>
      <c r="BHV44" s="344"/>
      <c r="BHW44" s="344"/>
      <c r="BHX44" s="344"/>
      <c r="BHY44" s="344"/>
      <c r="BHZ44" s="344"/>
      <c r="BIA44" s="344"/>
      <c r="BIB44" s="344"/>
      <c r="BIC44" s="344"/>
      <c r="BID44" s="344"/>
      <c r="BIE44" s="344"/>
      <c r="BIF44" s="344"/>
      <c r="BIG44" s="344"/>
      <c r="BIH44" s="344"/>
      <c r="BII44" s="344"/>
      <c r="BIJ44" s="344"/>
      <c r="BIK44" s="344"/>
      <c r="BIL44" s="344"/>
      <c r="BIM44" s="344"/>
      <c r="BIN44" s="344"/>
      <c r="BIO44" s="344"/>
      <c r="BIP44" s="344"/>
      <c r="BIQ44" s="344"/>
      <c r="BIR44" s="344"/>
      <c r="BIS44" s="344"/>
      <c r="BIT44" s="344"/>
      <c r="BIU44" s="344"/>
      <c r="BIV44" s="344"/>
      <c r="BIW44" s="344"/>
      <c r="BIX44" s="344"/>
      <c r="BIY44" s="344"/>
      <c r="BIZ44" s="344"/>
      <c r="BJA44" s="344"/>
      <c r="BJB44" s="344"/>
      <c r="BJC44" s="344"/>
      <c r="BJD44" s="344"/>
      <c r="BJE44" s="344"/>
      <c r="BJF44" s="344"/>
      <c r="BJG44" s="344"/>
      <c r="BJH44" s="344"/>
      <c r="BJI44" s="344"/>
      <c r="BJJ44" s="344"/>
      <c r="BJK44" s="344"/>
      <c r="BJL44" s="344"/>
      <c r="BJM44" s="344"/>
      <c r="BJN44" s="344"/>
      <c r="BJO44" s="344"/>
      <c r="BJP44" s="344"/>
      <c r="BJQ44" s="344"/>
      <c r="BJR44" s="344"/>
      <c r="BJS44" s="344"/>
      <c r="BJT44" s="344"/>
      <c r="BJU44" s="344"/>
      <c r="BJV44" s="344"/>
      <c r="BJW44" s="344"/>
      <c r="BJX44" s="344"/>
      <c r="BJY44" s="344"/>
      <c r="BJZ44" s="344"/>
      <c r="BKA44" s="344"/>
      <c r="BKB44" s="344"/>
      <c r="BKC44" s="344"/>
      <c r="BKD44" s="344"/>
      <c r="BKE44" s="344"/>
      <c r="BKF44" s="344"/>
      <c r="BKG44" s="344"/>
      <c r="BKH44" s="344"/>
      <c r="BKI44" s="344"/>
      <c r="BKJ44" s="344"/>
      <c r="BKK44" s="344"/>
      <c r="BKL44" s="344"/>
      <c r="BKM44" s="344"/>
      <c r="BKN44" s="344"/>
      <c r="BKO44" s="344"/>
      <c r="BKP44" s="344"/>
      <c r="BKQ44" s="344"/>
      <c r="BKR44" s="344"/>
      <c r="BKS44" s="344"/>
      <c r="BKT44" s="344"/>
      <c r="BKU44" s="344"/>
      <c r="BKV44" s="344"/>
      <c r="BKW44" s="344"/>
      <c r="BKX44" s="344"/>
      <c r="BKY44" s="344"/>
      <c r="BKZ44" s="344"/>
      <c r="BLA44" s="344"/>
      <c r="BLB44" s="344"/>
      <c r="BLC44" s="344"/>
      <c r="BLD44" s="344"/>
      <c r="BLE44" s="344"/>
      <c r="BLF44" s="344"/>
      <c r="BLG44" s="344"/>
      <c r="BLH44" s="344"/>
      <c r="BLI44" s="344"/>
      <c r="BLJ44" s="344"/>
      <c r="BLK44" s="344"/>
      <c r="BLL44" s="344"/>
      <c r="BLM44" s="344"/>
      <c r="BLN44" s="344"/>
      <c r="BLO44" s="344"/>
      <c r="BLP44" s="344"/>
      <c r="BLQ44" s="344"/>
      <c r="BLR44" s="344"/>
      <c r="BLS44" s="344"/>
      <c r="BLT44" s="344"/>
      <c r="BLU44" s="344"/>
      <c r="BLV44" s="344"/>
      <c r="BLW44" s="344"/>
      <c r="BLX44" s="344"/>
      <c r="BLY44" s="344"/>
      <c r="BLZ44" s="344"/>
      <c r="BMA44" s="344"/>
      <c r="BMB44" s="344"/>
      <c r="BMC44" s="344"/>
      <c r="BMD44" s="344"/>
      <c r="BME44" s="344"/>
      <c r="BMF44" s="344"/>
      <c r="BMG44" s="344"/>
      <c r="BMH44" s="344"/>
      <c r="BMI44" s="344"/>
      <c r="BMJ44" s="344"/>
      <c r="BMK44" s="344"/>
      <c r="BML44" s="344"/>
      <c r="BMM44" s="344"/>
      <c r="BMN44" s="344"/>
      <c r="BMO44" s="344"/>
      <c r="BMP44" s="344"/>
      <c r="BMQ44" s="344"/>
      <c r="BMR44" s="344"/>
      <c r="BMS44" s="344"/>
      <c r="BMT44" s="344"/>
      <c r="BMU44" s="344"/>
      <c r="BMV44" s="344"/>
      <c r="BMW44" s="344"/>
      <c r="BMX44" s="344"/>
      <c r="BMY44" s="344"/>
      <c r="BMZ44" s="344"/>
      <c r="BNA44" s="344"/>
      <c r="BNB44" s="344"/>
      <c r="BNC44" s="344"/>
      <c r="BND44" s="344"/>
      <c r="BNE44" s="344"/>
      <c r="BNF44" s="344"/>
      <c r="BNG44" s="344"/>
      <c r="BNH44" s="344"/>
      <c r="BNI44" s="344"/>
      <c r="BNJ44" s="344"/>
      <c r="BNK44" s="344"/>
      <c r="BNL44" s="344"/>
      <c r="BNM44" s="344"/>
      <c r="BNN44" s="344"/>
      <c r="BNO44" s="344"/>
      <c r="BNP44" s="344"/>
      <c r="BNQ44" s="344"/>
      <c r="BNR44" s="344"/>
      <c r="BNS44" s="344"/>
      <c r="BNT44" s="344"/>
      <c r="BNU44" s="344"/>
      <c r="BNV44" s="344"/>
      <c r="BNW44" s="344"/>
      <c r="BNX44" s="344"/>
      <c r="BNY44" s="344"/>
      <c r="BNZ44" s="344"/>
      <c r="BOA44" s="344"/>
      <c r="BOB44" s="344"/>
      <c r="BOC44" s="344"/>
      <c r="BOD44" s="344"/>
      <c r="BOE44" s="344"/>
      <c r="BOF44" s="344"/>
      <c r="BOG44" s="344"/>
      <c r="BOH44" s="344"/>
      <c r="BOI44" s="344"/>
      <c r="BOJ44" s="344"/>
      <c r="BOK44" s="344"/>
      <c r="BOL44" s="344"/>
      <c r="BOM44" s="344"/>
      <c r="BON44" s="344"/>
      <c r="BOO44" s="344"/>
      <c r="BOP44" s="344"/>
      <c r="BOQ44" s="344"/>
      <c r="BOR44" s="344"/>
      <c r="BOS44" s="344"/>
      <c r="BOT44" s="344"/>
      <c r="BOU44" s="344"/>
      <c r="BOV44" s="344"/>
      <c r="BOW44" s="344"/>
      <c r="BOX44" s="344"/>
      <c r="BOY44" s="344"/>
      <c r="BOZ44" s="344"/>
      <c r="BPA44" s="344"/>
      <c r="BPB44" s="344"/>
      <c r="BPC44" s="344"/>
      <c r="BPD44" s="344"/>
      <c r="BPE44" s="344"/>
      <c r="BPF44" s="344"/>
      <c r="BPG44" s="344"/>
      <c r="BPH44" s="344"/>
      <c r="BPI44" s="344"/>
      <c r="BPJ44" s="344"/>
      <c r="BPK44" s="344"/>
      <c r="BPL44" s="344"/>
      <c r="BPM44" s="344"/>
      <c r="BPN44" s="344"/>
      <c r="BPO44" s="344"/>
      <c r="BPP44" s="344"/>
      <c r="BPQ44" s="344"/>
      <c r="BPR44" s="344"/>
      <c r="BPS44" s="344"/>
      <c r="BPT44" s="344"/>
      <c r="BPU44" s="344"/>
      <c r="BPV44" s="344"/>
      <c r="BPW44" s="344"/>
      <c r="BPX44" s="344"/>
      <c r="BPY44" s="344"/>
      <c r="BPZ44" s="344"/>
      <c r="BQA44" s="344"/>
      <c r="BQB44" s="344"/>
      <c r="BQC44" s="344"/>
      <c r="BQD44" s="344"/>
      <c r="BQE44" s="344"/>
      <c r="BQF44" s="344"/>
      <c r="BQG44" s="344"/>
      <c r="BQH44" s="344"/>
      <c r="BQI44" s="344"/>
      <c r="BQJ44" s="344"/>
      <c r="BQK44" s="344"/>
      <c r="BQL44" s="344"/>
      <c r="BQM44" s="344"/>
      <c r="BQN44" s="344"/>
      <c r="BQO44" s="344"/>
      <c r="BQP44" s="344"/>
      <c r="BQQ44" s="344"/>
      <c r="BQR44" s="344"/>
      <c r="BQS44" s="344"/>
      <c r="BQT44" s="344"/>
      <c r="BQU44" s="344"/>
      <c r="BQV44" s="344"/>
      <c r="BQW44" s="344"/>
      <c r="BQX44" s="344"/>
      <c r="BQY44" s="344"/>
      <c r="BQZ44" s="344"/>
      <c r="BRA44" s="344"/>
      <c r="BRB44" s="344"/>
      <c r="BRC44" s="344"/>
      <c r="BRD44" s="344"/>
      <c r="BRE44" s="344"/>
      <c r="BRF44" s="344"/>
      <c r="BRG44" s="344"/>
      <c r="BRH44" s="344"/>
      <c r="BRI44" s="344"/>
      <c r="BRJ44" s="344"/>
      <c r="BRK44" s="344"/>
      <c r="BRL44" s="344"/>
      <c r="BRM44" s="344"/>
      <c r="BRN44" s="344"/>
      <c r="BRO44" s="344"/>
      <c r="BRP44" s="344"/>
      <c r="BRQ44" s="344"/>
      <c r="BRR44" s="344"/>
      <c r="BRS44" s="344"/>
      <c r="BRT44" s="344"/>
      <c r="BRU44" s="344"/>
      <c r="BRV44" s="344"/>
      <c r="BRW44" s="344"/>
      <c r="BRX44" s="344"/>
      <c r="BRY44" s="344"/>
      <c r="BRZ44" s="344"/>
      <c r="BSA44" s="344"/>
      <c r="BSB44" s="344"/>
      <c r="BSC44" s="344"/>
      <c r="BSD44" s="344"/>
      <c r="BSE44" s="344"/>
      <c r="BSF44" s="344"/>
      <c r="BSG44" s="344"/>
      <c r="BSH44" s="344"/>
      <c r="BSI44" s="344"/>
      <c r="BSJ44" s="344"/>
      <c r="BSK44" s="344"/>
      <c r="BSL44" s="344"/>
      <c r="BSM44" s="344"/>
      <c r="BSN44" s="344"/>
      <c r="BSO44" s="344"/>
      <c r="BSP44" s="344"/>
      <c r="BSQ44" s="344"/>
      <c r="BSR44" s="344"/>
      <c r="BSS44" s="344"/>
      <c r="BST44" s="344"/>
      <c r="BSU44" s="344"/>
      <c r="BSV44" s="344"/>
      <c r="BSW44" s="344"/>
      <c r="BSX44" s="344"/>
      <c r="BSY44" s="344"/>
      <c r="BSZ44" s="344"/>
      <c r="BTA44" s="344"/>
      <c r="BTB44" s="344"/>
      <c r="BTC44" s="344"/>
      <c r="BTD44" s="344"/>
      <c r="BTE44" s="344"/>
      <c r="BTF44" s="344"/>
      <c r="BTG44" s="344"/>
      <c r="BTH44" s="344"/>
      <c r="BTI44" s="344"/>
      <c r="BTJ44" s="344"/>
      <c r="BTK44" s="344"/>
      <c r="BTL44" s="344"/>
      <c r="BTM44" s="344"/>
      <c r="BTN44" s="344"/>
      <c r="BTO44" s="344"/>
      <c r="BTP44" s="344"/>
      <c r="BTQ44" s="344"/>
      <c r="BTR44" s="344"/>
      <c r="BTS44" s="344"/>
      <c r="BTT44" s="344"/>
      <c r="BTU44" s="344"/>
      <c r="BTV44" s="344"/>
      <c r="BTW44" s="344"/>
      <c r="BTX44" s="344"/>
      <c r="BTY44" s="344"/>
      <c r="BTZ44" s="344"/>
      <c r="BUA44" s="344"/>
      <c r="BUB44" s="344"/>
      <c r="BUC44" s="344"/>
      <c r="BUD44" s="344"/>
      <c r="BUE44" s="344"/>
      <c r="BUF44" s="344"/>
      <c r="BUG44" s="344"/>
      <c r="BUH44" s="344"/>
      <c r="BUI44" s="344"/>
      <c r="BUJ44" s="344"/>
      <c r="BUK44" s="344"/>
      <c r="BUL44" s="344"/>
      <c r="BUM44" s="344"/>
      <c r="BUN44" s="344"/>
      <c r="BUO44" s="344"/>
      <c r="BUP44" s="344"/>
      <c r="BUQ44" s="344"/>
      <c r="BUR44" s="344"/>
      <c r="BUS44" s="344"/>
      <c r="BUT44" s="344"/>
      <c r="BUU44" s="344"/>
      <c r="BUV44" s="344"/>
      <c r="BUW44" s="344"/>
      <c r="BUX44" s="344"/>
      <c r="BUY44" s="344"/>
      <c r="BUZ44" s="344"/>
      <c r="BVA44" s="344"/>
      <c r="BVB44" s="344"/>
      <c r="BVC44" s="344"/>
      <c r="BVD44" s="344"/>
      <c r="BVE44" s="344"/>
      <c r="BVF44" s="344"/>
      <c r="BVG44" s="344"/>
      <c r="BVH44" s="344"/>
      <c r="BVI44" s="344"/>
      <c r="BVJ44" s="344"/>
      <c r="BVK44" s="344"/>
      <c r="BVL44" s="344"/>
      <c r="BVM44" s="344"/>
      <c r="BVN44" s="344"/>
      <c r="BVO44" s="344"/>
      <c r="BVP44" s="344"/>
      <c r="BVQ44" s="344"/>
      <c r="BVR44" s="344"/>
      <c r="BVS44" s="344"/>
      <c r="BVT44" s="344"/>
      <c r="BVU44" s="344"/>
      <c r="BVV44" s="344"/>
      <c r="BVW44" s="344"/>
      <c r="BVX44" s="344"/>
      <c r="BVY44" s="344"/>
      <c r="BVZ44" s="344"/>
      <c r="BWA44" s="344"/>
      <c r="BWB44" s="344"/>
      <c r="BWC44" s="344"/>
      <c r="BWD44" s="344"/>
      <c r="BWE44" s="344"/>
      <c r="BWF44" s="344"/>
      <c r="BWG44" s="344"/>
      <c r="BWH44" s="344"/>
      <c r="BWI44" s="344"/>
      <c r="BWJ44" s="344"/>
      <c r="BWK44" s="344"/>
      <c r="BWL44" s="344"/>
      <c r="BWM44" s="344"/>
      <c r="BWN44" s="344"/>
      <c r="BWO44" s="344"/>
      <c r="BWP44" s="344"/>
      <c r="BWQ44" s="344"/>
      <c r="BWR44" s="344"/>
      <c r="BWS44" s="344"/>
      <c r="BWT44" s="344"/>
      <c r="BWU44" s="344"/>
      <c r="BWV44" s="344"/>
      <c r="BWW44" s="344"/>
      <c r="BWX44" s="344"/>
      <c r="BWY44" s="344"/>
      <c r="BWZ44" s="344"/>
      <c r="BXA44" s="344"/>
      <c r="BXB44" s="344"/>
      <c r="BXC44" s="344"/>
      <c r="BXD44" s="344"/>
      <c r="BXE44" s="344"/>
      <c r="BXF44" s="344"/>
      <c r="BXG44" s="344"/>
      <c r="BXH44" s="344"/>
      <c r="BXI44" s="344"/>
      <c r="BXJ44" s="344"/>
      <c r="BXK44" s="344"/>
      <c r="BXL44" s="344"/>
      <c r="BXM44" s="344"/>
      <c r="BXN44" s="344"/>
      <c r="BXO44" s="344"/>
      <c r="BXP44" s="344"/>
      <c r="BXQ44" s="344"/>
      <c r="BXR44" s="344"/>
      <c r="BXS44" s="344"/>
      <c r="BXT44" s="344"/>
      <c r="BXU44" s="344"/>
      <c r="BXV44" s="344"/>
      <c r="BXW44" s="344"/>
      <c r="BXX44" s="344"/>
      <c r="BXY44" s="344"/>
      <c r="BXZ44" s="344"/>
      <c r="BYA44" s="344"/>
      <c r="BYB44" s="344"/>
      <c r="BYC44" s="344"/>
      <c r="BYD44" s="344"/>
      <c r="BYE44" s="344"/>
      <c r="BYF44" s="344"/>
      <c r="BYG44" s="344"/>
      <c r="BYH44" s="344"/>
      <c r="BYI44" s="344"/>
      <c r="BYJ44" s="344"/>
      <c r="BYK44" s="344"/>
      <c r="BYL44" s="344"/>
      <c r="BYM44" s="344"/>
      <c r="BYN44" s="344"/>
      <c r="BYO44" s="344"/>
      <c r="BYP44" s="344"/>
      <c r="BYQ44" s="344"/>
      <c r="BYR44" s="344"/>
      <c r="BYS44" s="344"/>
      <c r="BYT44" s="344"/>
      <c r="BYU44" s="344"/>
      <c r="BYV44" s="344"/>
      <c r="BYW44" s="344"/>
      <c r="BYX44" s="344"/>
      <c r="BYY44" s="344"/>
      <c r="BYZ44" s="344"/>
      <c r="BZA44" s="344"/>
      <c r="BZB44" s="344"/>
      <c r="BZC44" s="344"/>
      <c r="BZD44" s="344"/>
      <c r="BZE44" s="344"/>
      <c r="BZF44" s="344"/>
      <c r="BZG44" s="344"/>
      <c r="BZH44" s="344"/>
      <c r="BZI44" s="344"/>
      <c r="BZJ44" s="344"/>
      <c r="BZK44" s="344"/>
      <c r="BZL44" s="344"/>
      <c r="BZM44" s="344"/>
      <c r="BZN44" s="344"/>
      <c r="BZO44" s="344"/>
      <c r="BZP44" s="344"/>
      <c r="BZQ44" s="344"/>
      <c r="BZR44" s="344"/>
      <c r="BZS44" s="344"/>
      <c r="BZT44" s="344"/>
      <c r="BZU44" s="344"/>
      <c r="BZV44" s="344"/>
      <c r="BZW44" s="344"/>
      <c r="BZX44" s="344"/>
      <c r="BZY44" s="344"/>
      <c r="BZZ44" s="344"/>
      <c r="CAA44" s="344"/>
      <c r="CAB44" s="344"/>
      <c r="CAC44" s="344"/>
      <c r="CAD44" s="344"/>
      <c r="CAE44" s="344"/>
      <c r="CAF44" s="344"/>
      <c r="CAG44" s="344"/>
      <c r="CAH44" s="344"/>
      <c r="CAI44" s="344"/>
      <c r="CAJ44" s="344"/>
      <c r="CAK44" s="344"/>
      <c r="CAL44" s="344"/>
      <c r="CAM44" s="344"/>
      <c r="CAN44" s="344"/>
      <c r="CAO44" s="344"/>
      <c r="CAP44" s="344"/>
      <c r="CAQ44" s="344"/>
      <c r="CAR44" s="344"/>
      <c r="CAS44" s="344"/>
      <c r="CAT44" s="344"/>
      <c r="CAU44" s="344"/>
      <c r="CAV44" s="344"/>
      <c r="CAW44" s="344"/>
      <c r="CAX44" s="344"/>
      <c r="CAY44" s="344"/>
      <c r="CAZ44" s="344"/>
      <c r="CBA44" s="344"/>
      <c r="CBB44" s="344"/>
      <c r="CBC44" s="344"/>
      <c r="CBD44" s="344"/>
      <c r="CBE44" s="344"/>
      <c r="CBF44" s="344"/>
      <c r="CBG44" s="344"/>
      <c r="CBH44" s="344"/>
      <c r="CBI44" s="344"/>
      <c r="CBJ44" s="344"/>
      <c r="CBK44" s="344"/>
      <c r="CBL44" s="344"/>
      <c r="CBM44" s="344"/>
      <c r="CBN44" s="344"/>
      <c r="CBO44" s="344"/>
      <c r="CBP44" s="344"/>
      <c r="CBQ44" s="344"/>
      <c r="CBR44" s="344"/>
      <c r="CBS44" s="344"/>
      <c r="CBT44" s="344"/>
      <c r="CBU44" s="344"/>
      <c r="CBV44" s="344"/>
      <c r="CBW44" s="344"/>
      <c r="CBX44" s="344"/>
      <c r="CBY44" s="344"/>
      <c r="CBZ44" s="344"/>
      <c r="CCA44" s="344"/>
      <c r="CCB44" s="344"/>
      <c r="CCC44" s="344"/>
      <c r="CCD44" s="344"/>
      <c r="CCE44" s="344"/>
      <c r="CCF44" s="344"/>
      <c r="CCG44" s="344"/>
      <c r="CCH44" s="344"/>
      <c r="CCI44" s="344"/>
      <c r="CCJ44" s="344"/>
      <c r="CCK44" s="344"/>
      <c r="CCL44" s="344"/>
      <c r="CCM44" s="344"/>
      <c r="CCN44" s="344"/>
      <c r="CCO44" s="344"/>
      <c r="CCP44" s="344"/>
      <c r="CCQ44" s="344"/>
      <c r="CCR44" s="344"/>
      <c r="CCS44" s="344"/>
      <c r="CCT44" s="344"/>
      <c r="CCU44" s="344"/>
      <c r="CCV44" s="344"/>
      <c r="CCW44" s="344"/>
      <c r="CCX44" s="344"/>
      <c r="CCY44" s="344"/>
      <c r="CCZ44" s="344"/>
      <c r="CDA44" s="344"/>
      <c r="CDB44" s="344"/>
      <c r="CDC44" s="344"/>
      <c r="CDD44" s="344"/>
      <c r="CDE44" s="344"/>
      <c r="CDF44" s="344"/>
      <c r="CDG44" s="344"/>
      <c r="CDH44" s="344"/>
      <c r="CDI44" s="344"/>
      <c r="CDJ44" s="344"/>
      <c r="CDK44" s="344"/>
      <c r="CDL44" s="344"/>
      <c r="CDM44" s="344"/>
      <c r="CDN44" s="344"/>
      <c r="CDO44" s="344"/>
      <c r="CDP44" s="344"/>
      <c r="CDQ44" s="344"/>
      <c r="CDR44" s="344"/>
      <c r="CDS44" s="344"/>
      <c r="CDT44" s="344"/>
      <c r="CDU44" s="344"/>
      <c r="CDV44" s="344"/>
      <c r="CDW44" s="344"/>
      <c r="CDX44" s="344"/>
      <c r="CDY44" s="344"/>
      <c r="CDZ44" s="344"/>
      <c r="CEA44" s="344"/>
      <c r="CEB44" s="344"/>
      <c r="CEC44" s="344"/>
      <c r="CED44" s="344"/>
      <c r="CEE44" s="344"/>
      <c r="CEF44" s="344"/>
      <c r="CEG44" s="344"/>
      <c r="CEH44" s="344"/>
      <c r="CEI44" s="344"/>
      <c r="CEJ44" s="344"/>
      <c r="CEK44" s="344"/>
      <c r="CEL44" s="344"/>
      <c r="CEM44" s="344"/>
      <c r="CEN44" s="344"/>
      <c r="CEO44" s="344"/>
      <c r="CEP44" s="344"/>
      <c r="CEQ44" s="344"/>
      <c r="CER44" s="344"/>
      <c r="CES44" s="344"/>
      <c r="CET44" s="344"/>
      <c r="CEU44" s="344"/>
      <c r="CEV44" s="344"/>
      <c r="CEW44" s="344"/>
      <c r="CEX44" s="344"/>
      <c r="CEY44" s="344"/>
      <c r="CEZ44" s="344"/>
      <c r="CFA44" s="344"/>
      <c r="CFB44" s="344"/>
      <c r="CFC44" s="344"/>
      <c r="CFD44" s="344"/>
      <c r="CFE44" s="344"/>
      <c r="CFF44" s="344"/>
      <c r="CFG44" s="344"/>
      <c r="CFH44" s="344"/>
      <c r="CFI44" s="344"/>
      <c r="CFJ44" s="344"/>
      <c r="CFK44" s="344"/>
      <c r="CFL44" s="344"/>
      <c r="CFM44" s="344"/>
      <c r="CFN44" s="344"/>
      <c r="CFO44" s="344"/>
      <c r="CFP44" s="344"/>
      <c r="CFQ44" s="344"/>
      <c r="CFR44" s="344"/>
      <c r="CFS44" s="344"/>
      <c r="CFT44" s="344"/>
      <c r="CFU44" s="344"/>
      <c r="CFV44" s="344"/>
      <c r="CFW44" s="344"/>
      <c r="CFX44" s="344"/>
      <c r="CFY44" s="344"/>
      <c r="CFZ44" s="344"/>
      <c r="CGA44" s="344"/>
      <c r="CGB44" s="344"/>
      <c r="CGC44" s="344"/>
      <c r="CGD44" s="344"/>
      <c r="CGE44" s="344"/>
      <c r="CGF44" s="344"/>
      <c r="CGG44" s="344"/>
      <c r="CGH44" s="344"/>
      <c r="CGI44" s="344"/>
      <c r="CGJ44" s="344"/>
      <c r="CGK44" s="344"/>
      <c r="CGL44" s="344"/>
      <c r="CGM44" s="344"/>
      <c r="CGN44" s="344"/>
      <c r="CGO44" s="344"/>
      <c r="CGP44" s="344"/>
      <c r="CGQ44" s="344"/>
      <c r="CGR44" s="344"/>
      <c r="CGS44" s="344"/>
      <c r="CGT44" s="344"/>
      <c r="CGU44" s="344"/>
      <c r="CGV44" s="344"/>
      <c r="CGW44" s="344"/>
      <c r="CGX44" s="344"/>
      <c r="CGY44" s="344"/>
      <c r="CGZ44" s="344"/>
      <c r="CHA44" s="344"/>
      <c r="CHB44" s="344"/>
      <c r="CHC44" s="344"/>
      <c r="CHD44" s="344"/>
      <c r="CHE44" s="344"/>
      <c r="CHF44" s="344"/>
      <c r="CHG44" s="344"/>
      <c r="CHH44" s="344"/>
      <c r="CHI44" s="344"/>
      <c r="CHJ44" s="344"/>
      <c r="CHK44" s="344"/>
      <c r="CHL44" s="344"/>
      <c r="CHM44" s="344"/>
      <c r="CHN44" s="344"/>
      <c r="CHO44" s="344"/>
      <c r="CHP44" s="344"/>
      <c r="CHQ44" s="344"/>
      <c r="CHR44" s="344"/>
      <c r="CHS44" s="344"/>
      <c r="CHT44" s="344"/>
      <c r="CHU44" s="344"/>
      <c r="CHV44" s="344"/>
      <c r="CHW44" s="344"/>
      <c r="CHX44" s="344"/>
      <c r="CHY44" s="344"/>
      <c r="CHZ44" s="344"/>
      <c r="CIA44" s="344"/>
      <c r="CIB44" s="344"/>
      <c r="CIC44" s="344"/>
      <c r="CID44" s="344"/>
      <c r="CIE44" s="344"/>
      <c r="CIF44" s="344"/>
      <c r="CIG44" s="344"/>
      <c r="CIH44" s="344"/>
      <c r="CII44" s="344"/>
      <c r="CIJ44" s="344"/>
      <c r="CIK44" s="344"/>
      <c r="CIL44" s="344"/>
      <c r="CIM44" s="344"/>
      <c r="CIN44" s="344"/>
      <c r="CIO44" s="344"/>
      <c r="CIP44" s="344"/>
      <c r="CIQ44" s="344"/>
      <c r="CIR44" s="344"/>
      <c r="CIS44" s="344"/>
      <c r="CIT44" s="344"/>
      <c r="CIU44" s="344"/>
      <c r="CIV44" s="344"/>
      <c r="CIW44" s="344"/>
      <c r="CIX44" s="344"/>
      <c r="CIY44" s="344"/>
      <c r="CIZ44" s="344"/>
      <c r="CJA44" s="344"/>
      <c r="CJB44" s="344"/>
      <c r="CJC44" s="344"/>
      <c r="CJD44" s="344"/>
      <c r="CJE44" s="344"/>
      <c r="CJF44" s="344"/>
      <c r="CJG44" s="344"/>
      <c r="CJH44" s="344"/>
      <c r="CJI44" s="344"/>
      <c r="CJJ44" s="344"/>
      <c r="CJK44" s="344"/>
      <c r="CJL44" s="344"/>
      <c r="CJM44" s="344"/>
      <c r="CJN44" s="344"/>
      <c r="CJO44" s="344"/>
      <c r="CJP44" s="344"/>
      <c r="CJQ44" s="344"/>
      <c r="CJR44" s="344"/>
      <c r="CJS44" s="344"/>
      <c r="CJT44" s="344"/>
      <c r="CJU44" s="344"/>
      <c r="CJV44" s="344"/>
      <c r="CJW44" s="344"/>
      <c r="CJX44" s="344"/>
      <c r="CJY44" s="344"/>
      <c r="CJZ44" s="344"/>
      <c r="CKA44" s="344"/>
      <c r="CKB44" s="344"/>
      <c r="CKC44" s="344"/>
      <c r="CKD44" s="344"/>
      <c r="CKE44" s="344"/>
      <c r="CKF44" s="344"/>
      <c r="CKG44" s="344"/>
      <c r="CKH44" s="344"/>
      <c r="CKI44" s="344"/>
      <c r="CKJ44" s="344"/>
      <c r="CKK44" s="344"/>
      <c r="CKL44" s="344"/>
      <c r="CKM44" s="344"/>
      <c r="CKN44" s="344"/>
      <c r="CKO44" s="344"/>
      <c r="CKP44" s="344"/>
      <c r="CKQ44" s="344"/>
      <c r="CKR44" s="344"/>
      <c r="CKS44" s="344"/>
      <c r="CKT44" s="344"/>
      <c r="CKU44" s="344"/>
      <c r="CKV44" s="344"/>
      <c r="CKW44" s="344"/>
      <c r="CKX44" s="344"/>
      <c r="CKY44" s="344"/>
      <c r="CKZ44" s="344"/>
      <c r="CLA44" s="344"/>
      <c r="CLB44" s="344"/>
      <c r="CLC44" s="344"/>
      <c r="CLD44" s="344"/>
      <c r="CLE44" s="344"/>
      <c r="CLF44" s="344"/>
      <c r="CLG44" s="344"/>
      <c r="CLH44" s="344"/>
      <c r="CLI44" s="344"/>
      <c r="CLJ44" s="344"/>
      <c r="CLK44" s="344"/>
      <c r="CLL44" s="344"/>
      <c r="CLM44" s="344"/>
      <c r="CLN44" s="344"/>
      <c r="CLO44" s="344"/>
      <c r="CLP44" s="344"/>
      <c r="CLQ44" s="344"/>
      <c r="CLR44" s="344"/>
      <c r="CLS44" s="344"/>
      <c r="CLT44" s="344"/>
      <c r="CLU44" s="344"/>
      <c r="CLV44" s="344"/>
      <c r="CLW44" s="344"/>
      <c r="CLX44" s="344"/>
      <c r="CLY44" s="344"/>
      <c r="CLZ44" s="344"/>
      <c r="CMA44" s="344"/>
      <c r="CMB44" s="344"/>
      <c r="CMC44" s="344"/>
      <c r="CMD44" s="344"/>
      <c r="CME44" s="344"/>
      <c r="CMF44" s="344"/>
      <c r="CMG44" s="344"/>
      <c r="CMH44" s="344"/>
      <c r="CMI44" s="344"/>
      <c r="CMJ44" s="344"/>
      <c r="CMK44" s="344"/>
      <c r="CML44" s="344"/>
      <c r="CMM44" s="344"/>
      <c r="CMN44" s="344"/>
      <c r="CMO44" s="344"/>
      <c r="CMP44" s="344"/>
      <c r="CMQ44" s="344"/>
      <c r="CMR44" s="344"/>
      <c r="CMS44" s="344"/>
      <c r="CMT44" s="344"/>
      <c r="CMU44" s="344"/>
      <c r="CMV44" s="344"/>
      <c r="CMW44" s="344"/>
      <c r="CMX44" s="344"/>
      <c r="CMY44" s="344"/>
      <c r="CMZ44" s="344"/>
      <c r="CNA44" s="344"/>
      <c r="CNB44" s="344"/>
      <c r="CNC44" s="344"/>
      <c r="CND44" s="344"/>
      <c r="CNE44" s="344"/>
      <c r="CNF44" s="344"/>
      <c r="CNG44" s="344"/>
      <c r="CNH44" s="344"/>
      <c r="CNI44" s="344"/>
      <c r="CNJ44" s="344"/>
      <c r="CNK44" s="344"/>
      <c r="CNL44" s="344"/>
      <c r="CNM44" s="344"/>
      <c r="CNN44" s="344"/>
      <c r="CNO44" s="344"/>
      <c r="CNP44" s="344"/>
      <c r="CNQ44" s="344"/>
      <c r="CNR44" s="344"/>
      <c r="CNS44" s="344"/>
      <c r="CNT44" s="344"/>
      <c r="CNU44" s="344"/>
      <c r="CNV44" s="344"/>
      <c r="CNW44" s="344"/>
      <c r="CNX44" s="344"/>
      <c r="CNY44" s="344"/>
      <c r="CNZ44" s="344"/>
      <c r="COA44" s="344"/>
      <c r="COB44" s="344"/>
      <c r="COC44" s="344"/>
      <c r="COD44" s="344"/>
      <c r="COE44" s="344"/>
      <c r="COF44" s="344"/>
      <c r="COG44" s="344"/>
      <c r="COH44" s="344"/>
      <c r="COI44" s="344"/>
      <c r="COJ44" s="344"/>
      <c r="COK44" s="344"/>
      <c r="COL44" s="344"/>
      <c r="COM44" s="344"/>
      <c r="CON44" s="344"/>
      <c r="COO44" s="344"/>
      <c r="COP44" s="344"/>
      <c r="COQ44" s="344"/>
      <c r="COR44" s="344"/>
      <c r="COS44" s="344"/>
      <c r="COT44" s="344"/>
      <c r="COU44" s="344"/>
      <c r="COV44" s="344"/>
      <c r="COW44" s="344"/>
      <c r="COX44" s="344"/>
      <c r="COY44" s="344"/>
      <c r="COZ44" s="344"/>
      <c r="CPA44" s="344"/>
      <c r="CPB44" s="344"/>
      <c r="CPC44" s="344"/>
      <c r="CPD44" s="344"/>
      <c r="CPE44" s="344"/>
      <c r="CPF44" s="344"/>
      <c r="CPG44" s="344"/>
      <c r="CPH44" s="344"/>
      <c r="CPI44" s="344"/>
      <c r="CPJ44" s="344"/>
      <c r="CPK44" s="344"/>
      <c r="CPL44" s="344"/>
      <c r="CPM44" s="344"/>
      <c r="CPN44" s="344"/>
      <c r="CPO44" s="344"/>
      <c r="CPP44" s="344"/>
      <c r="CPQ44" s="344"/>
      <c r="CPR44" s="344"/>
      <c r="CPS44" s="344"/>
      <c r="CPT44" s="344"/>
      <c r="CPU44" s="344"/>
      <c r="CPV44" s="344"/>
      <c r="CPW44" s="344"/>
      <c r="CPX44" s="344"/>
      <c r="CPY44" s="344"/>
      <c r="CPZ44" s="344"/>
      <c r="CQA44" s="344"/>
      <c r="CQB44" s="344"/>
      <c r="CQC44" s="344"/>
      <c r="CQD44" s="344"/>
      <c r="CQE44" s="344"/>
      <c r="CQF44" s="344"/>
      <c r="CQG44" s="344"/>
      <c r="CQH44" s="344"/>
      <c r="CQI44" s="344"/>
      <c r="CQJ44" s="344"/>
      <c r="CQK44" s="344"/>
      <c r="CQL44" s="344"/>
      <c r="CQM44" s="344"/>
      <c r="CQN44" s="344"/>
      <c r="CQO44" s="344"/>
      <c r="CQP44" s="344"/>
      <c r="CQQ44" s="344"/>
      <c r="CQR44" s="344"/>
      <c r="CQS44" s="344"/>
      <c r="CQT44" s="344"/>
      <c r="CQU44" s="344"/>
      <c r="CQV44" s="344"/>
      <c r="CQW44" s="344"/>
      <c r="CQX44" s="344"/>
      <c r="CQY44" s="344"/>
      <c r="CQZ44" s="344"/>
      <c r="CRA44" s="344"/>
      <c r="CRB44" s="344"/>
      <c r="CRC44" s="344"/>
      <c r="CRD44" s="344"/>
      <c r="CRE44" s="344"/>
      <c r="CRF44" s="344"/>
      <c r="CRG44" s="344"/>
      <c r="CRH44" s="344"/>
      <c r="CRI44" s="344"/>
      <c r="CRJ44" s="344"/>
      <c r="CRK44" s="344"/>
      <c r="CRL44" s="344"/>
      <c r="CRM44" s="344"/>
      <c r="CRN44" s="344"/>
      <c r="CRO44" s="344"/>
      <c r="CRP44" s="344"/>
      <c r="CRQ44" s="344"/>
      <c r="CRR44" s="344"/>
      <c r="CRS44" s="344"/>
      <c r="CRT44" s="344"/>
      <c r="CRU44" s="344"/>
      <c r="CRV44" s="344"/>
      <c r="CRW44" s="344"/>
      <c r="CRX44" s="344"/>
      <c r="CRY44" s="344"/>
      <c r="CRZ44" s="344"/>
      <c r="CSA44" s="344"/>
      <c r="CSB44" s="344"/>
      <c r="CSC44" s="344"/>
      <c r="CSD44" s="344"/>
      <c r="CSE44" s="344"/>
      <c r="CSF44" s="344"/>
      <c r="CSG44" s="344"/>
      <c r="CSH44" s="344"/>
      <c r="CSI44" s="344"/>
      <c r="CSJ44" s="344"/>
      <c r="CSK44" s="344"/>
      <c r="CSL44" s="344"/>
      <c r="CSM44" s="344"/>
      <c r="CSN44" s="344"/>
      <c r="CSO44" s="344"/>
      <c r="CSP44" s="344"/>
      <c r="CSQ44" s="344"/>
      <c r="CSR44" s="344"/>
      <c r="CSS44" s="344"/>
      <c r="CST44" s="344"/>
      <c r="CSU44" s="344"/>
      <c r="CSV44" s="344"/>
      <c r="CSW44" s="344"/>
      <c r="CSX44" s="344"/>
      <c r="CSY44" s="344"/>
      <c r="CSZ44" s="344"/>
      <c r="CTA44" s="344"/>
      <c r="CTB44" s="344"/>
      <c r="CTC44" s="344"/>
      <c r="CTD44" s="344"/>
      <c r="CTE44" s="344"/>
      <c r="CTF44" s="344"/>
      <c r="CTG44" s="344"/>
      <c r="CTH44" s="344"/>
      <c r="CTI44" s="344"/>
      <c r="CTJ44" s="344"/>
      <c r="CTK44" s="344"/>
      <c r="CTL44" s="344"/>
      <c r="CTM44" s="344"/>
      <c r="CTN44" s="344"/>
      <c r="CTO44" s="344"/>
      <c r="CTP44" s="344"/>
      <c r="CTQ44" s="344"/>
      <c r="CTR44" s="344"/>
      <c r="CTS44" s="344"/>
      <c r="CTT44" s="344"/>
      <c r="CTU44" s="344"/>
      <c r="CTV44" s="344"/>
      <c r="CTW44" s="344"/>
      <c r="CTX44" s="344"/>
      <c r="CTY44" s="344"/>
      <c r="CTZ44" s="344"/>
      <c r="CUA44" s="344"/>
      <c r="CUB44" s="344"/>
      <c r="CUC44" s="344"/>
      <c r="CUD44" s="344"/>
      <c r="CUE44" s="344"/>
      <c r="CUF44" s="344"/>
      <c r="CUG44" s="344"/>
      <c r="CUH44" s="344"/>
      <c r="CUI44" s="344"/>
      <c r="CUJ44" s="344"/>
      <c r="CUK44" s="344"/>
      <c r="CUL44" s="344"/>
      <c r="CUM44" s="344"/>
      <c r="CUN44" s="344"/>
      <c r="CUO44" s="344"/>
      <c r="CUP44" s="344"/>
      <c r="CUQ44" s="344"/>
      <c r="CUR44" s="344"/>
      <c r="CUS44" s="344"/>
      <c r="CUT44" s="344"/>
      <c r="CUU44" s="344"/>
      <c r="CUV44" s="344"/>
      <c r="CUW44" s="344"/>
      <c r="CUX44" s="344"/>
      <c r="CUY44" s="344"/>
      <c r="CUZ44" s="344"/>
      <c r="CVA44" s="344"/>
      <c r="CVB44" s="344"/>
      <c r="CVC44" s="344"/>
      <c r="CVD44" s="344"/>
      <c r="CVE44" s="344"/>
      <c r="CVF44" s="344"/>
      <c r="CVG44" s="344"/>
      <c r="CVH44" s="344"/>
      <c r="CVI44" s="344"/>
      <c r="CVJ44" s="344"/>
      <c r="CVK44" s="344"/>
      <c r="CVL44" s="344"/>
      <c r="CVM44" s="344"/>
      <c r="CVN44" s="344"/>
      <c r="CVO44" s="344"/>
      <c r="CVP44" s="344"/>
      <c r="CVQ44" s="344"/>
      <c r="CVR44" s="344"/>
      <c r="CVS44" s="344"/>
      <c r="CVT44" s="344"/>
      <c r="CVU44" s="344"/>
      <c r="CVV44" s="344"/>
      <c r="CVW44" s="344"/>
      <c r="CVX44" s="344"/>
      <c r="CVY44" s="344"/>
      <c r="CVZ44" s="344"/>
      <c r="CWA44" s="344"/>
      <c r="CWB44" s="344"/>
      <c r="CWC44" s="344"/>
      <c r="CWD44" s="344"/>
      <c r="CWE44" s="344"/>
      <c r="CWF44" s="344"/>
      <c r="CWG44" s="344"/>
      <c r="CWH44" s="344"/>
      <c r="CWI44" s="344"/>
      <c r="CWJ44" s="344"/>
      <c r="CWK44" s="344"/>
      <c r="CWL44" s="344"/>
      <c r="CWM44" s="344"/>
      <c r="CWN44" s="344"/>
      <c r="CWO44" s="344"/>
      <c r="CWP44" s="344"/>
      <c r="CWQ44" s="344"/>
      <c r="CWR44" s="344"/>
      <c r="CWS44" s="344"/>
      <c r="CWT44" s="344"/>
      <c r="CWU44" s="344"/>
      <c r="CWV44" s="344"/>
      <c r="CWW44" s="344"/>
      <c r="CWX44" s="344"/>
      <c r="CWY44" s="344"/>
      <c r="CWZ44" s="344"/>
      <c r="CXA44" s="344"/>
      <c r="CXB44" s="344"/>
      <c r="CXC44" s="344"/>
      <c r="CXD44" s="344"/>
      <c r="CXE44" s="344"/>
      <c r="CXF44" s="344"/>
      <c r="CXG44" s="344"/>
      <c r="CXH44" s="344"/>
      <c r="CXI44" s="344"/>
      <c r="CXJ44" s="344"/>
      <c r="CXK44" s="344"/>
      <c r="CXL44" s="344"/>
      <c r="CXM44" s="344"/>
      <c r="CXN44" s="344"/>
      <c r="CXO44" s="344"/>
      <c r="CXP44" s="344"/>
      <c r="CXQ44" s="344"/>
      <c r="CXR44" s="344"/>
      <c r="CXS44" s="344"/>
      <c r="CXT44" s="344"/>
      <c r="CXU44" s="344"/>
      <c r="CXV44" s="344"/>
      <c r="CXW44" s="344"/>
      <c r="CXX44" s="344"/>
      <c r="CXY44" s="344"/>
      <c r="CXZ44" s="344"/>
      <c r="CYA44" s="344"/>
      <c r="CYB44" s="344"/>
      <c r="CYC44" s="344"/>
      <c r="CYD44" s="344"/>
      <c r="CYE44" s="344"/>
      <c r="CYF44" s="344"/>
      <c r="CYG44" s="344"/>
      <c r="CYH44" s="344"/>
      <c r="CYI44" s="344"/>
      <c r="CYJ44" s="344"/>
      <c r="CYK44" s="344"/>
      <c r="CYL44" s="344"/>
      <c r="CYM44" s="344"/>
      <c r="CYN44" s="344"/>
      <c r="CYO44" s="344"/>
      <c r="CYP44" s="344"/>
      <c r="CYQ44" s="344"/>
      <c r="CYR44" s="344"/>
      <c r="CYS44" s="344"/>
      <c r="CYT44" s="344"/>
      <c r="CYU44" s="344"/>
      <c r="CYV44" s="344"/>
      <c r="CYW44" s="344"/>
      <c r="CYX44" s="344"/>
      <c r="CYY44" s="344"/>
      <c r="CYZ44" s="344"/>
      <c r="CZA44" s="344"/>
      <c r="CZB44" s="344"/>
      <c r="CZC44" s="344"/>
      <c r="CZD44" s="344"/>
      <c r="CZE44" s="344"/>
      <c r="CZF44" s="344"/>
      <c r="CZG44" s="344"/>
      <c r="CZH44" s="344"/>
      <c r="CZI44" s="344"/>
      <c r="CZJ44" s="344"/>
      <c r="CZK44" s="344"/>
      <c r="CZL44" s="344"/>
      <c r="CZM44" s="344"/>
      <c r="CZN44" s="344"/>
      <c r="CZO44" s="344"/>
      <c r="CZP44" s="344"/>
      <c r="CZQ44" s="344"/>
      <c r="CZR44" s="344"/>
      <c r="CZS44" s="344"/>
      <c r="CZT44" s="344"/>
      <c r="CZU44" s="344"/>
      <c r="CZV44" s="344"/>
      <c r="CZW44" s="344"/>
      <c r="CZX44" s="344"/>
      <c r="CZY44" s="344"/>
      <c r="CZZ44" s="344"/>
      <c r="DAA44" s="344"/>
      <c r="DAB44" s="344"/>
      <c r="DAC44" s="344"/>
      <c r="DAD44" s="344"/>
      <c r="DAE44" s="344"/>
      <c r="DAF44" s="344"/>
      <c r="DAG44" s="344"/>
      <c r="DAH44" s="344"/>
      <c r="DAI44" s="344"/>
      <c r="DAJ44" s="344"/>
      <c r="DAK44" s="344"/>
      <c r="DAL44" s="344"/>
      <c r="DAM44" s="344"/>
      <c r="DAN44" s="344"/>
      <c r="DAO44" s="344"/>
      <c r="DAP44" s="344"/>
      <c r="DAQ44" s="344"/>
      <c r="DAR44" s="344"/>
      <c r="DAS44" s="344"/>
      <c r="DAT44" s="344"/>
      <c r="DAU44" s="344"/>
      <c r="DAV44" s="344"/>
      <c r="DAW44" s="344"/>
      <c r="DAX44" s="344"/>
      <c r="DAY44" s="344"/>
      <c r="DAZ44" s="344"/>
      <c r="DBA44" s="344"/>
      <c r="DBB44" s="344"/>
      <c r="DBC44" s="344"/>
      <c r="DBD44" s="344"/>
      <c r="DBE44" s="344"/>
      <c r="DBF44" s="344"/>
      <c r="DBG44" s="344"/>
      <c r="DBH44" s="344"/>
      <c r="DBI44" s="344"/>
      <c r="DBJ44" s="344"/>
      <c r="DBK44" s="344"/>
      <c r="DBL44" s="344"/>
      <c r="DBM44" s="344"/>
      <c r="DBN44" s="344"/>
      <c r="DBO44" s="344"/>
      <c r="DBP44" s="344"/>
      <c r="DBQ44" s="344"/>
      <c r="DBR44" s="344"/>
      <c r="DBS44" s="344"/>
      <c r="DBT44" s="344"/>
      <c r="DBU44" s="344"/>
      <c r="DBV44" s="344"/>
      <c r="DBW44" s="344"/>
      <c r="DBX44" s="344"/>
      <c r="DBY44" s="344"/>
      <c r="DBZ44" s="344"/>
      <c r="DCA44" s="344"/>
      <c r="DCB44" s="344"/>
      <c r="DCC44" s="344"/>
      <c r="DCD44" s="344"/>
      <c r="DCE44" s="344"/>
      <c r="DCF44" s="344"/>
      <c r="DCG44" s="344"/>
      <c r="DCH44" s="344"/>
      <c r="DCI44" s="344"/>
      <c r="DCJ44" s="344"/>
      <c r="DCK44" s="344"/>
      <c r="DCL44" s="344"/>
      <c r="DCM44" s="344"/>
      <c r="DCN44" s="344"/>
      <c r="DCO44" s="344"/>
      <c r="DCP44" s="344"/>
      <c r="DCQ44" s="344"/>
      <c r="DCR44" s="344"/>
      <c r="DCS44" s="344"/>
      <c r="DCT44" s="344"/>
      <c r="DCU44" s="344"/>
      <c r="DCV44" s="344"/>
      <c r="DCW44" s="344"/>
      <c r="DCX44" s="344"/>
      <c r="DCY44" s="344"/>
      <c r="DCZ44" s="344"/>
      <c r="DDA44" s="344"/>
      <c r="DDB44" s="344"/>
      <c r="DDC44" s="344"/>
      <c r="DDD44" s="344"/>
      <c r="DDE44" s="344"/>
      <c r="DDF44" s="344"/>
      <c r="DDG44" s="344"/>
      <c r="DDH44" s="344"/>
      <c r="DDI44" s="344"/>
      <c r="DDJ44" s="344"/>
      <c r="DDK44" s="344"/>
      <c r="DDL44" s="344"/>
      <c r="DDM44" s="344"/>
      <c r="DDN44" s="344"/>
      <c r="DDO44" s="344"/>
      <c r="DDP44" s="344"/>
      <c r="DDQ44" s="344"/>
      <c r="DDR44" s="344"/>
      <c r="DDS44" s="344"/>
      <c r="DDT44" s="344"/>
      <c r="DDU44" s="344"/>
      <c r="DDV44" s="344"/>
      <c r="DDW44" s="344"/>
      <c r="DDX44" s="344"/>
      <c r="DDY44" s="344"/>
      <c r="DDZ44" s="344"/>
      <c r="DEA44" s="344"/>
      <c r="DEB44" s="344"/>
      <c r="DEC44" s="344"/>
      <c r="DED44" s="344"/>
      <c r="DEE44" s="344"/>
      <c r="DEF44" s="344"/>
      <c r="DEG44" s="344"/>
      <c r="DEH44" s="344"/>
      <c r="DEI44" s="344"/>
      <c r="DEJ44" s="344"/>
      <c r="DEK44" s="344"/>
      <c r="DEL44" s="344"/>
      <c r="DEM44" s="344"/>
      <c r="DEN44" s="344"/>
      <c r="DEO44" s="344"/>
      <c r="DEP44" s="344"/>
      <c r="DEQ44" s="344"/>
      <c r="DER44" s="344"/>
      <c r="DES44" s="344"/>
      <c r="DET44" s="344"/>
      <c r="DEU44" s="344"/>
      <c r="DEV44" s="344"/>
      <c r="DEW44" s="344"/>
      <c r="DEX44" s="344"/>
      <c r="DEY44" s="344"/>
      <c r="DEZ44" s="344"/>
      <c r="DFA44" s="344"/>
      <c r="DFB44" s="344"/>
      <c r="DFC44" s="344"/>
      <c r="DFD44" s="344"/>
      <c r="DFE44" s="344"/>
      <c r="DFF44" s="344"/>
      <c r="DFG44" s="344"/>
      <c r="DFH44" s="344"/>
      <c r="DFI44" s="344"/>
      <c r="DFJ44" s="344"/>
      <c r="DFK44" s="344"/>
      <c r="DFL44" s="344"/>
      <c r="DFM44" s="344"/>
      <c r="DFN44" s="344"/>
      <c r="DFO44" s="344"/>
      <c r="DFP44" s="344"/>
      <c r="DFQ44" s="344"/>
      <c r="DFR44" s="344"/>
      <c r="DFS44" s="344"/>
      <c r="DFT44" s="344"/>
      <c r="DFU44" s="344"/>
      <c r="DFV44" s="344"/>
      <c r="DFW44" s="344"/>
      <c r="DFX44" s="344"/>
      <c r="DFY44" s="344"/>
      <c r="DFZ44" s="344"/>
      <c r="DGA44" s="344"/>
      <c r="DGB44" s="344"/>
      <c r="DGC44" s="344"/>
      <c r="DGD44" s="344"/>
      <c r="DGE44" s="344"/>
      <c r="DGF44" s="344"/>
      <c r="DGG44" s="344"/>
      <c r="DGH44" s="344"/>
      <c r="DGI44" s="344"/>
      <c r="DGJ44" s="344"/>
      <c r="DGK44" s="344"/>
      <c r="DGL44" s="344"/>
      <c r="DGM44" s="344"/>
      <c r="DGN44" s="344"/>
      <c r="DGO44" s="344"/>
      <c r="DGP44" s="344"/>
      <c r="DGQ44" s="344"/>
      <c r="DGR44" s="344"/>
      <c r="DGS44" s="344"/>
      <c r="DGT44" s="344"/>
      <c r="DGU44" s="344"/>
      <c r="DGV44" s="344"/>
      <c r="DGW44" s="344"/>
      <c r="DGX44" s="344"/>
      <c r="DGY44" s="344"/>
      <c r="DGZ44" s="344"/>
      <c r="DHA44" s="344"/>
      <c r="DHB44" s="344"/>
      <c r="DHC44" s="344"/>
      <c r="DHD44" s="344"/>
      <c r="DHE44" s="344"/>
      <c r="DHF44" s="344"/>
      <c r="DHG44" s="344"/>
      <c r="DHH44" s="344"/>
      <c r="DHI44" s="344"/>
      <c r="DHJ44" s="344"/>
      <c r="DHK44" s="344"/>
      <c r="DHL44" s="344"/>
      <c r="DHM44" s="344"/>
      <c r="DHN44" s="344"/>
      <c r="DHO44" s="344"/>
      <c r="DHP44" s="344"/>
      <c r="DHQ44" s="344"/>
      <c r="DHR44" s="344"/>
      <c r="DHS44" s="344"/>
      <c r="DHT44" s="344"/>
      <c r="DHU44" s="344"/>
      <c r="DHV44" s="344"/>
      <c r="DHW44" s="344"/>
      <c r="DHX44" s="344"/>
      <c r="DHY44" s="344"/>
      <c r="DHZ44" s="344"/>
      <c r="DIA44" s="344"/>
      <c r="DIB44" s="344"/>
      <c r="DIC44" s="344"/>
      <c r="DID44" s="344"/>
      <c r="DIE44" s="344"/>
      <c r="DIF44" s="344"/>
      <c r="DIG44" s="344"/>
      <c r="DIH44" s="344"/>
      <c r="DII44" s="344"/>
      <c r="DIJ44" s="344"/>
      <c r="DIK44" s="344"/>
      <c r="DIL44" s="344"/>
      <c r="DIM44" s="344"/>
      <c r="DIN44" s="344"/>
      <c r="DIO44" s="344"/>
      <c r="DIP44" s="344"/>
      <c r="DIQ44" s="344"/>
      <c r="DIR44" s="344"/>
      <c r="DIS44" s="344"/>
      <c r="DIT44" s="344"/>
      <c r="DIU44" s="344"/>
      <c r="DIV44" s="344"/>
      <c r="DIW44" s="344"/>
      <c r="DIX44" s="344"/>
      <c r="DIY44" s="344"/>
      <c r="DIZ44" s="344"/>
      <c r="DJA44" s="344"/>
      <c r="DJB44" s="344"/>
      <c r="DJC44" s="344"/>
      <c r="DJD44" s="344"/>
      <c r="DJE44" s="344"/>
      <c r="DJF44" s="344"/>
      <c r="DJG44" s="344"/>
      <c r="DJH44" s="344"/>
      <c r="DJI44" s="344"/>
      <c r="DJJ44" s="344"/>
      <c r="DJK44" s="344"/>
      <c r="DJL44" s="344"/>
      <c r="DJM44" s="344"/>
      <c r="DJN44" s="344"/>
      <c r="DJO44" s="344"/>
      <c r="DJP44" s="344"/>
      <c r="DJQ44" s="344"/>
      <c r="DJR44" s="344"/>
      <c r="DJS44" s="344"/>
      <c r="DJT44" s="344"/>
      <c r="DJU44" s="344"/>
      <c r="DJV44" s="344"/>
      <c r="DJW44" s="344"/>
      <c r="DJX44" s="344"/>
      <c r="DJY44" s="344"/>
      <c r="DJZ44" s="344"/>
      <c r="DKA44" s="344"/>
      <c r="DKB44" s="344"/>
      <c r="DKC44" s="344"/>
      <c r="DKD44" s="344"/>
      <c r="DKE44" s="344"/>
      <c r="DKF44" s="344"/>
      <c r="DKG44" s="344"/>
      <c r="DKH44" s="344"/>
      <c r="DKI44" s="344"/>
      <c r="DKJ44" s="344"/>
      <c r="DKK44" s="344"/>
      <c r="DKL44" s="344"/>
      <c r="DKM44" s="344"/>
      <c r="DKN44" s="344"/>
      <c r="DKO44" s="344"/>
      <c r="DKP44" s="344"/>
      <c r="DKQ44" s="344"/>
      <c r="DKR44" s="344"/>
      <c r="DKS44" s="344"/>
      <c r="DKT44" s="344"/>
      <c r="DKU44" s="344"/>
      <c r="DKV44" s="344"/>
      <c r="DKW44" s="344"/>
      <c r="DKX44" s="344"/>
      <c r="DKY44" s="344"/>
      <c r="DKZ44" s="344"/>
      <c r="DLA44" s="344"/>
      <c r="DLB44" s="344"/>
      <c r="DLC44" s="344"/>
      <c r="DLD44" s="344"/>
      <c r="DLE44" s="344"/>
      <c r="DLF44" s="344"/>
      <c r="DLG44" s="344"/>
      <c r="DLH44" s="344"/>
      <c r="DLI44" s="344"/>
      <c r="DLJ44" s="344"/>
      <c r="DLK44" s="344"/>
      <c r="DLL44" s="344"/>
      <c r="DLM44" s="344"/>
      <c r="DLN44" s="344"/>
      <c r="DLO44" s="344"/>
      <c r="DLP44" s="344"/>
      <c r="DLQ44" s="344"/>
      <c r="DLR44" s="344"/>
      <c r="DLS44" s="344"/>
      <c r="DLT44" s="344"/>
      <c r="DLU44" s="344"/>
      <c r="DLV44" s="344"/>
      <c r="DLW44" s="344"/>
      <c r="DLX44" s="344"/>
      <c r="DLY44" s="344"/>
      <c r="DLZ44" s="344"/>
      <c r="DMA44" s="344"/>
      <c r="DMB44" s="344"/>
      <c r="DMC44" s="344"/>
      <c r="DMD44" s="344"/>
      <c r="DME44" s="344"/>
      <c r="DMF44" s="344"/>
      <c r="DMG44" s="344"/>
      <c r="DMH44" s="344"/>
      <c r="DMI44" s="344"/>
      <c r="DMJ44" s="344"/>
      <c r="DMK44" s="344"/>
      <c r="DML44" s="344"/>
      <c r="DMM44" s="344"/>
      <c r="DMN44" s="344"/>
      <c r="DMO44" s="344"/>
      <c r="DMP44" s="344"/>
      <c r="DMQ44" s="344"/>
      <c r="DMR44" s="344"/>
      <c r="DMS44" s="344"/>
      <c r="DMT44" s="344"/>
      <c r="DMU44" s="344"/>
      <c r="DMV44" s="344"/>
      <c r="DMW44" s="344"/>
      <c r="DMX44" s="344"/>
      <c r="DMY44" s="344"/>
      <c r="DMZ44" s="344"/>
      <c r="DNA44" s="344"/>
      <c r="DNB44" s="344"/>
      <c r="DNC44" s="344"/>
      <c r="DND44" s="344"/>
      <c r="DNE44" s="344"/>
      <c r="DNF44" s="344"/>
      <c r="DNG44" s="344"/>
      <c r="DNH44" s="344"/>
      <c r="DNI44" s="344"/>
      <c r="DNJ44" s="344"/>
      <c r="DNK44" s="344"/>
      <c r="DNL44" s="344"/>
      <c r="DNM44" s="344"/>
      <c r="DNN44" s="344"/>
      <c r="DNO44" s="344"/>
      <c r="DNP44" s="344"/>
      <c r="DNQ44" s="344"/>
      <c r="DNR44" s="344"/>
      <c r="DNS44" s="344"/>
      <c r="DNT44" s="344"/>
      <c r="DNU44" s="344"/>
      <c r="DNV44" s="344"/>
      <c r="DNW44" s="344"/>
      <c r="DNX44" s="344"/>
      <c r="DNY44" s="344"/>
      <c r="DNZ44" s="344"/>
      <c r="DOA44" s="344"/>
      <c r="DOB44" s="344"/>
      <c r="DOC44" s="344"/>
      <c r="DOD44" s="344"/>
      <c r="DOE44" s="344"/>
      <c r="DOF44" s="344"/>
      <c r="DOG44" s="344"/>
      <c r="DOH44" s="344"/>
      <c r="DOI44" s="344"/>
      <c r="DOJ44" s="344"/>
      <c r="DOK44" s="344"/>
      <c r="DOL44" s="344"/>
      <c r="DOM44" s="344"/>
      <c r="DON44" s="344"/>
      <c r="DOO44" s="344"/>
      <c r="DOP44" s="344"/>
      <c r="DOQ44" s="344"/>
      <c r="DOR44" s="344"/>
      <c r="DOS44" s="344"/>
      <c r="DOT44" s="344"/>
      <c r="DOU44" s="344"/>
      <c r="DOV44" s="344"/>
      <c r="DOW44" s="344"/>
      <c r="DOX44" s="344"/>
      <c r="DOY44" s="344"/>
      <c r="DOZ44" s="344"/>
      <c r="DPA44" s="344"/>
      <c r="DPB44" s="344"/>
      <c r="DPC44" s="344"/>
      <c r="DPD44" s="344"/>
      <c r="DPE44" s="344"/>
      <c r="DPF44" s="344"/>
      <c r="DPG44" s="344"/>
      <c r="DPH44" s="344"/>
      <c r="DPI44" s="344"/>
      <c r="DPJ44" s="344"/>
      <c r="DPK44" s="344"/>
      <c r="DPL44" s="344"/>
      <c r="DPM44" s="344"/>
      <c r="DPN44" s="344"/>
      <c r="DPO44" s="344"/>
      <c r="DPP44" s="344"/>
      <c r="DPQ44" s="344"/>
      <c r="DPR44" s="344"/>
      <c r="DPS44" s="344"/>
      <c r="DPT44" s="344"/>
      <c r="DPU44" s="344"/>
      <c r="DPV44" s="344"/>
      <c r="DPW44" s="344"/>
      <c r="DPX44" s="344"/>
      <c r="DPY44" s="344"/>
      <c r="DPZ44" s="344"/>
      <c r="DQA44" s="344"/>
      <c r="DQB44" s="344"/>
      <c r="DQC44" s="344"/>
      <c r="DQD44" s="344"/>
      <c r="DQE44" s="344"/>
      <c r="DQF44" s="344"/>
      <c r="DQG44" s="344"/>
      <c r="DQH44" s="344"/>
      <c r="DQI44" s="344"/>
      <c r="DQJ44" s="344"/>
      <c r="DQK44" s="344"/>
      <c r="DQL44" s="344"/>
      <c r="DQM44" s="344"/>
      <c r="DQN44" s="344"/>
      <c r="DQO44" s="344"/>
      <c r="DQP44" s="344"/>
      <c r="DQQ44" s="344"/>
      <c r="DQR44" s="344"/>
      <c r="DQS44" s="344"/>
      <c r="DQT44" s="344"/>
      <c r="DQU44" s="344"/>
      <c r="DQV44" s="344"/>
      <c r="DQW44" s="344"/>
      <c r="DQX44" s="344"/>
      <c r="DQY44" s="344"/>
      <c r="DQZ44" s="344"/>
      <c r="DRA44" s="344"/>
      <c r="DRB44" s="344"/>
      <c r="DRC44" s="344"/>
      <c r="DRD44" s="344"/>
      <c r="DRE44" s="344"/>
      <c r="DRF44" s="344"/>
      <c r="DRG44" s="344"/>
      <c r="DRH44" s="344"/>
      <c r="DRI44" s="344"/>
      <c r="DRJ44" s="344"/>
      <c r="DRK44" s="344"/>
      <c r="DRL44" s="344"/>
      <c r="DRM44" s="344"/>
      <c r="DRN44" s="344"/>
      <c r="DRO44" s="344"/>
      <c r="DRP44" s="344"/>
      <c r="DRQ44" s="344"/>
      <c r="DRR44" s="344"/>
      <c r="DRS44" s="344"/>
      <c r="DRT44" s="344"/>
      <c r="DRU44" s="344"/>
      <c r="DRV44" s="344"/>
      <c r="DRW44" s="344"/>
      <c r="DRX44" s="344"/>
      <c r="DRY44" s="344"/>
      <c r="DRZ44" s="344"/>
      <c r="DSA44" s="344"/>
      <c r="DSB44" s="344"/>
      <c r="DSC44" s="344"/>
      <c r="DSD44" s="344"/>
      <c r="DSE44" s="344"/>
      <c r="DSF44" s="344"/>
      <c r="DSG44" s="344"/>
      <c r="DSH44" s="344"/>
      <c r="DSI44" s="344"/>
      <c r="DSJ44" s="344"/>
      <c r="DSK44" s="344"/>
      <c r="DSL44" s="344"/>
      <c r="DSM44" s="344"/>
      <c r="DSN44" s="344"/>
      <c r="DSO44" s="344"/>
      <c r="DSP44" s="344"/>
      <c r="DSQ44" s="344"/>
      <c r="DSR44" s="344"/>
      <c r="DSS44" s="344"/>
      <c r="DST44" s="344"/>
      <c r="DSU44" s="344"/>
      <c r="DSV44" s="344"/>
      <c r="DSW44" s="344"/>
      <c r="DSX44" s="344"/>
      <c r="DSY44" s="344"/>
      <c r="DSZ44" s="344"/>
      <c r="DTA44" s="344"/>
      <c r="DTB44" s="344"/>
      <c r="DTC44" s="344"/>
      <c r="DTD44" s="344"/>
      <c r="DTE44" s="344"/>
      <c r="DTF44" s="344"/>
      <c r="DTG44" s="344"/>
      <c r="DTH44" s="344"/>
      <c r="DTI44" s="344"/>
      <c r="DTJ44" s="344"/>
      <c r="DTK44" s="344"/>
      <c r="DTL44" s="344"/>
      <c r="DTM44" s="344"/>
      <c r="DTN44" s="344"/>
      <c r="DTO44" s="344"/>
      <c r="DTP44" s="344"/>
      <c r="DTQ44" s="344"/>
      <c r="DTR44" s="344"/>
      <c r="DTS44" s="344"/>
      <c r="DTT44" s="344"/>
      <c r="DTU44" s="344"/>
      <c r="DTV44" s="344"/>
      <c r="DTW44" s="344"/>
      <c r="DTX44" s="344"/>
      <c r="DTY44" s="344"/>
      <c r="DTZ44" s="344"/>
      <c r="DUA44" s="344"/>
      <c r="DUB44" s="344"/>
      <c r="DUC44" s="344"/>
      <c r="DUD44" s="344"/>
      <c r="DUE44" s="344"/>
      <c r="DUF44" s="344"/>
      <c r="DUG44" s="344"/>
      <c r="DUH44" s="344"/>
      <c r="DUI44" s="344"/>
      <c r="DUJ44" s="344"/>
      <c r="DUK44" s="344"/>
      <c r="DUL44" s="344"/>
      <c r="DUM44" s="344"/>
      <c r="DUN44" s="344"/>
      <c r="DUO44" s="344"/>
      <c r="DUP44" s="344"/>
      <c r="DUQ44" s="344"/>
      <c r="DUR44" s="344"/>
      <c r="DUS44" s="344"/>
      <c r="DUT44" s="344"/>
      <c r="DUU44" s="344"/>
      <c r="DUV44" s="344"/>
      <c r="DUW44" s="344"/>
      <c r="DUX44" s="344"/>
      <c r="DUY44" s="344"/>
      <c r="DUZ44" s="344"/>
      <c r="DVA44" s="344"/>
      <c r="DVB44" s="344"/>
      <c r="DVC44" s="344"/>
      <c r="DVD44" s="344"/>
      <c r="DVE44" s="344"/>
      <c r="DVF44" s="344"/>
      <c r="DVG44" s="344"/>
      <c r="DVH44" s="344"/>
      <c r="DVI44" s="344"/>
      <c r="DVJ44" s="344"/>
      <c r="DVK44" s="344"/>
      <c r="DVL44" s="344"/>
      <c r="DVM44" s="344"/>
      <c r="DVN44" s="344"/>
      <c r="DVO44" s="344"/>
      <c r="DVP44" s="344"/>
      <c r="DVQ44" s="344"/>
      <c r="DVR44" s="344"/>
      <c r="DVS44" s="344"/>
      <c r="DVT44" s="344"/>
      <c r="DVU44" s="344"/>
      <c r="DVV44" s="344"/>
      <c r="DVW44" s="344"/>
      <c r="DVX44" s="344"/>
      <c r="DVY44" s="344"/>
      <c r="DVZ44" s="344"/>
      <c r="DWA44" s="344"/>
      <c r="DWB44" s="344"/>
      <c r="DWC44" s="344"/>
      <c r="DWD44" s="344"/>
      <c r="DWE44" s="344"/>
      <c r="DWF44" s="344"/>
      <c r="DWG44" s="344"/>
      <c r="DWH44" s="344"/>
      <c r="DWI44" s="344"/>
      <c r="DWJ44" s="344"/>
      <c r="DWK44" s="344"/>
      <c r="DWL44" s="344"/>
      <c r="DWM44" s="344"/>
      <c r="DWN44" s="344"/>
      <c r="DWO44" s="344"/>
      <c r="DWP44" s="344"/>
      <c r="DWQ44" s="344"/>
      <c r="DWR44" s="344"/>
      <c r="DWS44" s="344"/>
      <c r="DWT44" s="344"/>
      <c r="DWU44" s="344"/>
      <c r="DWV44" s="344"/>
      <c r="DWW44" s="344"/>
      <c r="DWX44" s="344"/>
      <c r="DWY44" s="344"/>
      <c r="DWZ44" s="344"/>
      <c r="DXA44" s="344"/>
      <c r="DXB44" s="344"/>
      <c r="DXC44" s="344"/>
      <c r="DXD44" s="344"/>
      <c r="DXE44" s="344"/>
      <c r="DXF44" s="344"/>
      <c r="DXG44" s="344"/>
      <c r="DXH44" s="344"/>
      <c r="DXI44" s="344"/>
      <c r="DXJ44" s="344"/>
      <c r="DXK44" s="344"/>
      <c r="DXL44" s="344"/>
      <c r="DXM44" s="344"/>
      <c r="DXN44" s="344"/>
      <c r="DXO44" s="344"/>
      <c r="DXP44" s="344"/>
      <c r="DXQ44" s="344"/>
      <c r="DXR44" s="344"/>
      <c r="DXS44" s="344"/>
      <c r="DXT44" s="344"/>
      <c r="DXU44" s="344"/>
      <c r="DXV44" s="344"/>
      <c r="DXW44" s="344"/>
      <c r="DXX44" s="344"/>
      <c r="DXY44" s="344"/>
      <c r="DXZ44" s="344"/>
      <c r="DYA44" s="344"/>
      <c r="DYB44" s="344"/>
      <c r="DYC44" s="344"/>
      <c r="DYD44" s="344"/>
      <c r="DYE44" s="344"/>
      <c r="DYF44" s="344"/>
      <c r="DYG44" s="344"/>
      <c r="DYH44" s="344"/>
      <c r="DYI44" s="344"/>
      <c r="DYJ44" s="344"/>
      <c r="DYK44" s="344"/>
      <c r="DYL44" s="344"/>
      <c r="DYM44" s="344"/>
      <c r="DYN44" s="344"/>
      <c r="DYO44" s="344"/>
      <c r="DYP44" s="344"/>
      <c r="DYQ44" s="344"/>
      <c r="DYR44" s="344"/>
      <c r="DYS44" s="344"/>
      <c r="DYT44" s="344"/>
      <c r="DYU44" s="344"/>
      <c r="DYV44" s="344"/>
      <c r="DYW44" s="344"/>
      <c r="DYX44" s="344"/>
      <c r="DYY44" s="344"/>
      <c r="DYZ44" s="344"/>
      <c r="DZA44" s="344"/>
      <c r="DZB44" s="344"/>
      <c r="DZC44" s="344"/>
      <c r="DZD44" s="344"/>
      <c r="DZE44" s="344"/>
      <c r="DZF44" s="344"/>
      <c r="DZG44" s="344"/>
      <c r="DZH44" s="344"/>
      <c r="DZI44" s="344"/>
      <c r="DZJ44" s="344"/>
      <c r="DZK44" s="344"/>
      <c r="DZL44" s="344"/>
      <c r="DZM44" s="344"/>
      <c r="DZN44" s="344"/>
      <c r="DZO44" s="344"/>
      <c r="DZP44" s="344"/>
      <c r="DZQ44" s="344"/>
      <c r="DZR44" s="344"/>
      <c r="DZS44" s="344"/>
      <c r="DZT44" s="344"/>
      <c r="DZU44" s="344"/>
      <c r="DZV44" s="344"/>
      <c r="DZW44" s="344"/>
      <c r="DZX44" s="344"/>
      <c r="DZY44" s="344"/>
      <c r="DZZ44" s="344"/>
      <c r="EAA44" s="344"/>
      <c r="EAB44" s="344"/>
      <c r="EAC44" s="344"/>
      <c r="EAD44" s="344"/>
      <c r="EAE44" s="344"/>
      <c r="EAF44" s="344"/>
      <c r="EAG44" s="344"/>
      <c r="EAH44" s="344"/>
      <c r="EAI44" s="344"/>
      <c r="EAJ44" s="344"/>
      <c r="EAK44" s="344"/>
      <c r="EAL44" s="344"/>
      <c r="EAM44" s="344"/>
      <c r="EAN44" s="344"/>
      <c r="EAO44" s="344"/>
      <c r="EAP44" s="344"/>
      <c r="EAQ44" s="344"/>
      <c r="EAR44" s="344"/>
      <c r="EAS44" s="344"/>
      <c r="EAT44" s="344"/>
      <c r="EAU44" s="344"/>
      <c r="EAV44" s="344"/>
      <c r="EAW44" s="344"/>
      <c r="EAX44" s="344"/>
      <c r="EAY44" s="344"/>
      <c r="EAZ44" s="344"/>
      <c r="EBA44" s="344"/>
      <c r="EBB44" s="344"/>
      <c r="EBC44" s="344"/>
      <c r="EBD44" s="344"/>
      <c r="EBE44" s="344"/>
      <c r="EBF44" s="344"/>
      <c r="EBG44" s="344"/>
      <c r="EBH44" s="344"/>
      <c r="EBI44" s="344"/>
      <c r="EBJ44" s="344"/>
      <c r="EBK44" s="344"/>
      <c r="EBL44" s="344"/>
      <c r="EBM44" s="344"/>
      <c r="EBN44" s="344"/>
      <c r="EBO44" s="344"/>
      <c r="EBP44" s="344"/>
      <c r="EBQ44" s="344"/>
      <c r="EBR44" s="344"/>
      <c r="EBS44" s="344"/>
      <c r="EBT44" s="344"/>
      <c r="EBU44" s="344"/>
      <c r="EBV44" s="344"/>
      <c r="EBW44" s="344"/>
      <c r="EBX44" s="344"/>
      <c r="EBY44" s="344"/>
      <c r="EBZ44" s="344"/>
      <c r="ECA44" s="344"/>
      <c r="ECB44" s="344"/>
      <c r="ECC44" s="344"/>
      <c r="ECD44" s="344"/>
      <c r="ECE44" s="344"/>
      <c r="ECF44" s="344"/>
      <c r="ECG44" s="344"/>
      <c r="ECH44" s="344"/>
      <c r="ECI44" s="344"/>
      <c r="ECJ44" s="344"/>
      <c r="ECK44" s="344"/>
      <c r="ECL44" s="344"/>
      <c r="ECM44" s="344"/>
      <c r="ECN44" s="344"/>
      <c r="ECO44" s="344"/>
      <c r="ECP44" s="344"/>
      <c r="ECQ44" s="344"/>
      <c r="ECR44" s="344"/>
      <c r="ECS44" s="344"/>
      <c r="ECT44" s="344"/>
      <c r="ECU44" s="344"/>
      <c r="ECV44" s="344"/>
      <c r="ECW44" s="344"/>
      <c r="ECX44" s="344"/>
      <c r="ECY44" s="344"/>
      <c r="ECZ44" s="344"/>
      <c r="EDA44" s="344"/>
      <c r="EDB44" s="344"/>
      <c r="EDC44" s="344"/>
      <c r="EDD44" s="344"/>
      <c r="EDE44" s="344"/>
      <c r="EDF44" s="344"/>
      <c r="EDG44" s="344"/>
      <c r="EDH44" s="344"/>
      <c r="EDI44" s="344"/>
      <c r="EDJ44" s="344"/>
      <c r="EDK44" s="344"/>
      <c r="EDL44" s="344"/>
      <c r="EDM44" s="344"/>
      <c r="EDN44" s="344"/>
      <c r="EDO44" s="344"/>
      <c r="EDP44" s="344"/>
      <c r="EDQ44" s="344"/>
      <c r="EDR44" s="344"/>
      <c r="EDS44" s="344"/>
      <c r="EDT44" s="344"/>
      <c r="EDU44" s="344"/>
      <c r="EDV44" s="344"/>
      <c r="EDW44" s="344"/>
      <c r="EDX44" s="344"/>
      <c r="EDY44" s="344"/>
      <c r="EDZ44" s="344"/>
      <c r="EEA44" s="344"/>
      <c r="EEB44" s="344"/>
      <c r="EEC44" s="344"/>
      <c r="EED44" s="344"/>
      <c r="EEE44" s="344"/>
      <c r="EEF44" s="344"/>
      <c r="EEG44" s="344"/>
      <c r="EEH44" s="344"/>
      <c r="EEI44" s="344"/>
      <c r="EEJ44" s="344"/>
      <c r="EEK44" s="344"/>
      <c r="EEL44" s="344"/>
      <c r="EEM44" s="344"/>
      <c r="EEN44" s="344"/>
      <c r="EEO44" s="344"/>
      <c r="EEP44" s="344"/>
      <c r="EEQ44" s="344"/>
      <c r="EER44" s="344"/>
      <c r="EES44" s="344"/>
      <c r="EET44" s="344"/>
      <c r="EEU44" s="344"/>
      <c r="EEV44" s="344"/>
      <c r="EEW44" s="344"/>
      <c r="EEX44" s="344"/>
      <c r="EEY44" s="344"/>
      <c r="EEZ44" s="344"/>
      <c r="EFA44" s="344"/>
      <c r="EFB44" s="344"/>
      <c r="EFC44" s="344"/>
      <c r="EFD44" s="344"/>
      <c r="EFE44" s="344"/>
      <c r="EFF44" s="344"/>
      <c r="EFG44" s="344"/>
      <c r="EFH44" s="344"/>
      <c r="EFI44" s="344"/>
      <c r="EFJ44" s="344"/>
      <c r="EFK44" s="344"/>
      <c r="EFL44" s="344"/>
      <c r="EFM44" s="344"/>
      <c r="EFN44" s="344"/>
      <c r="EFO44" s="344"/>
      <c r="EFP44" s="344"/>
      <c r="EFQ44" s="344"/>
      <c r="EFR44" s="344"/>
      <c r="EFS44" s="344"/>
      <c r="EFT44" s="344"/>
      <c r="EFU44" s="344"/>
      <c r="EFV44" s="344"/>
      <c r="EFW44" s="344"/>
      <c r="EFX44" s="344"/>
      <c r="EFY44" s="344"/>
      <c r="EFZ44" s="344"/>
      <c r="EGA44" s="344"/>
      <c r="EGB44" s="344"/>
      <c r="EGC44" s="344"/>
      <c r="EGD44" s="344"/>
      <c r="EGE44" s="344"/>
      <c r="EGF44" s="344"/>
      <c r="EGG44" s="344"/>
      <c r="EGH44" s="344"/>
      <c r="EGI44" s="344"/>
      <c r="EGJ44" s="344"/>
      <c r="EGK44" s="344"/>
      <c r="EGL44" s="344"/>
      <c r="EGM44" s="344"/>
      <c r="EGN44" s="344"/>
      <c r="EGO44" s="344"/>
      <c r="EGP44" s="344"/>
      <c r="EGQ44" s="344"/>
      <c r="EGR44" s="344"/>
      <c r="EGS44" s="344"/>
      <c r="EGT44" s="344"/>
      <c r="EGU44" s="344"/>
      <c r="EGV44" s="344"/>
      <c r="EGW44" s="344"/>
      <c r="EGX44" s="344"/>
      <c r="EGY44" s="344"/>
      <c r="EGZ44" s="344"/>
      <c r="EHA44" s="344"/>
      <c r="EHB44" s="344"/>
      <c r="EHC44" s="344"/>
      <c r="EHD44" s="344"/>
      <c r="EHE44" s="344"/>
      <c r="EHF44" s="344"/>
      <c r="EHG44" s="344"/>
      <c r="EHH44" s="344"/>
      <c r="EHI44" s="344"/>
      <c r="EHJ44" s="344"/>
      <c r="EHK44" s="344"/>
      <c r="EHL44" s="344"/>
      <c r="EHM44" s="344"/>
      <c r="EHN44" s="344"/>
      <c r="EHO44" s="344"/>
      <c r="EHP44" s="344"/>
      <c r="EHQ44" s="344"/>
      <c r="EHR44" s="344"/>
      <c r="EHS44" s="344"/>
      <c r="EHT44" s="344"/>
      <c r="EHU44" s="344"/>
      <c r="EHV44" s="344"/>
      <c r="EHW44" s="344"/>
      <c r="EHX44" s="344"/>
      <c r="EHY44" s="344"/>
      <c r="EHZ44" s="344"/>
      <c r="EIA44" s="344"/>
      <c r="EIB44" s="344"/>
      <c r="EIC44" s="344"/>
      <c r="EID44" s="344"/>
      <c r="EIE44" s="344"/>
      <c r="EIF44" s="344"/>
      <c r="EIG44" s="344"/>
      <c r="EIH44" s="344"/>
      <c r="EII44" s="344"/>
      <c r="EIJ44" s="344"/>
      <c r="EIK44" s="344"/>
      <c r="EIL44" s="344"/>
      <c r="EIM44" s="344"/>
      <c r="EIN44" s="344"/>
      <c r="EIO44" s="344"/>
      <c r="EIP44" s="344"/>
      <c r="EIQ44" s="344"/>
      <c r="EIR44" s="344"/>
      <c r="EIS44" s="344"/>
      <c r="EIT44" s="344"/>
      <c r="EIU44" s="344"/>
      <c r="EIV44" s="344"/>
      <c r="EIW44" s="344"/>
      <c r="EIX44" s="344"/>
      <c r="EIY44" s="344"/>
      <c r="EIZ44" s="344"/>
      <c r="EJA44" s="344"/>
      <c r="EJB44" s="344"/>
      <c r="EJC44" s="344"/>
      <c r="EJD44" s="344"/>
      <c r="EJE44" s="344"/>
      <c r="EJF44" s="344"/>
      <c r="EJG44" s="344"/>
      <c r="EJH44" s="344"/>
      <c r="EJI44" s="344"/>
      <c r="EJJ44" s="344"/>
      <c r="EJK44" s="344"/>
      <c r="EJL44" s="344"/>
      <c r="EJM44" s="344"/>
      <c r="EJN44" s="344"/>
      <c r="EJO44" s="344"/>
      <c r="EJP44" s="344"/>
      <c r="EJQ44" s="344"/>
      <c r="EJR44" s="344"/>
      <c r="EJS44" s="344"/>
      <c r="EJT44" s="344"/>
      <c r="EJU44" s="344"/>
      <c r="EJV44" s="344"/>
      <c r="EJW44" s="344"/>
      <c r="EJX44" s="344"/>
      <c r="EJY44" s="344"/>
      <c r="EJZ44" s="344"/>
      <c r="EKA44" s="344"/>
      <c r="EKB44" s="344"/>
      <c r="EKC44" s="344"/>
      <c r="EKD44" s="344"/>
      <c r="EKE44" s="344"/>
      <c r="EKF44" s="344"/>
      <c r="EKG44" s="344"/>
      <c r="EKH44" s="344"/>
      <c r="EKI44" s="344"/>
      <c r="EKJ44" s="344"/>
      <c r="EKK44" s="344"/>
      <c r="EKL44" s="344"/>
      <c r="EKM44" s="344"/>
      <c r="EKN44" s="344"/>
      <c r="EKO44" s="344"/>
      <c r="EKP44" s="344"/>
      <c r="EKQ44" s="344"/>
      <c r="EKR44" s="344"/>
      <c r="EKS44" s="344"/>
      <c r="EKT44" s="344"/>
      <c r="EKU44" s="344"/>
      <c r="EKV44" s="344"/>
      <c r="EKW44" s="344"/>
      <c r="EKX44" s="344"/>
      <c r="EKY44" s="344"/>
      <c r="EKZ44" s="344"/>
      <c r="ELA44" s="344"/>
      <c r="ELB44" s="344"/>
      <c r="ELC44" s="344"/>
      <c r="ELD44" s="344"/>
      <c r="ELE44" s="344"/>
      <c r="ELF44" s="344"/>
      <c r="ELG44" s="344"/>
      <c r="ELH44" s="344"/>
      <c r="ELI44" s="344"/>
      <c r="ELJ44" s="344"/>
      <c r="ELK44" s="344"/>
      <c r="ELL44" s="344"/>
      <c r="ELM44" s="344"/>
      <c r="ELN44" s="344"/>
      <c r="ELO44" s="344"/>
      <c r="ELP44" s="344"/>
      <c r="ELQ44" s="344"/>
      <c r="ELR44" s="344"/>
      <c r="ELS44" s="344"/>
      <c r="ELT44" s="344"/>
      <c r="ELU44" s="344"/>
      <c r="ELV44" s="344"/>
      <c r="ELW44" s="344"/>
      <c r="ELX44" s="344"/>
      <c r="ELY44" s="344"/>
      <c r="ELZ44" s="344"/>
      <c r="EMA44" s="344"/>
      <c r="EMB44" s="344"/>
      <c r="EMC44" s="344"/>
      <c r="EMD44" s="344"/>
      <c r="EME44" s="344"/>
      <c r="EMF44" s="344"/>
      <c r="EMG44" s="344"/>
      <c r="EMH44" s="344"/>
      <c r="EMI44" s="344"/>
      <c r="EMJ44" s="344"/>
      <c r="EMK44" s="344"/>
      <c r="EML44" s="344"/>
      <c r="EMM44" s="344"/>
      <c r="EMN44" s="344"/>
      <c r="EMO44" s="344"/>
      <c r="EMP44" s="344"/>
      <c r="EMQ44" s="344"/>
      <c r="EMR44" s="344"/>
      <c r="EMS44" s="344"/>
      <c r="EMT44" s="344"/>
      <c r="EMU44" s="344"/>
      <c r="EMV44" s="344"/>
      <c r="EMW44" s="344"/>
      <c r="EMX44" s="344"/>
      <c r="EMY44" s="344"/>
      <c r="EMZ44" s="344"/>
      <c r="ENA44" s="344"/>
      <c r="ENB44" s="344"/>
      <c r="ENC44" s="344"/>
      <c r="END44" s="344"/>
      <c r="ENE44" s="344"/>
      <c r="ENF44" s="344"/>
      <c r="ENG44" s="344"/>
      <c r="ENH44" s="344"/>
      <c r="ENI44" s="344"/>
      <c r="ENJ44" s="344"/>
      <c r="ENK44" s="344"/>
      <c r="ENL44" s="344"/>
      <c r="ENM44" s="344"/>
      <c r="ENN44" s="344"/>
      <c r="ENO44" s="344"/>
      <c r="ENP44" s="344"/>
      <c r="ENQ44" s="344"/>
      <c r="ENR44" s="344"/>
      <c r="ENS44" s="344"/>
      <c r="ENT44" s="344"/>
      <c r="ENU44" s="344"/>
      <c r="ENV44" s="344"/>
      <c r="ENW44" s="344"/>
      <c r="ENX44" s="344"/>
      <c r="ENY44" s="344"/>
      <c r="ENZ44" s="344"/>
      <c r="EOA44" s="344"/>
      <c r="EOB44" s="344"/>
      <c r="EOC44" s="344"/>
      <c r="EOD44" s="344"/>
      <c r="EOE44" s="344"/>
      <c r="EOF44" s="344"/>
      <c r="EOG44" s="344"/>
      <c r="EOH44" s="344"/>
      <c r="EOI44" s="344"/>
      <c r="EOJ44" s="344"/>
      <c r="EOK44" s="344"/>
      <c r="EOL44" s="344"/>
      <c r="EOM44" s="344"/>
      <c r="EON44" s="344"/>
      <c r="EOO44" s="344"/>
      <c r="EOP44" s="344"/>
      <c r="EOQ44" s="344"/>
      <c r="EOR44" s="344"/>
      <c r="EOS44" s="344"/>
      <c r="EOT44" s="344"/>
      <c r="EOU44" s="344"/>
      <c r="EOV44" s="344"/>
      <c r="EOW44" s="344"/>
      <c r="EOX44" s="344"/>
      <c r="EOY44" s="344"/>
      <c r="EOZ44" s="344"/>
      <c r="EPA44" s="344"/>
      <c r="EPB44" s="344"/>
      <c r="EPC44" s="344"/>
      <c r="EPD44" s="344"/>
      <c r="EPE44" s="344"/>
      <c r="EPF44" s="344"/>
      <c r="EPG44" s="344"/>
      <c r="EPH44" s="344"/>
      <c r="EPI44" s="344"/>
      <c r="EPJ44" s="344"/>
      <c r="EPK44" s="344"/>
      <c r="EPL44" s="344"/>
      <c r="EPM44" s="344"/>
      <c r="EPN44" s="344"/>
      <c r="EPO44" s="344"/>
      <c r="EPP44" s="344"/>
      <c r="EPQ44" s="344"/>
      <c r="EPR44" s="344"/>
      <c r="EPS44" s="344"/>
      <c r="EPT44" s="344"/>
      <c r="EPU44" s="344"/>
      <c r="EPV44" s="344"/>
      <c r="EPW44" s="344"/>
      <c r="EPX44" s="344"/>
      <c r="EPY44" s="344"/>
      <c r="EPZ44" s="344"/>
      <c r="EQA44" s="344"/>
      <c r="EQB44" s="344"/>
      <c r="EQC44" s="344"/>
      <c r="EQD44" s="344"/>
      <c r="EQE44" s="344"/>
      <c r="EQF44" s="344"/>
      <c r="EQG44" s="344"/>
      <c r="EQH44" s="344"/>
      <c r="EQI44" s="344"/>
      <c r="EQJ44" s="344"/>
      <c r="EQK44" s="344"/>
      <c r="EQL44" s="344"/>
      <c r="EQM44" s="344"/>
      <c r="EQN44" s="344"/>
      <c r="EQO44" s="344"/>
      <c r="EQP44" s="344"/>
      <c r="EQQ44" s="344"/>
      <c r="EQR44" s="344"/>
      <c r="EQS44" s="344"/>
      <c r="EQT44" s="344"/>
      <c r="EQU44" s="344"/>
      <c r="EQV44" s="344"/>
      <c r="EQW44" s="344"/>
      <c r="EQX44" s="344"/>
      <c r="EQY44" s="344"/>
      <c r="EQZ44" s="344"/>
      <c r="ERA44" s="344"/>
      <c r="ERB44" s="344"/>
      <c r="ERC44" s="344"/>
      <c r="ERD44" s="344"/>
      <c r="ERE44" s="344"/>
      <c r="ERF44" s="344"/>
      <c r="ERG44" s="344"/>
      <c r="ERH44" s="344"/>
      <c r="ERI44" s="344"/>
      <c r="ERJ44" s="344"/>
      <c r="ERK44" s="344"/>
      <c r="ERL44" s="344"/>
      <c r="ERM44" s="344"/>
      <c r="ERN44" s="344"/>
      <c r="ERO44" s="344"/>
      <c r="ERP44" s="344"/>
      <c r="ERQ44" s="344"/>
      <c r="ERR44" s="344"/>
      <c r="ERS44" s="344"/>
      <c r="ERT44" s="344"/>
      <c r="ERU44" s="344"/>
      <c r="ERV44" s="344"/>
      <c r="ERW44" s="344"/>
      <c r="ERX44" s="344"/>
      <c r="ERY44" s="344"/>
      <c r="ERZ44" s="344"/>
      <c r="ESA44" s="344"/>
      <c r="ESB44" s="344"/>
      <c r="ESC44" s="344"/>
      <c r="ESD44" s="344"/>
      <c r="ESE44" s="344"/>
      <c r="ESF44" s="344"/>
      <c r="ESG44" s="344"/>
      <c r="ESH44" s="344"/>
      <c r="ESI44" s="344"/>
      <c r="ESJ44" s="344"/>
      <c r="ESK44" s="344"/>
      <c r="ESL44" s="344"/>
      <c r="ESM44" s="344"/>
      <c r="ESN44" s="344"/>
      <c r="ESO44" s="344"/>
      <c r="ESP44" s="344"/>
      <c r="ESQ44" s="344"/>
      <c r="ESR44" s="344"/>
      <c r="ESS44" s="344"/>
      <c r="EST44" s="344"/>
      <c r="ESU44" s="344"/>
      <c r="ESV44" s="344"/>
      <c r="ESW44" s="344"/>
      <c r="ESX44" s="344"/>
      <c r="ESY44" s="344"/>
      <c r="ESZ44" s="344"/>
      <c r="ETA44" s="344"/>
      <c r="ETB44" s="344"/>
      <c r="ETC44" s="344"/>
      <c r="ETD44" s="344"/>
      <c r="ETE44" s="344"/>
      <c r="ETF44" s="344"/>
      <c r="ETG44" s="344"/>
      <c r="ETH44" s="344"/>
      <c r="ETI44" s="344"/>
      <c r="ETJ44" s="344"/>
      <c r="ETK44" s="344"/>
      <c r="ETL44" s="344"/>
      <c r="ETM44" s="344"/>
      <c r="ETN44" s="344"/>
      <c r="ETO44" s="344"/>
      <c r="ETP44" s="344"/>
      <c r="ETQ44" s="344"/>
      <c r="ETR44" s="344"/>
      <c r="ETS44" s="344"/>
      <c r="ETT44" s="344"/>
      <c r="ETU44" s="344"/>
      <c r="ETV44" s="344"/>
      <c r="ETW44" s="344"/>
      <c r="ETX44" s="344"/>
      <c r="ETY44" s="344"/>
      <c r="ETZ44" s="344"/>
      <c r="EUA44" s="344"/>
      <c r="EUB44" s="344"/>
      <c r="EUC44" s="344"/>
      <c r="EUD44" s="344"/>
      <c r="EUE44" s="344"/>
      <c r="EUF44" s="344"/>
      <c r="EUG44" s="344"/>
      <c r="EUH44" s="344"/>
      <c r="EUI44" s="344"/>
      <c r="EUJ44" s="344"/>
      <c r="EUK44" s="344"/>
      <c r="EUL44" s="344"/>
      <c r="EUM44" s="344"/>
      <c r="EUN44" s="344"/>
      <c r="EUO44" s="344"/>
      <c r="EUP44" s="344"/>
      <c r="EUQ44" s="344"/>
      <c r="EUR44" s="344"/>
      <c r="EUS44" s="344"/>
      <c r="EUT44" s="344"/>
      <c r="EUU44" s="344"/>
      <c r="EUV44" s="344"/>
      <c r="EUW44" s="344"/>
      <c r="EUX44" s="344"/>
      <c r="EUY44" s="344"/>
      <c r="EUZ44" s="344"/>
      <c r="EVA44" s="344"/>
      <c r="EVB44" s="344"/>
      <c r="EVC44" s="344"/>
      <c r="EVD44" s="344"/>
      <c r="EVE44" s="344"/>
      <c r="EVF44" s="344"/>
      <c r="EVG44" s="344"/>
      <c r="EVH44" s="344"/>
      <c r="EVI44" s="344"/>
      <c r="EVJ44" s="344"/>
      <c r="EVK44" s="344"/>
      <c r="EVL44" s="344"/>
      <c r="EVM44" s="344"/>
      <c r="EVN44" s="344"/>
      <c r="EVO44" s="344"/>
      <c r="EVP44" s="344"/>
      <c r="EVQ44" s="344"/>
      <c r="EVR44" s="344"/>
      <c r="EVS44" s="344"/>
      <c r="EVT44" s="344"/>
      <c r="EVU44" s="344"/>
      <c r="EVV44" s="344"/>
      <c r="EVW44" s="344"/>
      <c r="EVX44" s="344"/>
      <c r="EVY44" s="344"/>
      <c r="EVZ44" s="344"/>
      <c r="EWA44" s="344"/>
      <c r="EWB44" s="344"/>
      <c r="EWC44" s="344"/>
      <c r="EWD44" s="344"/>
      <c r="EWE44" s="344"/>
      <c r="EWF44" s="344"/>
      <c r="EWG44" s="344"/>
      <c r="EWH44" s="344"/>
      <c r="EWI44" s="344"/>
      <c r="EWJ44" s="344"/>
      <c r="EWK44" s="344"/>
      <c r="EWL44" s="344"/>
      <c r="EWM44" s="344"/>
      <c r="EWN44" s="344"/>
      <c r="EWO44" s="344"/>
      <c r="EWP44" s="344"/>
      <c r="EWQ44" s="344"/>
      <c r="EWR44" s="344"/>
      <c r="EWS44" s="344"/>
      <c r="EWT44" s="344"/>
      <c r="EWU44" s="344"/>
      <c r="EWV44" s="344"/>
      <c r="EWW44" s="344"/>
      <c r="EWX44" s="344"/>
      <c r="EWY44" s="344"/>
      <c r="EWZ44" s="344"/>
      <c r="EXA44" s="344"/>
      <c r="EXB44" s="344"/>
      <c r="EXC44" s="344"/>
      <c r="EXD44" s="344"/>
      <c r="EXE44" s="344"/>
      <c r="EXF44" s="344"/>
      <c r="EXG44" s="344"/>
      <c r="EXH44" s="344"/>
      <c r="EXI44" s="344"/>
      <c r="EXJ44" s="344"/>
      <c r="EXK44" s="344"/>
      <c r="EXL44" s="344"/>
      <c r="EXM44" s="344"/>
      <c r="EXN44" s="344"/>
      <c r="EXO44" s="344"/>
      <c r="EXP44" s="344"/>
      <c r="EXQ44" s="344"/>
      <c r="EXR44" s="344"/>
      <c r="EXS44" s="344"/>
      <c r="EXT44" s="344"/>
      <c r="EXU44" s="344"/>
      <c r="EXV44" s="344"/>
      <c r="EXW44" s="344"/>
      <c r="EXX44" s="344"/>
      <c r="EXY44" s="344"/>
      <c r="EXZ44" s="344"/>
      <c r="EYA44" s="344"/>
      <c r="EYB44" s="344"/>
      <c r="EYC44" s="344"/>
      <c r="EYD44" s="344"/>
      <c r="EYE44" s="344"/>
      <c r="EYF44" s="344"/>
      <c r="EYG44" s="344"/>
      <c r="EYH44" s="344"/>
      <c r="EYI44" s="344"/>
      <c r="EYJ44" s="344"/>
      <c r="EYK44" s="344"/>
      <c r="EYL44" s="344"/>
      <c r="EYM44" s="344"/>
      <c r="EYN44" s="344"/>
      <c r="EYO44" s="344"/>
      <c r="EYP44" s="344"/>
      <c r="EYQ44" s="344"/>
      <c r="EYR44" s="344"/>
      <c r="EYS44" s="344"/>
      <c r="EYT44" s="344"/>
      <c r="EYU44" s="344"/>
      <c r="EYV44" s="344"/>
      <c r="EYW44" s="344"/>
      <c r="EYX44" s="344"/>
      <c r="EYY44" s="344"/>
      <c r="EYZ44" s="344"/>
      <c r="EZA44" s="344"/>
      <c r="EZB44" s="344"/>
      <c r="EZC44" s="344"/>
      <c r="EZD44" s="344"/>
      <c r="EZE44" s="344"/>
      <c r="EZF44" s="344"/>
      <c r="EZG44" s="344"/>
      <c r="EZH44" s="344"/>
      <c r="EZI44" s="344"/>
      <c r="EZJ44" s="344"/>
      <c r="EZK44" s="344"/>
      <c r="EZL44" s="344"/>
      <c r="EZM44" s="344"/>
      <c r="EZN44" s="344"/>
      <c r="EZO44" s="344"/>
      <c r="EZP44" s="344"/>
      <c r="EZQ44" s="344"/>
      <c r="EZR44" s="344"/>
      <c r="EZS44" s="344"/>
      <c r="EZT44" s="344"/>
      <c r="EZU44" s="344"/>
      <c r="EZV44" s="344"/>
      <c r="EZW44" s="344"/>
      <c r="EZX44" s="344"/>
      <c r="EZY44" s="344"/>
      <c r="EZZ44" s="344"/>
      <c r="FAA44" s="344"/>
      <c r="FAB44" s="344"/>
      <c r="FAC44" s="344"/>
      <c r="FAD44" s="344"/>
      <c r="FAE44" s="344"/>
      <c r="FAF44" s="344"/>
      <c r="FAG44" s="344"/>
      <c r="FAH44" s="344"/>
      <c r="FAI44" s="344"/>
      <c r="FAJ44" s="344"/>
      <c r="FAK44" s="344"/>
      <c r="FAL44" s="344"/>
      <c r="FAM44" s="344"/>
      <c r="FAN44" s="344"/>
      <c r="FAO44" s="344"/>
      <c r="FAP44" s="344"/>
      <c r="FAQ44" s="344"/>
      <c r="FAR44" s="344"/>
      <c r="FAS44" s="344"/>
      <c r="FAT44" s="344"/>
      <c r="FAU44" s="344"/>
      <c r="FAV44" s="344"/>
      <c r="FAW44" s="344"/>
      <c r="FAX44" s="344"/>
      <c r="FAY44" s="344"/>
      <c r="FAZ44" s="344"/>
      <c r="FBA44" s="344"/>
      <c r="FBB44" s="344"/>
      <c r="FBC44" s="344"/>
      <c r="FBD44" s="344"/>
      <c r="FBE44" s="344"/>
      <c r="FBF44" s="344"/>
      <c r="FBG44" s="344"/>
      <c r="FBH44" s="344"/>
      <c r="FBI44" s="344"/>
      <c r="FBJ44" s="344"/>
      <c r="FBK44" s="344"/>
      <c r="FBL44" s="344"/>
      <c r="FBM44" s="344"/>
      <c r="FBN44" s="344"/>
      <c r="FBO44" s="344"/>
      <c r="FBP44" s="344"/>
      <c r="FBQ44" s="344"/>
      <c r="FBR44" s="344"/>
      <c r="FBS44" s="344"/>
      <c r="FBT44" s="344"/>
      <c r="FBU44" s="344"/>
      <c r="FBV44" s="344"/>
      <c r="FBW44" s="344"/>
      <c r="FBX44" s="344"/>
      <c r="FBY44" s="344"/>
      <c r="FBZ44" s="344"/>
      <c r="FCA44" s="344"/>
      <c r="FCB44" s="344"/>
      <c r="FCC44" s="344"/>
      <c r="FCD44" s="344"/>
      <c r="FCE44" s="344"/>
      <c r="FCF44" s="344"/>
      <c r="FCG44" s="344"/>
      <c r="FCH44" s="344"/>
      <c r="FCI44" s="344"/>
      <c r="FCJ44" s="344"/>
      <c r="FCK44" s="344"/>
      <c r="FCL44" s="344"/>
      <c r="FCM44" s="344"/>
      <c r="FCN44" s="344"/>
      <c r="FCO44" s="344"/>
      <c r="FCP44" s="344"/>
      <c r="FCQ44" s="344"/>
      <c r="FCR44" s="344"/>
      <c r="FCS44" s="344"/>
      <c r="FCT44" s="344"/>
      <c r="FCU44" s="344"/>
      <c r="FCV44" s="344"/>
      <c r="FCW44" s="344"/>
      <c r="FCX44" s="344"/>
      <c r="FCY44" s="344"/>
      <c r="FCZ44" s="344"/>
      <c r="FDA44" s="344"/>
      <c r="FDB44" s="344"/>
      <c r="FDC44" s="344"/>
      <c r="FDD44" s="344"/>
      <c r="FDE44" s="344"/>
      <c r="FDF44" s="344"/>
      <c r="FDG44" s="344"/>
      <c r="FDH44" s="344"/>
      <c r="FDI44" s="344"/>
      <c r="FDJ44" s="344"/>
      <c r="FDK44" s="344"/>
      <c r="FDL44" s="344"/>
      <c r="FDM44" s="344"/>
      <c r="FDN44" s="344"/>
      <c r="FDO44" s="344"/>
      <c r="FDP44" s="344"/>
      <c r="FDQ44" s="344"/>
      <c r="FDR44" s="344"/>
      <c r="FDS44" s="344"/>
      <c r="FDT44" s="344"/>
      <c r="FDU44" s="344"/>
      <c r="FDV44" s="344"/>
      <c r="FDW44" s="344"/>
      <c r="FDX44" s="344"/>
      <c r="FDY44" s="344"/>
      <c r="FDZ44" s="344"/>
      <c r="FEA44" s="344"/>
      <c r="FEB44" s="344"/>
      <c r="FEC44" s="344"/>
      <c r="FED44" s="344"/>
      <c r="FEE44" s="344"/>
      <c r="FEF44" s="344"/>
      <c r="FEG44" s="344"/>
      <c r="FEH44" s="344"/>
      <c r="FEI44" s="344"/>
      <c r="FEJ44" s="344"/>
      <c r="FEK44" s="344"/>
      <c r="FEL44" s="344"/>
      <c r="FEM44" s="344"/>
      <c r="FEN44" s="344"/>
      <c r="FEO44" s="344"/>
      <c r="FEP44" s="344"/>
      <c r="FEQ44" s="344"/>
      <c r="FER44" s="344"/>
      <c r="FES44" s="344"/>
      <c r="FET44" s="344"/>
      <c r="FEU44" s="344"/>
      <c r="FEV44" s="344"/>
      <c r="FEW44" s="344"/>
      <c r="FEX44" s="344"/>
      <c r="FEY44" s="344"/>
      <c r="FEZ44" s="344"/>
      <c r="FFA44" s="344"/>
      <c r="FFB44" s="344"/>
      <c r="FFC44" s="344"/>
      <c r="FFD44" s="344"/>
      <c r="FFE44" s="344"/>
      <c r="FFF44" s="344"/>
      <c r="FFG44" s="344"/>
      <c r="FFH44" s="344"/>
      <c r="FFI44" s="344"/>
      <c r="FFJ44" s="344"/>
      <c r="FFK44" s="344"/>
      <c r="FFL44" s="344"/>
      <c r="FFM44" s="344"/>
      <c r="FFN44" s="344"/>
      <c r="FFO44" s="344"/>
      <c r="FFP44" s="344"/>
      <c r="FFQ44" s="344"/>
      <c r="FFR44" s="344"/>
      <c r="FFS44" s="344"/>
      <c r="FFT44" s="344"/>
      <c r="FFU44" s="344"/>
      <c r="FFV44" s="344"/>
      <c r="FFW44" s="344"/>
      <c r="FFX44" s="344"/>
      <c r="FFY44" s="344"/>
      <c r="FFZ44" s="344"/>
      <c r="FGA44" s="344"/>
      <c r="FGB44" s="344"/>
      <c r="FGC44" s="344"/>
      <c r="FGD44" s="344"/>
      <c r="FGE44" s="344"/>
      <c r="FGF44" s="344"/>
      <c r="FGG44" s="344"/>
      <c r="FGH44" s="344"/>
      <c r="FGI44" s="344"/>
      <c r="FGJ44" s="344"/>
      <c r="FGK44" s="344"/>
      <c r="FGL44" s="344"/>
      <c r="FGM44" s="344"/>
      <c r="FGN44" s="344"/>
      <c r="FGO44" s="344"/>
      <c r="FGP44" s="344"/>
      <c r="FGQ44" s="344"/>
      <c r="FGR44" s="344"/>
      <c r="FGS44" s="344"/>
      <c r="FGT44" s="344"/>
      <c r="FGU44" s="344"/>
      <c r="FGV44" s="344"/>
      <c r="FGW44" s="344"/>
      <c r="FGX44" s="344"/>
      <c r="FGY44" s="344"/>
      <c r="FGZ44" s="344"/>
      <c r="FHA44" s="344"/>
      <c r="FHB44" s="344"/>
      <c r="FHC44" s="344"/>
      <c r="FHD44" s="344"/>
      <c r="FHE44" s="344"/>
      <c r="FHF44" s="344"/>
      <c r="FHG44" s="344"/>
      <c r="FHH44" s="344"/>
      <c r="FHI44" s="344"/>
      <c r="FHJ44" s="344"/>
      <c r="FHK44" s="344"/>
      <c r="FHL44" s="344"/>
      <c r="FHM44" s="344"/>
      <c r="FHN44" s="344"/>
      <c r="FHO44" s="344"/>
      <c r="FHP44" s="344"/>
      <c r="FHQ44" s="344"/>
      <c r="FHR44" s="344"/>
      <c r="FHS44" s="344"/>
      <c r="FHT44" s="344"/>
      <c r="FHU44" s="344"/>
      <c r="FHV44" s="344"/>
      <c r="FHW44" s="344"/>
      <c r="FHX44" s="344"/>
      <c r="FHY44" s="344"/>
      <c r="FHZ44" s="344"/>
      <c r="FIA44" s="344"/>
      <c r="FIB44" s="344"/>
      <c r="FIC44" s="344"/>
      <c r="FID44" s="344"/>
      <c r="FIE44" s="344"/>
      <c r="FIF44" s="344"/>
      <c r="FIG44" s="344"/>
      <c r="FIH44" s="344"/>
      <c r="FII44" s="344"/>
      <c r="FIJ44" s="344"/>
      <c r="FIK44" s="344"/>
      <c r="FIL44" s="344"/>
      <c r="FIM44" s="344"/>
      <c r="FIN44" s="344"/>
      <c r="FIO44" s="344"/>
      <c r="FIP44" s="344"/>
      <c r="FIQ44" s="344"/>
      <c r="FIR44" s="344"/>
      <c r="FIS44" s="344"/>
      <c r="FIT44" s="344"/>
      <c r="FIU44" s="344"/>
      <c r="FIV44" s="344"/>
      <c r="FIW44" s="344"/>
      <c r="FIX44" s="344"/>
      <c r="FIY44" s="344"/>
      <c r="FIZ44" s="344"/>
      <c r="FJA44" s="344"/>
      <c r="FJB44" s="344"/>
      <c r="FJC44" s="344"/>
      <c r="FJD44" s="344"/>
      <c r="FJE44" s="344"/>
      <c r="FJF44" s="344"/>
      <c r="FJG44" s="344"/>
      <c r="FJH44" s="344"/>
      <c r="FJI44" s="344"/>
      <c r="FJJ44" s="344"/>
      <c r="FJK44" s="344"/>
      <c r="FJL44" s="344"/>
      <c r="FJM44" s="344"/>
      <c r="FJN44" s="344"/>
      <c r="FJO44" s="344"/>
      <c r="FJP44" s="344"/>
      <c r="FJQ44" s="344"/>
      <c r="FJR44" s="344"/>
      <c r="FJS44" s="344"/>
      <c r="FJT44" s="344"/>
      <c r="FJU44" s="344"/>
      <c r="FJV44" s="344"/>
      <c r="FJW44" s="344"/>
      <c r="FJX44" s="344"/>
      <c r="FJY44" s="344"/>
      <c r="FJZ44" s="344"/>
      <c r="FKA44" s="344"/>
      <c r="FKB44" s="344"/>
      <c r="FKC44" s="344"/>
      <c r="FKD44" s="344"/>
      <c r="FKE44" s="344"/>
      <c r="FKF44" s="344"/>
      <c r="FKG44" s="344"/>
      <c r="FKH44" s="344"/>
      <c r="FKI44" s="344"/>
      <c r="FKJ44" s="344"/>
      <c r="FKK44" s="344"/>
      <c r="FKL44" s="344"/>
      <c r="FKM44" s="344"/>
      <c r="FKN44" s="344"/>
      <c r="FKO44" s="344"/>
      <c r="FKP44" s="344"/>
      <c r="FKQ44" s="344"/>
      <c r="FKR44" s="344"/>
      <c r="FKS44" s="344"/>
      <c r="FKT44" s="344"/>
      <c r="FKU44" s="344"/>
      <c r="FKV44" s="344"/>
      <c r="FKW44" s="344"/>
      <c r="FKX44" s="344"/>
      <c r="FKY44" s="344"/>
      <c r="FKZ44" s="344"/>
      <c r="FLA44" s="344"/>
      <c r="FLB44" s="344"/>
      <c r="FLC44" s="344"/>
      <c r="FLD44" s="344"/>
      <c r="FLE44" s="344"/>
      <c r="FLF44" s="344"/>
      <c r="FLG44" s="344"/>
      <c r="FLH44" s="344"/>
      <c r="FLI44" s="344"/>
      <c r="FLJ44" s="344"/>
      <c r="FLK44" s="344"/>
      <c r="FLL44" s="344"/>
      <c r="FLM44" s="344"/>
      <c r="FLN44" s="344"/>
      <c r="FLO44" s="344"/>
      <c r="FLP44" s="344"/>
      <c r="FLQ44" s="344"/>
      <c r="FLR44" s="344"/>
      <c r="FLS44" s="344"/>
      <c r="FLT44" s="344"/>
      <c r="FLU44" s="344"/>
      <c r="FLV44" s="344"/>
      <c r="FLW44" s="344"/>
      <c r="FLX44" s="344"/>
      <c r="FLY44" s="344"/>
      <c r="FLZ44" s="344"/>
      <c r="FMA44" s="344"/>
      <c r="FMB44" s="344"/>
      <c r="FMC44" s="344"/>
      <c r="FMD44" s="344"/>
      <c r="FME44" s="344"/>
      <c r="FMF44" s="344"/>
      <c r="FMG44" s="344"/>
      <c r="FMH44" s="344"/>
      <c r="FMI44" s="344"/>
      <c r="FMJ44" s="344"/>
      <c r="FMK44" s="344"/>
      <c r="FML44" s="344"/>
      <c r="FMM44" s="344"/>
      <c r="FMN44" s="344"/>
      <c r="FMO44" s="344"/>
      <c r="FMP44" s="344"/>
      <c r="FMQ44" s="344"/>
      <c r="FMR44" s="344"/>
      <c r="FMS44" s="344"/>
      <c r="FMT44" s="344"/>
      <c r="FMU44" s="344"/>
      <c r="FMV44" s="344"/>
      <c r="FMW44" s="344"/>
      <c r="FMX44" s="344"/>
      <c r="FMY44" s="344"/>
      <c r="FMZ44" s="344"/>
      <c r="FNA44" s="344"/>
      <c r="FNB44" s="344"/>
      <c r="FNC44" s="344"/>
      <c r="FND44" s="344"/>
      <c r="FNE44" s="344"/>
      <c r="FNF44" s="344"/>
      <c r="FNG44" s="344"/>
      <c r="FNH44" s="344"/>
      <c r="FNI44" s="344"/>
      <c r="FNJ44" s="344"/>
      <c r="FNK44" s="344"/>
      <c r="FNL44" s="344"/>
      <c r="FNM44" s="344"/>
      <c r="FNN44" s="344"/>
      <c r="FNO44" s="344"/>
      <c r="FNP44" s="344"/>
      <c r="FNQ44" s="344"/>
      <c r="FNR44" s="344"/>
      <c r="FNS44" s="344"/>
      <c r="FNT44" s="344"/>
      <c r="FNU44" s="344"/>
      <c r="FNV44" s="344"/>
      <c r="FNW44" s="344"/>
      <c r="FNX44" s="344"/>
      <c r="FNY44" s="344"/>
      <c r="FNZ44" s="344"/>
      <c r="FOA44" s="344"/>
      <c r="FOB44" s="344"/>
      <c r="FOC44" s="344"/>
      <c r="FOD44" s="344"/>
      <c r="FOE44" s="344"/>
      <c r="FOF44" s="344"/>
      <c r="FOG44" s="344"/>
      <c r="FOH44" s="344"/>
      <c r="FOI44" s="344"/>
      <c r="FOJ44" s="344"/>
      <c r="FOK44" s="344"/>
      <c r="FOL44" s="344"/>
      <c r="FOM44" s="344"/>
      <c r="FON44" s="344"/>
      <c r="FOO44" s="344"/>
      <c r="FOP44" s="344"/>
      <c r="FOQ44" s="344"/>
      <c r="FOR44" s="344"/>
      <c r="FOS44" s="344"/>
      <c r="FOT44" s="344"/>
      <c r="FOU44" s="344"/>
      <c r="FOV44" s="344"/>
      <c r="FOW44" s="344"/>
      <c r="FOX44" s="344"/>
      <c r="FOY44" s="344"/>
      <c r="FOZ44" s="344"/>
      <c r="FPA44" s="344"/>
      <c r="FPB44" s="344"/>
      <c r="FPC44" s="344"/>
      <c r="FPD44" s="344"/>
      <c r="FPE44" s="344"/>
      <c r="FPF44" s="344"/>
      <c r="FPG44" s="344"/>
      <c r="FPH44" s="344"/>
      <c r="FPI44" s="344"/>
      <c r="FPJ44" s="344"/>
      <c r="FPK44" s="344"/>
      <c r="FPL44" s="344"/>
      <c r="FPM44" s="344"/>
      <c r="FPN44" s="344"/>
      <c r="FPO44" s="344"/>
      <c r="FPP44" s="344"/>
      <c r="FPQ44" s="344"/>
      <c r="FPR44" s="344"/>
      <c r="FPS44" s="344"/>
      <c r="FPT44" s="344"/>
      <c r="FPU44" s="344"/>
      <c r="FPV44" s="344"/>
      <c r="FPW44" s="344"/>
      <c r="FPX44" s="344"/>
      <c r="FPY44" s="344"/>
      <c r="FPZ44" s="344"/>
      <c r="FQA44" s="344"/>
      <c r="FQB44" s="344"/>
      <c r="FQC44" s="344"/>
      <c r="FQD44" s="344"/>
      <c r="FQE44" s="344"/>
      <c r="FQF44" s="344"/>
      <c r="FQG44" s="344"/>
      <c r="FQH44" s="344"/>
      <c r="FQI44" s="344"/>
      <c r="FQJ44" s="344"/>
      <c r="FQK44" s="344"/>
      <c r="FQL44" s="344"/>
      <c r="FQM44" s="344"/>
      <c r="FQN44" s="344"/>
      <c r="FQO44" s="344"/>
      <c r="FQP44" s="344"/>
      <c r="FQQ44" s="344"/>
      <c r="FQR44" s="344"/>
      <c r="FQS44" s="344"/>
      <c r="FQT44" s="344"/>
      <c r="FQU44" s="344"/>
      <c r="FQV44" s="344"/>
      <c r="FQW44" s="344"/>
      <c r="FQX44" s="344"/>
      <c r="FQY44" s="344"/>
      <c r="FQZ44" s="344"/>
      <c r="FRA44" s="344"/>
      <c r="FRB44" s="344"/>
      <c r="FRC44" s="344"/>
      <c r="FRD44" s="344"/>
      <c r="FRE44" s="344"/>
      <c r="FRF44" s="344"/>
      <c r="FRG44" s="344"/>
      <c r="FRH44" s="344"/>
      <c r="FRI44" s="344"/>
      <c r="FRJ44" s="344"/>
      <c r="FRK44" s="344"/>
      <c r="FRL44" s="344"/>
      <c r="FRM44" s="344"/>
      <c r="FRN44" s="344"/>
      <c r="FRO44" s="344"/>
      <c r="FRP44" s="344"/>
      <c r="FRQ44" s="344"/>
      <c r="FRR44" s="344"/>
      <c r="FRS44" s="344"/>
      <c r="FRT44" s="344"/>
      <c r="FRU44" s="344"/>
      <c r="FRV44" s="344"/>
      <c r="FRW44" s="344"/>
      <c r="FRX44" s="344"/>
      <c r="FRY44" s="344"/>
      <c r="FRZ44" s="344"/>
      <c r="FSA44" s="344"/>
      <c r="FSB44" s="344"/>
      <c r="FSC44" s="344"/>
      <c r="FSD44" s="344"/>
      <c r="FSE44" s="344"/>
      <c r="FSF44" s="344"/>
      <c r="FSG44" s="344"/>
      <c r="FSH44" s="344"/>
      <c r="FSI44" s="344"/>
      <c r="FSJ44" s="344"/>
      <c r="FSK44" s="344"/>
      <c r="FSL44" s="344"/>
      <c r="FSM44" s="344"/>
      <c r="FSN44" s="344"/>
      <c r="FSO44" s="344"/>
      <c r="FSP44" s="344"/>
      <c r="FSQ44" s="344"/>
      <c r="FSR44" s="344"/>
      <c r="FSS44" s="344"/>
      <c r="FST44" s="344"/>
      <c r="FSU44" s="344"/>
      <c r="FSV44" s="344"/>
      <c r="FSW44" s="344"/>
      <c r="FSX44" s="344"/>
      <c r="FSY44" s="344"/>
      <c r="FSZ44" s="344"/>
      <c r="FTA44" s="344"/>
      <c r="FTB44" s="344"/>
      <c r="FTC44" s="344"/>
      <c r="FTD44" s="344"/>
      <c r="FTE44" s="344"/>
      <c r="FTF44" s="344"/>
      <c r="FTG44" s="344"/>
      <c r="FTH44" s="344"/>
      <c r="FTI44" s="344"/>
      <c r="FTJ44" s="344"/>
      <c r="FTK44" s="344"/>
      <c r="FTL44" s="344"/>
      <c r="FTM44" s="344"/>
      <c r="FTN44" s="344"/>
      <c r="FTO44" s="344"/>
      <c r="FTP44" s="344"/>
      <c r="FTQ44" s="344"/>
      <c r="FTR44" s="344"/>
      <c r="FTS44" s="344"/>
      <c r="FTT44" s="344"/>
      <c r="FTU44" s="344"/>
      <c r="FTV44" s="344"/>
      <c r="FTW44" s="344"/>
      <c r="FTX44" s="344"/>
      <c r="FTY44" s="344"/>
      <c r="FTZ44" s="344"/>
      <c r="FUA44" s="344"/>
      <c r="FUB44" s="344"/>
      <c r="FUC44" s="344"/>
      <c r="FUD44" s="344"/>
      <c r="FUE44" s="344"/>
      <c r="FUF44" s="344"/>
      <c r="FUG44" s="344"/>
      <c r="FUH44" s="344"/>
      <c r="FUI44" s="344"/>
      <c r="FUJ44" s="344"/>
      <c r="FUK44" s="344"/>
      <c r="FUL44" s="344"/>
      <c r="FUM44" s="344"/>
      <c r="FUN44" s="344"/>
      <c r="FUO44" s="344"/>
      <c r="FUP44" s="344"/>
      <c r="FUQ44" s="344"/>
      <c r="FUR44" s="344"/>
      <c r="FUS44" s="344"/>
      <c r="FUT44" s="344"/>
      <c r="FUU44" s="344"/>
      <c r="FUV44" s="344"/>
      <c r="FUW44" s="344"/>
      <c r="FUX44" s="344"/>
      <c r="FUY44" s="344"/>
      <c r="FUZ44" s="344"/>
      <c r="FVA44" s="344"/>
      <c r="FVB44" s="344"/>
      <c r="FVC44" s="344"/>
      <c r="FVD44" s="344"/>
      <c r="FVE44" s="344"/>
      <c r="FVF44" s="344"/>
      <c r="FVG44" s="344"/>
      <c r="FVH44" s="344"/>
      <c r="FVI44" s="344"/>
      <c r="FVJ44" s="344"/>
      <c r="FVK44" s="344"/>
      <c r="FVL44" s="344"/>
      <c r="FVM44" s="344"/>
      <c r="FVN44" s="344"/>
      <c r="FVO44" s="344"/>
      <c r="FVP44" s="344"/>
      <c r="FVQ44" s="344"/>
      <c r="FVR44" s="344"/>
      <c r="FVS44" s="344"/>
      <c r="FVT44" s="344"/>
      <c r="FVU44" s="344"/>
      <c r="FVV44" s="344"/>
      <c r="FVW44" s="344"/>
      <c r="FVX44" s="344"/>
      <c r="FVY44" s="344"/>
      <c r="FVZ44" s="344"/>
      <c r="FWA44" s="344"/>
      <c r="FWB44" s="344"/>
      <c r="FWC44" s="344"/>
      <c r="FWD44" s="344"/>
      <c r="FWE44" s="344"/>
      <c r="FWF44" s="344"/>
      <c r="FWG44" s="344"/>
      <c r="FWH44" s="344"/>
      <c r="FWI44" s="344"/>
      <c r="FWJ44" s="344"/>
      <c r="FWK44" s="344"/>
      <c r="FWL44" s="344"/>
      <c r="FWM44" s="344"/>
      <c r="FWN44" s="344"/>
      <c r="FWO44" s="344"/>
      <c r="FWP44" s="344"/>
      <c r="FWQ44" s="344"/>
      <c r="FWR44" s="344"/>
      <c r="FWS44" s="344"/>
      <c r="FWT44" s="344"/>
      <c r="FWU44" s="344"/>
      <c r="FWV44" s="344"/>
      <c r="FWW44" s="344"/>
      <c r="FWX44" s="344"/>
      <c r="FWY44" s="344"/>
      <c r="FWZ44" s="344"/>
      <c r="FXA44" s="344"/>
      <c r="FXB44" s="344"/>
      <c r="FXC44" s="344"/>
      <c r="FXD44" s="344"/>
      <c r="FXE44" s="344"/>
      <c r="FXF44" s="344"/>
      <c r="FXG44" s="344"/>
      <c r="FXH44" s="344"/>
      <c r="FXI44" s="344"/>
      <c r="FXJ44" s="344"/>
      <c r="FXK44" s="344"/>
      <c r="FXL44" s="344"/>
      <c r="FXM44" s="344"/>
      <c r="FXN44" s="344"/>
      <c r="FXO44" s="344"/>
      <c r="FXP44" s="344"/>
      <c r="FXQ44" s="344"/>
      <c r="FXR44" s="344"/>
      <c r="FXS44" s="344"/>
      <c r="FXT44" s="344"/>
      <c r="FXU44" s="344"/>
      <c r="FXV44" s="344"/>
      <c r="FXW44" s="344"/>
      <c r="FXX44" s="344"/>
      <c r="FXY44" s="344"/>
      <c r="FXZ44" s="344"/>
      <c r="FYA44" s="344"/>
      <c r="FYB44" s="344"/>
      <c r="FYC44" s="344"/>
      <c r="FYD44" s="344"/>
      <c r="FYE44" s="344"/>
      <c r="FYF44" s="344"/>
      <c r="FYG44" s="344"/>
      <c r="FYH44" s="344"/>
      <c r="FYI44" s="344"/>
      <c r="FYJ44" s="344"/>
      <c r="FYK44" s="344"/>
      <c r="FYL44" s="344"/>
      <c r="FYM44" s="344"/>
      <c r="FYN44" s="344"/>
      <c r="FYO44" s="344"/>
      <c r="FYP44" s="344"/>
      <c r="FYQ44" s="344"/>
      <c r="FYR44" s="344"/>
      <c r="FYS44" s="344"/>
      <c r="FYT44" s="344"/>
      <c r="FYU44" s="344"/>
      <c r="FYV44" s="344"/>
      <c r="FYW44" s="344"/>
      <c r="FYX44" s="344"/>
      <c r="FYY44" s="344"/>
      <c r="FYZ44" s="344"/>
      <c r="FZA44" s="344"/>
      <c r="FZB44" s="344"/>
      <c r="FZC44" s="344"/>
      <c r="FZD44" s="344"/>
      <c r="FZE44" s="344"/>
      <c r="FZF44" s="344"/>
      <c r="FZG44" s="344"/>
      <c r="FZH44" s="344"/>
      <c r="FZI44" s="344"/>
      <c r="FZJ44" s="344"/>
      <c r="FZK44" s="344"/>
      <c r="FZL44" s="344"/>
      <c r="FZM44" s="344"/>
      <c r="FZN44" s="344"/>
      <c r="FZO44" s="344"/>
      <c r="FZP44" s="344"/>
      <c r="FZQ44" s="344"/>
      <c r="FZR44" s="344"/>
      <c r="FZS44" s="344"/>
      <c r="FZT44" s="344"/>
      <c r="FZU44" s="344"/>
      <c r="FZV44" s="344"/>
      <c r="FZW44" s="344"/>
      <c r="FZX44" s="344"/>
      <c r="FZY44" s="344"/>
      <c r="FZZ44" s="344"/>
      <c r="GAA44" s="344"/>
      <c r="GAB44" s="344"/>
      <c r="GAC44" s="344"/>
      <c r="GAD44" s="344"/>
      <c r="GAE44" s="344"/>
      <c r="GAF44" s="344"/>
      <c r="GAG44" s="344"/>
      <c r="GAH44" s="344"/>
      <c r="GAI44" s="344"/>
      <c r="GAJ44" s="344"/>
      <c r="GAK44" s="344"/>
      <c r="GAL44" s="344"/>
      <c r="GAM44" s="344"/>
      <c r="GAN44" s="344"/>
      <c r="GAO44" s="344"/>
      <c r="GAP44" s="344"/>
      <c r="GAQ44" s="344"/>
      <c r="GAR44" s="344"/>
      <c r="GAS44" s="344"/>
      <c r="GAT44" s="344"/>
      <c r="GAU44" s="344"/>
      <c r="GAV44" s="344"/>
      <c r="GAW44" s="344"/>
      <c r="GAX44" s="344"/>
      <c r="GAY44" s="344"/>
      <c r="GAZ44" s="344"/>
      <c r="GBA44" s="344"/>
      <c r="GBB44" s="344"/>
      <c r="GBC44" s="344"/>
      <c r="GBD44" s="344"/>
      <c r="GBE44" s="344"/>
      <c r="GBF44" s="344"/>
      <c r="GBG44" s="344"/>
      <c r="GBH44" s="344"/>
      <c r="GBI44" s="344"/>
      <c r="GBJ44" s="344"/>
      <c r="GBK44" s="344"/>
      <c r="GBL44" s="344"/>
      <c r="GBM44" s="344"/>
      <c r="GBN44" s="344"/>
      <c r="GBO44" s="344"/>
      <c r="GBP44" s="344"/>
      <c r="GBQ44" s="344"/>
      <c r="GBR44" s="344"/>
      <c r="GBS44" s="344"/>
      <c r="GBT44" s="344"/>
      <c r="GBU44" s="344"/>
      <c r="GBV44" s="344"/>
      <c r="GBW44" s="344"/>
      <c r="GBX44" s="344"/>
      <c r="GBY44" s="344"/>
      <c r="GBZ44" s="344"/>
      <c r="GCA44" s="344"/>
      <c r="GCB44" s="344"/>
      <c r="GCC44" s="344"/>
      <c r="GCD44" s="344"/>
      <c r="GCE44" s="344"/>
      <c r="GCF44" s="344"/>
      <c r="GCG44" s="344"/>
      <c r="GCH44" s="344"/>
      <c r="GCI44" s="344"/>
      <c r="GCJ44" s="344"/>
      <c r="GCK44" s="344"/>
      <c r="GCL44" s="344"/>
      <c r="GCM44" s="344"/>
      <c r="GCN44" s="344"/>
      <c r="GCO44" s="344"/>
      <c r="GCP44" s="344"/>
      <c r="GCQ44" s="344"/>
      <c r="GCR44" s="344"/>
      <c r="GCS44" s="344"/>
      <c r="GCT44" s="344"/>
      <c r="GCU44" s="344"/>
      <c r="GCV44" s="344"/>
      <c r="GCW44" s="344"/>
      <c r="GCX44" s="344"/>
      <c r="GCY44" s="344"/>
      <c r="GCZ44" s="344"/>
      <c r="GDA44" s="344"/>
      <c r="GDB44" s="344"/>
      <c r="GDC44" s="344"/>
      <c r="GDD44" s="344"/>
      <c r="GDE44" s="344"/>
      <c r="GDF44" s="344"/>
      <c r="GDG44" s="344"/>
      <c r="GDH44" s="344"/>
      <c r="GDI44" s="344"/>
      <c r="GDJ44" s="344"/>
      <c r="GDK44" s="344"/>
      <c r="GDL44" s="344"/>
      <c r="GDM44" s="344"/>
      <c r="GDN44" s="344"/>
      <c r="GDO44" s="344"/>
      <c r="GDP44" s="344"/>
      <c r="GDQ44" s="344"/>
      <c r="GDR44" s="344"/>
      <c r="GDS44" s="344"/>
      <c r="GDT44" s="344"/>
      <c r="GDU44" s="344"/>
      <c r="GDV44" s="344"/>
      <c r="GDW44" s="344"/>
      <c r="GDX44" s="344"/>
      <c r="GDY44" s="344"/>
      <c r="GDZ44" s="344"/>
      <c r="GEA44" s="344"/>
      <c r="GEB44" s="344"/>
      <c r="GEC44" s="344"/>
      <c r="GED44" s="344"/>
      <c r="GEE44" s="344"/>
      <c r="GEF44" s="344"/>
      <c r="GEG44" s="344"/>
      <c r="GEH44" s="344"/>
      <c r="GEI44" s="344"/>
      <c r="GEJ44" s="344"/>
      <c r="GEK44" s="344"/>
      <c r="GEL44" s="344"/>
      <c r="GEM44" s="344"/>
      <c r="GEN44" s="344"/>
      <c r="GEO44" s="344"/>
      <c r="GEP44" s="344"/>
      <c r="GEQ44" s="344"/>
      <c r="GER44" s="344"/>
      <c r="GES44" s="344"/>
      <c r="GET44" s="344"/>
      <c r="GEU44" s="344"/>
      <c r="GEV44" s="344"/>
      <c r="GEW44" s="344"/>
      <c r="GEX44" s="344"/>
      <c r="GEY44" s="344"/>
      <c r="GEZ44" s="344"/>
      <c r="GFA44" s="344"/>
      <c r="GFB44" s="344"/>
      <c r="GFC44" s="344"/>
      <c r="GFD44" s="344"/>
      <c r="GFE44" s="344"/>
      <c r="GFF44" s="344"/>
      <c r="GFG44" s="344"/>
      <c r="GFH44" s="344"/>
      <c r="GFI44" s="344"/>
      <c r="GFJ44" s="344"/>
      <c r="GFK44" s="344"/>
      <c r="GFL44" s="344"/>
      <c r="GFM44" s="344"/>
      <c r="GFN44" s="344"/>
      <c r="GFO44" s="344"/>
      <c r="GFP44" s="344"/>
      <c r="GFQ44" s="344"/>
      <c r="GFR44" s="344"/>
      <c r="GFS44" s="344"/>
      <c r="GFT44" s="344"/>
      <c r="GFU44" s="344"/>
      <c r="GFV44" s="344"/>
      <c r="GFW44" s="344"/>
      <c r="GFX44" s="344"/>
      <c r="GFY44" s="344"/>
      <c r="GFZ44" s="344"/>
      <c r="GGA44" s="344"/>
      <c r="GGB44" s="344"/>
      <c r="GGC44" s="344"/>
      <c r="GGD44" s="344"/>
      <c r="GGE44" s="344"/>
      <c r="GGF44" s="344"/>
      <c r="GGG44" s="344"/>
      <c r="GGH44" s="344"/>
      <c r="GGI44" s="344"/>
      <c r="GGJ44" s="344"/>
      <c r="GGK44" s="344"/>
      <c r="GGL44" s="344"/>
      <c r="GGM44" s="344"/>
      <c r="GGN44" s="344"/>
      <c r="GGO44" s="344"/>
      <c r="GGP44" s="344"/>
      <c r="GGQ44" s="344"/>
      <c r="GGR44" s="344"/>
      <c r="GGS44" s="344"/>
      <c r="GGT44" s="344"/>
      <c r="GGU44" s="344"/>
      <c r="GGV44" s="344"/>
      <c r="GGW44" s="344"/>
      <c r="GGX44" s="344"/>
      <c r="GGY44" s="344"/>
      <c r="GGZ44" s="344"/>
      <c r="GHA44" s="344"/>
      <c r="GHB44" s="344"/>
      <c r="GHC44" s="344"/>
      <c r="GHD44" s="344"/>
      <c r="GHE44" s="344"/>
      <c r="GHF44" s="344"/>
      <c r="GHG44" s="344"/>
      <c r="GHH44" s="344"/>
      <c r="GHI44" s="344"/>
      <c r="GHJ44" s="344"/>
      <c r="GHK44" s="344"/>
      <c r="GHL44" s="344"/>
      <c r="GHM44" s="344"/>
      <c r="GHN44" s="344"/>
      <c r="GHO44" s="344"/>
      <c r="GHP44" s="344"/>
      <c r="GHQ44" s="344"/>
      <c r="GHR44" s="344"/>
      <c r="GHS44" s="344"/>
      <c r="GHT44" s="344"/>
      <c r="GHU44" s="344"/>
      <c r="GHV44" s="344"/>
      <c r="GHW44" s="344"/>
      <c r="GHX44" s="344"/>
      <c r="GHY44" s="344"/>
      <c r="GHZ44" s="344"/>
      <c r="GIA44" s="344"/>
      <c r="GIB44" s="344"/>
      <c r="GIC44" s="344"/>
      <c r="GID44" s="344"/>
      <c r="GIE44" s="344"/>
      <c r="GIF44" s="344"/>
      <c r="GIG44" s="344"/>
      <c r="GIH44" s="344"/>
      <c r="GII44" s="344"/>
      <c r="GIJ44" s="344"/>
      <c r="GIK44" s="344"/>
      <c r="GIL44" s="344"/>
      <c r="GIM44" s="344"/>
      <c r="GIN44" s="344"/>
      <c r="GIO44" s="344"/>
      <c r="GIP44" s="344"/>
      <c r="GIQ44" s="344"/>
      <c r="GIR44" s="344"/>
      <c r="GIS44" s="344"/>
      <c r="GIT44" s="344"/>
      <c r="GIU44" s="344"/>
      <c r="GIV44" s="344"/>
      <c r="GIW44" s="344"/>
      <c r="GIX44" s="344"/>
      <c r="GIY44" s="344"/>
      <c r="GIZ44" s="344"/>
      <c r="GJA44" s="344"/>
      <c r="GJB44" s="344"/>
      <c r="GJC44" s="344"/>
      <c r="GJD44" s="344"/>
      <c r="GJE44" s="344"/>
      <c r="GJF44" s="344"/>
      <c r="GJG44" s="344"/>
      <c r="GJH44" s="344"/>
      <c r="GJI44" s="344"/>
      <c r="GJJ44" s="344"/>
      <c r="GJK44" s="344"/>
      <c r="GJL44" s="344"/>
      <c r="GJM44" s="344"/>
      <c r="GJN44" s="344"/>
      <c r="GJO44" s="344"/>
      <c r="GJP44" s="344"/>
      <c r="GJQ44" s="344"/>
      <c r="GJR44" s="344"/>
      <c r="GJS44" s="344"/>
      <c r="GJT44" s="344"/>
      <c r="GJU44" s="344"/>
      <c r="GJV44" s="344"/>
      <c r="GJW44" s="344"/>
      <c r="GJX44" s="344"/>
      <c r="GJY44" s="344"/>
      <c r="GJZ44" s="344"/>
      <c r="GKA44" s="344"/>
      <c r="GKB44" s="344"/>
      <c r="GKC44" s="344"/>
      <c r="GKD44" s="344"/>
      <c r="GKE44" s="344"/>
      <c r="GKF44" s="344"/>
      <c r="GKG44" s="344"/>
      <c r="GKH44" s="344"/>
      <c r="GKI44" s="344"/>
      <c r="GKJ44" s="344"/>
      <c r="GKK44" s="344"/>
      <c r="GKL44" s="344"/>
      <c r="GKM44" s="344"/>
      <c r="GKN44" s="344"/>
      <c r="GKO44" s="344"/>
      <c r="GKP44" s="344"/>
      <c r="GKQ44" s="344"/>
      <c r="GKR44" s="344"/>
      <c r="GKS44" s="344"/>
      <c r="GKT44" s="344"/>
      <c r="GKU44" s="344"/>
      <c r="GKV44" s="344"/>
      <c r="GKW44" s="344"/>
      <c r="GKX44" s="344"/>
      <c r="GKY44" s="344"/>
      <c r="GKZ44" s="344"/>
      <c r="GLA44" s="344"/>
      <c r="GLB44" s="344"/>
      <c r="GLC44" s="344"/>
      <c r="GLD44" s="344"/>
      <c r="GLE44" s="344"/>
      <c r="GLF44" s="344"/>
      <c r="GLG44" s="344"/>
      <c r="GLH44" s="344"/>
      <c r="GLI44" s="344"/>
      <c r="GLJ44" s="344"/>
      <c r="GLK44" s="344"/>
      <c r="GLL44" s="344"/>
      <c r="GLM44" s="344"/>
      <c r="GLN44" s="344"/>
      <c r="GLO44" s="344"/>
      <c r="GLP44" s="344"/>
      <c r="GLQ44" s="344"/>
      <c r="GLR44" s="344"/>
      <c r="GLS44" s="344"/>
      <c r="GLT44" s="344"/>
      <c r="GLU44" s="344"/>
      <c r="GLV44" s="344"/>
      <c r="GLW44" s="344"/>
      <c r="GLX44" s="344"/>
      <c r="GLY44" s="344"/>
      <c r="GLZ44" s="344"/>
      <c r="GMA44" s="344"/>
      <c r="GMB44" s="344"/>
      <c r="GMC44" s="344"/>
      <c r="GMD44" s="344"/>
      <c r="GME44" s="344"/>
      <c r="GMF44" s="344"/>
      <c r="GMG44" s="344"/>
      <c r="GMH44" s="344"/>
      <c r="GMI44" s="344"/>
      <c r="GMJ44" s="344"/>
      <c r="GMK44" s="344"/>
      <c r="GML44" s="344"/>
      <c r="GMM44" s="344"/>
      <c r="GMN44" s="344"/>
      <c r="GMO44" s="344"/>
      <c r="GMP44" s="344"/>
      <c r="GMQ44" s="344"/>
      <c r="GMR44" s="344"/>
      <c r="GMS44" s="344"/>
      <c r="GMT44" s="344"/>
      <c r="GMU44" s="344"/>
      <c r="GMV44" s="344"/>
      <c r="GMW44" s="344"/>
      <c r="GMX44" s="344"/>
      <c r="GMY44" s="344"/>
      <c r="GMZ44" s="344"/>
      <c r="GNA44" s="344"/>
      <c r="GNB44" s="344"/>
      <c r="GNC44" s="344"/>
      <c r="GND44" s="344"/>
      <c r="GNE44" s="344"/>
      <c r="GNF44" s="344"/>
      <c r="GNG44" s="344"/>
      <c r="GNH44" s="344"/>
      <c r="GNI44" s="344"/>
      <c r="GNJ44" s="344"/>
      <c r="GNK44" s="344"/>
      <c r="GNL44" s="344"/>
      <c r="GNM44" s="344"/>
      <c r="GNN44" s="344"/>
      <c r="GNO44" s="344"/>
      <c r="GNP44" s="344"/>
      <c r="GNQ44" s="344"/>
      <c r="GNR44" s="344"/>
      <c r="GNS44" s="344"/>
      <c r="GNT44" s="344"/>
      <c r="GNU44" s="344"/>
      <c r="GNV44" s="344"/>
      <c r="GNW44" s="344"/>
      <c r="GNX44" s="344"/>
      <c r="GNY44" s="344"/>
      <c r="GNZ44" s="344"/>
      <c r="GOA44" s="344"/>
      <c r="GOB44" s="344"/>
      <c r="GOC44" s="344"/>
      <c r="GOD44" s="344"/>
      <c r="GOE44" s="344"/>
      <c r="GOF44" s="344"/>
      <c r="GOG44" s="344"/>
      <c r="GOH44" s="344"/>
      <c r="GOI44" s="344"/>
      <c r="GOJ44" s="344"/>
      <c r="GOK44" s="344"/>
      <c r="GOL44" s="344"/>
      <c r="GOM44" s="344"/>
      <c r="GON44" s="344"/>
      <c r="GOO44" s="344"/>
      <c r="GOP44" s="344"/>
      <c r="GOQ44" s="344"/>
      <c r="GOR44" s="344"/>
      <c r="GOS44" s="344"/>
      <c r="GOT44" s="344"/>
      <c r="GOU44" s="344"/>
      <c r="GOV44" s="344"/>
      <c r="GOW44" s="344"/>
      <c r="GOX44" s="344"/>
      <c r="GOY44" s="344"/>
      <c r="GOZ44" s="344"/>
      <c r="GPA44" s="344"/>
      <c r="GPB44" s="344"/>
      <c r="GPC44" s="344"/>
      <c r="GPD44" s="344"/>
      <c r="GPE44" s="344"/>
      <c r="GPF44" s="344"/>
      <c r="GPG44" s="344"/>
      <c r="GPH44" s="344"/>
      <c r="GPI44" s="344"/>
      <c r="GPJ44" s="344"/>
      <c r="GPK44" s="344"/>
      <c r="GPL44" s="344"/>
      <c r="GPM44" s="344"/>
      <c r="GPN44" s="344"/>
      <c r="GPO44" s="344"/>
      <c r="GPP44" s="344"/>
      <c r="GPQ44" s="344"/>
      <c r="GPR44" s="344"/>
      <c r="GPS44" s="344"/>
      <c r="GPT44" s="344"/>
      <c r="GPU44" s="344"/>
      <c r="GPV44" s="344"/>
      <c r="GPW44" s="344"/>
      <c r="GPX44" s="344"/>
      <c r="GPY44" s="344"/>
      <c r="GPZ44" s="344"/>
      <c r="GQA44" s="344"/>
      <c r="GQB44" s="344"/>
      <c r="GQC44" s="344"/>
      <c r="GQD44" s="344"/>
      <c r="GQE44" s="344"/>
      <c r="GQF44" s="344"/>
      <c r="GQG44" s="344"/>
      <c r="GQH44" s="344"/>
      <c r="GQI44" s="344"/>
      <c r="GQJ44" s="344"/>
      <c r="GQK44" s="344"/>
      <c r="GQL44" s="344"/>
      <c r="GQM44" s="344"/>
      <c r="GQN44" s="344"/>
      <c r="GQO44" s="344"/>
      <c r="GQP44" s="344"/>
      <c r="GQQ44" s="344"/>
      <c r="GQR44" s="344"/>
      <c r="GQS44" s="344"/>
      <c r="GQT44" s="344"/>
      <c r="GQU44" s="344"/>
      <c r="GQV44" s="344"/>
      <c r="GQW44" s="344"/>
      <c r="GQX44" s="344"/>
      <c r="GQY44" s="344"/>
      <c r="GQZ44" s="344"/>
      <c r="GRA44" s="344"/>
      <c r="GRB44" s="344"/>
      <c r="GRC44" s="344"/>
      <c r="GRD44" s="344"/>
      <c r="GRE44" s="344"/>
      <c r="GRF44" s="344"/>
      <c r="GRG44" s="344"/>
      <c r="GRH44" s="344"/>
      <c r="GRI44" s="344"/>
      <c r="GRJ44" s="344"/>
      <c r="GRK44" s="344"/>
      <c r="GRL44" s="344"/>
      <c r="GRM44" s="344"/>
      <c r="GRN44" s="344"/>
      <c r="GRO44" s="344"/>
      <c r="GRP44" s="344"/>
      <c r="GRQ44" s="344"/>
      <c r="GRR44" s="344"/>
      <c r="GRS44" s="344"/>
      <c r="GRT44" s="344"/>
      <c r="GRU44" s="344"/>
      <c r="GRV44" s="344"/>
      <c r="GRW44" s="344"/>
      <c r="GRX44" s="344"/>
      <c r="GRY44" s="344"/>
      <c r="GRZ44" s="344"/>
      <c r="GSA44" s="344"/>
      <c r="GSB44" s="344"/>
      <c r="GSC44" s="344"/>
      <c r="GSD44" s="344"/>
      <c r="GSE44" s="344"/>
      <c r="GSF44" s="344"/>
      <c r="GSG44" s="344"/>
      <c r="GSH44" s="344"/>
      <c r="GSI44" s="344"/>
      <c r="GSJ44" s="344"/>
      <c r="GSK44" s="344"/>
      <c r="GSL44" s="344"/>
      <c r="GSM44" s="344"/>
      <c r="GSN44" s="344"/>
      <c r="GSO44" s="344"/>
      <c r="GSP44" s="344"/>
      <c r="GSQ44" s="344"/>
      <c r="GSR44" s="344"/>
      <c r="GSS44" s="344"/>
      <c r="GST44" s="344"/>
      <c r="GSU44" s="344"/>
      <c r="GSV44" s="344"/>
      <c r="GSW44" s="344"/>
      <c r="GSX44" s="344"/>
      <c r="GSY44" s="344"/>
      <c r="GSZ44" s="344"/>
      <c r="GTA44" s="344"/>
      <c r="GTB44" s="344"/>
      <c r="GTC44" s="344"/>
      <c r="GTD44" s="344"/>
      <c r="GTE44" s="344"/>
      <c r="GTF44" s="344"/>
      <c r="GTG44" s="344"/>
      <c r="GTH44" s="344"/>
      <c r="GTI44" s="344"/>
      <c r="GTJ44" s="344"/>
      <c r="GTK44" s="344"/>
      <c r="GTL44" s="344"/>
      <c r="GTM44" s="344"/>
      <c r="GTN44" s="344"/>
      <c r="GTO44" s="344"/>
      <c r="GTP44" s="344"/>
      <c r="GTQ44" s="344"/>
      <c r="GTR44" s="344"/>
      <c r="GTS44" s="344"/>
      <c r="GTT44" s="344"/>
      <c r="GTU44" s="344"/>
      <c r="GTV44" s="344"/>
      <c r="GTW44" s="344"/>
      <c r="GTX44" s="344"/>
      <c r="GTY44" s="344"/>
      <c r="GTZ44" s="344"/>
      <c r="GUA44" s="344"/>
      <c r="GUB44" s="344"/>
      <c r="GUC44" s="344"/>
      <c r="GUD44" s="344"/>
      <c r="GUE44" s="344"/>
      <c r="GUF44" s="344"/>
      <c r="GUG44" s="344"/>
      <c r="GUH44" s="344"/>
      <c r="GUI44" s="344"/>
      <c r="GUJ44" s="344"/>
      <c r="GUK44" s="344"/>
      <c r="GUL44" s="344"/>
      <c r="GUM44" s="344"/>
      <c r="GUN44" s="344"/>
      <c r="GUO44" s="344"/>
      <c r="GUP44" s="344"/>
      <c r="GUQ44" s="344"/>
      <c r="GUR44" s="344"/>
      <c r="GUS44" s="344"/>
      <c r="GUT44" s="344"/>
      <c r="GUU44" s="344"/>
      <c r="GUV44" s="344"/>
      <c r="GUW44" s="344"/>
      <c r="GUX44" s="344"/>
      <c r="GUY44" s="344"/>
      <c r="GUZ44" s="344"/>
      <c r="GVA44" s="344"/>
      <c r="GVB44" s="344"/>
      <c r="GVC44" s="344"/>
      <c r="GVD44" s="344"/>
      <c r="GVE44" s="344"/>
      <c r="GVF44" s="344"/>
      <c r="GVG44" s="344"/>
      <c r="GVH44" s="344"/>
      <c r="GVI44" s="344"/>
      <c r="GVJ44" s="344"/>
      <c r="GVK44" s="344"/>
      <c r="GVL44" s="344"/>
      <c r="GVM44" s="344"/>
      <c r="GVN44" s="344"/>
      <c r="GVO44" s="344"/>
      <c r="GVP44" s="344"/>
      <c r="GVQ44" s="344"/>
      <c r="GVR44" s="344"/>
      <c r="GVS44" s="344"/>
      <c r="GVT44" s="344"/>
      <c r="GVU44" s="344"/>
      <c r="GVV44" s="344"/>
      <c r="GVW44" s="344"/>
      <c r="GVX44" s="344"/>
      <c r="GVY44" s="344"/>
      <c r="GVZ44" s="344"/>
      <c r="GWA44" s="344"/>
      <c r="GWB44" s="344"/>
      <c r="GWC44" s="344"/>
      <c r="GWD44" s="344"/>
      <c r="GWE44" s="344"/>
      <c r="GWF44" s="344"/>
      <c r="GWG44" s="344"/>
      <c r="GWH44" s="344"/>
      <c r="GWI44" s="344"/>
      <c r="GWJ44" s="344"/>
      <c r="GWK44" s="344"/>
      <c r="GWL44" s="344"/>
      <c r="GWM44" s="344"/>
      <c r="GWN44" s="344"/>
      <c r="GWO44" s="344"/>
      <c r="GWP44" s="344"/>
      <c r="GWQ44" s="344"/>
      <c r="GWR44" s="344"/>
      <c r="GWS44" s="344"/>
      <c r="GWT44" s="344"/>
      <c r="GWU44" s="344"/>
      <c r="GWV44" s="344"/>
      <c r="GWW44" s="344"/>
      <c r="GWX44" s="344"/>
      <c r="GWY44" s="344"/>
      <c r="GWZ44" s="344"/>
      <c r="GXA44" s="344"/>
      <c r="GXB44" s="344"/>
      <c r="GXC44" s="344"/>
      <c r="GXD44" s="344"/>
      <c r="GXE44" s="344"/>
      <c r="GXF44" s="344"/>
      <c r="GXG44" s="344"/>
      <c r="GXH44" s="344"/>
      <c r="GXI44" s="344"/>
      <c r="GXJ44" s="344"/>
      <c r="GXK44" s="344"/>
      <c r="GXL44" s="344"/>
      <c r="GXM44" s="344"/>
      <c r="GXN44" s="344"/>
      <c r="GXO44" s="344"/>
      <c r="GXP44" s="344"/>
      <c r="GXQ44" s="344"/>
      <c r="GXR44" s="344"/>
      <c r="GXS44" s="344"/>
      <c r="GXT44" s="344"/>
      <c r="GXU44" s="344"/>
      <c r="GXV44" s="344"/>
      <c r="GXW44" s="344"/>
      <c r="GXX44" s="344"/>
      <c r="GXY44" s="344"/>
      <c r="GXZ44" s="344"/>
      <c r="GYA44" s="344"/>
      <c r="GYB44" s="344"/>
      <c r="GYC44" s="344"/>
      <c r="GYD44" s="344"/>
      <c r="GYE44" s="344"/>
      <c r="GYF44" s="344"/>
      <c r="GYG44" s="344"/>
      <c r="GYH44" s="344"/>
      <c r="GYI44" s="344"/>
      <c r="GYJ44" s="344"/>
      <c r="GYK44" s="344"/>
      <c r="GYL44" s="344"/>
      <c r="GYM44" s="344"/>
      <c r="GYN44" s="344"/>
      <c r="GYO44" s="344"/>
      <c r="GYP44" s="344"/>
      <c r="GYQ44" s="344"/>
      <c r="GYR44" s="344"/>
      <c r="GYS44" s="344"/>
      <c r="GYT44" s="344"/>
      <c r="GYU44" s="344"/>
      <c r="GYV44" s="344"/>
      <c r="GYW44" s="344"/>
      <c r="GYX44" s="344"/>
      <c r="GYY44" s="344"/>
      <c r="GYZ44" s="344"/>
      <c r="GZA44" s="344"/>
      <c r="GZB44" s="344"/>
      <c r="GZC44" s="344"/>
      <c r="GZD44" s="344"/>
      <c r="GZE44" s="344"/>
      <c r="GZF44" s="344"/>
      <c r="GZG44" s="344"/>
      <c r="GZH44" s="344"/>
      <c r="GZI44" s="344"/>
      <c r="GZJ44" s="344"/>
      <c r="GZK44" s="344"/>
      <c r="GZL44" s="344"/>
      <c r="GZM44" s="344"/>
      <c r="GZN44" s="344"/>
      <c r="GZO44" s="344"/>
      <c r="GZP44" s="344"/>
      <c r="GZQ44" s="344"/>
      <c r="GZR44" s="344"/>
      <c r="GZS44" s="344"/>
      <c r="GZT44" s="344"/>
      <c r="GZU44" s="344"/>
      <c r="GZV44" s="344"/>
      <c r="GZW44" s="344"/>
      <c r="GZX44" s="344"/>
      <c r="GZY44" s="344"/>
      <c r="GZZ44" s="344"/>
      <c r="HAA44" s="344"/>
      <c r="HAB44" s="344"/>
      <c r="HAC44" s="344"/>
      <c r="HAD44" s="344"/>
      <c r="HAE44" s="344"/>
      <c r="HAF44" s="344"/>
      <c r="HAG44" s="344"/>
      <c r="HAH44" s="344"/>
      <c r="HAI44" s="344"/>
      <c r="HAJ44" s="344"/>
      <c r="HAK44" s="344"/>
      <c r="HAL44" s="344"/>
      <c r="HAM44" s="344"/>
      <c r="HAN44" s="344"/>
      <c r="HAO44" s="344"/>
      <c r="HAP44" s="344"/>
      <c r="HAQ44" s="344"/>
      <c r="HAR44" s="344"/>
      <c r="HAS44" s="344"/>
      <c r="HAT44" s="344"/>
      <c r="HAU44" s="344"/>
      <c r="HAV44" s="344"/>
      <c r="HAW44" s="344"/>
      <c r="HAX44" s="344"/>
      <c r="HAY44" s="344"/>
      <c r="HAZ44" s="344"/>
      <c r="HBA44" s="344"/>
      <c r="HBB44" s="344"/>
      <c r="HBC44" s="344"/>
      <c r="HBD44" s="344"/>
      <c r="HBE44" s="344"/>
      <c r="HBF44" s="344"/>
      <c r="HBG44" s="344"/>
      <c r="HBH44" s="344"/>
      <c r="HBI44" s="344"/>
      <c r="HBJ44" s="344"/>
      <c r="HBK44" s="344"/>
      <c r="HBL44" s="344"/>
      <c r="HBM44" s="344"/>
      <c r="HBN44" s="344"/>
      <c r="HBO44" s="344"/>
      <c r="HBP44" s="344"/>
      <c r="HBQ44" s="344"/>
      <c r="HBR44" s="344"/>
      <c r="HBS44" s="344"/>
      <c r="HBT44" s="344"/>
      <c r="HBU44" s="344"/>
      <c r="HBV44" s="344"/>
      <c r="HBW44" s="344"/>
      <c r="HBX44" s="344"/>
      <c r="HBY44" s="344"/>
      <c r="HBZ44" s="344"/>
      <c r="HCA44" s="344"/>
      <c r="HCB44" s="344"/>
      <c r="HCC44" s="344"/>
      <c r="HCD44" s="344"/>
      <c r="HCE44" s="344"/>
      <c r="HCF44" s="344"/>
      <c r="HCG44" s="344"/>
      <c r="HCH44" s="344"/>
      <c r="HCI44" s="344"/>
      <c r="HCJ44" s="344"/>
      <c r="HCK44" s="344"/>
      <c r="HCL44" s="344"/>
      <c r="HCM44" s="344"/>
      <c r="HCN44" s="344"/>
      <c r="HCO44" s="344"/>
      <c r="HCP44" s="344"/>
      <c r="HCQ44" s="344"/>
      <c r="HCR44" s="344"/>
      <c r="HCS44" s="344"/>
      <c r="HCT44" s="344"/>
      <c r="HCU44" s="344"/>
      <c r="HCV44" s="344"/>
      <c r="HCW44" s="344"/>
      <c r="HCX44" s="344"/>
      <c r="HCY44" s="344"/>
      <c r="HCZ44" s="344"/>
      <c r="HDA44" s="344"/>
      <c r="HDB44" s="344"/>
      <c r="HDC44" s="344"/>
      <c r="HDD44" s="344"/>
      <c r="HDE44" s="344"/>
      <c r="HDF44" s="344"/>
      <c r="HDG44" s="344"/>
      <c r="HDH44" s="344"/>
      <c r="HDI44" s="344"/>
      <c r="HDJ44" s="344"/>
      <c r="HDK44" s="344"/>
      <c r="HDL44" s="344"/>
      <c r="HDM44" s="344"/>
      <c r="HDN44" s="344"/>
      <c r="HDO44" s="344"/>
      <c r="HDP44" s="344"/>
      <c r="HDQ44" s="344"/>
      <c r="HDR44" s="344"/>
      <c r="HDS44" s="344"/>
      <c r="HDT44" s="344"/>
      <c r="HDU44" s="344"/>
      <c r="HDV44" s="344"/>
      <c r="HDW44" s="344"/>
      <c r="HDX44" s="344"/>
      <c r="HDY44" s="344"/>
      <c r="HDZ44" s="344"/>
      <c r="HEA44" s="344"/>
      <c r="HEB44" s="344"/>
      <c r="HEC44" s="344"/>
      <c r="HED44" s="344"/>
      <c r="HEE44" s="344"/>
      <c r="HEF44" s="344"/>
      <c r="HEG44" s="344"/>
      <c r="HEH44" s="344"/>
      <c r="HEI44" s="344"/>
      <c r="HEJ44" s="344"/>
      <c r="HEK44" s="344"/>
      <c r="HEL44" s="344"/>
      <c r="HEM44" s="344"/>
      <c r="HEN44" s="344"/>
      <c r="HEO44" s="344"/>
      <c r="HEP44" s="344"/>
      <c r="HEQ44" s="344"/>
      <c r="HER44" s="344"/>
      <c r="HES44" s="344"/>
      <c r="HET44" s="344"/>
      <c r="HEU44" s="344"/>
      <c r="HEV44" s="344"/>
      <c r="HEW44" s="344"/>
      <c r="HEX44" s="344"/>
      <c r="HEY44" s="344"/>
      <c r="HEZ44" s="344"/>
      <c r="HFA44" s="344"/>
      <c r="HFB44" s="344"/>
      <c r="HFC44" s="344"/>
      <c r="HFD44" s="344"/>
      <c r="HFE44" s="344"/>
      <c r="HFF44" s="344"/>
      <c r="HFG44" s="344"/>
      <c r="HFH44" s="344"/>
      <c r="HFI44" s="344"/>
      <c r="HFJ44" s="344"/>
      <c r="HFK44" s="344"/>
      <c r="HFL44" s="344"/>
      <c r="HFM44" s="344"/>
      <c r="HFN44" s="344"/>
      <c r="HFO44" s="344"/>
      <c r="HFP44" s="344"/>
      <c r="HFQ44" s="344"/>
      <c r="HFR44" s="344"/>
      <c r="HFS44" s="344"/>
      <c r="HFT44" s="344"/>
      <c r="HFU44" s="344"/>
      <c r="HFV44" s="344"/>
      <c r="HFW44" s="344"/>
      <c r="HFX44" s="344"/>
      <c r="HFY44" s="344"/>
      <c r="HFZ44" s="344"/>
      <c r="HGA44" s="344"/>
      <c r="HGB44" s="344"/>
      <c r="HGC44" s="344"/>
      <c r="HGD44" s="344"/>
      <c r="HGE44" s="344"/>
      <c r="HGF44" s="344"/>
      <c r="HGG44" s="344"/>
      <c r="HGH44" s="344"/>
      <c r="HGI44" s="344"/>
      <c r="HGJ44" s="344"/>
      <c r="HGK44" s="344"/>
      <c r="HGL44" s="344"/>
      <c r="HGM44" s="344"/>
      <c r="HGN44" s="344"/>
      <c r="HGO44" s="344"/>
      <c r="HGP44" s="344"/>
      <c r="HGQ44" s="344"/>
      <c r="HGR44" s="344"/>
      <c r="HGS44" s="344"/>
      <c r="HGT44" s="344"/>
      <c r="HGU44" s="344"/>
      <c r="HGV44" s="344"/>
      <c r="HGW44" s="344"/>
      <c r="HGX44" s="344"/>
      <c r="HGY44" s="344"/>
      <c r="HGZ44" s="344"/>
      <c r="HHA44" s="344"/>
      <c r="HHB44" s="344"/>
      <c r="HHC44" s="344"/>
      <c r="HHD44" s="344"/>
      <c r="HHE44" s="344"/>
      <c r="HHF44" s="344"/>
      <c r="HHG44" s="344"/>
      <c r="HHH44" s="344"/>
      <c r="HHI44" s="344"/>
      <c r="HHJ44" s="344"/>
      <c r="HHK44" s="344"/>
      <c r="HHL44" s="344"/>
      <c r="HHM44" s="344"/>
      <c r="HHN44" s="344"/>
      <c r="HHO44" s="344"/>
      <c r="HHP44" s="344"/>
      <c r="HHQ44" s="344"/>
      <c r="HHR44" s="344"/>
      <c r="HHS44" s="344"/>
      <c r="HHT44" s="344"/>
      <c r="HHU44" s="344"/>
      <c r="HHV44" s="344"/>
      <c r="HHW44" s="344"/>
      <c r="HHX44" s="344"/>
      <c r="HHY44" s="344"/>
      <c r="HHZ44" s="344"/>
      <c r="HIA44" s="344"/>
      <c r="HIB44" s="344"/>
      <c r="HIC44" s="344"/>
      <c r="HID44" s="344"/>
      <c r="HIE44" s="344"/>
      <c r="HIF44" s="344"/>
      <c r="HIG44" s="344"/>
      <c r="HIH44" s="344"/>
      <c r="HII44" s="344"/>
      <c r="HIJ44" s="344"/>
      <c r="HIK44" s="344"/>
      <c r="HIL44" s="344"/>
      <c r="HIM44" s="344"/>
      <c r="HIN44" s="344"/>
      <c r="HIO44" s="344"/>
      <c r="HIP44" s="344"/>
      <c r="HIQ44" s="344"/>
      <c r="HIR44" s="344"/>
      <c r="HIS44" s="344"/>
      <c r="HIT44" s="344"/>
      <c r="HIU44" s="344"/>
      <c r="HIV44" s="344"/>
      <c r="HIW44" s="344"/>
      <c r="HIX44" s="344"/>
      <c r="HIY44" s="344"/>
      <c r="HIZ44" s="344"/>
      <c r="HJA44" s="344"/>
      <c r="HJB44" s="344"/>
      <c r="HJC44" s="344"/>
      <c r="HJD44" s="344"/>
      <c r="HJE44" s="344"/>
      <c r="HJF44" s="344"/>
      <c r="HJG44" s="344"/>
      <c r="HJH44" s="344"/>
      <c r="HJI44" s="344"/>
      <c r="HJJ44" s="344"/>
      <c r="HJK44" s="344"/>
      <c r="HJL44" s="344"/>
      <c r="HJM44" s="344"/>
      <c r="HJN44" s="344"/>
      <c r="HJO44" s="344"/>
      <c r="HJP44" s="344"/>
      <c r="HJQ44" s="344"/>
      <c r="HJR44" s="344"/>
      <c r="HJS44" s="344"/>
      <c r="HJT44" s="344"/>
      <c r="HJU44" s="344"/>
      <c r="HJV44" s="344"/>
      <c r="HJW44" s="344"/>
      <c r="HJX44" s="344"/>
      <c r="HJY44" s="344"/>
      <c r="HJZ44" s="344"/>
      <c r="HKA44" s="344"/>
      <c r="HKB44" s="344"/>
      <c r="HKC44" s="344"/>
      <c r="HKD44" s="344"/>
      <c r="HKE44" s="344"/>
      <c r="HKF44" s="344"/>
      <c r="HKG44" s="344"/>
      <c r="HKH44" s="344"/>
      <c r="HKI44" s="344"/>
      <c r="HKJ44" s="344"/>
      <c r="HKK44" s="344"/>
      <c r="HKL44" s="344"/>
      <c r="HKM44" s="344"/>
      <c r="HKN44" s="344"/>
      <c r="HKO44" s="344"/>
      <c r="HKP44" s="344"/>
      <c r="HKQ44" s="344"/>
      <c r="HKR44" s="344"/>
      <c r="HKS44" s="344"/>
      <c r="HKT44" s="344"/>
      <c r="HKU44" s="344"/>
      <c r="HKV44" s="344"/>
      <c r="HKW44" s="344"/>
      <c r="HKX44" s="344"/>
      <c r="HKY44" s="344"/>
      <c r="HKZ44" s="344"/>
      <c r="HLA44" s="344"/>
      <c r="HLB44" s="344"/>
      <c r="HLC44" s="344"/>
      <c r="HLD44" s="344"/>
      <c r="HLE44" s="344"/>
      <c r="HLF44" s="344"/>
      <c r="HLG44" s="344"/>
      <c r="HLH44" s="344"/>
      <c r="HLI44" s="344"/>
      <c r="HLJ44" s="344"/>
      <c r="HLK44" s="344"/>
      <c r="HLL44" s="344"/>
      <c r="HLM44" s="344"/>
      <c r="HLN44" s="344"/>
      <c r="HLO44" s="344"/>
      <c r="HLP44" s="344"/>
      <c r="HLQ44" s="344"/>
      <c r="HLR44" s="344"/>
      <c r="HLS44" s="344"/>
      <c r="HLT44" s="344"/>
      <c r="HLU44" s="344"/>
      <c r="HLV44" s="344"/>
      <c r="HLW44" s="344"/>
      <c r="HLX44" s="344"/>
      <c r="HLY44" s="344"/>
      <c r="HLZ44" s="344"/>
      <c r="HMA44" s="344"/>
      <c r="HMB44" s="344"/>
      <c r="HMC44" s="344"/>
      <c r="HMD44" s="344"/>
      <c r="HME44" s="344"/>
      <c r="HMF44" s="344"/>
      <c r="HMG44" s="344"/>
      <c r="HMH44" s="344"/>
      <c r="HMI44" s="344"/>
      <c r="HMJ44" s="344"/>
      <c r="HMK44" s="344"/>
      <c r="HML44" s="344"/>
      <c r="HMM44" s="344"/>
      <c r="HMN44" s="344"/>
      <c r="HMO44" s="344"/>
      <c r="HMP44" s="344"/>
      <c r="HMQ44" s="344"/>
      <c r="HMR44" s="344"/>
      <c r="HMS44" s="344"/>
      <c r="HMT44" s="344"/>
      <c r="HMU44" s="344"/>
      <c r="HMV44" s="344"/>
      <c r="HMW44" s="344"/>
      <c r="HMX44" s="344"/>
      <c r="HMY44" s="344"/>
      <c r="HMZ44" s="344"/>
      <c r="HNA44" s="344"/>
      <c r="HNB44" s="344"/>
      <c r="HNC44" s="344"/>
      <c r="HND44" s="344"/>
      <c r="HNE44" s="344"/>
      <c r="HNF44" s="344"/>
      <c r="HNG44" s="344"/>
      <c r="HNH44" s="344"/>
      <c r="HNI44" s="344"/>
      <c r="HNJ44" s="344"/>
      <c r="HNK44" s="344"/>
      <c r="HNL44" s="344"/>
      <c r="HNM44" s="344"/>
      <c r="HNN44" s="344"/>
      <c r="HNO44" s="344"/>
      <c r="HNP44" s="344"/>
      <c r="HNQ44" s="344"/>
      <c r="HNR44" s="344"/>
      <c r="HNS44" s="344"/>
      <c r="HNT44" s="344"/>
      <c r="HNU44" s="344"/>
      <c r="HNV44" s="344"/>
      <c r="HNW44" s="344"/>
      <c r="HNX44" s="344"/>
      <c r="HNY44" s="344"/>
      <c r="HNZ44" s="344"/>
      <c r="HOA44" s="344"/>
      <c r="HOB44" s="344"/>
      <c r="HOC44" s="344"/>
      <c r="HOD44" s="344"/>
      <c r="HOE44" s="344"/>
      <c r="HOF44" s="344"/>
      <c r="HOG44" s="344"/>
      <c r="HOH44" s="344"/>
      <c r="HOI44" s="344"/>
      <c r="HOJ44" s="344"/>
      <c r="HOK44" s="344"/>
      <c r="HOL44" s="344"/>
      <c r="HOM44" s="344"/>
      <c r="HON44" s="344"/>
      <c r="HOO44" s="344"/>
      <c r="HOP44" s="344"/>
      <c r="HOQ44" s="344"/>
      <c r="HOR44" s="344"/>
      <c r="HOS44" s="344"/>
      <c r="HOT44" s="344"/>
      <c r="HOU44" s="344"/>
      <c r="HOV44" s="344"/>
      <c r="HOW44" s="344"/>
      <c r="HOX44" s="344"/>
      <c r="HOY44" s="344"/>
      <c r="HOZ44" s="344"/>
      <c r="HPA44" s="344"/>
      <c r="HPB44" s="344"/>
      <c r="HPC44" s="344"/>
      <c r="HPD44" s="344"/>
      <c r="HPE44" s="344"/>
      <c r="HPF44" s="344"/>
      <c r="HPG44" s="344"/>
      <c r="HPH44" s="344"/>
      <c r="HPI44" s="344"/>
      <c r="HPJ44" s="344"/>
      <c r="HPK44" s="344"/>
      <c r="HPL44" s="344"/>
      <c r="HPM44" s="344"/>
      <c r="HPN44" s="344"/>
      <c r="HPO44" s="344"/>
      <c r="HPP44" s="344"/>
      <c r="HPQ44" s="344"/>
      <c r="HPR44" s="344"/>
      <c r="HPS44" s="344"/>
      <c r="HPT44" s="344"/>
      <c r="HPU44" s="344"/>
      <c r="HPV44" s="344"/>
      <c r="HPW44" s="344"/>
      <c r="HPX44" s="344"/>
      <c r="HPY44" s="344"/>
      <c r="HPZ44" s="344"/>
      <c r="HQA44" s="344"/>
      <c r="HQB44" s="344"/>
      <c r="HQC44" s="344"/>
      <c r="HQD44" s="344"/>
      <c r="HQE44" s="344"/>
      <c r="HQF44" s="344"/>
      <c r="HQG44" s="344"/>
      <c r="HQH44" s="344"/>
      <c r="HQI44" s="344"/>
      <c r="HQJ44" s="344"/>
      <c r="HQK44" s="344"/>
      <c r="HQL44" s="344"/>
      <c r="HQM44" s="344"/>
      <c r="HQN44" s="344"/>
      <c r="HQO44" s="344"/>
      <c r="HQP44" s="344"/>
      <c r="HQQ44" s="344"/>
      <c r="HQR44" s="344"/>
      <c r="HQS44" s="344"/>
      <c r="HQT44" s="344"/>
      <c r="HQU44" s="344"/>
      <c r="HQV44" s="344"/>
      <c r="HQW44" s="344"/>
      <c r="HQX44" s="344"/>
      <c r="HQY44" s="344"/>
      <c r="HQZ44" s="344"/>
      <c r="HRA44" s="344"/>
      <c r="HRB44" s="344"/>
      <c r="HRC44" s="344"/>
      <c r="HRD44" s="344"/>
      <c r="HRE44" s="344"/>
      <c r="HRF44" s="344"/>
      <c r="HRG44" s="344"/>
      <c r="HRH44" s="344"/>
      <c r="HRI44" s="344"/>
      <c r="HRJ44" s="344"/>
      <c r="HRK44" s="344"/>
      <c r="HRL44" s="344"/>
      <c r="HRM44" s="344"/>
      <c r="HRN44" s="344"/>
      <c r="HRO44" s="344"/>
      <c r="HRP44" s="344"/>
      <c r="HRQ44" s="344"/>
      <c r="HRR44" s="344"/>
      <c r="HRS44" s="344"/>
      <c r="HRT44" s="344"/>
      <c r="HRU44" s="344"/>
      <c r="HRV44" s="344"/>
      <c r="HRW44" s="344"/>
      <c r="HRX44" s="344"/>
      <c r="HRY44" s="344"/>
      <c r="HRZ44" s="344"/>
      <c r="HSA44" s="344"/>
      <c r="HSB44" s="344"/>
      <c r="HSC44" s="344"/>
      <c r="HSD44" s="344"/>
      <c r="HSE44" s="344"/>
      <c r="HSF44" s="344"/>
      <c r="HSG44" s="344"/>
      <c r="HSH44" s="344"/>
      <c r="HSI44" s="344"/>
      <c r="HSJ44" s="344"/>
      <c r="HSK44" s="344"/>
      <c r="HSL44" s="344"/>
      <c r="HSM44" s="344"/>
      <c r="HSN44" s="344"/>
      <c r="HSO44" s="344"/>
      <c r="HSP44" s="344"/>
      <c r="HSQ44" s="344"/>
      <c r="HSR44" s="344"/>
      <c r="HSS44" s="344"/>
      <c r="HST44" s="344"/>
      <c r="HSU44" s="344"/>
      <c r="HSV44" s="344"/>
      <c r="HSW44" s="344"/>
      <c r="HSX44" s="344"/>
      <c r="HSY44" s="344"/>
      <c r="HSZ44" s="344"/>
      <c r="HTA44" s="344"/>
      <c r="HTB44" s="344"/>
      <c r="HTC44" s="344"/>
      <c r="HTD44" s="344"/>
      <c r="HTE44" s="344"/>
      <c r="HTF44" s="344"/>
      <c r="HTG44" s="344"/>
      <c r="HTH44" s="344"/>
      <c r="HTI44" s="344"/>
      <c r="HTJ44" s="344"/>
      <c r="HTK44" s="344"/>
      <c r="HTL44" s="344"/>
      <c r="HTM44" s="344"/>
      <c r="HTN44" s="344"/>
      <c r="HTO44" s="344"/>
      <c r="HTP44" s="344"/>
      <c r="HTQ44" s="344"/>
      <c r="HTR44" s="344"/>
      <c r="HTS44" s="344"/>
      <c r="HTT44" s="344"/>
      <c r="HTU44" s="344"/>
      <c r="HTV44" s="344"/>
      <c r="HTW44" s="344"/>
      <c r="HTX44" s="344"/>
      <c r="HTY44" s="344"/>
      <c r="HTZ44" s="344"/>
      <c r="HUA44" s="344"/>
      <c r="HUB44" s="344"/>
      <c r="HUC44" s="344"/>
      <c r="HUD44" s="344"/>
      <c r="HUE44" s="344"/>
      <c r="HUF44" s="344"/>
      <c r="HUG44" s="344"/>
      <c r="HUH44" s="344"/>
      <c r="HUI44" s="344"/>
      <c r="HUJ44" s="344"/>
      <c r="HUK44" s="344"/>
      <c r="HUL44" s="344"/>
      <c r="HUM44" s="344"/>
      <c r="HUN44" s="344"/>
      <c r="HUO44" s="344"/>
      <c r="HUP44" s="344"/>
      <c r="HUQ44" s="344"/>
      <c r="HUR44" s="344"/>
      <c r="HUS44" s="344"/>
      <c r="HUT44" s="344"/>
      <c r="HUU44" s="344"/>
      <c r="HUV44" s="344"/>
      <c r="HUW44" s="344"/>
      <c r="HUX44" s="344"/>
      <c r="HUY44" s="344"/>
      <c r="HUZ44" s="344"/>
      <c r="HVA44" s="344"/>
      <c r="HVB44" s="344"/>
      <c r="HVC44" s="344"/>
      <c r="HVD44" s="344"/>
      <c r="HVE44" s="344"/>
      <c r="HVF44" s="344"/>
      <c r="HVG44" s="344"/>
      <c r="HVH44" s="344"/>
      <c r="HVI44" s="344"/>
      <c r="HVJ44" s="344"/>
      <c r="HVK44" s="344"/>
      <c r="HVL44" s="344"/>
      <c r="HVM44" s="344"/>
      <c r="HVN44" s="344"/>
      <c r="HVO44" s="344"/>
      <c r="HVP44" s="344"/>
      <c r="HVQ44" s="344"/>
      <c r="HVR44" s="344"/>
      <c r="HVS44" s="344"/>
      <c r="HVT44" s="344"/>
      <c r="HVU44" s="344"/>
      <c r="HVV44" s="344"/>
      <c r="HVW44" s="344"/>
      <c r="HVX44" s="344"/>
      <c r="HVY44" s="344"/>
      <c r="HVZ44" s="344"/>
      <c r="HWA44" s="344"/>
      <c r="HWB44" s="344"/>
      <c r="HWC44" s="344"/>
      <c r="HWD44" s="344"/>
      <c r="HWE44" s="344"/>
      <c r="HWF44" s="344"/>
      <c r="HWG44" s="344"/>
      <c r="HWH44" s="344"/>
      <c r="HWI44" s="344"/>
      <c r="HWJ44" s="344"/>
      <c r="HWK44" s="344"/>
      <c r="HWL44" s="344"/>
      <c r="HWM44" s="344"/>
      <c r="HWN44" s="344"/>
      <c r="HWO44" s="344"/>
      <c r="HWP44" s="344"/>
      <c r="HWQ44" s="344"/>
      <c r="HWR44" s="344"/>
      <c r="HWS44" s="344"/>
      <c r="HWT44" s="344"/>
      <c r="HWU44" s="344"/>
      <c r="HWV44" s="344"/>
      <c r="HWW44" s="344"/>
      <c r="HWX44" s="344"/>
      <c r="HWY44" s="344"/>
      <c r="HWZ44" s="344"/>
      <c r="HXA44" s="344"/>
      <c r="HXB44" s="344"/>
      <c r="HXC44" s="344"/>
      <c r="HXD44" s="344"/>
      <c r="HXE44" s="344"/>
      <c r="HXF44" s="344"/>
      <c r="HXG44" s="344"/>
      <c r="HXH44" s="344"/>
      <c r="HXI44" s="344"/>
      <c r="HXJ44" s="344"/>
      <c r="HXK44" s="344"/>
      <c r="HXL44" s="344"/>
      <c r="HXM44" s="344"/>
      <c r="HXN44" s="344"/>
      <c r="HXO44" s="344"/>
      <c r="HXP44" s="344"/>
      <c r="HXQ44" s="344"/>
      <c r="HXR44" s="344"/>
      <c r="HXS44" s="344"/>
      <c r="HXT44" s="344"/>
      <c r="HXU44" s="344"/>
      <c r="HXV44" s="344"/>
      <c r="HXW44" s="344"/>
      <c r="HXX44" s="344"/>
      <c r="HXY44" s="344"/>
      <c r="HXZ44" s="344"/>
      <c r="HYA44" s="344"/>
      <c r="HYB44" s="344"/>
      <c r="HYC44" s="344"/>
      <c r="HYD44" s="344"/>
      <c r="HYE44" s="344"/>
      <c r="HYF44" s="344"/>
      <c r="HYG44" s="344"/>
      <c r="HYH44" s="344"/>
      <c r="HYI44" s="344"/>
      <c r="HYJ44" s="344"/>
      <c r="HYK44" s="344"/>
      <c r="HYL44" s="344"/>
      <c r="HYM44" s="344"/>
      <c r="HYN44" s="344"/>
      <c r="HYO44" s="344"/>
      <c r="HYP44" s="344"/>
      <c r="HYQ44" s="344"/>
      <c r="HYR44" s="344"/>
      <c r="HYS44" s="344"/>
      <c r="HYT44" s="344"/>
      <c r="HYU44" s="344"/>
      <c r="HYV44" s="344"/>
      <c r="HYW44" s="344"/>
      <c r="HYX44" s="344"/>
      <c r="HYY44" s="344"/>
      <c r="HYZ44" s="344"/>
      <c r="HZA44" s="344"/>
      <c r="HZB44" s="344"/>
      <c r="HZC44" s="344"/>
      <c r="HZD44" s="344"/>
      <c r="HZE44" s="344"/>
      <c r="HZF44" s="344"/>
      <c r="HZG44" s="344"/>
      <c r="HZH44" s="344"/>
      <c r="HZI44" s="344"/>
      <c r="HZJ44" s="344"/>
      <c r="HZK44" s="344"/>
      <c r="HZL44" s="344"/>
      <c r="HZM44" s="344"/>
      <c r="HZN44" s="344"/>
      <c r="HZO44" s="344"/>
      <c r="HZP44" s="344"/>
      <c r="HZQ44" s="344"/>
      <c r="HZR44" s="344"/>
      <c r="HZS44" s="344"/>
      <c r="HZT44" s="344"/>
      <c r="HZU44" s="344"/>
      <c r="HZV44" s="344"/>
      <c r="HZW44" s="344"/>
      <c r="HZX44" s="344"/>
      <c r="HZY44" s="344"/>
      <c r="HZZ44" s="344"/>
      <c r="IAA44" s="344"/>
      <c r="IAB44" s="344"/>
      <c r="IAC44" s="344"/>
      <c r="IAD44" s="344"/>
      <c r="IAE44" s="344"/>
      <c r="IAF44" s="344"/>
      <c r="IAG44" s="344"/>
      <c r="IAH44" s="344"/>
      <c r="IAI44" s="344"/>
      <c r="IAJ44" s="344"/>
      <c r="IAK44" s="344"/>
      <c r="IAL44" s="344"/>
      <c r="IAM44" s="344"/>
      <c r="IAN44" s="344"/>
      <c r="IAO44" s="344"/>
      <c r="IAP44" s="344"/>
      <c r="IAQ44" s="344"/>
      <c r="IAR44" s="344"/>
      <c r="IAS44" s="344"/>
      <c r="IAT44" s="344"/>
      <c r="IAU44" s="344"/>
      <c r="IAV44" s="344"/>
      <c r="IAW44" s="344"/>
      <c r="IAX44" s="344"/>
      <c r="IAY44" s="344"/>
      <c r="IAZ44" s="344"/>
      <c r="IBA44" s="344"/>
      <c r="IBB44" s="344"/>
      <c r="IBC44" s="344"/>
      <c r="IBD44" s="344"/>
      <c r="IBE44" s="344"/>
      <c r="IBF44" s="344"/>
      <c r="IBG44" s="344"/>
      <c r="IBH44" s="344"/>
      <c r="IBI44" s="344"/>
      <c r="IBJ44" s="344"/>
      <c r="IBK44" s="344"/>
      <c r="IBL44" s="344"/>
      <c r="IBM44" s="344"/>
      <c r="IBN44" s="344"/>
      <c r="IBO44" s="344"/>
      <c r="IBP44" s="344"/>
      <c r="IBQ44" s="344"/>
      <c r="IBR44" s="344"/>
      <c r="IBS44" s="344"/>
      <c r="IBT44" s="344"/>
      <c r="IBU44" s="344"/>
      <c r="IBV44" s="344"/>
      <c r="IBW44" s="344"/>
      <c r="IBX44" s="344"/>
      <c r="IBY44" s="344"/>
      <c r="IBZ44" s="344"/>
      <c r="ICA44" s="344"/>
      <c r="ICB44" s="344"/>
      <c r="ICC44" s="344"/>
      <c r="ICD44" s="344"/>
      <c r="ICE44" s="344"/>
      <c r="ICF44" s="344"/>
      <c r="ICG44" s="344"/>
      <c r="ICH44" s="344"/>
      <c r="ICI44" s="344"/>
      <c r="ICJ44" s="344"/>
      <c r="ICK44" s="344"/>
      <c r="ICL44" s="344"/>
      <c r="ICM44" s="344"/>
      <c r="ICN44" s="344"/>
      <c r="ICO44" s="344"/>
      <c r="ICP44" s="344"/>
      <c r="ICQ44" s="344"/>
      <c r="ICR44" s="344"/>
      <c r="ICS44" s="344"/>
      <c r="ICT44" s="344"/>
      <c r="ICU44" s="344"/>
      <c r="ICV44" s="344"/>
      <c r="ICW44" s="344"/>
      <c r="ICX44" s="344"/>
      <c r="ICY44" s="344"/>
      <c r="ICZ44" s="344"/>
      <c r="IDA44" s="344"/>
      <c r="IDB44" s="344"/>
      <c r="IDC44" s="344"/>
      <c r="IDD44" s="344"/>
      <c r="IDE44" s="344"/>
      <c r="IDF44" s="344"/>
      <c r="IDG44" s="344"/>
      <c r="IDH44" s="344"/>
      <c r="IDI44" s="344"/>
      <c r="IDJ44" s="344"/>
      <c r="IDK44" s="344"/>
      <c r="IDL44" s="344"/>
      <c r="IDM44" s="344"/>
      <c r="IDN44" s="344"/>
      <c r="IDO44" s="344"/>
      <c r="IDP44" s="344"/>
      <c r="IDQ44" s="344"/>
      <c r="IDR44" s="344"/>
      <c r="IDS44" s="344"/>
      <c r="IDT44" s="344"/>
      <c r="IDU44" s="344"/>
      <c r="IDV44" s="344"/>
      <c r="IDW44" s="344"/>
      <c r="IDX44" s="344"/>
      <c r="IDY44" s="344"/>
      <c r="IDZ44" s="344"/>
      <c r="IEA44" s="344"/>
      <c r="IEB44" s="344"/>
      <c r="IEC44" s="344"/>
      <c r="IED44" s="344"/>
      <c r="IEE44" s="344"/>
      <c r="IEF44" s="344"/>
      <c r="IEG44" s="344"/>
      <c r="IEH44" s="344"/>
      <c r="IEI44" s="344"/>
      <c r="IEJ44" s="344"/>
      <c r="IEK44" s="344"/>
      <c r="IEL44" s="344"/>
      <c r="IEM44" s="344"/>
      <c r="IEN44" s="344"/>
      <c r="IEO44" s="344"/>
      <c r="IEP44" s="344"/>
      <c r="IEQ44" s="344"/>
      <c r="IER44" s="344"/>
      <c r="IES44" s="344"/>
      <c r="IET44" s="344"/>
      <c r="IEU44" s="344"/>
      <c r="IEV44" s="344"/>
      <c r="IEW44" s="344"/>
      <c r="IEX44" s="344"/>
      <c r="IEY44" s="344"/>
      <c r="IEZ44" s="344"/>
      <c r="IFA44" s="344"/>
      <c r="IFB44" s="344"/>
      <c r="IFC44" s="344"/>
      <c r="IFD44" s="344"/>
      <c r="IFE44" s="344"/>
      <c r="IFF44" s="344"/>
      <c r="IFG44" s="344"/>
      <c r="IFH44" s="344"/>
      <c r="IFI44" s="344"/>
      <c r="IFJ44" s="344"/>
      <c r="IFK44" s="344"/>
      <c r="IFL44" s="344"/>
      <c r="IFM44" s="344"/>
      <c r="IFN44" s="344"/>
      <c r="IFO44" s="344"/>
      <c r="IFP44" s="344"/>
      <c r="IFQ44" s="344"/>
      <c r="IFR44" s="344"/>
      <c r="IFS44" s="344"/>
      <c r="IFT44" s="344"/>
      <c r="IFU44" s="344"/>
      <c r="IFV44" s="344"/>
      <c r="IFW44" s="344"/>
      <c r="IFX44" s="344"/>
      <c r="IFY44" s="344"/>
      <c r="IFZ44" s="344"/>
      <c r="IGA44" s="344"/>
      <c r="IGB44" s="344"/>
      <c r="IGC44" s="344"/>
      <c r="IGD44" s="344"/>
      <c r="IGE44" s="344"/>
      <c r="IGF44" s="344"/>
      <c r="IGG44" s="344"/>
      <c r="IGH44" s="344"/>
      <c r="IGI44" s="344"/>
      <c r="IGJ44" s="344"/>
      <c r="IGK44" s="344"/>
      <c r="IGL44" s="344"/>
      <c r="IGM44" s="344"/>
      <c r="IGN44" s="344"/>
      <c r="IGO44" s="344"/>
      <c r="IGP44" s="344"/>
      <c r="IGQ44" s="344"/>
      <c r="IGR44" s="344"/>
      <c r="IGS44" s="344"/>
      <c r="IGT44" s="344"/>
      <c r="IGU44" s="344"/>
      <c r="IGV44" s="344"/>
      <c r="IGW44" s="344"/>
      <c r="IGX44" s="344"/>
      <c r="IGY44" s="344"/>
      <c r="IGZ44" s="344"/>
      <c r="IHA44" s="344"/>
      <c r="IHB44" s="344"/>
      <c r="IHC44" s="344"/>
      <c r="IHD44" s="344"/>
      <c r="IHE44" s="344"/>
      <c r="IHF44" s="344"/>
      <c r="IHG44" s="344"/>
      <c r="IHH44" s="344"/>
      <c r="IHI44" s="344"/>
      <c r="IHJ44" s="344"/>
      <c r="IHK44" s="344"/>
      <c r="IHL44" s="344"/>
      <c r="IHM44" s="344"/>
      <c r="IHN44" s="344"/>
      <c r="IHO44" s="344"/>
      <c r="IHP44" s="344"/>
      <c r="IHQ44" s="344"/>
      <c r="IHR44" s="344"/>
      <c r="IHS44" s="344"/>
      <c r="IHT44" s="344"/>
      <c r="IHU44" s="344"/>
      <c r="IHV44" s="344"/>
      <c r="IHW44" s="344"/>
      <c r="IHX44" s="344"/>
      <c r="IHY44" s="344"/>
      <c r="IHZ44" s="344"/>
      <c r="IIA44" s="344"/>
      <c r="IIB44" s="344"/>
      <c r="IIC44" s="344"/>
      <c r="IID44" s="344"/>
      <c r="IIE44" s="344"/>
      <c r="IIF44" s="344"/>
      <c r="IIG44" s="344"/>
      <c r="IIH44" s="344"/>
      <c r="III44" s="344"/>
      <c r="IIJ44" s="344"/>
      <c r="IIK44" s="344"/>
      <c r="IIL44" s="344"/>
      <c r="IIM44" s="344"/>
      <c r="IIN44" s="344"/>
      <c r="IIO44" s="344"/>
      <c r="IIP44" s="344"/>
      <c r="IIQ44" s="344"/>
      <c r="IIR44" s="344"/>
      <c r="IIS44" s="344"/>
      <c r="IIT44" s="344"/>
      <c r="IIU44" s="344"/>
      <c r="IIV44" s="344"/>
      <c r="IIW44" s="344"/>
      <c r="IIX44" s="344"/>
      <c r="IIY44" s="344"/>
      <c r="IIZ44" s="344"/>
      <c r="IJA44" s="344"/>
      <c r="IJB44" s="344"/>
      <c r="IJC44" s="344"/>
      <c r="IJD44" s="344"/>
      <c r="IJE44" s="344"/>
      <c r="IJF44" s="344"/>
      <c r="IJG44" s="344"/>
      <c r="IJH44" s="344"/>
      <c r="IJI44" s="344"/>
      <c r="IJJ44" s="344"/>
      <c r="IJK44" s="344"/>
      <c r="IJL44" s="344"/>
      <c r="IJM44" s="344"/>
      <c r="IJN44" s="344"/>
      <c r="IJO44" s="344"/>
      <c r="IJP44" s="344"/>
      <c r="IJQ44" s="344"/>
      <c r="IJR44" s="344"/>
      <c r="IJS44" s="344"/>
      <c r="IJT44" s="344"/>
      <c r="IJU44" s="344"/>
      <c r="IJV44" s="344"/>
      <c r="IJW44" s="344"/>
      <c r="IJX44" s="344"/>
      <c r="IJY44" s="344"/>
      <c r="IJZ44" s="344"/>
      <c r="IKA44" s="344"/>
      <c r="IKB44" s="344"/>
      <c r="IKC44" s="344"/>
      <c r="IKD44" s="344"/>
      <c r="IKE44" s="344"/>
      <c r="IKF44" s="344"/>
      <c r="IKG44" s="344"/>
      <c r="IKH44" s="344"/>
      <c r="IKI44" s="344"/>
      <c r="IKJ44" s="344"/>
      <c r="IKK44" s="344"/>
      <c r="IKL44" s="344"/>
      <c r="IKM44" s="344"/>
      <c r="IKN44" s="344"/>
      <c r="IKO44" s="344"/>
      <c r="IKP44" s="344"/>
      <c r="IKQ44" s="344"/>
      <c r="IKR44" s="344"/>
      <c r="IKS44" s="344"/>
      <c r="IKT44" s="344"/>
      <c r="IKU44" s="344"/>
      <c r="IKV44" s="344"/>
      <c r="IKW44" s="344"/>
      <c r="IKX44" s="344"/>
      <c r="IKY44" s="344"/>
      <c r="IKZ44" s="344"/>
      <c r="ILA44" s="344"/>
      <c r="ILB44" s="344"/>
      <c r="ILC44" s="344"/>
      <c r="ILD44" s="344"/>
      <c r="ILE44" s="344"/>
      <c r="ILF44" s="344"/>
      <c r="ILG44" s="344"/>
      <c r="ILH44" s="344"/>
      <c r="ILI44" s="344"/>
      <c r="ILJ44" s="344"/>
      <c r="ILK44" s="344"/>
      <c r="ILL44" s="344"/>
      <c r="ILM44" s="344"/>
      <c r="ILN44" s="344"/>
      <c r="ILO44" s="344"/>
      <c r="ILP44" s="344"/>
      <c r="ILQ44" s="344"/>
      <c r="ILR44" s="344"/>
      <c r="ILS44" s="344"/>
      <c r="ILT44" s="344"/>
      <c r="ILU44" s="344"/>
      <c r="ILV44" s="344"/>
      <c r="ILW44" s="344"/>
      <c r="ILX44" s="344"/>
      <c r="ILY44" s="344"/>
      <c r="ILZ44" s="344"/>
      <c r="IMA44" s="344"/>
      <c r="IMB44" s="344"/>
      <c r="IMC44" s="344"/>
      <c r="IMD44" s="344"/>
      <c r="IME44" s="344"/>
      <c r="IMF44" s="344"/>
      <c r="IMG44" s="344"/>
      <c r="IMH44" s="344"/>
      <c r="IMI44" s="344"/>
      <c r="IMJ44" s="344"/>
      <c r="IMK44" s="344"/>
      <c r="IML44" s="344"/>
      <c r="IMM44" s="344"/>
      <c r="IMN44" s="344"/>
      <c r="IMO44" s="344"/>
      <c r="IMP44" s="344"/>
      <c r="IMQ44" s="344"/>
      <c r="IMR44" s="344"/>
      <c r="IMS44" s="344"/>
      <c r="IMT44" s="344"/>
      <c r="IMU44" s="344"/>
      <c r="IMV44" s="344"/>
      <c r="IMW44" s="344"/>
      <c r="IMX44" s="344"/>
      <c r="IMY44" s="344"/>
      <c r="IMZ44" s="344"/>
      <c r="INA44" s="344"/>
      <c r="INB44" s="344"/>
      <c r="INC44" s="344"/>
      <c r="IND44" s="344"/>
      <c r="INE44" s="344"/>
      <c r="INF44" s="344"/>
      <c r="ING44" s="344"/>
      <c r="INH44" s="344"/>
      <c r="INI44" s="344"/>
      <c r="INJ44" s="344"/>
      <c r="INK44" s="344"/>
      <c r="INL44" s="344"/>
      <c r="INM44" s="344"/>
      <c r="INN44" s="344"/>
      <c r="INO44" s="344"/>
      <c r="INP44" s="344"/>
      <c r="INQ44" s="344"/>
      <c r="INR44" s="344"/>
      <c r="INS44" s="344"/>
      <c r="INT44" s="344"/>
      <c r="INU44" s="344"/>
      <c r="INV44" s="344"/>
      <c r="INW44" s="344"/>
      <c r="INX44" s="344"/>
      <c r="INY44" s="344"/>
      <c r="INZ44" s="344"/>
      <c r="IOA44" s="344"/>
      <c r="IOB44" s="344"/>
      <c r="IOC44" s="344"/>
      <c r="IOD44" s="344"/>
      <c r="IOE44" s="344"/>
      <c r="IOF44" s="344"/>
      <c r="IOG44" s="344"/>
      <c r="IOH44" s="344"/>
      <c r="IOI44" s="344"/>
      <c r="IOJ44" s="344"/>
      <c r="IOK44" s="344"/>
      <c r="IOL44" s="344"/>
      <c r="IOM44" s="344"/>
      <c r="ION44" s="344"/>
      <c r="IOO44" s="344"/>
      <c r="IOP44" s="344"/>
      <c r="IOQ44" s="344"/>
      <c r="IOR44" s="344"/>
      <c r="IOS44" s="344"/>
      <c r="IOT44" s="344"/>
      <c r="IOU44" s="344"/>
      <c r="IOV44" s="344"/>
      <c r="IOW44" s="344"/>
      <c r="IOX44" s="344"/>
      <c r="IOY44" s="344"/>
      <c r="IOZ44" s="344"/>
      <c r="IPA44" s="344"/>
      <c r="IPB44" s="344"/>
      <c r="IPC44" s="344"/>
      <c r="IPD44" s="344"/>
      <c r="IPE44" s="344"/>
      <c r="IPF44" s="344"/>
      <c r="IPG44" s="344"/>
      <c r="IPH44" s="344"/>
      <c r="IPI44" s="344"/>
      <c r="IPJ44" s="344"/>
      <c r="IPK44" s="344"/>
      <c r="IPL44" s="344"/>
      <c r="IPM44" s="344"/>
      <c r="IPN44" s="344"/>
      <c r="IPO44" s="344"/>
      <c r="IPP44" s="344"/>
      <c r="IPQ44" s="344"/>
      <c r="IPR44" s="344"/>
      <c r="IPS44" s="344"/>
      <c r="IPT44" s="344"/>
      <c r="IPU44" s="344"/>
      <c r="IPV44" s="344"/>
      <c r="IPW44" s="344"/>
      <c r="IPX44" s="344"/>
      <c r="IPY44" s="344"/>
      <c r="IPZ44" s="344"/>
      <c r="IQA44" s="344"/>
      <c r="IQB44" s="344"/>
      <c r="IQC44" s="344"/>
      <c r="IQD44" s="344"/>
      <c r="IQE44" s="344"/>
      <c r="IQF44" s="344"/>
      <c r="IQG44" s="344"/>
      <c r="IQH44" s="344"/>
      <c r="IQI44" s="344"/>
      <c r="IQJ44" s="344"/>
      <c r="IQK44" s="344"/>
      <c r="IQL44" s="344"/>
      <c r="IQM44" s="344"/>
      <c r="IQN44" s="344"/>
      <c r="IQO44" s="344"/>
      <c r="IQP44" s="344"/>
      <c r="IQQ44" s="344"/>
      <c r="IQR44" s="344"/>
      <c r="IQS44" s="344"/>
      <c r="IQT44" s="344"/>
      <c r="IQU44" s="344"/>
      <c r="IQV44" s="344"/>
      <c r="IQW44" s="344"/>
      <c r="IQX44" s="344"/>
      <c r="IQY44" s="344"/>
      <c r="IQZ44" s="344"/>
      <c r="IRA44" s="344"/>
      <c r="IRB44" s="344"/>
      <c r="IRC44" s="344"/>
      <c r="IRD44" s="344"/>
      <c r="IRE44" s="344"/>
      <c r="IRF44" s="344"/>
      <c r="IRG44" s="344"/>
      <c r="IRH44" s="344"/>
      <c r="IRI44" s="344"/>
      <c r="IRJ44" s="344"/>
      <c r="IRK44" s="344"/>
      <c r="IRL44" s="344"/>
      <c r="IRM44" s="344"/>
      <c r="IRN44" s="344"/>
      <c r="IRO44" s="344"/>
      <c r="IRP44" s="344"/>
      <c r="IRQ44" s="344"/>
      <c r="IRR44" s="344"/>
      <c r="IRS44" s="344"/>
      <c r="IRT44" s="344"/>
      <c r="IRU44" s="344"/>
      <c r="IRV44" s="344"/>
      <c r="IRW44" s="344"/>
      <c r="IRX44" s="344"/>
      <c r="IRY44" s="344"/>
      <c r="IRZ44" s="344"/>
      <c r="ISA44" s="344"/>
      <c r="ISB44" s="344"/>
      <c r="ISC44" s="344"/>
      <c r="ISD44" s="344"/>
      <c r="ISE44" s="344"/>
      <c r="ISF44" s="344"/>
      <c r="ISG44" s="344"/>
      <c r="ISH44" s="344"/>
      <c r="ISI44" s="344"/>
      <c r="ISJ44" s="344"/>
      <c r="ISK44" s="344"/>
      <c r="ISL44" s="344"/>
      <c r="ISM44" s="344"/>
      <c r="ISN44" s="344"/>
      <c r="ISO44" s="344"/>
      <c r="ISP44" s="344"/>
      <c r="ISQ44" s="344"/>
      <c r="ISR44" s="344"/>
      <c r="ISS44" s="344"/>
      <c r="IST44" s="344"/>
      <c r="ISU44" s="344"/>
      <c r="ISV44" s="344"/>
      <c r="ISW44" s="344"/>
      <c r="ISX44" s="344"/>
      <c r="ISY44" s="344"/>
      <c r="ISZ44" s="344"/>
      <c r="ITA44" s="344"/>
      <c r="ITB44" s="344"/>
      <c r="ITC44" s="344"/>
      <c r="ITD44" s="344"/>
      <c r="ITE44" s="344"/>
      <c r="ITF44" s="344"/>
      <c r="ITG44" s="344"/>
      <c r="ITH44" s="344"/>
      <c r="ITI44" s="344"/>
      <c r="ITJ44" s="344"/>
      <c r="ITK44" s="344"/>
      <c r="ITL44" s="344"/>
      <c r="ITM44" s="344"/>
      <c r="ITN44" s="344"/>
      <c r="ITO44" s="344"/>
      <c r="ITP44" s="344"/>
      <c r="ITQ44" s="344"/>
      <c r="ITR44" s="344"/>
      <c r="ITS44" s="344"/>
      <c r="ITT44" s="344"/>
      <c r="ITU44" s="344"/>
      <c r="ITV44" s="344"/>
      <c r="ITW44" s="344"/>
      <c r="ITX44" s="344"/>
      <c r="ITY44" s="344"/>
      <c r="ITZ44" s="344"/>
      <c r="IUA44" s="344"/>
      <c r="IUB44" s="344"/>
      <c r="IUC44" s="344"/>
      <c r="IUD44" s="344"/>
      <c r="IUE44" s="344"/>
      <c r="IUF44" s="344"/>
      <c r="IUG44" s="344"/>
      <c r="IUH44" s="344"/>
      <c r="IUI44" s="344"/>
      <c r="IUJ44" s="344"/>
      <c r="IUK44" s="344"/>
      <c r="IUL44" s="344"/>
      <c r="IUM44" s="344"/>
      <c r="IUN44" s="344"/>
      <c r="IUO44" s="344"/>
      <c r="IUP44" s="344"/>
      <c r="IUQ44" s="344"/>
      <c r="IUR44" s="344"/>
      <c r="IUS44" s="344"/>
      <c r="IUT44" s="344"/>
      <c r="IUU44" s="344"/>
      <c r="IUV44" s="344"/>
      <c r="IUW44" s="344"/>
      <c r="IUX44" s="344"/>
      <c r="IUY44" s="344"/>
      <c r="IUZ44" s="344"/>
      <c r="IVA44" s="344"/>
      <c r="IVB44" s="344"/>
      <c r="IVC44" s="344"/>
      <c r="IVD44" s="344"/>
      <c r="IVE44" s="344"/>
      <c r="IVF44" s="344"/>
      <c r="IVG44" s="344"/>
      <c r="IVH44" s="344"/>
      <c r="IVI44" s="344"/>
      <c r="IVJ44" s="344"/>
      <c r="IVK44" s="344"/>
      <c r="IVL44" s="344"/>
      <c r="IVM44" s="344"/>
      <c r="IVN44" s="344"/>
      <c r="IVO44" s="344"/>
      <c r="IVP44" s="344"/>
      <c r="IVQ44" s="344"/>
      <c r="IVR44" s="344"/>
      <c r="IVS44" s="344"/>
      <c r="IVT44" s="344"/>
      <c r="IVU44" s="344"/>
      <c r="IVV44" s="344"/>
      <c r="IVW44" s="344"/>
      <c r="IVX44" s="344"/>
      <c r="IVY44" s="344"/>
      <c r="IVZ44" s="344"/>
      <c r="IWA44" s="344"/>
      <c r="IWB44" s="344"/>
      <c r="IWC44" s="344"/>
      <c r="IWD44" s="344"/>
      <c r="IWE44" s="344"/>
      <c r="IWF44" s="344"/>
      <c r="IWG44" s="344"/>
      <c r="IWH44" s="344"/>
      <c r="IWI44" s="344"/>
      <c r="IWJ44" s="344"/>
      <c r="IWK44" s="344"/>
      <c r="IWL44" s="344"/>
      <c r="IWM44" s="344"/>
      <c r="IWN44" s="344"/>
      <c r="IWO44" s="344"/>
      <c r="IWP44" s="344"/>
      <c r="IWQ44" s="344"/>
      <c r="IWR44" s="344"/>
      <c r="IWS44" s="344"/>
      <c r="IWT44" s="344"/>
      <c r="IWU44" s="344"/>
      <c r="IWV44" s="344"/>
      <c r="IWW44" s="344"/>
      <c r="IWX44" s="344"/>
      <c r="IWY44" s="344"/>
      <c r="IWZ44" s="344"/>
      <c r="IXA44" s="344"/>
      <c r="IXB44" s="344"/>
      <c r="IXC44" s="344"/>
      <c r="IXD44" s="344"/>
      <c r="IXE44" s="344"/>
      <c r="IXF44" s="344"/>
      <c r="IXG44" s="344"/>
      <c r="IXH44" s="344"/>
      <c r="IXI44" s="344"/>
      <c r="IXJ44" s="344"/>
      <c r="IXK44" s="344"/>
      <c r="IXL44" s="344"/>
      <c r="IXM44" s="344"/>
      <c r="IXN44" s="344"/>
      <c r="IXO44" s="344"/>
      <c r="IXP44" s="344"/>
      <c r="IXQ44" s="344"/>
      <c r="IXR44" s="344"/>
      <c r="IXS44" s="344"/>
      <c r="IXT44" s="344"/>
      <c r="IXU44" s="344"/>
      <c r="IXV44" s="344"/>
      <c r="IXW44" s="344"/>
      <c r="IXX44" s="344"/>
      <c r="IXY44" s="344"/>
      <c r="IXZ44" s="344"/>
      <c r="IYA44" s="344"/>
      <c r="IYB44" s="344"/>
      <c r="IYC44" s="344"/>
      <c r="IYD44" s="344"/>
      <c r="IYE44" s="344"/>
      <c r="IYF44" s="344"/>
      <c r="IYG44" s="344"/>
      <c r="IYH44" s="344"/>
      <c r="IYI44" s="344"/>
      <c r="IYJ44" s="344"/>
      <c r="IYK44" s="344"/>
      <c r="IYL44" s="344"/>
      <c r="IYM44" s="344"/>
      <c r="IYN44" s="344"/>
      <c r="IYO44" s="344"/>
      <c r="IYP44" s="344"/>
      <c r="IYQ44" s="344"/>
      <c r="IYR44" s="344"/>
      <c r="IYS44" s="344"/>
      <c r="IYT44" s="344"/>
      <c r="IYU44" s="344"/>
      <c r="IYV44" s="344"/>
      <c r="IYW44" s="344"/>
      <c r="IYX44" s="344"/>
      <c r="IYY44" s="344"/>
      <c r="IYZ44" s="344"/>
      <c r="IZA44" s="344"/>
      <c r="IZB44" s="344"/>
      <c r="IZC44" s="344"/>
      <c r="IZD44" s="344"/>
      <c r="IZE44" s="344"/>
      <c r="IZF44" s="344"/>
      <c r="IZG44" s="344"/>
      <c r="IZH44" s="344"/>
      <c r="IZI44" s="344"/>
      <c r="IZJ44" s="344"/>
      <c r="IZK44" s="344"/>
      <c r="IZL44" s="344"/>
      <c r="IZM44" s="344"/>
      <c r="IZN44" s="344"/>
      <c r="IZO44" s="344"/>
      <c r="IZP44" s="344"/>
      <c r="IZQ44" s="344"/>
      <c r="IZR44" s="344"/>
      <c r="IZS44" s="344"/>
      <c r="IZT44" s="344"/>
      <c r="IZU44" s="344"/>
      <c r="IZV44" s="344"/>
      <c r="IZW44" s="344"/>
      <c r="IZX44" s="344"/>
      <c r="IZY44" s="344"/>
      <c r="IZZ44" s="344"/>
      <c r="JAA44" s="344"/>
      <c r="JAB44" s="344"/>
      <c r="JAC44" s="344"/>
      <c r="JAD44" s="344"/>
      <c r="JAE44" s="344"/>
      <c r="JAF44" s="344"/>
      <c r="JAG44" s="344"/>
      <c r="JAH44" s="344"/>
      <c r="JAI44" s="344"/>
      <c r="JAJ44" s="344"/>
      <c r="JAK44" s="344"/>
      <c r="JAL44" s="344"/>
      <c r="JAM44" s="344"/>
      <c r="JAN44" s="344"/>
      <c r="JAO44" s="344"/>
      <c r="JAP44" s="344"/>
      <c r="JAQ44" s="344"/>
      <c r="JAR44" s="344"/>
      <c r="JAS44" s="344"/>
      <c r="JAT44" s="344"/>
      <c r="JAU44" s="344"/>
      <c r="JAV44" s="344"/>
      <c r="JAW44" s="344"/>
      <c r="JAX44" s="344"/>
      <c r="JAY44" s="344"/>
      <c r="JAZ44" s="344"/>
      <c r="JBA44" s="344"/>
      <c r="JBB44" s="344"/>
      <c r="JBC44" s="344"/>
      <c r="JBD44" s="344"/>
      <c r="JBE44" s="344"/>
      <c r="JBF44" s="344"/>
      <c r="JBG44" s="344"/>
      <c r="JBH44" s="344"/>
      <c r="JBI44" s="344"/>
      <c r="JBJ44" s="344"/>
      <c r="JBK44" s="344"/>
      <c r="JBL44" s="344"/>
      <c r="JBM44" s="344"/>
      <c r="JBN44" s="344"/>
      <c r="JBO44" s="344"/>
      <c r="JBP44" s="344"/>
      <c r="JBQ44" s="344"/>
      <c r="JBR44" s="344"/>
      <c r="JBS44" s="344"/>
      <c r="JBT44" s="344"/>
      <c r="JBU44" s="344"/>
      <c r="JBV44" s="344"/>
      <c r="JBW44" s="344"/>
      <c r="JBX44" s="344"/>
      <c r="JBY44" s="344"/>
      <c r="JBZ44" s="344"/>
      <c r="JCA44" s="344"/>
      <c r="JCB44" s="344"/>
      <c r="JCC44" s="344"/>
      <c r="JCD44" s="344"/>
      <c r="JCE44" s="344"/>
      <c r="JCF44" s="344"/>
      <c r="JCG44" s="344"/>
      <c r="JCH44" s="344"/>
      <c r="JCI44" s="344"/>
      <c r="JCJ44" s="344"/>
      <c r="JCK44" s="344"/>
      <c r="JCL44" s="344"/>
      <c r="JCM44" s="344"/>
      <c r="JCN44" s="344"/>
      <c r="JCO44" s="344"/>
      <c r="JCP44" s="344"/>
      <c r="JCQ44" s="344"/>
      <c r="JCR44" s="344"/>
      <c r="JCS44" s="344"/>
      <c r="JCT44" s="344"/>
      <c r="JCU44" s="344"/>
      <c r="JCV44" s="344"/>
      <c r="JCW44" s="344"/>
      <c r="JCX44" s="344"/>
      <c r="JCY44" s="344"/>
      <c r="JCZ44" s="344"/>
      <c r="JDA44" s="344"/>
      <c r="JDB44" s="344"/>
      <c r="JDC44" s="344"/>
      <c r="JDD44" s="344"/>
      <c r="JDE44" s="344"/>
      <c r="JDF44" s="344"/>
      <c r="JDG44" s="344"/>
      <c r="JDH44" s="344"/>
      <c r="JDI44" s="344"/>
      <c r="JDJ44" s="344"/>
      <c r="JDK44" s="344"/>
      <c r="JDL44" s="344"/>
      <c r="JDM44" s="344"/>
      <c r="JDN44" s="344"/>
      <c r="JDO44" s="344"/>
      <c r="JDP44" s="344"/>
      <c r="JDQ44" s="344"/>
      <c r="JDR44" s="344"/>
      <c r="JDS44" s="344"/>
      <c r="JDT44" s="344"/>
      <c r="JDU44" s="344"/>
      <c r="JDV44" s="344"/>
      <c r="JDW44" s="344"/>
      <c r="JDX44" s="344"/>
      <c r="JDY44" s="344"/>
      <c r="JDZ44" s="344"/>
      <c r="JEA44" s="344"/>
      <c r="JEB44" s="344"/>
      <c r="JEC44" s="344"/>
      <c r="JED44" s="344"/>
      <c r="JEE44" s="344"/>
      <c r="JEF44" s="344"/>
      <c r="JEG44" s="344"/>
      <c r="JEH44" s="344"/>
      <c r="JEI44" s="344"/>
      <c r="JEJ44" s="344"/>
      <c r="JEK44" s="344"/>
      <c r="JEL44" s="344"/>
      <c r="JEM44" s="344"/>
      <c r="JEN44" s="344"/>
      <c r="JEO44" s="344"/>
      <c r="JEP44" s="344"/>
      <c r="JEQ44" s="344"/>
      <c r="JER44" s="344"/>
      <c r="JES44" s="344"/>
      <c r="JET44" s="344"/>
      <c r="JEU44" s="344"/>
      <c r="JEV44" s="344"/>
      <c r="JEW44" s="344"/>
      <c r="JEX44" s="344"/>
      <c r="JEY44" s="344"/>
      <c r="JEZ44" s="344"/>
      <c r="JFA44" s="344"/>
      <c r="JFB44" s="344"/>
      <c r="JFC44" s="344"/>
      <c r="JFD44" s="344"/>
      <c r="JFE44" s="344"/>
      <c r="JFF44" s="344"/>
      <c r="JFG44" s="344"/>
      <c r="JFH44" s="344"/>
      <c r="JFI44" s="344"/>
      <c r="JFJ44" s="344"/>
      <c r="JFK44" s="344"/>
      <c r="JFL44" s="344"/>
      <c r="JFM44" s="344"/>
      <c r="JFN44" s="344"/>
      <c r="JFO44" s="344"/>
      <c r="JFP44" s="344"/>
      <c r="JFQ44" s="344"/>
      <c r="JFR44" s="344"/>
      <c r="JFS44" s="344"/>
      <c r="JFT44" s="344"/>
      <c r="JFU44" s="344"/>
      <c r="JFV44" s="344"/>
      <c r="JFW44" s="344"/>
      <c r="JFX44" s="344"/>
      <c r="JFY44" s="344"/>
      <c r="JFZ44" s="344"/>
      <c r="JGA44" s="344"/>
      <c r="JGB44" s="344"/>
      <c r="JGC44" s="344"/>
      <c r="JGD44" s="344"/>
      <c r="JGE44" s="344"/>
      <c r="JGF44" s="344"/>
      <c r="JGG44" s="344"/>
      <c r="JGH44" s="344"/>
      <c r="JGI44" s="344"/>
      <c r="JGJ44" s="344"/>
      <c r="JGK44" s="344"/>
      <c r="JGL44" s="344"/>
      <c r="JGM44" s="344"/>
      <c r="JGN44" s="344"/>
      <c r="JGO44" s="344"/>
      <c r="JGP44" s="344"/>
      <c r="JGQ44" s="344"/>
      <c r="JGR44" s="344"/>
      <c r="JGS44" s="344"/>
      <c r="JGT44" s="344"/>
      <c r="JGU44" s="344"/>
      <c r="JGV44" s="344"/>
      <c r="JGW44" s="344"/>
      <c r="JGX44" s="344"/>
      <c r="JGY44" s="344"/>
      <c r="JGZ44" s="344"/>
      <c r="JHA44" s="344"/>
      <c r="JHB44" s="344"/>
      <c r="JHC44" s="344"/>
      <c r="JHD44" s="344"/>
      <c r="JHE44" s="344"/>
      <c r="JHF44" s="344"/>
      <c r="JHG44" s="344"/>
      <c r="JHH44" s="344"/>
      <c r="JHI44" s="344"/>
      <c r="JHJ44" s="344"/>
      <c r="JHK44" s="344"/>
      <c r="JHL44" s="344"/>
      <c r="JHM44" s="344"/>
      <c r="JHN44" s="344"/>
      <c r="JHO44" s="344"/>
      <c r="JHP44" s="344"/>
      <c r="JHQ44" s="344"/>
      <c r="JHR44" s="344"/>
      <c r="JHS44" s="344"/>
      <c r="JHT44" s="344"/>
      <c r="JHU44" s="344"/>
      <c r="JHV44" s="344"/>
      <c r="JHW44" s="344"/>
      <c r="JHX44" s="344"/>
      <c r="JHY44" s="344"/>
      <c r="JHZ44" s="344"/>
      <c r="JIA44" s="344"/>
      <c r="JIB44" s="344"/>
      <c r="JIC44" s="344"/>
      <c r="JID44" s="344"/>
      <c r="JIE44" s="344"/>
      <c r="JIF44" s="344"/>
      <c r="JIG44" s="344"/>
      <c r="JIH44" s="344"/>
      <c r="JII44" s="344"/>
      <c r="JIJ44" s="344"/>
      <c r="JIK44" s="344"/>
      <c r="JIL44" s="344"/>
      <c r="JIM44" s="344"/>
      <c r="JIN44" s="344"/>
      <c r="JIO44" s="344"/>
      <c r="JIP44" s="344"/>
      <c r="JIQ44" s="344"/>
      <c r="JIR44" s="344"/>
      <c r="JIS44" s="344"/>
      <c r="JIT44" s="344"/>
      <c r="JIU44" s="344"/>
      <c r="JIV44" s="344"/>
      <c r="JIW44" s="344"/>
      <c r="JIX44" s="344"/>
      <c r="JIY44" s="344"/>
      <c r="JIZ44" s="344"/>
      <c r="JJA44" s="344"/>
      <c r="JJB44" s="344"/>
      <c r="JJC44" s="344"/>
      <c r="JJD44" s="344"/>
      <c r="JJE44" s="344"/>
      <c r="JJF44" s="344"/>
      <c r="JJG44" s="344"/>
      <c r="JJH44" s="344"/>
      <c r="JJI44" s="344"/>
      <c r="JJJ44" s="344"/>
      <c r="JJK44" s="344"/>
      <c r="JJL44" s="344"/>
      <c r="JJM44" s="344"/>
      <c r="JJN44" s="344"/>
      <c r="JJO44" s="344"/>
      <c r="JJP44" s="344"/>
      <c r="JJQ44" s="344"/>
      <c r="JJR44" s="344"/>
      <c r="JJS44" s="344"/>
      <c r="JJT44" s="344"/>
      <c r="JJU44" s="344"/>
      <c r="JJV44" s="344"/>
      <c r="JJW44" s="344"/>
      <c r="JJX44" s="344"/>
      <c r="JJY44" s="344"/>
      <c r="JJZ44" s="344"/>
      <c r="JKA44" s="344"/>
      <c r="JKB44" s="344"/>
      <c r="JKC44" s="344"/>
      <c r="JKD44" s="344"/>
      <c r="JKE44" s="344"/>
      <c r="JKF44" s="344"/>
      <c r="JKG44" s="344"/>
      <c r="JKH44" s="344"/>
      <c r="JKI44" s="344"/>
      <c r="JKJ44" s="344"/>
      <c r="JKK44" s="344"/>
      <c r="JKL44" s="344"/>
      <c r="JKM44" s="344"/>
      <c r="JKN44" s="344"/>
      <c r="JKO44" s="344"/>
      <c r="JKP44" s="344"/>
      <c r="JKQ44" s="344"/>
      <c r="JKR44" s="344"/>
      <c r="JKS44" s="344"/>
      <c r="JKT44" s="344"/>
      <c r="JKU44" s="344"/>
      <c r="JKV44" s="344"/>
      <c r="JKW44" s="344"/>
      <c r="JKX44" s="344"/>
      <c r="JKY44" s="344"/>
      <c r="JKZ44" s="344"/>
      <c r="JLA44" s="344"/>
      <c r="JLB44" s="344"/>
      <c r="JLC44" s="344"/>
      <c r="JLD44" s="344"/>
      <c r="JLE44" s="344"/>
      <c r="JLF44" s="344"/>
      <c r="JLG44" s="344"/>
      <c r="JLH44" s="344"/>
      <c r="JLI44" s="344"/>
      <c r="JLJ44" s="344"/>
      <c r="JLK44" s="344"/>
      <c r="JLL44" s="344"/>
      <c r="JLM44" s="344"/>
      <c r="JLN44" s="344"/>
      <c r="JLO44" s="344"/>
      <c r="JLP44" s="344"/>
      <c r="JLQ44" s="344"/>
      <c r="JLR44" s="344"/>
      <c r="JLS44" s="344"/>
      <c r="JLT44" s="344"/>
      <c r="JLU44" s="344"/>
      <c r="JLV44" s="344"/>
      <c r="JLW44" s="344"/>
      <c r="JLX44" s="344"/>
      <c r="JLY44" s="344"/>
      <c r="JLZ44" s="344"/>
      <c r="JMA44" s="344"/>
      <c r="JMB44" s="344"/>
      <c r="JMC44" s="344"/>
      <c r="JMD44" s="344"/>
      <c r="JME44" s="344"/>
      <c r="JMF44" s="344"/>
      <c r="JMG44" s="344"/>
      <c r="JMH44" s="344"/>
      <c r="JMI44" s="344"/>
      <c r="JMJ44" s="344"/>
      <c r="JMK44" s="344"/>
      <c r="JML44" s="344"/>
      <c r="JMM44" s="344"/>
      <c r="JMN44" s="344"/>
      <c r="JMO44" s="344"/>
      <c r="JMP44" s="344"/>
      <c r="JMQ44" s="344"/>
      <c r="JMR44" s="344"/>
      <c r="JMS44" s="344"/>
      <c r="JMT44" s="344"/>
      <c r="JMU44" s="344"/>
      <c r="JMV44" s="344"/>
      <c r="JMW44" s="344"/>
      <c r="JMX44" s="344"/>
      <c r="JMY44" s="344"/>
      <c r="JMZ44" s="344"/>
      <c r="JNA44" s="344"/>
      <c r="JNB44" s="344"/>
      <c r="JNC44" s="344"/>
      <c r="JND44" s="344"/>
      <c r="JNE44" s="344"/>
      <c r="JNF44" s="344"/>
      <c r="JNG44" s="344"/>
      <c r="JNH44" s="344"/>
      <c r="JNI44" s="344"/>
      <c r="JNJ44" s="344"/>
      <c r="JNK44" s="344"/>
      <c r="JNL44" s="344"/>
      <c r="JNM44" s="344"/>
      <c r="JNN44" s="344"/>
      <c r="JNO44" s="344"/>
      <c r="JNP44" s="344"/>
      <c r="JNQ44" s="344"/>
      <c r="JNR44" s="344"/>
      <c r="JNS44" s="344"/>
      <c r="JNT44" s="344"/>
      <c r="JNU44" s="344"/>
      <c r="JNV44" s="344"/>
      <c r="JNW44" s="344"/>
      <c r="JNX44" s="344"/>
      <c r="JNY44" s="344"/>
      <c r="JNZ44" s="344"/>
      <c r="JOA44" s="344"/>
      <c r="JOB44" s="344"/>
      <c r="JOC44" s="344"/>
      <c r="JOD44" s="344"/>
      <c r="JOE44" s="344"/>
      <c r="JOF44" s="344"/>
      <c r="JOG44" s="344"/>
      <c r="JOH44" s="344"/>
      <c r="JOI44" s="344"/>
      <c r="JOJ44" s="344"/>
      <c r="JOK44" s="344"/>
      <c r="JOL44" s="344"/>
      <c r="JOM44" s="344"/>
      <c r="JON44" s="344"/>
      <c r="JOO44" s="344"/>
      <c r="JOP44" s="344"/>
      <c r="JOQ44" s="344"/>
      <c r="JOR44" s="344"/>
      <c r="JOS44" s="344"/>
      <c r="JOT44" s="344"/>
      <c r="JOU44" s="344"/>
      <c r="JOV44" s="344"/>
      <c r="JOW44" s="344"/>
      <c r="JOX44" s="344"/>
      <c r="JOY44" s="344"/>
      <c r="JOZ44" s="344"/>
      <c r="JPA44" s="344"/>
      <c r="JPB44" s="344"/>
      <c r="JPC44" s="344"/>
      <c r="JPD44" s="344"/>
      <c r="JPE44" s="344"/>
      <c r="JPF44" s="344"/>
      <c r="JPG44" s="344"/>
      <c r="JPH44" s="344"/>
      <c r="JPI44" s="344"/>
      <c r="JPJ44" s="344"/>
      <c r="JPK44" s="344"/>
      <c r="JPL44" s="344"/>
      <c r="JPM44" s="344"/>
      <c r="JPN44" s="344"/>
      <c r="JPO44" s="344"/>
      <c r="JPP44" s="344"/>
      <c r="JPQ44" s="344"/>
      <c r="JPR44" s="344"/>
      <c r="JPS44" s="344"/>
      <c r="JPT44" s="344"/>
      <c r="JPU44" s="344"/>
      <c r="JPV44" s="344"/>
      <c r="JPW44" s="344"/>
      <c r="JPX44" s="344"/>
      <c r="JPY44" s="344"/>
      <c r="JPZ44" s="344"/>
      <c r="JQA44" s="344"/>
      <c r="JQB44" s="344"/>
      <c r="JQC44" s="344"/>
      <c r="JQD44" s="344"/>
      <c r="JQE44" s="344"/>
      <c r="JQF44" s="344"/>
      <c r="JQG44" s="344"/>
      <c r="JQH44" s="344"/>
      <c r="JQI44" s="344"/>
      <c r="JQJ44" s="344"/>
      <c r="JQK44" s="344"/>
      <c r="JQL44" s="344"/>
      <c r="JQM44" s="344"/>
      <c r="JQN44" s="344"/>
      <c r="JQO44" s="344"/>
      <c r="JQP44" s="344"/>
      <c r="JQQ44" s="344"/>
      <c r="JQR44" s="344"/>
      <c r="JQS44" s="344"/>
      <c r="JQT44" s="344"/>
      <c r="JQU44" s="344"/>
      <c r="JQV44" s="344"/>
      <c r="JQW44" s="344"/>
      <c r="JQX44" s="344"/>
      <c r="JQY44" s="344"/>
      <c r="JQZ44" s="344"/>
      <c r="JRA44" s="344"/>
      <c r="JRB44" s="344"/>
      <c r="JRC44" s="344"/>
      <c r="JRD44" s="344"/>
      <c r="JRE44" s="344"/>
      <c r="JRF44" s="344"/>
      <c r="JRG44" s="344"/>
      <c r="JRH44" s="344"/>
      <c r="JRI44" s="344"/>
      <c r="JRJ44" s="344"/>
      <c r="JRK44" s="344"/>
      <c r="JRL44" s="344"/>
      <c r="JRM44" s="344"/>
      <c r="JRN44" s="344"/>
      <c r="JRO44" s="344"/>
      <c r="JRP44" s="344"/>
      <c r="JRQ44" s="344"/>
      <c r="JRR44" s="344"/>
      <c r="JRS44" s="344"/>
      <c r="JRT44" s="344"/>
      <c r="JRU44" s="344"/>
      <c r="JRV44" s="344"/>
      <c r="JRW44" s="344"/>
      <c r="JRX44" s="344"/>
      <c r="JRY44" s="344"/>
      <c r="JRZ44" s="344"/>
      <c r="JSA44" s="344"/>
      <c r="JSB44" s="344"/>
      <c r="JSC44" s="344"/>
      <c r="JSD44" s="344"/>
      <c r="JSE44" s="344"/>
      <c r="JSF44" s="344"/>
      <c r="JSG44" s="344"/>
      <c r="JSH44" s="344"/>
      <c r="JSI44" s="344"/>
      <c r="JSJ44" s="344"/>
      <c r="JSK44" s="344"/>
      <c r="JSL44" s="344"/>
      <c r="JSM44" s="344"/>
      <c r="JSN44" s="344"/>
      <c r="JSO44" s="344"/>
      <c r="JSP44" s="344"/>
      <c r="JSQ44" s="344"/>
      <c r="JSR44" s="344"/>
      <c r="JSS44" s="344"/>
      <c r="JST44" s="344"/>
      <c r="JSU44" s="344"/>
      <c r="JSV44" s="344"/>
      <c r="JSW44" s="344"/>
      <c r="JSX44" s="344"/>
      <c r="JSY44" s="344"/>
      <c r="JSZ44" s="344"/>
      <c r="JTA44" s="344"/>
      <c r="JTB44" s="344"/>
      <c r="JTC44" s="344"/>
      <c r="JTD44" s="344"/>
      <c r="JTE44" s="344"/>
      <c r="JTF44" s="344"/>
      <c r="JTG44" s="344"/>
      <c r="JTH44" s="344"/>
      <c r="JTI44" s="344"/>
      <c r="JTJ44" s="344"/>
      <c r="JTK44" s="344"/>
      <c r="JTL44" s="344"/>
      <c r="JTM44" s="344"/>
      <c r="JTN44" s="344"/>
      <c r="JTO44" s="344"/>
      <c r="JTP44" s="344"/>
      <c r="JTQ44" s="344"/>
      <c r="JTR44" s="344"/>
      <c r="JTS44" s="344"/>
      <c r="JTT44" s="344"/>
      <c r="JTU44" s="344"/>
      <c r="JTV44" s="344"/>
      <c r="JTW44" s="344"/>
      <c r="JTX44" s="344"/>
      <c r="JTY44" s="344"/>
      <c r="JTZ44" s="344"/>
      <c r="JUA44" s="344"/>
      <c r="JUB44" s="344"/>
      <c r="JUC44" s="344"/>
      <c r="JUD44" s="344"/>
      <c r="JUE44" s="344"/>
      <c r="JUF44" s="344"/>
      <c r="JUG44" s="344"/>
      <c r="JUH44" s="344"/>
      <c r="JUI44" s="344"/>
      <c r="JUJ44" s="344"/>
      <c r="JUK44" s="344"/>
      <c r="JUL44" s="344"/>
      <c r="JUM44" s="344"/>
      <c r="JUN44" s="344"/>
      <c r="JUO44" s="344"/>
      <c r="JUP44" s="344"/>
      <c r="JUQ44" s="344"/>
      <c r="JUR44" s="344"/>
      <c r="JUS44" s="344"/>
      <c r="JUT44" s="344"/>
      <c r="JUU44" s="344"/>
      <c r="JUV44" s="344"/>
      <c r="JUW44" s="344"/>
      <c r="JUX44" s="344"/>
      <c r="JUY44" s="344"/>
      <c r="JUZ44" s="344"/>
      <c r="JVA44" s="344"/>
      <c r="JVB44" s="344"/>
      <c r="JVC44" s="344"/>
      <c r="JVD44" s="344"/>
      <c r="JVE44" s="344"/>
      <c r="JVF44" s="344"/>
      <c r="JVG44" s="344"/>
      <c r="JVH44" s="344"/>
      <c r="JVI44" s="344"/>
      <c r="JVJ44" s="344"/>
      <c r="JVK44" s="344"/>
      <c r="JVL44" s="344"/>
      <c r="JVM44" s="344"/>
      <c r="JVN44" s="344"/>
      <c r="JVO44" s="344"/>
      <c r="JVP44" s="344"/>
      <c r="JVQ44" s="344"/>
      <c r="JVR44" s="344"/>
      <c r="JVS44" s="344"/>
      <c r="JVT44" s="344"/>
      <c r="JVU44" s="344"/>
      <c r="JVV44" s="344"/>
      <c r="JVW44" s="344"/>
      <c r="JVX44" s="344"/>
      <c r="JVY44" s="344"/>
      <c r="JVZ44" s="344"/>
      <c r="JWA44" s="344"/>
      <c r="JWB44" s="344"/>
      <c r="JWC44" s="344"/>
      <c r="JWD44" s="344"/>
      <c r="JWE44" s="344"/>
      <c r="JWF44" s="344"/>
      <c r="JWG44" s="344"/>
      <c r="JWH44" s="344"/>
      <c r="JWI44" s="344"/>
      <c r="JWJ44" s="344"/>
      <c r="JWK44" s="344"/>
      <c r="JWL44" s="344"/>
      <c r="JWM44" s="344"/>
      <c r="JWN44" s="344"/>
      <c r="JWO44" s="344"/>
      <c r="JWP44" s="344"/>
      <c r="JWQ44" s="344"/>
      <c r="JWR44" s="344"/>
      <c r="JWS44" s="344"/>
      <c r="JWT44" s="344"/>
      <c r="JWU44" s="344"/>
      <c r="JWV44" s="344"/>
      <c r="JWW44" s="344"/>
      <c r="JWX44" s="344"/>
      <c r="JWY44" s="344"/>
      <c r="JWZ44" s="344"/>
      <c r="JXA44" s="344"/>
      <c r="JXB44" s="344"/>
      <c r="JXC44" s="344"/>
      <c r="JXD44" s="344"/>
      <c r="JXE44" s="344"/>
      <c r="JXF44" s="344"/>
      <c r="JXG44" s="344"/>
      <c r="JXH44" s="344"/>
      <c r="JXI44" s="344"/>
      <c r="JXJ44" s="344"/>
      <c r="JXK44" s="344"/>
      <c r="JXL44" s="344"/>
      <c r="JXM44" s="344"/>
      <c r="JXN44" s="344"/>
      <c r="JXO44" s="344"/>
      <c r="JXP44" s="344"/>
      <c r="JXQ44" s="344"/>
      <c r="JXR44" s="344"/>
      <c r="JXS44" s="344"/>
      <c r="JXT44" s="344"/>
      <c r="JXU44" s="344"/>
      <c r="JXV44" s="344"/>
      <c r="JXW44" s="344"/>
      <c r="JXX44" s="344"/>
      <c r="JXY44" s="344"/>
      <c r="JXZ44" s="344"/>
      <c r="JYA44" s="344"/>
      <c r="JYB44" s="344"/>
      <c r="JYC44" s="344"/>
      <c r="JYD44" s="344"/>
      <c r="JYE44" s="344"/>
      <c r="JYF44" s="344"/>
      <c r="JYG44" s="344"/>
      <c r="JYH44" s="344"/>
      <c r="JYI44" s="344"/>
      <c r="JYJ44" s="344"/>
      <c r="JYK44" s="344"/>
      <c r="JYL44" s="344"/>
      <c r="JYM44" s="344"/>
      <c r="JYN44" s="344"/>
      <c r="JYO44" s="344"/>
      <c r="JYP44" s="344"/>
      <c r="JYQ44" s="344"/>
      <c r="JYR44" s="344"/>
      <c r="JYS44" s="344"/>
      <c r="JYT44" s="344"/>
      <c r="JYU44" s="344"/>
      <c r="JYV44" s="344"/>
      <c r="JYW44" s="344"/>
      <c r="JYX44" s="344"/>
      <c r="JYY44" s="344"/>
      <c r="JYZ44" s="344"/>
      <c r="JZA44" s="344"/>
      <c r="JZB44" s="344"/>
      <c r="JZC44" s="344"/>
      <c r="JZD44" s="344"/>
      <c r="JZE44" s="344"/>
      <c r="JZF44" s="344"/>
      <c r="JZG44" s="344"/>
      <c r="JZH44" s="344"/>
      <c r="JZI44" s="344"/>
      <c r="JZJ44" s="344"/>
      <c r="JZK44" s="344"/>
      <c r="JZL44" s="344"/>
      <c r="JZM44" s="344"/>
      <c r="JZN44" s="344"/>
      <c r="JZO44" s="344"/>
      <c r="JZP44" s="344"/>
      <c r="JZQ44" s="344"/>
      <c r="JZR44" s="344"/>
      <c r="JZS44" s="344"/>
      <c r="JZT44" s="344"/>
      <c r="JZU44" s="344"/>
      <c r="JZV44" s="344"/>
      <c r="JZW44" s="344"/>
      <c r="JZX44" s="344"/>
      <c r="JZY44" s="344"/>
      <c r="JZZ44" s="344"/>
      <c r="KAA44" s="344"/>
      <c r="KAB44" s="344"/>
      <c r="KAC44" s="344"/>
      <c r="KAD44" s="344"/>
      <c r="KAE44" s="344"/>
      <c r="KAF44" s="344"/>
      <c r="KAG44" s="344"/>
      <c r="KAH44" s="344"/>
      <c r="KAI44" s="344"/>
      <c r="KAJ44" s="344"/>
      <c r="KAK44" s="344"/>
      <c r="KAL44" s="344"/>
      <c r="KAM44" s="344"/>
      <c r="KAN44" s="344"/>
      <c r="KAO44" s="344"/>
      <c r="KAP44" s="344"/>
      <c r="KAQ44" s="344"/>
      <c r="KAR44" s="344"/>
      <c r="KAS44" s="344"/>
      <c r="KAT44" s="344"/>
      <c r="KAU44" s="344"/>
      <c r="KAV44" s="344"/>
      <c r="KAW44" s="344"/>
      <c r="KAX44" s="344"/>
      <c r="KAY44" s="344"/>
      <c r="KAZ44" s="344"/>
      <c r="KBA44" s="344"/>
      <c r="KBB44" s="344"/>
      <c r="KBC44" s="344"/>
      <c r="KBD44" s="344"/>
      <c r="KBE44" s="344"/>
      <c r="KBF44" s="344"/>
      <c r="KBG44" s="344"/>
      <c r="KBH44" s="344"/>
      <c r="KBI44" s="344"/>
      <c r="KBJ44" s="344"/>
      <c r="KBK44" s="344"/>
      <c r="KBL44" s="344"/>
      <c r="KBM44" s="344"/>
      <c r="KBN44" s="344"/>
      <c r="KBO44" s="344"/>
      <c r="KBP44" s="344"/>
      <c r="KBQ44" s="344"/>
      <c r="KBR44" s="344"/>
      <c r="KBS44" s="344"/>
      <c r="KBT44" s="344"/>
      <c r="KBU44" s="344"/>
      <c r="KBV44" s="344"/>
      <c r="KBW44" s="344"/>
      <c r="KBX44" s="344"/>
      <c r="KBY44" s="344"/>
      <c r="KBZ44" s="344"/>
      <c r="KCA44" s="344"/>
      <c r="KCB44" s="344"/>
      <c r="KCC44" s="344"/>
      <c r="KCD44" s="344"/>
      <c r="KCE44" s="344"/>
      <c r="KCF44" s="344"/>
      <c r="KCG44" s="344"/>
      <c r="KCH44" s="344"/>
      <c r="KCI44" s="344"/>
      <c r="KCJ44" s="344"/>
      <c r="KCK44" s="344"/>
      <c r="KCL44" s="344"/>
      <c r="KCM44" s="344"/>
      <c r="KCN44" s="344"/>
      <c r="KCO44" s="344"/>
      <c r="KCP44" s="344"/>
      <c r="KCQ44" s="344"/>
      <c r="KCR44" s="344"/>
      <c r="KCS44" s="344"/>
      <c r="KCT44" s="344"/>
      <c r="KCU44" s="344"/>
      <c r="KCV44" s="344"/>
      <c r="KCW44" s="344"/>
      <c r="KCX44" s="344"/>
      <c r="KCY44" s="344"/>
      <c r="KCZ44" s="344"/>
      <c r="KDA44" s="344"/>
      <c r="KDB44" s="344"/>
      <c r="KDC44" s="344"/>
      <c r="KDD44" s="344"/>
      <c r="KDE44" s="344"/>
      <c r="KDF44" s="344"/>
      <c r="KDG44" s="344"/>
      <c r="KDH44" s="344"/>
      <c r="KDI44" s="344"/>
      <c r="KDJ44" s="344"/>
      <c r="KDK44" s="344"/>
      <c r="KDL44" s="344"/>
      <c r="KDM44" s="344"/>
      <c r="KDN44" s="344"/>
      <c r="KDO44" s="344"/>
      <c r="KDP44" s="344"/>
      <c r="KDQ44" s="344"/>
      <c r="KDR44" s="344"/>
      <c r="KDS44" s="344"/>
      <c r="KDT44" s="344"/>
      <c r="KDU44" s="344"/>
      <c r="KDV44" s="344"/>
      <c r="KDW44" s="344"/>
      <c r="KDX44" s="344"/>
      <c r="KDY44" s="344"/>
      <c r="KDZ44" s="344"/>
      <c r="KEA44" s="344"/>
      <c r="KEB44" s="344"/>
      <c r="KEC44" s="344"/>
      <c r="KED44" s="344"/>
      <c r="KEE44" s="344"/>
      <c r="KEF44" s="344"/>
      <c r="KEG44" s="344"/>
      <c r="KEH44" s="344"/>
      <c r="KEI44" s="344"/>
      <c r="KEJ44" s="344"/>
      <c r="KEK44" s="344"/>
      <c r="KEL44" s="344"/>
      <c r="KEM44" s="344"/>
      <c r="KEN44" s="344"/>
      <c r="KEO44" s="344"/>
      <c r="KEP44" s="344"/>
      <c r="KEQ44" s="344"/>
      <c r="KER44" s="344"/>
      <c r="KES44" s="344"/>
      <c r="KET44" s="344"/>
      <c r="KEU44" s="344"/>
      <c r="KEV44" s="344"/>
      <c r="KEW44" s="344"/>
      <c r="KEX44" s="344"/>
      <c r="KEY44" s="344"/>
      <c r="KEZ44" s="344"/>
      <c r="KFA44" s="344"/>
      <c r="KFB44" s="344"/>
      <c r="KFC44" s="344"/>
      <c r="KFD44" s="344"/>
      <c r="KFE44" s="344"/>
      <c r="KFF44" s="344"/>
      <c r="KFG44" s="344"/>
      <c r="KFH44" s="344"/>
      <c r="KFI44" s="344"/>
      <c r="KFJ44" s="344"/>
      <c r="KFK44" s="344"/>
      <c r="KFL44" s="344"/>
      <c r="KFM44" s="344"/>
      <c r="KFN44" s="344"/>
      <c r="KFO44" s="344"/>
      <c r="KFP44" s="344"/>
      <c r="KFQ44" s="344"/>
      <c r="KFR44" s="344"/>
      <c r="KFS44" s="344"/>
      <c r="KFT44" s="344"/>
      <c r="KFU44" s="344"/>
      <c r="KFV44" s="344"/>
      <c r="KFW44" s="344"/>
      <c r="KFX44" s="344"/>
      <c r="KFY44" s="344"/>
      <c r="KFZ44" s="344"/>
      <c r="KGA44" s="344"/>
      <c r="KGB44" s="344"/>
      <c r="KGC44" s="344"/>
      <c r="KGD44" s="344"/>
      <c r="KGE44" s="344"/>
      <c r="KGF44" s="344"/>
      <c r="KGG44" s="344"/>
      <c r="KGH44" s="344"/>
      <c r="KGI44" s="344"/>
      <c r="KGJ44" s="344"/>
      <c r="KGK44" s="344"/>
      <c r="KGL44" s="344"/>
      <c r="KGM44" s="344"/>
      <c r="KGN44" s="344"/>
      <c r="KGO44" s="344"/>
      <c r="KGP44" s="344"/>
      <c r="KGQ44" s="344"/>
      <c r="KGR44" s="344"/>
      <c r="KGS44" s="344"/>
      <c r="KGT44" s="344"/>
      <c r="KGU44" s="344"/>
      <c r="KGV44" s="344"/>
      <c r="KGW44" s="344"/>
      <c r="KGX44" s="344"/>
      <c r="KGY44" s="344"/>
      <c r="KGZ44" s="344"/>
      <c r="KHA44" s="344"/>
      <c r="KHB44" s="344"/>
      <c r="KHC44" s="344"/>
      <c r="KHD44" s="344"/>
      <c r="KHE44" s="344"/>
      <c r="KHF44" s="344"/>
      <c r="KHG44" s="344"/>
      <c r="KHH44" s="344"/>
      <c r="KHI44" s="344"/>
      <c r="KHJ44" s="344"/>
      <c r="KHK44" s="344"/>
      <c r="KHL44" s="344"/>
      <c r="KHM44" s="344"/>
      <c r="KHN44" s="344"/>
      <c r="KHO44" s="344"/>
      <c r="KHP44" s="344"/>
      <c r="KHQ44" s="344"/>
      <c r="KHR44" s="344"/>
      <c r="KHS44" s="344"/>
      <c r="KHT44" s="344"/>
      <c r="KHU44" s="344"/>
      <c r="KHV44" s="344"/>
      <c r="KHW44" s="344"/>
      <c r="KHX44" s="344"/>
      <c r="KHY44" s="344"/>
      <c r="KHZ44" s="344"/>
      <c r="KIA44" s="344"/>
      <c r="KIB44" s="344"/>
      <c r="KIC44" s="344"/>
      <c r="KID44" s="344"/>
      <c r="KIE44" s="344"/>
      <c r="KIF44" s="344"/>
      <c r="KIG44" s="344"/>
      <c r="KIH44" s="344"/>
      <c r="KII44" s="344"/>
      <c r="KIJ44" s="344"/>
      <c r="KIK44" s="344"/>
      <c r="KIL44" s="344"/>
      <c r="KIM44" s="344"/>
      <c r="KIN44" s="344"/>
      <c r="KIO44" s="344"/>
      <c r="KIP44" s="344"/>
      <c r="KIQ44" s="344"/>
      <c r="KIR44" s="344"/>
      <c r="KIS44" s="344"/>
      <c r="KIT44" s="344"/>
      <c r="KIU44" s="344"/>
      <c r="KIV44" s="344"/>
      <c r="KIW44" s="344"/>
      <c r="KIX44" s="344"/>
      <c r="KIY44" s="344"/>
      <c r="KIZ44" s="344"/>
      <c r="KJA44" s="344"/>
      <c r="KJB44" s="344"/>
      <c r="KJC44" s="344"/>
      <c r="KJD44" s="344"/>
      <c r="KJE44" s="344"/>
      <c r="KJF44" s="344"/>
      <c r="KJG44" s="344"/>
      <c r="KJH44" s="344"/>
      <c r="KJI44" s="344"/>
      <c r="KJJ44" s="344"/>
      <c r="KJK44" s="344"/>
      <c r="KJL44" s="344"/>
      <c r="KJM44" s="344"/>
      <c r="KJN44" s="344"/>
      <c r="KJO44" s="344"/>
      <c r="KJP44" s="344"/>
      <c r="KJQ44" s="344"/>
      <c r="KJR44" s="344"/>
      <c r="KJS44" s="344"/>
      <c r="KJT44" s="344"/>
      <c r="KJU44" s="344"/>
      <c r="KJV44" s="344"/>
      <c r="KJW44" s="344"/>
      <c r="KJX44" s="344"/>
      <c r="KJY44" s="344"/>
      <c r="KJZ44" s="344"/>
      <c r="KKA44" s="344"/>
      <c r="KKB44" s="344"/>
      <c r="KKC44" s="344"/>
      <c r="KKD44" s="344"/>
      <c r="KKE44" s="344"/>
      <c r="KKF44" s="344"/>
      <c r="KKG44" s="344"/>
      <c r="KKH44" s="344"/>
      <c r="KKI44" s="344"/>
      <c r="KKJ44" s="344"/>
      <c r="KKK44" s="344"/>
      <c r="KKL44" s="344"/>
      <c r="KKM44" s="344"/>
      <c r="KKN44" s="344"/>
      <c r="KKO44" s="344"/>
      <c r="KKP44" s="344"/>
      <c r="KKQ44" s="344"/>
      <c r="KKR44" s="344"/>
      <c r="KKS44" s="344"/>
      <c r="KKT44" s="344"/>
      <c r="KKU44" s="344"/>
      <c r="KKV44" s="344"/>
      <c r="KKW44" s="344"/>
      <c r="KKX44" s="344"/>
      <c r="KKY44" s="344"/>
      <c r="KKZ44" s="344"/>
      <c r="KLA44" s="344"/>
      <c r="KLB44" s="344"/>
      <c r="KLC44" s="344"/>
      <c r="KLD44" s="344"/>
      <c r="KLE44" s="344"/>
      <c r="KLF44" s="344"/>
      <c r="KLG44" s="344"/>
      <c r="KLH44" s="344"/>
      <c r="KLI44" s="344"/>
      <c r="KLJ44" s="344"/>
      <c r="KLK44" s="344"/>
      <c r="KLL44" s="344"/>
      <c r="KLM44" s="344"/>
      <c r="KLN44" s="344"/>
      <c r="KLO44" s="344"/>
      <c r="KLP44" s="344"/>
      <c r="KLQ44" s="344"/>
      <c r="KLR44" s="344"/>
      <c r="KLS44" s="344"/>
      <c r="KLT44" s="344"/>
      <c r="KLU44" s="344"/>
      <c r="KLV44" s="344"/>
      <c r="KLW44" s="344"/>
      <c r="KLX44" s="344"/>
      <c r="KLY44" s="344"/>
      <c r="KLZ44" s="344"/>
      <c r="KMA44" s="344"/>
      <c r="KMB44" s="344"/>
      <c r="KMC44" s="344"/>
      <c r="KMD44" s="344"/>
      <c r="KME44" s="344"/>
      <c r="KMF44" s="344"/>
      <c r="KMG44" s="344"/>
      <c r="KMH44" s="344"/>
      <c r="KMI44" s="344"/>
      <c r="KMJ44" s="344"/>
      <c r="KMK44" s="344"/>
      <c r="KML44" s="344"/>
      <c r="KMM44" s="344"/>
      <c r="KMN44" s="344"/>
      <c r="KMO44" s="344"/>
      <c r="KMP44" s="344"/>
      <c r="KMQ44" s="344"/>
      <c r="KMR44" s="344"/>
      <c r="KMS44" s="344"/>
      <c r="KMT44" s="344"/>
      <c r="KMU44" s="344"/>
      <c r="KMV44" s="344"/>
      <c r="KMW44" s="344"/>
      <c r="KMX44" s="344"/>
      <c r="KMY44" s="344"/>
      <c r="KMZ44" s="344"/>
      <c r="KNA44" s="344"/>
      <c r="KNB44" s="344"/>
      <c r="KNC44" s="344"/>
      <c r="KND44" s="344"/>
      <c r="KNE44" s="344"/>
      <c r="KNF44" s="344"/>
      <c r="KNG44" s="344"/>
      <c r="KNH44" s="344"/>
      <c r="KNI44" s="344"/>
      <c r="KNJ44" s="344"/>
      <c r="KNK44" s="344"/>
      <c r="KNL44" s="344"/>
      <c r="KNM44" s="344"/>
      <c r="KNN44" s="344"/>
      <c r="KNO44" s="344"/>
      <c r="KNP44" s="344"/>
      <c r="KNQ44" s="344"/>
      <c r="KNR44" s="344"/>
      <c r="KNS44" s="344"/>
      <c r="KNT44" s="344"/>
      <c r="KNU44" s="344"/>
      <c r="KNV44" s="344"/>
      <c r="KNW44" s="344"/>
      <c r="KNX44" s="344"/>
      <c r="KNY44" s="344"/>
      <c r="KNZ44" s="344"/>
      <c r="KOA44" s="344"/>
      <c r="KOB44" s="344"/>
      <c r="KOC44" s="344"/>
      <c r="KOD44" s="344"/>
      <c r="KOE44" s="344"/>
      <c r="KOF44" s="344"/>
      <c r="KOG44" s="344"/>
      <c r="KOH44" s="344"/>
      <c r="KOI44" s="344"/>
      <c r="KOJ44" s="344"/>
      <c r="KOK44" s="344"/>
      <c r="KOL44" s="344"/>
      <c r="KOM44" s="344"/>
      <c r="KON44" s="344"/>
      <c r="KOO44" s="344"/>
      <c r="KOP44" s="344"/>
      <c r="KOQ44" s="344"/>
      <c r="KOR44" s="344"/>
      <c r="KOS44" s="344"/>
      <c r="KOT44" s="344"/>
      <c r="KOU44" s="344"/>
      <c r="KOV44" s="344"/>
      <c r="KOW44" s="344"/>
      <c r="KOX44" s="344"/>
      <c r="KOY44" s="344"/>
      <c r="KOZ44" s="344"/>
      <c r="KPA44" s="344"/>
      <c r="KPB44" s="344"/>
      <c r="KPC44" s="344"/>
      <c r="KPD44" s="344"/>
      <c r="KPE44" s="344"/>
      <c r="KPF44" s="344"/>
      <c r="KPG44" s="344"/>
      <c r="KPH44" s="344"/>
      <c r="KPI44" s="344"/>
      <c r="KPJ44" s="344"/>
      <c r="KPK44" s="344"/>
      <c r="KPL44" s="344"/>
      <c r="KPM44" s="344"/>
      <c r="KPN44" s="344"/>
      <c r="KPO44" s="344"/>
      <c r="KPP44" s="344"/>
      <c r="KPQ44" s="344"/>
      <c r="KPR44" s="344"/>
      <c r="KPS44" s="344"/>
      <c r="KPT44" s="344"/>
      <c r="KPU44" s="344"/>
      <c r="KPV44" s="344"/>
      <c r="KPW44" s="344"/>
      <c r="KPX44" s="344"/>
      <c r="KPY44" s="344"/>
      <c r="KPZ44" s="344"/>
      <c r="KQA44" s="344"/>
      <c r="KQB44" s="344"/>
      <c r="KQC44" s="344"/>
      <c r="KQD44" s="344"/>
      <c r="KQE44" s="344"/>
      <c r="KQF44" s="344"/>
      <c r="KQG44" s="344"/>
      <c r="KQH44" s="344"/>
      <c r="KQI44" s="344"/>
      <c r="KQJ44" s="344"/>
      <c r="KQK44" s="344"/>
      <c r="KQL44" s="344"/>
      <c r="KQM44" s="344"/>
      <c r="KQN44" s="344"/>
      <c r="KQO44" s="344"/>
      <c r="KQP44" s="344"/>
      <c r="KQQ44" s="344"/>
      <c r="KQR44" s="344"/>
      <c r="KQS44" s="344"/>
      <c r="KQT44" s="344"/>
      <c r="KQU44" s="344"/>
      <c r="KQV44" s="344"/>
      <c r="KQW44" s="344"/>
      <c r="KQX44" s="344"/>
      <c r="KQY44" s="344"/>
      <c r="KQZ44" s="344"/>
      <c r="KRA44" s="344"/>
      <c r="KRB44" s="344"/>
      <c r="KRC44" s="344"/>
      <c r="KRD44" s="344"/>
      <c r="KRE44" s="344"/>
      <c r="KRF44" s="344"/>
      <c r="KRG44" s="344"/>
      <c r="KRH44" s="344"/>
      <c r="KRI44" s="344"/>
      <c r="KRJ44" s="344"/>
      <c r="KRK44" s="344"/>
      <c r="KRL44" s="344"/>
      <c r="KRM44" s="344"/>
      <c r="KRN44" s="344"/>
      <c r="KRO44" s="344"/>
      <c r="KRP44" s="344"/>
      <c r="KRQ44" s="344"/>
      <c r="KRR44" s="344"/>
      <c r="KRS44" s="344"/>
      <c r="KRT44" s="344"/>
      <c r="KRU44" s="344"/>
      <c r="KRV44" s="344"/>
      <c r="KRW44" s="344"/>
      <c r="KRX44" s="344"/>
      <c r="KRY44" s="344"/>
      <c r="KRZ44" s="344"/>
      <c r="KSA44" s="344"/>
      <c r="KSB44" s="344"/>
      <c r="KSC44" s="344"/>
      <c r="KSD44" s="344"/>
      <c r="KSE44" s="344"/>
      <c r="KSF44" s="344"/>
      <c r="KSG44" s="344"/>
      <c r="KSH44" s="344"/>
      <c r="KSI44" s="344"/>
      <c r="KSJ44" s="344"/>
      <c r="KSK44" s="344"/>
      <c r="KSL44" s="344"/>
      <c r="KSM44" s="344"/>
      <c r="KSN44" s="344"/>
      <c r="KSO44" s="344"/>
      <c r="KSP44" s="344"/>
      <c r="KSQ44" s="344"/>
      <c r="KSR44" s="344"/>
      <c r="KSS44" s="344"/>
      <c r="KST44" s="344"/>
      <c r="KSU44" s="344"/>
      <c r="KSV44" s="344"/>
      <c r="KSW44" s="344"/>
      <c r="KSX44" s="344"/>
      <c r="KSY44" s="344"/>
      <c r="KSZ44" s="344"/>
      <c r="KTA44" s="344"/>
      <c r="KTB44" s="344"/>
      <c r="KTC44" s="344"/>
      <c r="KTD44" s="344"/>
      <c r="KTE44" s="344"/>
      <c r="KTF44" s="344"/>
      <c r="KTG44" s="344"/>
      <c r="KTH44" s="344"/>
      <c r="KTI44" s="344"/>
      <c r="KTJ44" s="344"/>
      <c r="KTK44" s="344"/>
      <c r="KTL44" s="344"/>
      <c r="KTM44" s="344"/>
      <c r="KTN44" s="344"/>
      <c r="KTO44" s="344"/>
      <c r="KTP44" s="344"/>
      <c r="KTQ44" s="344"/>
      <c r="KTR44" s="344"/>
      <c r="KTS44" s="344"/>
      <c r="KTT44" s="344"/>
      <c r="KTU44" s="344"/>
      <c r="KTV44" s="344"/>
      <c r="KTW44" s="344"/>
      <c r="KTX44" s="344"/>
      <c r="KTY44" s="344"/>
      <c r="KTZ44" s="344"/>
      <c r="KUA44" s="344"/>
      <c r="KUB44" s="344"/>
      <c r="KUC44" s="344"/>
      <c r="KUD44" s="344"/>
      <c r="KUE44" s="344"/>
      <c r="KUF44" s="344"/>
      <c r="KUG44" s="344"/>
      <c r="KUH44" s="344"/>
      <c r="KUI44" s="344"/>
      <c r="KUJ44" s="344"/>
      <c r="KUK44" s="344"/>
      <c r="KUL44" s="344"/>
      <c r="KUM44" s="344"/>
      <c r="KUN44" s="344"/>
      <c r="KUO44" s="344"/>
      <c r="KUP44" s="344"/>
      <c r="KUQ44" s="344"/>
      <c r="KUR44" s="344"/>
      <c r="KUS44" s="344"/>
      <c r="KUT44" s="344"/>
      <c r="KUU44" s="344"/>
      <c r="KUV44" s="344"/>
      <c r="KUW44" s="344"/>
      <c r="KUX44" s="344"/>
      <c r="KUY44" s="344"/>
      <c r="KUZ44" s="344"/>
      <c r="KVA44" s="344"/>
      <c r="KVB44" s="344"/>
      <c r="KVC44" s="344"/>
      <c r="KVD44" s="344"/>
      <c r="KVE44" s="344"/>
      <c r="KVF44" s="344"/>
      <c r="KVG44" s="344"/>
      <c r="KVH44" s="344"/>
      <c r="KVI44" s="344"/>
      <c r="KVJ44" s="344"/>
      <c r="KVK44" s="344"/>
      <c r="KVL44" s="344"/>
      <c r="KVM44" s="344"/>
      <c r="KVN44" s="344"/>
      <c r="KVO44" s="344"/>
      <c r="KVP44" s="344"/>
      <c r="KVQ44" s="344"/>
      <c r="KVR44" s="344"/>
      <c r="KVS44" s="344"/>
      <c r="KVT44" s="344"/>
      <c r="KVU44" s="344"/>
      <c r="KVV44" s="344"/>
      <c r="KVW44" s="344"/>
      <c r="KVX44" s="344"/>
      <c r="KVY44" s="344"/>
      <c r="KVZ44" s="344"/>
      <c r="KWA44" s="344"/>
      <c r="KWB44" s="344"/>
      <c r="KWC44" s="344"/>
      <c r="KWD44" s="344"/>
      <c r="KWE44" s="344"/>
      <c r="KWF44" s="344"/>
      <c r="KWG44" s="344"/>
      <c r="KWH44" s="344"/>
      <c r="KWI44" s="344"/>
      <c r="KWJ44" s="344"/>
      <c r="KWK44" s="344"/>
      <c r="KWL44" s="344"/>
      <c r="KWM44" s="344"/>
      <c r="KWN44" s="344"/>
      <c r="KWO44" s="344"/>
      <c r="KWP44" s="344"/>
      <c r="KWQ44" s="344"/>
      <c r="KWR44" s="344"/>
      <c r="KWS44" s="344"/>
      <c r="KWT44" s="344"/>
      <c r="KWU44" s="344"/>
      <c r="KWV44" s="344"/>
      <c r="KWW44" s="344"/>
      <c r="KWX44" s="344"/>
      <c r="KWY44" s="344"/>
      <c r="KWZ44" s="344"/>
      <c r="KXA44" s="344"/>
      <c r="KXB44" s="344"/>
      <c r="KXC44" s="344"/>
      <c r="KXD44" s="344"/>
      <c r="KXE44" s="344"/>
      <c r="KXF44" s="344"/>
      <c r="KXG44" s="344"/>
      <c r="KXH44" s="344"/>
      <c r="KXI44" s="344"/>
      <c r="KXJ44" s="344"/>
      <c r="KXK44" s="344"/>
      <c r="KXL44" s="344"/>
      <c r="KXM44" s="344"/>
      <c r="KXN44" s="344"/>
      <c r="KXO44" s="344"/>
      <c r="KXP44" s="344"/>
      <c r="KXQ44" s="344"/>
      <c r="KXR44" s="344"/>
      <c r="KXS44" s="344"/>
      <c r="KXT44" s="344"/>
      <c r="KXU44" s="344"/>
      <c r="KXV44" s="344"/>
      <c r="KXW44" s="344"/>
      <c r="KXX44" s="344"/>
      <c r="KXY44" s="344"/>
      <c r="KXZ44" s="344"/>
      <c r="KYA44" s="344"/>
      <c r="KYB44" s="344"/>
      <c r="KYC44" s="344"/>
      <c r="KYD44" s="344"/>
      <c r="KYE44" s="344"/>
      <c r="KYF44" s="344"/>
      <c r="KYG44" s="344"/>
      <c r="KYH44" s="344"/>
      <c r="KYI44" s="344"/>
      <c r="KYJ44" s="344"/>
      <c r="KYK44" s="344"/>
      <c r="KYL44" s="344"/>
      <c r="KYM44" s="344"/>
      <c r="KYN44" s="344"/>
      <c r="KYO44" s="344"/>
      <c r="KYP44" s="344"/>
      <c r="KYQ44" s="344"/>
      <c r="KYR44" s="344"/>
      <c r="KYS44" s="344"/>
      <c r="KYT44" s="344"/>
      <c r="KYU44" s="344"/>
      <c r="KYV44" s="344"/>
      <c r="KYW44" s="344"/>
      <c r="KYX44" s="344"/>
      <c r="KYY44" s="344"/>
      <c r="KYZ44" s="344"/>
      <c r="KZA44" s="344"/>
      <c r="KZB44" s="344"/>
      <c r="KZC44" s="344"/>
      <c r="KZD44" s="344"/>
      <c r="KZE44" s="344"/>
      <c r="KZF44" s="344"/>
      <c r="KZG44" s="344"/>
      <c r="KZH44" s="344"/>
      <c r="KZI44" s="344"/>
      <c r="KZJ44" s="344"/>
      <c r="KZK44" s="344"/>
      <c r="KZL44" s="344"/>
      <c r="KZM44" s="344"/>
      <c r="KZN44" s="344"/>
      <c r="KZO44" s="344"/>
      <c r="KZP44" s="344"/>
      <c r="KZQ44" s="344"/>
      <c r="KZR44" s="344"/>
      <c r="KZS44" s="344"/>
      <c r="KZT44" s="344"/>
      <c r="KZU44" s="344"/>
      <c r="KZV44" s="344"/>
      <c r="KZW44" s="344"/>
      <c r="KZX44" s="344"/>
      <c r="KZY44" s="344"/>
      <c r="KZZ44" s="344"/>
      <c r="LAA44" s="344"/>
      <c r="LAB44" s="344"/>
      <c r="LAC44" s="344"/>
      <c r="LAD44" s="344"/>
      <c r="LAE44" s="344"/>
      <c r="LAF44" s="344"/>
      <c r="LAG44" s="344"/>
      <c r="LAH44" s="344"/>
      <c r="LAI44" s="344"/>
      <c r="LAJ44" s="344"/>
      <c r="LAK44" s="344"/>
      <c r="LAL44" s="344"/>
      <c r="LAM44" s="344"/>
      <c r="LAN44" s="344"/>
      <c r="LAO44" s="344"/>
      <c r="LAP44" s="344"/>
      <c r="LAQ44" s="344"/>
      <c r="LAR44" s="344"/>
      <c r="LAS44" s="344"/>
      <c r="LAT44" s="344"/>
      <c r="LAU44" s="344"/>
      <c r="LAV44" s="344"/>
      <c r="LAW44" s="344"/>
      <c r="LAX44" s="344"/>
      <c r="LAY44" s="344"/>
      <c r="LAZ44" s="344"/>
      <c r="LBA44" s="344"/>
      <c r="LBB44" s="344"/>
      <c r="LBC44" s="344"/>
      <c r="LBD44" s="344"/>
      <c r="LBE44" s="344"/>
      <c r="LBF44" s="344"/>
      <c r="LBG44" s="344"/>
      <c r="LBH44" s="344"/>
      <c r="LBI44" s="344"/>
      <c r="LBJ44" s="344"/>
      <c r="LBK44" s="344"/>
      <c r="LBL44" s="344"/>
      <c r="LBM44" s="344"/>
      <c r="LBN44" s="344"/>
      <c r="LBO44" s="344"/>
      <c r="LBP44" s="344"/>
      <c r="LBQ44" s="344"/>
      <c r="LBR44" s="344"/>
      <c r="LBS44" s="344"/>
      <c r="LBT44" s="344"/>
      <c r="LBU44" s="344"/>
      <c r="LBV44" s="344"/>
      <c r="LBW44" s="344"/>
      <c r="LBX44" s="344"/>
      <c r="LBY44" s="344"/>
      <c r="LBZ44" s="344"/>
      <c r="LCA44" s="344"/>
      <c r="LCB44" s="344"/>
      <c r="LCC44" s="344"/>
      <c r="LCD44" s="344"/>
      <c r="LCE44" s="344"/>
      <c r="LCF44" s="344"/>
      <c r="LCG44" s="344"/>
      <c r="LCH44" s="344"/>
      <c r="LCI44" s="344"/>
      <c r="LCJ44" s="344"/>
      <c r="LCK44" s="344"/>
      <c r="LCL44" s="344"/>
      <c r="LCM44" s="344"/>
      <c r="LCN44" s="344"/>
      <c r="LCO44" s="344"/>
      <c r="LCP44" s="344"/>
      <c r="LCQ44" s="344"/>
      <c r="LCR44" s="344"/>
      <c r="LCS44" s="344"/>
      <c r="LCT44" s="344"/>
      <c r="LCU44" s="344"/>
      <c r="LCV44" s="344"/>
      <c r="LCW44" s="344"/>
      <c r="LCX44" s="344"/>
      <c r="LCY44" s="344"/>
      <c r="LCZ44" s="344"/>
      <c r="LDA44" s="344"/>
      <c r="LDB44" s="344"/>
      <c r="LDC44" s="344"/>
      <c r="LDD44" s="344"/>
      <c r="LDE44" s="344"/>
      <c r="LDF44" s="344"/>
      <c r="LDG44" s="344"/>
      <c r="LDH44" s="344"/>
      <c r="LDI44" s="344"/>
      <c r="LDJ44" s="344"/>
      <c r="LDK44" s="344"/>
      <c r="LDL44" s="344"/>
      <c r="LDM44" s="344"/>
      <c r="LDN44" s="344"/>
      <c r="LDO44" s="344"/>
      <c r="LDP44" s="344"/>
      <c r="LDQ44" s="344"/>
      <c r="LDR44" s="344"/>
      <c r="LDS44" s="344"/>
      <c r="LDT44" s="344"/>
      <c r="LDU44" s="344"/>
      <c r="LDV44" s="344"/>
      <c r="LDW44" s="344"/>
      <c r="LDX44" s="344"/>
      <c r="LDY44" s="344"/>
      <c r="LDZ44" s="344"/>
      <c r="LEA44" s="344"/>
      <c r="LEB44" s="344"/>
      <c r="LEC44" s="344"/>
      <c r="LED44" s="344"/>
      <c r="LEE44" s="344"/>
      <c r="LEF44" s="344"/>
      <c r="LEG44" s="344"/>
      <c r="LEH44" s="344"/>
      <c r="LEI44" s="344"/>
      <c r="LEJ44" s="344"/>
      <c r="LEK44" s="344"/>
      <c r="LEL44" s="344"/>
      <c r="LEM44" s="344"/>
      <c r="LEN44" s="344"/>
      <c r="LEO44" s="344"/>
      <c r="LEP44" s="344"/>
      <c r="LEQ44" s="344"/>
      <c r="LER44" s="344"/>
      <c r="LES44" s="344"/>
      <c r="LET44" s="344"/>
      <c r="LEU44" s="344"/>
      <c r="LEV44" s="344"/>
      <c r="LEW44" s="344"/>
      <c r="LEX44" s="344"/>
      <c r="LEY44" s="344"/>
      <c r="LEZ44" s="344"/>
      <c r="LFA44" s="344"/>
      <c r="LFB44" s="344"/>
      <c r="LFC44" s="344"/>
      <c r="LFD44" s="344"/>
      <c r="LFE44" s="344"/>
      <c r="LFF44" s="344"/>
      <c r="LFG44" s="344"/>
      <c r="LFH44" s="344"/>
      <c r="LFI44" s="344"/>
      <c r="LFJ44" s="344"/>
      <c r="LFK44" s="344"/>
      <c r="LFL44" s="344"/>
      <c r="LFM44" s="344"/>
      <c r="LFN44" s="344"/>
      <c r="LFO44" s="344"/>
      <c r="LFP44" s="344"/>
      <c r="LFQ44" s="344"/>
      <c r="LFR44" s="344"/>
      <c r="LFS44" s="344"/>
      <c r="LFT44" s="344"/>
      <c r="LFU44" s="344"/>
      <c r="LFV44" s="344"/>
      <c r="LFW44" s="344"/>
      <c r="LFX44" s="344"/>
      <c r="LFY44" s="344"/>
      <c r="LFZ44" s="344"/>
      <c r="LGA44" s="344"/>
      <c r="LGB44" s="344"/>
      <c r="LGC44" s="344"/>
      <c r="LGD44" s="344"/>
      <c r="LGE44" s="344"/>
      <c r="LGF44" s="344"/>
      <c r="LGG44" s="344"/>
      <c r="LGH44" s="344"/>
      <c r="LGI44" s="344"/>
      <c r="LGJ44" s="344"/>
      <c r="LGK44" s="344"/>
      <c r="LGL44" s="344"/>
      <c r="LGM44" s="344"/>
      <c r="LGN44" s="344"/>
      <c r="LGO44" s="344"/>
      <c r="LGP44" s="344"/>
      <c r="LGQ44" s="344"/>
      <c r="LGR44" s="344"/>
      <c r="LGS44" s="344"/>
      <c r="LGT44" s="344"/>
      <c r="LGU44" s="344"/>
      <c r="LGV44" s="344"/>
      <c r="LGW44" s="344"/>
      <c r="LGX44" s="344"/>
      <c r="LGY44" s="344"/>
      <c r="LGZ44" s="344"/>
      <c r="LHA44" s="344"/>
      <c r="LHB44" s="344"/>
      <c r="LHC44" s="344"/>
      <c r="LHD44" s="344"/>
      <c r="LHE44" s="344"/>
      <c r="LHF44" s="344"/>
      <c r="LHG44" s="344"/>
      <c r="LHH44" s="344"/>
      <c r="LHI44" s="344"/>
      <c r="LHJ44" s="344"/>
      <c r="LHK44" s="344"/>
      <c r="LHL44" s="344"/>
      <c r="LHM44" s="344"/>
      <c r="LHN44" s="344"/>
      <c r="LHO44" s="344"/>
      <c r="LHP44" s="344"/>
      <c r="LHQ44" s="344"/>
      <c r="LHR44" s="344"/>
      <c r="LHS44" s="344"/>
      <c r="LHT44" s="344"/>
      <c r="LHU44" s="344"/>
      <c r="LHV44" s="344"/>
      <c r="LHW44" s="344"/>
      <c r="LHX44" s="344"/>
      <c r="LHY44" s="344"/>
      <c r="LHZ44" s="344"/>
      <c r="LIA44" s="344"/>
      <c r="LIB44" s="344"/>
      <c r="LIC44" s="344"/>
      <c r="LID44" s="344"/>
      <c r="LIE44" s="344"/>
      <c r="LIF44" s="344"/>
      <c r="LIG44" s="344"/>
      <c r="LIH44" s="344"/>
      <c r="LII44" s="344"/>
      <c r="LIJ44" s="344"/>
      <c r="LIK44" s="344"/>
      <c r="LIL44" s="344"/>
      <c r="LIM44" s="344"/>
      <c r="LIN44" s="344"/>
      <c r="LIO44" s="344"/>
      <c r="LIP44" s="344"/>
      <c r="LIQ44" s="344"/>
      <c r="LIR44" s="344"/>
      <c r="LIS44" s="344"/>
      <c r="LIT44" s="344"/>
      <c r="LIU44" s="344"/>
      <c r="LIV44" s="344"/>
      <c r="LIW44" s="344"/>
      <c r="LIX44" s="344"/>
      <c r="LIY44" s="344"/>
      <c r="LIZ44" s="344"/>
      <c r="LJA44" s="344"/>
      <c r="LJB44" s="344"/>
      <c r="LJC44" s="344"/>
      <c r="LJD44" s="344"/>
      <c r="LJE44" s="344"/>
      <c r="LJF44" s="344"/>
      <c r="LJG44" s="344"/>
      <c r="LJH44" s="344"/>
      <c r="LJI44" s="344"/>
      <c r="LJJ44" s="344"/>
      <c r="LJK44" s="344"/>
      <c r="LJL44" s="344"/>
      <c r="LJM44" s="344"/>
      <c r="LJN44" s="344"/>
      <c r="LJO44" s="344"/>
      <c r="LJP44" s="344"/>
      <c r="LJQ44" s="344"/>
      <c r="LJR44" s="344"/>
      <c r="LJS44" s="344"/>
      <c r="LJT44" s="344"/>
      <c r="LJU44" s="344"/>
      <c r="LJV44" s="344"/>
      <c r="LJW44" s="344"/>
      <c r="LJX44" s="344"/>
      <c r="LJY44" s="344"/>
      <c r="LJZ44" s="344"/>
      <c r="LKA44" s="344"/>
      <c r="LKB44" s="344"/>
      <c r="LKC44" s="344"/>
      <c r="LKD44" s="344"/>
      <c r="LKE44" s="344"/>
      <c r="LKF44" s="344"/>
      <c r="LKG44" s="344"/>
      <c r="LKH44" s="344"/>
      <c r="LKI44" s="344"/>
      <c r="LKJ44" s="344"/>
      <c r="LKK44" s="344"/>
      <c r="LKL44" s="344"/>
      <c r="LKM44" s="344"/>
      <c r="LKN44" s="344"/>
      <c r="LKO44" s="344"/>
      <c r="LKP44" s="344"/>
      <c r="LKQ44" s="344"/>
      <c r="LKR44" s="344"/>
      <c r="LKS44" s="344"/>
      <c r="LKT44" s="344"/>
      <c r="LKU44" s="344"/>
      <c r="LKV44" s="344"/>
      <c r="LKW44" s="344"/>
      <c r="LKX44" s="344"/>
      <c r="LKY44" s="344"/>
      <c r="LKZ44" s="344"/>
      <c r="LLA44" s="344"/>
      <c r="LLB44" s="344"/>
      <c r="LLC44" s="344"/>
      <c r="LLD44" s="344"/>
      <c r="LLE44" s="344"/>
      <c r="LLF44" s="344"/>
      <c r="LLG44" s="344"/>
      <c r="LLH44" s="344"/>
      <c r="LLI44" s="344"/>
      <c r="LLJ44" s="344"/>
      <c r="LLK44" s="344"/>
      <c r="LLL44" s="344"/>
      <c r="LLM44" s="344"/>
      <c r="LLN44" s="344"/>
      <c r="LLO44" s="344"/>
      <c r="LLP44" s="344"/>
      <c r="LLQ44" s="344"/>
      <c r="LLR44" s="344"/>
      <c r="LLS44" s="344"/>
      <c r="LLT44" s="344"/>
      <c r="LLU44" s="344"/>
      <c r="LLV44" s="344"/>
      <c r="LLW44" s="344"/>
      <c r="LLX44" s="344"/>
      <c r="LLY44" s="344"/>
      <c r="LLZ44" s="344"/>
      <c r="LMA44" s="344"/>
      <c r="LMB44" s="344"/>
      <c r="LMC44" s="344"/>
      <c r="LMD44" s="344"/>
      <c r="LME44" s="344"/>
      <c r="LMF44" s="344"/>
      <c r="LMG44" s="344"/>
      <c r="LMH44" s="344"/>
      <c r="LMI44" s="344"/>
      <c r="LMJ44" s="344"/>
      <c r="LMK44" s="344"/>
      <c r="LML44" s="344"/>
      <c r="LMM44" s="344"/>
      <c r="LMN44" s="344"/>
      <c r="LMO44" s="344"/>
      <c r="LMP44" s="344"/>
      <c r="LMQ44" s="344"/>
      <c r="LMR44" s="344"/>
      <c r="LMS44" s="344"/>
      <c r="LMT44" s="344"/>
      <c r="LMU44" s="344"/>
      <c r="LMV44" s="344"/>
      <c r="LMW44" s="344"/>
      <c r="LMX44" s="344"/>
      <c r="LMY44" s="344"/>
      <c r="LMZ44" s="344"/>
      <c r="LNA44" s="344"/>
      <c r="LNB44" s="344"/>
      <c r="LNC44" s="344"/>
      <c r="LND44" s="344"/>
      <c r="LNE44" s="344"/>
      <c r="LNF44" s="344"/>
      <c r="LNG44" s="344"/>
      <c r="LNH44" s="344"/>
      <c r="LNI44" s="344"/>
      <c r="LNJ44" s="344"/>
      <c r="LNK44" s="344"/>
      <c r="LNL44" s="344"/>
      <c r="LNM44" s="344"/>
      <c r="LNN44" s="344"/>
      <c r="LNO44" s="344"/>
      <c r="LNP44" s="344"/>
      <c r="LNQ44" s="344"/>
      <c r="LNR44" s="344"/>
      <c r="LNS44" s="344"/>
      <c r="LNT44" s="344"/>
      <c r="LNU44" s="344"/>
      <c r="LNV44" s="344"/>
      <c r="LNW44" s="344"/>
      <c r="LNX44" s="344"/>
      <c r="LNY44" s="344"/>
      <c r="LNZ44" s="344"/>
      <c r="LOA44" s="344"/>
      <c r="LOB44" s="344"/>
      <c r="LOC44" s="344"/>
      <c r="LOD44" s="344"/>
      <c r="LOE44" s="344"/>
      <c r="LOF44" s="344"/>
      <c r="LOG44" s="344"/>
      <c r="LOH44" s="344"/>
      <c r="LOI44" s="344"/>
      <c r="LOJ44" s="344"/>
      <c r="LOK44" s="344"/>
      <c r="LOL44" s="344"/>
      <c r="LOM44" s="344"/>
      <c r="LON44" s="344"/>
      <c r="LOO44" s="344"/>
      <c r="LOP44" s="344"/>
      <c r="LOQ44" s="344"/>
      <c r="LOR44" s="344"/>
      <c r="LOS44" s="344"/>
      <c r="LOT44" s="344"/>
      <c r="LOU44" s="344"/>
      <c r="LOV44" s="344"/>
      <c r="LOW44" s="344"/>
      <c r="LOX44" s="344"/>
      <c r="LOY44" s="344"/>
      <c r="LOZ44" s="344"/>
      <c r="LPA44" s="344"/>
      <c r="LPB44" s="344"/>
      <c r="LPC44" s="344"/>
      <c r="LPD44" s="344"/>
      <c r="LPE44" s="344"/>
      <c r="LPF44" s="344"/>
      <c r="LPG44" s="344"/>
      <c r="LPH44" s="344"/>
      <c r="LPI44" s="344"/>
      <c r="LPJ44" s="344"/>
      <c r="LPK44" s="344"/>
      <c r="LPL44" s="344"/>
      <c r="LPM44" s="344"/>
      <c r="LPN44" s="344"/>
      <c r="LPO44" s="344"/>
      <c r="LPP44" s="344"/>
      <c r="LPQ44" s="344"/>
      <c r="LPR44" s="344"/>
      <c r="LPS44" s="344"/>
      <c r="LPT44" s="344"/>
      <c r="LPU44" s="344"/>
      <c r="LPV44" s="344"/>
      <c r="LPW44" s="344"/>
      <c r="LPX44" s="344"/>
      <c r="LPY44" s="344"/>
      <c r="LPZ44" s="344"/>
      <c r="LQA44" s="344"/>
      <c r="LQB44" s="344"/>
      <c r="LQC44" s="344"/>
      <c r="LQD44" s="344"/>
      <c r="LQE44" s="344"/>
      <c r="LQF44" s="344"/>
      <c r="LQG44" s="344"/>
      <c r="LQH44" s="344"/>
      <c r="LQI44" s="344"/>
      <c r="LQJ44" s="344"/>
      <c r="LQK44" s="344"/>
      <c r="LQL44" s="344"/>
      <c r="LQM44" s="344"/>
      <c r="LQN44" s="344"/>
      <c r="LQO44" s="344"/>
      <c r="LQP44" s="344"/>
      <c r="LQQ44" s="344"/>
      <c r="LQR44" s="344"/>
      <c r="LQS44" s="344"/>
      <c r="LQT44" s="344"/>
      <c r="LQU44" s="344"/>
      <c r="LQV44" s="344"/>
      <c r="LQW44" s="344"/>
      <c r="LQX44" s="344"/>
      <c r="LQY44" s="344"/>
      <c r="LQZ44" s="344"/>
      <c r="LRA44" s="344"/>
      <c r="LRB44" s="344"/>
      <c r="LRC44" s="344"/>
      <c r="LRD44" s="344"/>
      <c r="LRE44" s="344"/>
      <c r="LRF44" s="344"/>
      <c r="LRG44" s="344"/>
      <c r="LRH44" s="344"/>
      <c r="LRI44" s="344"/>
      <c r="LRJ44" s="344"/>
      <c r="LRK44" s="344"/>
      <c r="LRL44" s="344"/>
      <c r="LRM44" s="344"/>
      <c r="LRN44" s="344"/>
      <c r="LRO44" s="344"/>
      <c r="LRP44" s="344"/>
      <c r="LRQ44" s="344"/>
      <c r="LRR44" s="344"/>
      <c r="LRS44" s="344"/>
      <c r="LRT44" s="344"/>
      <c r="LRU44" s="344"/>
      <c r="LRV44" s="344"/>
      <c r="LRW44" s="344"/>
      <c r="LRX44" s="344"/>
      <c r="LRY44" s="344"/>
      <c r="LRZ44" s="344"/>
      <c r="LSA44" s="344"/>
      <c r="LSB44" s="344"/>
      <c r="LSC44" s="344"/>
      <c r="LSD44" s="344"/>
      <c r="LSE44" s="344"/>
      <c r="LSF44" s="344"/>
      <c r="LSG44" s="344"/>
      <c r="LSH44" s="344"/>
      <c r="LSI44" s="344"/>
      <c r="LSJ44" s="344"/>
      <c r="LSK44" s="344"/>
      <c r="LSL44" s="344"/>
      <c r="LSM44" s="344"/>
      <c r="LSN44" s="344"/>
      <c r="LSO44" s="344"/>
      <c r="LSP44" s="344"/>
      <c r="LSQ44" s="344"/>
      <c r="LSR44" s="344"/>
      <c r="LSS44" s="344"/>
      <c r="LST44" s="344"/>
      <c r="LSU44" s="344"/>
      <c r="LSV44" s="344"/>
      <c r="LSW44" s="344"/>
      <c r="LSX44" s="344"/>
      <c r="LSY44" s="344"/>
      <c r="LSZ44" s="344"/>
      <c r="LTA44" s="344"/>
      <c r="LTB44" s="344"/>
      <c r="LTC44" s="344"/>
      <c r="LTD44" s="344"/>
      <c r="LTE44" s="344"/>
      <c r="LTF44" s="344"/>
      <c r="LTG44" s="344"/>
      <c r="LTH44" s="344"/>
      <c r="LTI44" s="344"/>
      <c r="LTJ44" s="344"/>
      <c r="LTK44" s="344"/>
      <c r="LTL44" s="344"/>
      <c r="LTM44" s="344"/>
      <c r="LTN44" s="344"/>
      <c r="LTO44" s="344"/>
      <c r="LTP44" s="344"/>
      <c r="LTQ44" s="344"/>
      <c r="LTR44" s="344"/>
      <c r="LTS44" s="344"/>
      <c r="LTT44" s="344"/>
      <c r="LTU44" s="344"/>
      <c r="LTV44" s="344"/>
      <c r="LTW44" s="344"/>
      <c r="LTX44" s="344"/>
      <c r="LTY44" s="344"/>
      <c r="LTZ44" s="344"/>
      <c r="LUA44" s="344"/>
      <c r="LUB44" s="344"/>
      <c r="LUC44" s="344"/>
      <c r="LUD44" s="344"/>
      <c r="LUE44" s="344"/>
      <c r="LUF44" s="344"/>
      <c r="LUG44" s="344"/>
      <c r="LUH44" s="344"/>
      <c r="LUI44" s="344"/>
      <c r="LUJ44" s="344"/>
      <c r="LUK44" s="344"/>
      <c r="LUL44" s="344"/>
      <c r="LUM44" s="344"/>
      <c r="LUN44" s="344"/>
      <c r="LUO44" s="344"/>
      <c r="LUP44" s="344"/>
      <c r="LUQ44" s="344"/>
      <c r="LUR44" s="344"/>
      <c r="LUS44" s="344"/>
      <c r="LUT44" s="344"/>
      <c r="LUU44" s="344"/>
      <c r="LUV44" s="344"/>
      <c r="LUW44" s="344"/>
      <c r="LUX44" s="344"/>
      <c r="LUY44" s="344"/>
      <c r="LUZ44" s="344"/>
      <c r="LVA44" s="344"/>
      <c r="LVB44" s="344"/>
      <c r="LVC44" s="344"/>
      <c r="LVD44" s="344"/>
      <c r="LVE44" s="344"/>
      <c r="LVF44" s="344"/>
      <c r="LVG44" s="344"/>
      <c r="LVH44" s="344"/>
      <c r="LVI44" s="344"/>
      <c r="LVJ44" s="344"/>
      <c r="LVK44" s="344"/>
      <c r="LVL44" s="344"/>
      <c r="LVM44" s="344"/>
      <c r="LVN44" s="344"/>
      <c r="LVO44" s="344"/>
      <c r="LVP44" s="344"/>
      <c r="LVQ44" s="344"/>
      <c r="LVR44" s="344"/>
      <c r="LVS44" s="344"/>
      <c r="LVT44" s="344"/>
      <c r="LVU44" s="344"/>
      <c r="LVV44" s="344"/>
      <c r="LVW44" s="344"/>
      <c r="LVX44" s="344"/>
      <c r="LVY44" s="344"/>
      <c r="LVZ44" s="344"/>
      <c r="LWA44" s="344"/>
      <c r="LWB44" s="344"/>
      <c r="LWC44" s="344"/>
      <c r="LWD44" s="344"/>
      <c r="LWE44" s="344"/>
      <c r="LWF44" s="344"/>
      <c r="LWG44" s="344"/>
      <c r="LWH44" s="344"/>
      <c r="LWI44" s="344"/>
      <c r="LWJ44" s="344"/>
      <c r="LWK44" s="344"/>
      <c r="LWL44" s="344"/>
      <c r="LWM44" s="344"/>
      <c r="LWN44" s="344"/>
      <c r="LWO44" s="344"/>
      <c r="LWP44" s="344"/>
      <c r="LWQ44" s="344"/>
      <c r="LWR44" s="344"/>
      <c r="LWS44" s="344"/>
      <c r="LWT44" s="344"/>
      <c r="LWU44" s="344"/>
      <c r="LWV44" s="344"/>
      <c r="LWW44" s="344"/>
      <c r="LWX44" s="344"/>
      <c r="LWY44" s="344"/>
      <c r="LWZ44" s="344"/>
      <c r="LXA44" s="344"/>
      <c r="LXB44" s="344"/>
      <c r="LXC44" s="344"/>
      <c r="LXD44" s="344"/>
      <c r="LXE44" s="344"/>
      <c r="LXF44" s="344"/>
      <c r="LXG44" s="344"/>
      <c r="LXH44" s="344"/>
      <c r="LXI44" s="344"/>
      <c r="LXJ44" s="344"/>
      <c r="LXK44" s="344"/>
      <c r="LXL44" s="344"/>
      <c r="LXM44" s="344"/>
      <c r="LXN44" s="344"/>
      <c r="LXO44" s="344"/>
      <c r="LXP44" s="344"/>
      <c r="LXQ44" s="344"/>
      <c r="LXR44" s="344"/>
      <c r="LXS44" s="344"/>
      <c r="LXT44" s="344"/>
      <c r="LXU44" s="344"/>
      <c r="LXV44" s="344"/>
      <c r="LXW44" s="344"/>
      <c r="LXX44" s="344"/>
      <c r="LXY44" s="344"/>
      <c r="LXZ44" s="344"/>
      <c r="LYA44" s="344"/>
      <c r="LYB44" s="344"/>
      <c r="LYC44" s="344"/>
      <c r="LYD44" s="344"/>
      <c r="LYE44" s="344"/>
      <c r="LYF44" s="344"/>
      <c r="LYG44" s="344"/>
      <c r="LYH44" s="344"/>
      <c r="LYI44" s="344"/>
      <c r="LYJ44" s="344"/>
      <c r="LYK44" s="344"/>
      <c r="LYL44" s="344"/>
      <c r="LYM44" s="344"/>
      <c r="LYN44" s="344"/>
      <c r="LYO44" s="344"/>
      <c r="LYP44" s="344"/>
      <c r="LYQ44" s="344"/>
      <c r="LYR44" s="344"/>
      <c r="LYS44" s="344"/>
      <c r="LYT44" s="344"/>
      <c r="LYU44" s="344"/>
      <c r="LYV44" s="344"/>
      <c r="LYW44" s="344"/>
      <c r="LYX44" s="344"/>
      <c r="LYY44" s="344"/>
      <c r="LYZ44" s="344"/>
      <c r="LZA44" s="344"/>
      <c r="LZB44" s="344"/>
      <c r="LZC44" s="344"/>
      <c r="LZD44" s="344"/>
      <c r="LZE44" s="344"/>
      <c r="LZF44" s="344"/>
      <c r="LZG44" s="344"/>
      <c r="LZH44" s="344"/>
      <c r="LZI44" s="344"/>
      <c r="LZJ44" s="344"/>
      <c r="LZK44" s="344"/>
      <c r="LZL44" s="344"/>
      <c r="LZM44" s="344"/>
      <c r="LZN44" s="344"/>
      <c r="LZO44" s="344"/>
      <c r="LZP44" s="344"/>
      <c r="LZQ44" s="344"/>
      <c r="LZR44" s="344"/>
      <c r="LZS44" s="344"/>
      <c r="LZT44" s="344"/>
      <c r="LZU44" s="344"/>
      <c r="LZV44" s="344"/>
      <c r="LZW44" s="344"/>
      <c r="LZX44" s="344"/>
      <c r="LZY44" s="344"/>
      <c r="LZZ44" s="344"/>
      <c r="MAA44" s="344"/>
      <c r="MAB44" s="344"/>
      <c r="MAC44" s="344"/>
      <c r="MAD44" s="344"/>
      <c r="MAE44" s="344"/>
      <c r="MAF44" s="344"/>
      <c r="MAG44" s="344"/>
      <c r="MAH44" s="344"/>
      <c r="MAI44" s="344"/>
      <c r="MAJ44" s="344"/>
      <c r="MAK44" s="344"/>
      <c r="MAL44" s="344"/>
      <c r="MAM44" s="344"/>
      <c r="MAN44" s="344"/>
      <c r="MAO44" s="344"/>
      <c r="MAP44" s="344"/>
      <c r="MAQ44" s="344"/>
      <c r="MAR44" s="344"/>
      <c r="MAS44" s="344"/>
      <c r="MAT44" s="344"/>
      <c r="MAU44" s="344"/>
      <c r="MAV44" s="344"/>
      <c r="MAW44" s="344"/>
      <c r="MAX44" s="344"/>
      <c r="MAY44" s="344"/>
      <c r="MAZ44" s="344"/>
      <c r="MBA44" s="344"/>
      <c r="MBB44" s="344"/>
      <c r="MBC44" s="344"/>
      <c r="MBD44" s="344"/>
      <c r="MBE44" s="344"/>
      <c r="MBF44" s="344"/>
      <c r="MBG44" s="344"/>
      <c r="MBH44" s="344"/>
      <c r="MBI44" s="344"/>
      <c r="MBJ44" s="344"/>
      <c r="MBK44" s="344"/>
      <c r="MBL44" s="344"/>
      <c r="MBM44" s="344"/>
      <c r="MBN44" s="344"/>
      <c r="MBO44" s="344"/>
      <c r="MBP44" s="344"/>
      <c r="MBQ44" s="344"/>
      <c r="MBR44" s="344"/>
      <c r="MBS44" s="344"/>
      <c r="MBT44" s="344"/>
      <c r="MBU44" s="344"/>
      <c r="MBV44" s="344"/>
      <c r="MBW44" s="344"/>
      <c r="MBX44" s="344"/>
      <c r="MBY44" s="344"/>
      <c r="MBZ44" s="344"/>
      <c r="MCA44" s="344"/>
      <c r="MCB44" s="344"/>
      <c r="MCC44" s="344"/>
      <c r="MCD44" s="344"/>
      <c r="MCE44" s="344"/>
      <c r="MCF44" s="344"/>
      <c r="MCG44" s="344"/>
      <c r="MCH44" s="344"/>
      <c r="MCI44" s="344"/>
      <c r="MCJ44" s="344"/>
      <c r="MCK44" s="344"/>
      <c r="MCL44" s="344"/>
      <c r="MCM44" s="344"/>
      <c r="MCN44" s="344"/>
      <c r="MCO44" s="344"/>
      <c r="MCP44" s="344"/>
      <c r="MCQ44" s="344"/>
      <c r="MCR44" s="344"/>
      <c r="MCS44" s="344"/>
      <c r="MCT44" s="344"/>
      <c r="MCU44" s="344"/>
      <c r="MCV44" s="344"/>
      <c r="MCW44" s="344"/>
      <c r="MCX44" s="344"/>
      <c r="MCY44" s="344"/>
      <c r="MCZ44" s="344"/>
      <c r="MDA44" s="344"/>
      <c r="MDB44" s="344"/>
      <c r="MDC44" s="344"/>
      <c r="MDD44" s="344"/>
      <c r="MDE44" s="344"/>
      <c r="MDF44" s="344"/>
      <c r="MDG44" s="344"/>
      <c r="MDH44" s="344"/>
      <c r="MDI44" s="344"/>
      <c r="MDJ44" s="344"/>
      <c r="MDK44" s="344"/>
      <c r="MDL44" s="344"/>
      <c r="MDM44" s="344"/>
      <c r="MDN44" s="344"/>
      <c r="MDO44" s="344"/>
      <c r="MDP44" s="344"/>
      <c r="MDQ44" s="344"/>
      <c r="MDR44" s="344"/>
      <c r="MDS44" s="344"/>
      <c r="MDT44" s="344"/>
      <c r="MDU44" s="344"/>
      <c r="MDV44" s="344"/>
      <c r="MDW44" s="344"/>
      <c r="MDX44" s="344"/>
      <c r="MDY44" s="344"/>
      <c r="MDZ44" s="344"/>
      <c r="MEA44" s="344"/>
      <c r="MEB44" s="344"/>
      <c r="MEC44" s="344"/>
      <c r="MED44" s="344"/>
      <c r="MEE44" s="344"/>
      <c r="MEF44" s="344"/>
      <c r="MEG44" s="344"/>
      <c r="MEH44" s="344"/>
      <c r="MEI44" s="344"/>
      <c r="MEJ44" s="344"/>
      <c r="MEK44" s="344"/>
      <c r="MEL44" s="344"/>
      <c r="MEM44" s="344"/>
      <c r="MEN44" s="344"/>
      <c r="MEO44" s="344"/>
      <c r="MEP44" s="344"/>
      <c r="MEQ44" s="344"/>
      <c r="MER44" s="344"/>
      <c r="MES44" s="344"/>
      <c r="MET44" s="344"/>
      <c r="MEU44" s="344"/>
      <c r="MEV44" s="344"/>
      <c r="MEW44" s="344"/>
      <c r="MEX44" s="344"/>
      <c r="MEY44" s="344"/>
      <c r="MEZ44" s="344"/>
      <c r="MFA44" s="344"/>
      <c r="MFB44" s="344"/>
      <c r="MFC44" s="344"/>
      <c r="MFD44" s="344"/>
      <c r="MFE44" s="344"/>
      <c r="MFF44" s="344"/>
      <c r="MFG44" s="344"/>
      <c r="MFH44" s="344"/>
      <c r="MFI44" s="344"/>
      <c r="MFJ44" s="344"/>
      <c r="MFK44" s="344"/>
      <c r="MFL44" s="344"/>
      <c r="MFM44" s="344"/>
      <c r="MFN44" s="344"/>
      <c r="MFO44" s="344"/>
      <c r="MFP44" s="344"/>
      <c r="MFQ44" s="344"/>
      <c r="MFR44" s="344"/>
      <c r="MFS44" s="344"/>
      <c r="MFT44" s="344"/>
      <c r="MFU44" s="344"/>
      <c r="MFV44" s="344"/>
      <c r="MFW44" s="344"/>
      <c r="MFX44" s="344"/>
      <c r="MFY44" s="344"/>
      <c r="MFZ44" s="344"/>
      <c r="MGA44" s="344"/>
      <c r="MGB44" s="344"/>
      <c r="MGC44" s="344"/>
      <c r="MGD44" s="344"/>
      <c r="MGE44" s="344"/>
      <c r="MGF44" s="344"/>
      <c r="MGG44" s="344"/>
      <c r="MGH44" s="344"/>
      <c r="MGI44" s="344"/>
      <c r="MGJ44" s="344"/>
      <c r="MGK44" s="344"/>
      <c r="MGL44" s="344"/>
      <c r="MGM44" s="344"/>
      <c r="MGN44" s="344"/>
      <c r="MGO44" s="344"/>
      <c r="MGP44" s="344"/>
      <c r="MGQ44" s="344"/>
      <c r="MGR44" s="344"/>
      <c r="MGS44" s="344"/>
      <c r="MGT44" s="344"/>
      <c r="MGU44" s="344"/>
      <c r="MGV44" s="344"/>
      <c r="MGW44" s="344"/>
      <c r="MGX44" s="344"/>
      <c r="MGY44" s="344"/>
      <c r="MGZ44" s="344"/>
      <c r="MHA44" s="344"/>
      <c r="MHB44" s="344"/>
      <c r="MHC44" s="344"/>
      <c r="MHD44" s="344"/>
      <c r="MHE44" s="344"/>
      <c r="MHF44" s="344"/>
      <c r="MHG44" s="344"/>
      <c r="MHH44" s="344"/>
      <c r="MHI44" s="344"/>
      <c r="MHJ44" s="344"/>
      <c r="MHK44" s="344"/>
      <c r="MHL44" s="344"/>
      <c r="MHM44" s="344"/>
      <c r="MHN44" s="344"/>
      <c r="MHO44" s="344"/>
      <c r="MHP44" s="344"/>
      <c r="MHQ44" s="344"/>
      <c r="MHR44" s="344"/>
      <c r="MHS44" s="344"/>
      <c r="MHT44" s="344"/>
      <c r="MHU44" s="344"/>
      <c r="MHV44" s="344"/>
      <c r="MHW44" s="344"/>
      <c r="MHX44" s="344"/>
      <c r="MHY44" s="344"/>
      <c r="MHZ44" s="344"/>
      <c r="MIA44" s="344"/>
      <c r="MIB44" s="344"/>
      <c r="MIC44" s="344"/>
      <c r="MID44" s="344"/>
      <c r="MIE44" s="344"/>
      <c r="MIF44" s="344"/>
      <c r="MIG44" s="344"/>
      <c r="MIH44" s="344"/>
      <c r="MII44" s="344"/>
      <c r="MIJ44" s="344"/>
      <c r="MIK44" s="344"/>
      <c r="MIL44" s="344"/>
      <c r="MIM44" s="344"/>
      <c r="MIN44" s="344"/>
      <c r="MIO44" s="344"/>
      <c r="MIP44" s="344"/>
      <c r="MIQ44" s="344"/>
      <c r="MIR44" s="344"/>
      <c r="MIS44" s="344"/>
      <c r="MIT44" s="344"/>
      <c r="MIU44" s="344"/>
      <c r="MIV44" s="344"/>
      <c r="MIW44" s="344"/>
      <c r="MIX44" s="344"/>
      <c r="MIY44" s="344"/>
      <c r="MIZ44" s="344"/>
      <c r="MJA44" s="344"/>
      <c r="MJB44" s="344"/>
      <c r="MJC44" s="344"/>
      <c r="MJD44" s="344"/>
      <c r="MJE44" s="344"/>
      <c r="MJF44" s="344"/>
      <c r="MJG44" s="344"/>
      <c r="MJH44" s="344"/>
      <c r="MJI44" s="344"/>
      <c r="MJJ44" s="344"/>
      <c r="MJK44" s="344"/>
      <c r="MJL44" s="344"/>
      <c r="MJM44" s="344"/>
      <c r="MJN44" s="344"/>
      <c r="MJO44" s="344"/>
      <c r="MJP44" s="344"/>
      <c r="MJQ44" s="344"/>
      <c r="MJR44" s="344"/>
      <c r="MJS44" s="344"/>
      <c r="MJT44" s="344"/>
      <c r="MJU44" s="344"/>
      <c r="MJV44" s="344"/>
      <c r="MJW44" s="344"/>
      <c r="MJX44" s="344"/>
      <c r="MJY44" s="344"/>
      <c r="MJZ44" s="344"/>
      <c r="MKA44" s="344"/>
      <c r="MKB44" s="344"/>
      <c r="MKC44" s="344"/>
      <c r="MKD44" s="344"/>
      <c r="MKE44" s="344"/>
      <c r="MKF44" s="344"/>
      <c r="MKG44" s="344"/>
      <c r="MKH44" s="344"/>
      <c r="MKI44" s="344"/>
      <c r="MKJ44" s="344"/>
      <c r="MKK44" s="344"/>
      <c r="MKL44" s="344"/>
      <c r="MKM44" s="344"/>
      <c r="MKN44" s="344"/>
      <c r="MKO44" s="344"/>
      <c r="MKP44" s="344"/>
      <c r="MKQ44" s="344"/>
      <c r="MKR44" s="344"/>
      <c r="MKS44" s="344"/>
      <c r="MKT44" s="344"/>
      <c r="MKU44" s="344"/>
      <c r="MKV44" s="344"/>
      <c r="MKW44" s="344"/>
      <c r="MKX44" s="344"/>
      <c r="MKY44" s="344"/>
      <c r="MKZ44" s="344"/>
      <c r="MLA44" s="344"/>
      <c r="MLB44" s="344"/>
      <c r="MLC44" s="344"/>
      <c r="MLD44" s="344"/>
      <c r="MLE44" s="344"/>
      <c r="MLF44" s="344"/>
      <c r="MLG44" s="344"/>
      <c r="MLH44" s="344"/>
      <c r="MLI44" s="344"/>
      <c r="MLJ44" s="344"/>
      <c r="MLK44" s="344"/>
      <c r="MLL44" s="344"/>
      <c r="MLM44" s="344"/>
      <c r="MLN44" s="344"/>
      <c r="MLO44" s="344"/>
      <c r="MLP44" s="344"/>
      <c r="MLQ44" s="344"/>
      <c r="MLR44" s="344"/>
      <c r="MLS44" s="344"/>
      <c r="MLT44" s="344"/>
      <c r="MLU44" s="344"/>
      <c r="MLV44" s="344"/>
      <c r="MLW44" s="344"/>
      <c r="MLX44" s="344"/>
      <c r="MLY44" s="344"/>
      <c r="MLZ44" s="344"/>
      <c r="MMA44" s="344"/>
      <c r="MMB44" s="344"/>
      <c r="MMC44" s="344"/>
      <c r="MMD44" s="344"/>
      <c r="MME44" s="344"/>
      <c r="MMF44" s="344"/>
      <c r="MMG44" s="344"/>
      <c r="MMH44" s="344"/>
      <c r="MMI44" s="344"/>
      <c r="MMJ44" s="344"/>
      <c r="MMK44" s="344"/>
      <c r="MML44" s="344"/>
      <c r="MMM44" s="344"/>
      <c r="MMN44" s="344"/>
      <c r="MMO44" s="344"/>
      <c r="MMP44" s="344"/>
      <c r="MMQ44" s="344"/>
      <c r="MMR44" s="344"/>
      <c r="MMS44" s="344"/>
      <c r="MMT44" s="344"/>
      <c r="MMU44" s="344"/>
      <c r="MMV44" s="344"/>
      <c r="MMW44" s="344"/>
      <c r="MMX44" s="344"/>
      <c r="MMY44" s="344"/>
      <c r="MMZ44" s="344"/>
      <c r="MNA44" s="344"/>
      <c r="MNB44" s="344"/>
      <c r="MNC44" s="344"/>
      <c r="MND44" s="344"/>
      <c r="MNE44" s="344"/>
      <c r="MNF44" s="344"/>
      <c r="MNG44" s="344"/>
      <c r="MNH44" s="344"/>
      <c r="MNI44" s="344"/>
      <c r="MNJ44" s="344"/>
      <c r="MNK44" s="344"/>
      <c r="MNL44" s="344"/>
      <c r="MNM44" s="344"/>
      <c r="MNN44" s="344"/>
      <c r="MNO44" s="344"/>
      <c r="MNP44" s="344"/>
      <c r="MNQ44" s="344"/>
      <c r="MNR44" s="344"/>
      <c r="MNS44" s="344"/>
      <c r="MNT44" s="344"/>
      <c r="MNU44" s="344"/>
      <c r="MNV44" s="344"/>
      <c r="MNW44" s="344"/>
      <c r="MNX44" s="344"/>
      <c r="MNY44" s="344"/>
      <c r="MNZ44" s="344"/>
      <c r="MOA44" s="344"/>
      <c r="MOB44" s="344"/>
      <c r="MOC44" s="344"/>
      <c r="MOD44" s="344"/>
      <c r="MOE44" s="344"/>
      <c r="MOF44" s="344"/>
      <c r="MOG44" s="344"/>
      <c r="MOH44" s="344"/>
      <c r="MOI44" s="344"/>
      <c r="MOJ44" s="344"/>
      <c r="MOK44" s="344"/>
      <c r="MOL44" s="344"/>
      <c r="MOM44" s="344"/>
      <c r="MON44" s="344"/>
      <c r="MOO44" s="344"/>
      <c r="MOP44" s="344"/>
      <c r="MOQ44" s="344"/>
      <c r="MOR44" s="344"/>
      <c r="MOS44" s="344"/>
      <c r="MOT44" s="344"/>
      <c r="MOU44" s="344"/>
      <c r="MOV44" s="344"/>
      <c r="MOW44" s="344"/>
      <c r="MOX44" s="344"/>
      <c r="MOY44" s="344"/>
      <c r="MOZ44" s="344"/>
      <c r="MPA44" s="344"/>
      <c r="MPB44" s="344"/>
      <c r="MPC44" s="344"/>
      <c r="MPD44" s="344"/>
      <c r="MPE44" s="344"/>
      <c r="MPF44" s="344"/>
      <c r="MPG44" s="344"/>
      <c r="MPH44" s="344"/>
      <c r="MPI44" s="344"/>
      <c r="MPJ44" s="344"/>
      <c r="MPK44" s="344"/>
      <c r="MPL44" s="344"/>
      <c r="MPM44" s="344"/>
      <c r="MPN44" s="344"/>
      <c r="MPO44" s="344"/>
      <c r="MPP44" s="344"/>
      <c r="MPQ44" s="344"/>
      <c r="MPR44" s="344"/>
      <c r="MPS44" s="344"/>
      <c r="MPT44" s="344"/>
      <c r="MPU44" s="344"/>
      <c r="MPV44" s="344"/>
      <c r="MPW44" s="344"/>
      <c r="MPX44" s="344"/>
      <c r="MPY44" s="344"/>
      <c r="MPZ44" s="344"/>
      <c r="MQA44" s="344"/>
      <c r="MQB44" s="344"/>
      <c r="MQC44" s="344"/>
      <c r="MQD44" s="344"/>
      <c r="MQE44" s="344"/>
      <c r="MQF44" s="344"/>
      <c r="MQG44" s="344"/>
      <c r="MQH44" s="344"/>
      <c r="MQI44" s="344"/>
      <c r="MQJ44" s="344"/>
      <c r="MQK44" s="344"/>
      <c r="MQL44" s="344"/>
      <c r="MQM44" s="344"/>
      <c r="MQN44" s="344"/>
      <c r="MQO44" s="344"/>
      <c r="MQP44" s="344"/>
      <c r="MQQ44" s="344"/>
      <c r="MQR44" s="344"/>
      <c r="MQS44" s="344"/>
      <c r="MQT44" s="344"/>
      <c r="MQU44" s="344"/>
      <c r="MQV44" s="344"/>
      <c r="MQW44" s="344"/>
      <c r="MQX44" s="344"/>
      <c r="MQY44" s="344"/>
      <c r="MQZ44" s="344"/>
      <c r="MRA44" s="344"/>
      <c r="MRB44" s="344"/>
      <c r="MRC44" s="344"/>
      <c r="MRD44" s="344"/>
      <c r="MRE44" s="344"/>
      <c r="MRF44" s="344"/>
      <c r="MRG44" s="344"/>
      <c r="MRH44" s="344"/>
      <c r="MRI44" s="344"/>
      <c r="MRJ44" s="344"/>
      <c r="MRK44" s="344"/>
      <c r="MRL44" s="344"/>
      <c r="MRM44" s="344"/>
      <c r="MRN44" s="344"/>
      <c r="MRO44" s="344"/>
      <c r="MRP44" s="344"/>
      <c r="MRQ44" s="344"/>
      <c r="MRR44" s="344"/>
      <c r="MRS44" s="344"/>
      <c r="MRT44" s="344"/>
      <c r="MRU44" s="344"/>
      <c r="MRV44" s="344"/>
      <c r="MRW44" s="344"/>
      <c r="MRX44" s="344"/>
      <c r="MRY44" s="344"/>
      <c r="MRZ44" s="344"/>
      <c r="MSA44" s="344"/>
      <c r="MSB44" s="344"/>
      <c r="MSC44" s="344"/>
      <c r="MSD44" s="344"/>
      <c r="MSE44" s="344"/>
      <c r="MSF44" s="344"/>
      <c r="MSG44" s="344"/>
      <c r="MSH44" s="344"/>
      <c r="MSI44" s="344"/>
      <c r="MSJ44" s="344"/>
      <c r="MSK44" s="344"/>
      <c r="MSL44" s="344"/>
      <c r="MSM44" s="344"/>
      <c r="MSN44" s="344"/>
      <c r="MSO44" s="344"/>
      <c r="MSP44" s="344"/>
      <c r="MSQ44" s="344"/>
      <c r="MSR44" s="344"/>
      <c r="MSS44" s="344"/>
      <c r="MST44" s="344"/>
      <c r="MSU44" s="344"/>
      <c r="MSV44" s="344"/>
      <c r="MSW44" s="344"/>
      <c r="MSX44" s="344"/>
      <c r="MSY44" s="344"/>
      <c r="MSZ44" s="344"/>
      <c r="MTA44" s="344"/>
      <c r="MTB44" s="344"/>
      <c r="MTC44" s="344"/>
      <c r="MTD44" s="344"/>
      <c r="MTE44" s="344"/>
      <c r="MTF44" s="344"/>
      <c r="MTG44" s="344"/>
      <c r="MTH44" s="344"/>
      <c r="MTI44" s="344"/>
      <c r="MTJ44" s="344"/>
      <c r="MTK44" s="344"/>
      <c r="MTL44" s="344"/>
      <c r="MTM44" s="344"/>
      <c r="MTN44" s="344"/>
      <c r="MTO44" s="344"/>
      <c r="MTP44" s="344"/>
      <c r="MTQ44" s="344"/>
      <c r="MTR44" s="344"/>
      <c r="MTS44" s="344"/>
      <c r="MTT44" s="344"/>
      <c r="MTU44" s="344"/>
      <c r="MTV44" s="344"/>
      <c r="MTW44" s="344"/>
      <c r="MTX44" s="344"/>
      <c r="MTY44" s="344"/>
      <c r="MTZ44" s="344"/>
      <c r="MUA44" s="344"/>
      <c r="MUB44" s="344"/>
      <c r="MUC44" s="344"/>
      <c r="MUD44" s="344"/>
      <c r="MUE44" s="344"/>
      <c r="MUF44" s="344"/>
      <c r="MUG44" s="344"/>
      <c r="MUH44" s="344"/>
      <c r="MUI44" s="344"/>
      <c r="MUJ44" s="344"/>
      <c r="MUK44" s="344"/>
      <c r="MUL44" s="344"/>
      <c r="MUM44" s="344"/>
      <c r="MUN44" s="344"/>
      <c r="MUO44" s="344"/>
      <c r="MUP44" s="344"/>
      <c r="MUQ44" s="344"/>
      <c r="MUR44" s="344"/>
      <c r="MUS44" s="344"/>
      <c r="MUT44" s="344"/>
      <c r="MUU44" s="344"/>
      <c r="MUV44" s="344"/>
      <c r="MUW44" s="344"/>
      <c r="MUX44" s="344"/>
      <c r="MUY44" s="344"/>
      <c r="MUZ44" s="344"/>
      <c r="MVA44" s="344"/>
      <c r="MVB44" s="344"/>
      <c r="MVC44" s="344"/>
      <c r="MVD44" s="344"/>
      <c r="MVE44" s="344"/>
      <c r="MVF44" s="344"/>
      <c r="MVG44" s="344"/>
      <c r="MVH44" s="344"/>
      <c r="MVI44" s="344"/>
      <c r="MVJ44" s="344"/>
      <c r="MVK44" s="344"/>
      <c r="MVL44" s="344"/>
      <c r="MVM44" s="344"/>
      <c r="MVN44" s="344"/>
      <c r="MVO44" s="344"/>
      <c r="MVP44" s="344"/>
      <c r="MVQ44" s="344"/>
      <c r="MVR44" s="344"/>
      <c r="MVS44" s="344"/>
      <c r="MVT44" s="344"/>
      <c r="MVU44" s="344"/>
      <c r="MVV44" s="344"/>
      <c r="MVW44" s="344"/>
      <c r="MVX44" s="344"/>
      <c r="MVY44" s="344"/>
      <c r="MVZ44" s="344"/>
      <c r="MWA44" s="344"/>
      <c r="MWB44" s="344"/>
      <c r="MWC44" s="344"/>
      <c r="MWD44" s="344"/>
      <c r="MWE44" s="344"/>
      <c r="MWF44" s="344"/>
      <c r="MWG44" s="344"/>
      <c r="MWH44" s="344"/>
      <c r="MWI44" s="344"/>
      <c r="MWJ44" s="344"/>
      <c r="MWK44" s="344"/>
      <c r="MWL44" s="344"/>
      <c r="MWM44" s="344"/>
      <c r="MWN44" s="344"/>
      <c r="MWO44" s="344"/>
      <c r="MWP44" s="344"/>
      <c r="MWQ44" s="344"/>
      <c r="MWR44" s="344"/>
      <c r="MWS44" s="344"/>
      <c r="MWT44" s="344"/>
      <c r="MWU44" s="344"/>
      <c r="MWV44" s="344"/>
      <c r="MWW44" s="344"/>
      <c r="MWX44" s="344"/>
      <c r="MWY44" s="344"/>
      <c r="MWZ44" s="344"/>
      <c r="MXA44" s="344"/>
      <c r="MXB44" s="344"/>
      <c r="MXC44" s="344"/>
      <c r="MXD44" s="344"/>
      <c r="MXE44" s="344"/>
      <c r="MXF44" s="344"/>
      <c r="MXG44" s="344"/>
      <c r="MXH44" s="344"/>
      <c r="MXI44" s="344"/>
      <c r="MXJ44" s="344"/>
      <c r="MXK44" s="344"/>
      <c r="MXL44" s="344"/>
      <c r="MXM44" s="344"/>
      <c r="MXN44" s="344"/>
      <c r="MXO44" s="344"/>
      <c r="MXP44" s="344"/>
      <c r="MXQ44" s="344"/>
      <c r="MXR44" s="344"/>
      <c r="MXS44" s="344"/>
      <c r="MXT44" s="344"/>
      <c r="MXU44" s="344"/>
      <c r="MXV44" s="344"/>
      <c r="MXW44" s="344"/>
      <c r="MXX44" s="344"/>
      <c r="MXY44" s="344"/>
      <c r="MXZ44" s="344"/>
      <c r="MYA44" s="344"/>
      <c r="MYB44" s="344"/>
      <c r="MYC44" s="344"/>
      <c r="MYD44" s="344"/>
      <c r="MYE44" s="344"/>
      <c r="MYF44" s="344"/>
      <c r="MYG44" s="344"/>
      <c r="MYH44" s="344"/>
      <c r="MYI44" s="344"/>
      <c r="MYJ44" s="344"/>
      <c r="MYK44" s="344"/>
      <c r="MYL44" s="344"/>
      <c r="MYM44" s="344"/>
      <c r="MYN44" s="344"/>
      <c r="MYO44" s="344"/>
      <c r="MYP44" s="344"/>
      <c r="MYQ44" s="344"/>
      <c r="MYR44" s="344"/>
      <c r="MYS44" s="344"/>
      <c r="MYT44" s="344"/>
      <c r="MYU44" s="344"/>
      <c r="MYV44" s="344"/>
      <c r="MYW44" s="344"/>
      <c r="MYX44" s="344"/>
      <c r="MYY44" s="344"/>
      <c r="MYZ44" s="344"/>
      <c r="MZA44" s="344"/>
      <c r="MZB44" s="344"/>
      <c r="MZC44" s="344"/>
      <c r="MZD44" s="344"/>
      <c r="MZE44" s="344"/>
      <c r="MZF44" s="344"/>
      <c r="MZG44" s="344"/>
      <c r="MZH44" s="344"/>
      <c r="MZI44" s="344"/>
      <c r="MZJ44" s="344"/>
      <c r="MZK44" s="344"/>
      <c r="MZL44" s="344"/>
      <c r="MZM44" s="344"/>
      <c r="MZN44" s="344"/>
      <c r="MZO44" s="344"/>
      <c r="MZP44" s="344"/>
      <c r="MZQ44" s="344"/>
      <c r="MZR44" s="344"/>
      <c r="MZS44" s="344"/>
      <c r="MZT44" s="344"/>
      <c r="MZU44" s="344"/>
      <c r="MZV44" s="344"/>
      <c r="MZW44" s="344"/>
      <c r="MZX44" s="344"/>
      <c r="MZY44" s="344"/>
      <c r="MZZ44" s="344"/>
      <c r="NAA44" s="344"/>
      <c r="NAB44" s="344"/>
      <c r="NAC44" s="344"/>
      <c r="NAD44" s="344"/>
      <c r="NAE44" s="344"/>
      <c r="NAF44" s="344"/>
      <c r="NAG44" s="344"/>
      <c r="NAH44" s="344"/>
      <c r="NAI44" s="344"/>
      <c r="NAJ44" s="344"/>
      <c r="NAK44" s="344"/>
      <c r="NAL44" s="344"/>
      <c r="NAM44" s="344"/>
      <c r="NAN44" s="344"/>
      <c r="NAO44" s="344"/>
      <c r="NAP44" s="344"/>
      <c r="NAQ44" s="344"/>
      <c r="NAR44" s="344"/>
      <c r="NAS44" s="344"/>
      <c r="NAT44" s="344"/>
      <c r="NAU44" s="344"/>
      <c r="NAV44" s="344"/>
      <c r="NAW44" s="344"/>
      <c r="NAX44" s="344"/>
      <c r="NAY44" s="344"/>
      <c r="NAZ44" s="344"/>
      <c r="NBA44" s="344"/>
      <c r="NBB44" s="344"/>
      <c r="NBC44" s="344"/>
      <c r="NBD44" s="344"/>
      <c r="NBE44" s="344"/>
      <c r="NBF44" s="344"/>
      <c r="NBG44" s="344"/>
      <c r="NBH44" s="344"/>
      <c r="NBI44" s="344"/>
      <c r="NBJ44" s="344"/>
      <c r="NBK44" s="344"/>
      <c r="NBL44" s="344"/>
      <c r="NBM44" s="344"/>
      <c r="NBN44" s="344"/>
      <c r="NBO44" s="344"/>
      <c r="NBP44" s="344"/>
      <c r="NBQ44" s="344"/>
      <c r="NBR44" s="344"/>
      <c r="NBS44" s="344"/>
      <c r="NBT44" s="344"/>
      <c r="NBU44" s="344"/>
      <c r="NBV44" s="344"/>
      <c r="NBW44" s="344"/>
      <c r="NBX44" s="344"/>
      <c r="NBY44" s="344"/>
      <c r="NBZ44" s="344"/>
      <c r="NCA44" s="344"/>
      <c r="NCB44" s="344"/>
      <c r="NCC44" s="344"/>
      <c r="NCD44" s="344"/>
      <c r="NCE44" s="344"/>
      <c r="NCF44" s="344"/>
      <c r="NCG44" s="344"/>
      <c r="NCH44" s="344"/>
      <c r="NCI44" s="344"/>
      <c r="NCJ44" s="344"/>
      <c r="NCK44" s="344"/>
      <c r="NCL44" s="344"/>
      <c r="NCM44" s="344"/>
      <c r="NCN44" s="344"/>
      <c r="NCO44" s="344"/>
      <c r="NCP44" s="344"/>
      <c r="NCQ44" s="344"/>
      <c r="NCR44" s="344"/>
      <c r="NCS44" s="344"/>
      <c r="NCT44" s="344"/>
      <c r="NCU44" s="344"/>
      <c r="NCV44" s="344"/>
      <c r="NCW44" s="344"/>
      <c r="NCX44" s="344"/>
      <c r="NCY44" s="344"/>
      <c r="NCZ44" s="344"/>
      <c r="NDA44" s="344"/>
      <c r="NDB44" s="344"/>
      <c r="NDC44" s="344"/>
      <c r="NDD44" s="344"/>
      <c r="NDE44" s="344"/>
      <c r="NDF44" s="344"/>
      <c r="NDG44" s="344"/>
      <c r="NDH44" s="344"/>
      <c r="NDI44" s="344"/>
      <c r="NDJ44" s="344"/>
      <c r="NDK44" s="344"/>
      <c r="NDL44" s="344"/>
      <c r="NDM44" s="344"/>
      <c r="NDN44" s="344"/>
      <c r="NDO44" s="344"/>
      <c r="NDP44" s="344"/>
      <c r="NDQ44" s="344"/>
      <c r="NDR44" s="344"/>
      <c r="NDS44" s="344"/>
      <c r="NDT44" s="344"/>
      <c r="NDU44" s="344"/>
      <c r="NDV44" s="344"/>
      <c r="NDW44" s="344"/>
      <c r="NDX44" s="344"/>
      <c r="NDY44" s="344"/>
      <c r="NDZ44" s="344"/>
      <c r="NEA44" s="344"/>
      <c r="NEB44" s="344"/>
      <c r="NEC44" s="344"/>
      <c r="NED44" s="344"/>
      <c r="NEE44" s="344"/>
      <c r="NEF44" s="344"/>
      <c r="NEG44" s="344"/>
      <c r="NEH44" s="344"/>
      <c r="NEI44" s="344"/>
      <c r="NEJ44" s="344"/>
      <c r="NEK44" s="344"/>
      <c r="NEL44" s="344"/>
      <c r="NEM44" s="344"/>
      <c r="NEN44" s="344"/>
      <c r="NEO44" s="344"/>
      <c r="NEP44" s="344"/>
      <c r="NEQ44" s="344"/>
      <c r="NER44" s="344"/>
      <c r="NES44" s="344"/>
      <c r="NET44" s="344"/>
      <c r="NEU44" s="344"/>
      <c r="NEV44" s="344"/>
      <c r="NEW44" s="344"/>
      <c r="NEX44" s="344"/>
      <c r="NEY44" s="344"/>
      <c r="NEZ44" s="344"/>
      <c r="NFA44" s="344"/>
      <c r="NFB44" s="344"/>
      <c r="NFC44" s="344"/>
      <c r="NFD44" s="344"/>
      <c r="NFE44" s="344"/>
      <c r="NFF44" s="344"/>
      <c r="NFG44" s="344"/>
      <c r="NFH44" s="344"/>
      <c r="NFI44" s="344"/>
      <c r="NFJ44" s="344"/>
      <c r="NFK44" s="344"/>
      <c r="NFL44" s="344"/>
      <c r="NFM44" s="344"/>
      <c r="NFN44" s="344"/>
      <c r="NFO44" s="344"/>
      <c r="NFP44" s="344"/>
      <c r="NFQ44" s="344"/>
      <c r="NFR44" s="344"/>
      <c r="NFS44" s="344"/>
      <c r="NFT44" s="344"/>
      <c r="NFU44" s="344"/>
      <c r="NFV44" s="344"/>
      <c r="NFW44" s="344"/>
      <c r="NFX44" s="344"/>
      <c r="NFY44" s="344"/>
      <c r="NFZ44" s="344"/>
      <c r="NGA44" s="344"/>
      <c r="NGB44" s="344"/>
      <c r="NGC44" s="344"/>
      <c r="NGD44" s="344"/>
      <c r="NGE44" s="344"/>
      <c r="NGF44" s="344"/>
      <c r="NGG44" s="344"/>
      <c r="NGH44" s="344"/>
      <c r="NGI44" s="344"/>
      <c r="NGJ44" s="344"/>
      <c r="NGK44" s="344"/>
      <c r="NGL44" s="344"/>
      <c r="NGM44" s="344"/>
      <c r="NGN44" s="344"/>
      <c r="NGO44" s="344"/>
      <c r="NGP44" s="344"/>
      <c r="NGQ44" s="344"/>
      <c r="NGR44" s="344"/>
      <c r="NGS44" s="344"/>
      <c r="NGT44" s="344"/>
      <c r="NGU44" s="344"/>
      <c r="NGV44" s="344"/>
      <c r="NGW44" s="344"/>
      <c r="NGX44" s="344"/>
      <c r="NGY44" s="344"/>
      <c r="NGZ44" s="344"/>
      <c r="NHA44" s="344"/>
      <c r="NHB44" s="344"/>
      <c r="NHC44" s="344"/>
      <c r="NHD44" s="344"/>
      <c r="NHE44" s="344"/>
      <c r="NHF44" s="344"/>
      <c r="NHG44" s="344"/>
      <c r="NHH44" s="344"/>
      <c r="NHI44" s="344"/>
      <c r="NHJ44" s="344"/>
      <c r="NHK44" s="344"/>
      <c r="NHL44" s="344"/>
      <c r="NHM44" s="344"/>
      <c r="NHN44" s="344"/>
      <c r="NHO44" s="344"/>
      <c r="NHP44" s="344"/>
      <c r="NHQ44" s="344"/>
      <c r="NHR44" s="344"/>
      <c r="NHS44" s="344"/>
      <c r="NHT44" s="344"/>
      <c r="NHU44" s="344"/>
      <c r="NHV44" s="344"/>
      <c r="NHW44" s="344"/>
      <c r="NHX44" s="344"/>
      <c r="NHY44" s="344"/>
      <c r="NHZ44" s="344"/>
      <c r="NIA44" s="344"/>
      <c r="NIB44" s="344"/>
      <c r="NIC44" s="344"/>
      <c r="NID44" s="344"/>
      <c r="NIE44" s="344"/>
      <c r="NIF44" s="344"/>
      <c r="NIG44" s="344"/>
      <c r="NIH44" s="344"/>
      <c r="NII44" s="344"/>
      <c r="NIJ44" s="344"/>
      <c r="NIK44" s="344"/>
      <c r="NIL44" s="344"/>
      <c r="NIM44" s="344"/>
      <c r="NIN44" s="344"/>
      <c r="NIO44" s="344"/>
      <c r="NIP44" s="344"/>
      <c r="NIQ44" s="344"/>
      <c r="NIR44" s="344"/>
      <c r="NIS44" s="344"/>
      <c r="NIT44" s="344"/>
      <c r="NIU44" s="344"/>
      <c r="NIV44" s="344"/>
      <c r="NIW44" s="344"/>
      <c r="NIX44" s="344"/>
      <c r="NIY44" s="344"/>
      <c r="NIZ44" s="344"/>
      <c r="NJA44" s="344"/>
      <c r="NJB44" s="344"/>
      <c r="NJC44" s="344"/>
      <c r="NJD44" s="344"/>
      <c r="NJE44" s="344"/>
      <c r="NJF44" s="344"/>
      <c r="NJG44" s="344"/>
      <c r="NJH44" s="344"/>
      <c r="NJI44" s="344"/>
      <c r="NJJ44" s="344"/>
      <c r="NJK44" s="344"/>
      <c r="NJL44" s="344"/>
      <c r="NJM44" s="344"/>
      <c r="NJN44" s="344"/>
      <c r="NJO44" s="344"/>
      <c r="NJP44" s="344"/>
      <c r="NJQ44" s="344"/>
      <c r="NJR44" s="344"/>
      <c r="NJS44" s="344"/>
      <c r="NJT44" s="344"/>
      <c r="NJU44" s="344"/>
      <c r="NJV44" s="344"/>
      <c r="NJW44" s="344"/>
      <c r="NJX44" s="344"/>
      <c r="NJY44" s="344"/>
      <c r="NJZ44" s="344"/>
      <c r="NKA44" s="344"/>
      <c r="NKB44" s="344"/>
      <c r="NKC44" s="344"/>
      <c r="NKD44" s="344"/>
      <c r="NKE44" s="344"/>
      <c r="NKF44" s="344"/>
      <c r="NKG44" s="344"/>
      <c r="NKH44" s="344"/>
      <c r="NKI44" s="344"/>
      <c r="NKJ44" s="344"/>
      <c r="NKK44" s="344"/>
      <c r="NKL44" s="344"/>
      <c r="NKM44" s="344"/>
      <c r="NKN44" s="344"/>
      <c r="NKO44" s="344"/>
      <c r="NKP44" s="344"/>
      <c r="NKQ44" s="344"/>
      <c r="NKR44" s="344"/>
      <c r="NKS44" s="344"/>
      <c r="NKT44" s="344"/>
      <c r="NKU44" s="344"/>
      <c r="NKV44" s="344"/>
      <c r="NKW44" s="344"/>
      <c r="NKX44" s="344"/>
      <c r="NKY44" s="344"/>
      <c r="NKZ44" s="344"/>
      <c r="NLA44" s="344"/>
      <c r="NLB44" s="344"/>
      <c r="NLC44" s="344"/>
      <c r="NLD44" s="344"/>
      <c r="NLE44" s="344"/>
      <c r="NLF44" s="344"/>
      <c r="NLG44" s="344"/>
      <c r="NLH44" s="344"/>
      <c r="NLI44" s="344"/>
      <c r="NLJ44" s="344"/>
      <c r="NLK44" s="344"/>
      <c r="NLL44" s="344"/>
      <c r="NLM44" s="344"/>
      <c r="NLN44" s="344"/>
      <c r="NLO44" s="344"/>
      <c r="NLP44" s="344"/>
      <c r="NLQ44" s="344"/>
      <c r="NLR44" s="344"/>
      <c r="NLS44" s="344"/>
      <c r="NLT44" s="344"/>
      <c r="NLU44" s="344"/>
      <c r="NLV44" s="344"/>
      <c r="NLW44" s="344"/>
      <c r="NLX44" s="344"/>
      <c r="NLY44" s="344"/>
      <c r="NLZ44" s="344"/>
      <c r="NMA44" s="344"/>
      <c r="NMB44" s="344"/>
      <c r="NMC44" s="344"/>
      <c r="NMD44" s="344"/>
      <c r="NME44" s="344"/>
      <c r="NMF44" s="344"/>
      <c r="NMG44" s="344"/>
      <c r="NMH44" s="344"/>
      <c r="NMI44" s="344"/>
      <c r="NMJ44" s="344"/>
      <c r="NMK44" s="344"/>
      <c r="NML44" s="344"/>
      <c r="NMM44" s="344"/>
      <c r="NMN44" s="344"/>
      <c r="NMO44" s="344"/>
      <c r="NMP44" s="344"/>
      <c r="NMQ44" s="344"/>
      <c r="NMR44" s="344"/>
      <c r="NMS44" s="344"/>
      <c r="NMT44" s="344"/>
      <c r="NMU44" s="344"/>
      <c r="NMV44" s="344"/>
      <c r="NMW44" s="344"/>
      <c r="NMX44" s="344"/>
      <c r="NMY44" s="344"/>
      <c r="NMZ44" s="344"/>
      <c r="NNA44" s="344"/>
      <c r="NNB44" s="344"/>
      <c r="NNC44" s="344"/>
      <c r="NND44" s="344"/>
      <c r="NNE44" s="344"/>
      <c r="NNF44" s="344"/>
      <c r="NNG44" s="344"/>
      <c r="NNH44" s="344"/>
      <c r="NNI44" s="344"/>
      <c r="NNJ44" s="344"/>
      <c r="NNK44" s="344"/>
      <c r="NNL44" s="344"/>
      <c r="NNM44" s="344"/>
      <c r="NNN44" s="344"/>
      <c r="NNO44" s="344"/>
      <c r="NNP44" s="344"/>
      <c r="NNQ44" s="344"/>
      <c r="NNR44" s="344"/>
      <c r="NNS44" s="344"/>
      <c r="NNT44" s="344"/>
      <c r="NNU44" s="344"/>
      <c r="NNV44" s="344"/>
      <c r="NNW44" s="344"/>
      <c r="NNX44" s="344"/>
      <c r="NNY44" s="344"/>
      <c r="NNZ44" s="344"/>
      <c r="NOA44" s="344"/>
      <c r="NOB44" s="344"/>
      <c r="NOC44" s="344"/>
      <c r="NOD44" s="344"/>
      <c r="NOE44" s="344"/>
      <c r="NOF44" s="344"/>
      <c r="NOG44" s="344"/>
      <c r="NOH44" s="344"/>
      <c r="NOI44" s="344"/>
      <c r="NOJ44" s="344"/>
      <c r="NOK44" s="344"/>
      <c r="NOL44" s="344"/>
      <c r="NOM44" s="344"/>
      <c r="NON44" s="344"/>
      <c r="NOO44" s="344"/>
      <c r="NOP44" s="344"/>
      <c r="NOQ44" s="344"/>
      <c r="NOR44" s="344"/>
      <c r="NOS44" s="344"/>
      <c r="NOT44" s="344"/>
      <c r="NOU44" s="344"/>
      <c r="NOV44" s="344"/>
      <c r="NOW44" s="344"/>
      <c r="NOX44" s="344"/>
      <c r="NOY44" s="344"/>
      <c r="NOZ44" s="344"/>
      <c r="NPA44" s="344"/>
      <c r="NPB44" s="344"/>
      <c r="NPC44" s="344"/>
      <c r="NPD44" s="344"/>
      <c r="NPE44" s="344"/>
      <c r="NPF44" s="344"/>
      <c r="NPG44" s="344"/>
      <c r="NPH44" s="344"/>
      <c r="NPI44" s="344"/>
      <c r="NPJ44" s="344"/>
      <c r="NPK44" s="344"/>
      <c r="NPL44" s="344"/>
      <c r="NPM44" s="344"/>
      <c r="NPN44" s="344"/>
      <c r="NPO44" s="344"/>
      <c r="NPP44" s="344"/>
      <c r="NPQ44" s="344"/>
      <c r="NPR44" s="344"/>
      <c r="NPS44" s="344"/>
      <c r="NPT44" s="344"/>
      <c r="NPU44" s="344"/>
      <c r="NPV44" s="344"/>
      <c r="NPW44" s="344"/>
      <c r="NPX44" s="344"/>
      <c r="NPY44" s="344"/>
      <c r="NPZ44" s="344"/>
      <c r="NQA44" s="344"/>
      <c r="NQB44" s="344"/>
      <c r="NQC44" s="344"/>
      <c r="NQD44" s="344"/>
      <c r="NQE44" s="344"/>
      <c r="NQF44" s="344"/>
      <c r="NQG44" s="344"/>
      <c r="NQH44" s="344"/>
      <c r="NQI44" s="344"/>
      <c r="NQJ44" s="344"/>
      <c r="NQK44" s="344"/>
      <c r="NQL44" s="344"/>
      <c r="NQM44" s="344"/>
      <c r="NQN44" s="344"/>
      <c r="NQO44" s="344"/>
      <c r="NQP44" s="344"/>
      <c r="NQQ44" s="344"/>
      <c r="NQR44" s="344"/>
      <c r="NQS44" s="344"/>
      <c r="NQT44" s="344"/>
      <c r="NQU44" s="344"/>
      <c r="NQV44" s="344"/>
      <c r="NQW44" s="344"/>
      <c r="NQX44" s="344"/>
      <c r="NQY44" s="344"/>
      <c r="NQZ44" s="344"/>
      <c r="NRA44" s="344"/>
      <c r="NRB44" s="344"/>
      <c r="NRC44" s="344"/>
      <c r="NRD44" s="344"/>
      <c r="NRE44" s="344"/>
      <c r="NRF44" s="344"/>
      <c r="NRG44" s="344"/>
      <c r="NRH44" s="344"/>
      <c r="NRI44" s="344"/>
      <c r="NRJ44" s="344"/>
      <c r="NRK44" s="344"/>
      <c r="NRL44" s="344"/>
      <c r="NRM44" s="344"/>
      <c r="NRN44" s="344"/>
      <c r="NRO44" s="344"/>
      <c r="NRP44" s="344"/>
      <c r="NRQ44" s="344"/>
      <c r="NRR44" s="344"/>
      <c r="NRS44" s="344"/>
      <c r="NRT44" s="344"/>
      <c r="NRU44" s="344"/>
      <c r="NRV44" s="344"/>
      <c r="NRW44" s="344"/>
      <c r="NRX44" s="344"/>
      <c r="NRY44" s="344"/>
      <c r="NRZ44" s="344"/>
      <c r="NSA44" s="344"/>
      <c r="NSB44" s="344"/>
      <c r="NSC44" s="344"/>
      <c r="NSD44" s="344"/>
      <c r="NSE44" s="344"/>
      <c r="NSF44" s="344"/>
      <c r="NSG44" s="344"/>
      <c r="NSH44" s="344"/>
      <c r="NSI44" s="344"/>
      <c r="NSJ44" s="344"/>
      <c r="NSK44" s="344"/>
      <c r="NSL44" s="344"/>
      <c r="NSM44" s="344"/>
      <c r="NSN44" s="344"/>
      <c r="NSO44" s="344"/>
      <c r="NSP44" s="344"/>
      <c r="NSQ44" s="344"/>
      <c r="NSR44" s="344"/>
      <c r="NSS44" s="344"/>
      <c r="NST44" s="344"/>
      <c r="NSU44" s="344"/>
      <c r="NSV44" s="344"/>
      <c r="NSW44" s="344"/>
      <c r="NSX44" s="344"/>
      <c r="NSY44" s="344"/>
      <c r="NSZ44" s="344"/>
      <c r="NTA44" s="344"/>
      <c r="NTB44" s="344"/>
      <c r="NTC44" s="344"/>
      <c r="NTD44" s="344"/>
      <c r="NTE44" s="344"/>
      <c r="NTF44" s="344"/>
      <c r="NTG44" s="344"/>
      <c r="NTH44" s="344"/>
      <c r="NTI44" s="344"/>
      <c r="NTJ44" s="344"/>
      <c r="NTK44" s="344"/>
      <c r="NTL44" s="344"/>
      <c r="NTM44" s="344"/>
      <c r="NTN44" s="344"/>
      <c r="NTO44" s="344"/>
      <c r="NTP44" s="344"/>
      <c r="NTQ44" s="344"/>
      <c r="NTR44" s="344"/>
      <c r="NTS44" s="344"/>
      <c r="NTT44" s="344"/>
      <c r="NTU44" s="344"/>
      <c r="NTV44" s="344"/>
      <c r="NTW44" s="344"/>
      <c r="NTX44" s="344"/>
      <c r="NTY44" s="344"/>
      <c r="NTZ44" s="344"/>
      <c r="NUA44" s="344"/>
      <c r="NUB44" s="344"/>
      <c r="NUC44" s="344"/>
      <c r="NUD44" s="344"/>
      <c r="NUE44" s="344"/>
      <c r="NUF44" s="344"/>
      <c r="NUG44" s="344"/>
      <c r="NUH44" s="344"/>
      <c r="NUI44" s="344"/>
      <c r="NUJ44" s="344"/>
      <c r="NUK44" s="344"/>
      <c r="NUL44" s="344"/>
      <c r="NUM44" s="344"/>
      <c r="NUN44" s="344"/>
      <c r="NUO44" s="344"/>
      <c r="NUP44" s="344"/>
      <c r="NUQ44" s="344"/>
      <c r="NUR44" s="344"/>
      <c r="NUS44" s="344"/>
      <c r="NUT44" s="344"/>
      <c r="NUU44" s="344"/>
      <c r="NUV44" s="344"/>
      <c r="NUW44" s="344"/>
      <c r="NUX44" s="344"/>
      <c r="NUY44" s="344"/>
      <c r="NUZ44" s="344"/>
      <c r="NVA44" s="344"/>
      <c r="NVB44" s="344"/>
      <c r="NVC44" s="344"/>
      <c r="NVD44" s="344"/>
      <c r="NVE44" s="344"/>
      <c r="NVF44" s="344"/>
      <c r="NVG44" s="344"/>
      <c r="NVH44" s="344"/>
      <c r="NVI44" s="344"/>
      <c r="NVJ44" s="344"/>
      <c r="NVK44" s="344"/>
      <c r="NVL44" s="344"/>
      <c r="NVM44" s="344"/>
      <c r="NVN44" s="344"/>
      <c r="NVO44" s="344"/>
      <c r="NVP44" s="344"/>
      <c r="NVQ44" s="344"/>
      <c r="NVR44" s="344"/>
      <c r="NVS44" s="344"/>
      <c r="NVT44" s="344"/>
      <c r="NVU44" s="344"/>
      <c r="NVV44" s="344"/>
      <c r="NVW44" s="344"/>
      <c r="NVX44" s="344"/>
      <c r="NVY44" s="344"/>
      <c r="NVZ44" s="344"/>
      <c r="NWA44" s="344"/>
      <c r="NWB44" s="344"/>
      <c r="NWC44" s="344"/>
      <c r="NWD44" s="344"/>
      <c r="NWE44" s="344"/>
      <c r="NWF44" s="344"/>
      <c r="NWG44" s="344"/>
      <c r="NWH44" s="344"/>
      <c r="NWI44" s="344"/>
      <c r="NWJ44" s="344"/>
      <c r="NWK44" s="344"/>
      <c r="NWL44" s="344"/>
      <c r="NWM44" s="344"/>
      <c r="NWN44" s="344"/>
      <c r="NWO44" s="344"/>
      <c r="NWP44" s="344"/>
      <c r="NWQ44" s="344"/>
      <c r="NWR44" s="344"/>
      <c r="NWS44" s="344"/>
      <c r="NWT44" s="344"/>
      <c r="NWU44" s="344"/>
      <c r="NWV44" s="344"/>
      <c r="NWW44" s="344"/>
      <c r="NWX44" s="344"/>
      <c r="NWY44" s="344"/>
      <c r="NWZ44" s="344"/>
      <c r="NXA44" s="344"/>
      <c r="NXB44" s="344"/>
      <c r="NXC44" s="344"/>
      <c r="NXD44" s="344"/>
      <c r="NXE44" s="344"/>
      <c r="NXF44" s="344"/>
      <c r="NXG44" s="344"/>
      <c r="NXH44" s="344"/>
      <c r="NXI44" s="344"/>
      <c r="NXJ44" s="344"/>
      <c r="NXK44" s="344"/>
      <c r="NXL44" s="344"/>
      <c r="NXM44" s="344"/>
      <c r="NXN44" s="344"/>
      <c r="NXO44" s="344"/>
      <c r="NXP44" s="344"/>
      <c r="NXQ44" s="344"/>
      <c r="NXR44" s="344"/>
      <c r="NXS44" s="344"/>
      <c r="NXT44" s="344"/>
      <c r="NXU44" s="344"/>
      <c r="NXV44" s="344"/>
      <c r="NXW44" s="344"/>
      <c r="NXX44" s="344"/>
      <c r="NXY44" s="344"/>
      <c r="NXZ44" s="344"/>
      <c r="NYA44" s="344"/>
      <c r="NYB44" s="344"/>
      <c r="NYC44" s="344"/>
      <c r="NYD44" s="344"/>
      <c r="NYE44" s="344"/>
      <c r="NYF44" s="344"/>
      <c r="NYG44" s="344"/>
      <c r="NYH44" s="344"/>
      <c r="NYI44" s="344"/>
      <c r="NYJ44" s="344"/>
      <c r="NYK44" s="344"/>
      <c r="NYL44" s="344"/>
      <c r="NYM44" s="344"/>
      <c r="NYN44" s="344"/>
      <c r="NYO44" s="344"/>
      <c r="NYP44" s="344"/>
      <c r="NYQ44" s="344"/>
      <c r="NYR44" s="344"/>
      <c r="NYS44" s="344"/>
      <c r="NYT44" s="344"/>
      <c r="NYU44" s="344"/>
      <c r="NYV44" s="344"/>
      <c r="NYW44" s="344"/>
      <c r="NYX44" s="344"/>
      <c r="NYY44" s="344"/>
      <c r="NYZ44" s="344"/>
      <c r="NZA44" s="344"/>
      <c r="NZB44" s="344"/>
      <c r="NZC44" s="344"/>
      <c r="NZD44" s="344"/>
      <c r="NZE44" s="344"/>
      <c r="NZF44" s="344"/>
      <c r="NZG44" s="344"/>
      <c r="NZH44" s="344"/>
      <c r="NZI44" s="344"/>
      <c r="NZJ44" s="344"/>
      <c r="NZK44" s="344"/>
      <c r="NZL44" s="344"/>
      <c r="NZM44" s="344"/>
      <c r="NZN44" s="344"/>
      <c r="NZO44" s="344"/>
      <c r="NZP44" s="344"/>
      <c r="NZQ44" s="344"/>
      <c r="NZR44" s="344"/>
      <c r="NZS44" s="344"/>
      <c r="NZT44" s="344"/>
      <c r="NZU44" s="344"/>
      <c r="NZV44" s="344"/>
      <c r="NZW44" s="344"/>
      <c r="NZX44" s="344"/>
      <c r="NZY44" s="344"/>
      <c r="NZZ44" s="344"/>
      <c r="OAA44" s="344"/>
      <c r="OAB44" s="344"/>
      <c r="OAC44" s="344"/>
      <c r="OAD44" s="344"/>
      <c r="OAE44" s="344"/>
      <c r="OAF44" s="344"/>
      <c r="OAG44" s="344"/>
      <c r="OAH44" s="344"/>
      <c r="OAI44" s="344"/>
      <c r="OAJ44" s="344"/>
      <c r="OAK44" s="344"/>
      <c r="OAL44" s="344"/>
      <c r="OAM44" s="344"/>
      <c r="OAN44" s="344"/>
      <c r="OAO44" s="344"/>
      <c r="OAP44" s="344"/>
      <c r="OAQ44" s="344"/>
      <c r="OAR44" s="344"/>
      <c r="OAS44" s="344"/>
      <c r="OAT44" s="344"/>
      <c r="OAU44" s="344"/>
      <c r="OAV44" s="344"/>
      <c r="OAW44" s="344"/>
      <c r="OAX44" s="344"/>
      <c r="OAY44" s="344"/>
      <c r="OAZ44" s="344"/>
      <c r="OBA44" s="344"/>
      <c r="OBB44" s="344"/>
      <c r="OBC44" s="344"/>
      <c r="OBD44" s="344"/>
      <c r="OBE44" s="344"/>
      <c r="OBF44" s="344"/>
      <c r="OBG44" s="344"/>
      <c r="OBH44" s="344"/>
      <c r="OBI44" s="344"/>
      <c r="OBJ44" s="344"/>
      <c r="OBK44" s="344"/>
      <c r="OBL44" s="344"/>
      <c r="OBM44" s="344"/>
      <c r="OBN44" s="344"/>
      <c r="OBO44" s="344"/>
      <c r="OBP44" s="344"/>
      <c r="OBQ44" s="344"/>
      <c r="OBR44" s="344"/>
      <c r="OBS44" s="344"/>
      <c r="OBT44" s="344"/>
      <c r="OBU44" s="344"/>
      <c r="OBV44" s="344"/>
      <c r="OBW44" s="344"/>
      <c r="OBX44" s="344"/>
      <c r="OBY44" s="344"/>
      <c r="OBZ44" s="344"/>
      <c r="OCA44" s="344"/>
      <c r="OCB44" s="344"/>
      <c r="OCC44" s="344"/>
      <c r="OCD44" s="344"/>
      <c r="OCE44" s="344"/>
      <c r="OCF44" s="344"/>
      <c r="OCG44" s="344"/>
      <c r="OCH44" s="344"/>
      <c r="OCI44" s="344"/>
      <c r="OCJ44" s="344"/>
      <c r="OCK44" s="344"/>
      <c r="OCL44" s="344"/>
      <c r="OCM44" s="344"/>
      <c r="OCN44" s="344"/>
      <c r="OCO44" s="344"/>
      <c r="OCP44" s="344"/>
      <c r="OCQ44" s="344"/>
      <c r="OCR44" s="344"/>
      <c r="OCS44" s="344"/>
      <c r="OCT44" s="344"/>
      <c r="OCU44" s="344"/>
      <c r="OCV44" s="344"/>
      <c r="OCW44" s="344"/>
      <c r="OCX44" s="344"/>
      <c r="OCY44" s="344"/>
      <c r="OCZ44" s="344"/>
      <c r="ODA44" s="344"/>
      <c r="ODB44" s="344"/>
      <c r="ODC44" s="344"/>
      <c r="ODD44" s="344"/>
      <c r="ODE44" s="344"/>
      <c r="ODF44" s="344"/>
      <c r="ODG44" s="344"/>
      <c r="ODH44" s="344"/>
      <c r="ODI44" s="344"/>
      <c r="ODJ44" s="344"/>
      <c r="ODK44" s="344"/>
      <c r="ODL44" s="344"/>
      <c r="ODM44" s="344"/>
      <c r="ODN44" s="344"/>
      <c r="ODO44" s="344"/>
      <c r="ODP44" s="344"/>
      <c r="ODQ44" s="344"/>
      <c r="ODR44" s="344"/>
      <c r="ODS44" s="344"/>
      <c r="ODT44" s="344"/>
      <c r="ODU44" s="344"/>
      <c r="ODV44" s="344"/>
      <c r="ODW44" s="344"/>
      <c r="ODX44" s="344"/>
      <c r="ODY44" s="344"/>
      <c r="ODZ44" s="344"/>
      <c r="OEA44" s="344"/>
      <c r="OEB44" s="344"/>
      <c r="OEC44" s="344"/>
      <c r="OED44" s="344"/>
      <c r="OEE44" s="344"/>
      <c r="OEF44" s="344"/>
      <c r="OEG44" s="344"/>
      <c r="OEH44" s="344"/>
      <c r="OEI44" s="344"/>
      <c r="OEJ44" s="344"/>
      <c r="OEK44" s="344"/>
      <c r="OEL44" s="344"/>
      <c r="OEM44" s="344"/>
      <c r="OEN44" s="344"/>
      <c r="OEO44" s="344"/>
      <c r="OEP44" s="344"/>
      <c r="OEQ44" s="344"/>
      <c r="OER44" s="344"/>
      <c r="OES44" s="344"/>
      <c r="OET44" s="344"/>
      <c r="OEU44" s="344"/>
      <c r="OEV44" s="344"/>
      <c r="OEW44" s="344"/>
      <c r="OEX44" s="344"/>
      <c r="OEY44" s="344"/>
      <c r="OEZ44" s="344"/>
      <c r="OFA44" s="344"/>
      <c r="OFB44" s="344"/>
      <c r="OFC44" s="344"/>
      <c r="OFD44" s="344"/>
      <c r="OFE44" s="344"/>
      <c r="OFF44" s="344"/>
      <c r="OFG44" s="344"/>
      <c r="OFH44" s="344"/>
      <c r="OFI44" s="344"/>
      <c r="OFJ44" s="344"/>
      <c r="OFK44" s="344"/>
      <c r="OFL44" s="344"/>
      <c r="OFM44" s="344"/>
      <c r="OFN44" s="344"/>
      <c r="OFO44" s="344"/>
      <c r="OFP44" s="344"/>
      <c r="OFQ44" s="344"/>
      <c r="OFR44" s="344"/>
      <c r="OFS44" s="344"/>
      <c r="OFT44" s="344"/>
      <c r="OFU44" s="344"/>
      <c r="OFV44" s="344"/>
      <c r="OFW44" s="344"/>
      <c r="OFX44" s="344"/>
      <c r="OFY44" s="344"/>
      <c r="OFZ44" s="344"/>
      <c r="OGA44" s="344"/>
      <c r="OGB44" s="344"/>
      <c r="OGC44" s="344"/>
      <c r="OGD44" s="344"/>
      <c r="OGE44" s="344"/>
      <c r="OGF44" s="344"/>
      <c r="OGG44" s="344"/>
      <c r="OGH44" s="344"/>
      <c r="OGI44" s="344"/>
      <c r="OGJ44" s="344"/>
      <c r="OGK44" s="344"/>
      <c r="OGL44" s="344"/>
      <c r="OGM44" s="344"/>
      <c r="OGN44" s="344"/>
      <c r="OGO44" s="344"/>
      <c r="OGP44" s="344"/>
      <c r="OGQ44" s="344"/>
      <c r="OGR44" s="344"/>
      <c r="OGS44" s="344"/>
      <c r="OGT44" s="344"/>
      <c r="OGU44" s="344"/>
      <c r="OGV44" s="344"/>
      <c r="OGW44" s="344"/>
      <c r="OGX44" s="344"/>
      <c r="OGY44" s="344"/>
      <c r="OGZ44" s="344"/>
      <c r="OHA44" s="344"/>
      <c r="OHB44" s="344"/>
      <c r="OHC44" s="344"/>
      <c r="OHD44" s="344"/>
      <c r="OHE44" s="344"/>
      <c r="OHF44" s="344"/>
      <c r="OHG44" s="344"/>
      <c r="OHH44" s="344"/>
      <c r="OHI44" s="344"/>
      <c r="OHJ44" s="344"/>
      <c r="OHK44" s="344"/>
      <c r="OHL44" s="344"/>
      <c r="OHM44" s="344"/>
      <c r="OHN44" s="344"/>
      <c r="OHO44" s="344"/>
      <c r="OHP44" s="344"/>
      <c r="OHQ44" s="344"/>
      <c r="OHR44" s="344"/>
      <c r="OHS44" s="344"/>
      <c r="OHT44" s="344"/>
      <c r="OHU44" s="344"/>
      <c r="OHV44" s="344"/>
      <c r="OHW44" s="344"/>
      <c r="OHX44" s="344"/>
      <c r="OHY44" s="344"/>
      <c r="OHZ44" s="344"/>
      <c r="OIA44" s="344"/>
      <c r="OIB44" s="344"/>
      <c r="OIC44" s="344"/>
      <c r="OID44" s="344"/>
      <c r="OIE44" s="344"/>
      <c r="OIF44" s="344"/>
      <c r="OIG44" s="344"/>
      <c r="OIH44" s="344"/>
      <c r="OII44" s="344"/>
      <c r="OIJ44" s="344"/>
      <c r="OIK44" s="344"/>
      <c r="OIL44" s="344"/>
      <c r="OIM44" s="344"/>
      <c r="OIN44" s="344"/>
      <c r="OIO44" s="344"/>
      <c r="OIP44" s="344"/>
      <c r="OIQ44" s="344"/>
      <c r="OIR44" s="344"/>
      <c r="OIS44" s="344"/>
      <c r="OIT44" s="344"/>
      <c r="OIU44" s="344"/>
      <c r="OIV44" s="344"/>
      <c r="OIW44" s="344"/>
      <c r="OIX44" s="344"/>
      <c r="OIY44" s="344"/>
      <c r="OIZ44" s="344"/>
      <c r="OJA44" s="344"/>
      <c r="OJB44" s="344"/>
      <c r="OJC44" s="344"/>
      <c r="OJD44" s="344"/>
      <c r="OJE44" s="344"/>
      <c r="OJF44" s="344"/>
      <c r="OJG44" s="344"/>
      <c r="OJH44" s="344"/>
      <c r="OJI44" s="344"/>
      <c r="OJJ44" s="344"/>
      <c r="OJK44" s="344"/>
      <c r="OJL44" s="344"/>
      <c r="OJM44" s="344"/>
      <c r="OJN44" s="344"/>
      <c r="OJO44" s="344"/>
      <c r="OJP44" s="344"/>
      <c r="OJQ44" s="344"/>
      <c r="OJR44" s="344"/>
      <c r="OJS44" s="344"/>
      <c r="OJT44" s="344"/>
      <c r="OJU44" s="344"/>
      <c r="OJV44" s="344"/>
      <c r="OJW44" s="344"/>
      <c r="OJX44" s="344"/>
      <c r="OJY44" s="344"/>
      <c r="OJZ44" s="344"/>
      <c r="OKA44" s="344"/>
      <c r="OKB44" s="344"/>
      <c r="OKC44" s="344"/>
      <c r="OKD44" s="344"/>
      <c r="OKE44" s="344"/>
      <c r="OKF44" s="344"/>
      <c r="OKG44" s="344"/>
      <c r="OKH44" s="344"/>
      <c r="OKI44" s="344"/>
      <c r="OKJ44" s="344"/>
      <c r="OKK44" s="344"/>
      <c r="OKL44" s="344"/>
      <c r="OKM44" s="344"/>
      <c r="OKN44" s="344"/>
      <c r="OKO44" s="344"/>
      <c r="OKP44" s="344"/>
      <c r="OKQ44" s="344"/>
      <c r="OKR44" s="344"/>
      <c r="OKS44" s="344"/>
      <c r="OKT44" s="344"/>
      <c r="OKU44" s="344"/>
      <c r="OKV44" s="344"/>
      <c r="OKW44" s="344"/>
      <c r="OKX44" s="344"/>
      <c r="OKY44" s="344"/>
      <c r="OKZ44" s="344"/>
      <c r="OLA44" s="344"/>
      <c r="OLB44" s="344"/>
      <c r="OLC44" s="344"/>
      <c r="OLD44" s="344"/>
      <c r="OLE44" s="344"/>
      <c r="OLF44" s="344"/>
      <c r="OLG44" s="344"/>
      <c r="OLH44" s="344"/>
      <c r="OLI44" s="344"/>
      <c r="OLJ44" s="344"/>
      <c r="OLK44" s="344"/>
      <c r="OLL44" s="344"/>
      <c r="OLM44" s="344"/>
      <c r="OLN44" s="344"/>
      <c r="OLO44" s="344"/>
      <c r="OLP44" s="344"/>
      <c r="OLQ44" s="344"/>
      <c r="OLR44" s="344"/>
      <c r="OLS44" s="344"/>
      <c r="OLT44" s="344"/>
      <c r="OLU44" s="344"/>
      <c r="OLV44" s="344"/>
      <c r="OLW44" s="344"/>
      <c r="OLX44" s="344"/>
      <c r="OLY44" s="344"/>
      <c r="OLZ44" s="344"/>
      <c r="OMA44" s="344"/>
      <c r="OMB44" s="344"/>
      <c r="OMC44" s="344"/>
      <c r="OMD44" s="344"/>
      <c r="OME44" s="344"/>
      <c r="OMF44" s="344"/>
      <c r="OMG44" s="344"/>
      <c r="OMH44" s="344"/>
      <c r="OMI44" s="344"/>
      <c r="OMJ44" s="344"/>
      <c r="OMK44" s="344"/>
      <c r="OML44" s="344"/>
      <c r="OMM44" s="344"/>
      <c r="OMN44" s="344"/>
      <c r="OMO44" s="344"/>
      <c r="OMP44" s="344"/>
      <c r="OMQ44" s="344"/>
      <c r="OMR44" s="344"/>
      <c r="OMS44" s="344"/>
      <c r="OMT44" s="344"/>
      <c r="OMU44" s="344"/>
      <c r="OMV44" s="344"/>
      <c r="OMW44" s="344"/>
      <c r="OMX44" s="344"/>
      <c r="OMY44" s="344"/>
      <c r="OMZ44" s="344"/>
      <c r="ONA44" s="344"/>
      <c r="ONB44" s="344"/>
      <c r="ONC44" s="344"/>
      <c r="OND44" s="344"/>
      <c r="ONE44" s="344"/>
      <c r="ONF44" s="344"/>
      <c r="ONG44" s="344"/>
      <c r="ONH44" s="344"/>
      <c r="ONI44" s="344"/>
      <c r="ONJ44" s="344"/>
      <c r="ONK44" s="344"/>
      <c r="ONL44" s="344"/>
      <c r="ONM44" s="344"/>
      <c r="ONN44" s="344"/>
      <c r="ONO44" s="344"/>
      <c r="ONP44" s="344"/>
      <c r="ONQ44" s="344"/>
      <c r="ONR44" s="344"/>
      <c r="ONS44" s="344"/>
      <c r="ONT44" s="344"/>
      <c r="ONU44" s="344"/>
      <c r="ONV44" s="344"/>
      <c r="ONW44" s="344"/>
      <c r="ONX44" s="344"/>
      <c r="ONY44" s="344"/>
      <c r="ONZ44" s="344"/>
      <c r="OOA44" s="344"/>
      <c r="OOB44" s="344"/>
      <c r="OOC44" s="344"/>
      <c r="OOD44" s="344"/>
      <c r="OOE44" s="344"/>
      <c r="OOF44" s="344"/>
      <c r="OOG44" s="344"/>
      <c r="OOH44" s="344"/>
      <c r="OOI44" s="344"/>
      <c r="OOJ44" s="344"/>
      <c r="OOK44" s="344"/>
      <c r="OOL44" s="344"/>
      <c r="OOM44" s="344"/>
      <c r="OON44" s="344"/>
      <c r="OOO44" s="344"/>
      <c r="OOP44" s="344"/>
      <c r="OOQ44" s="344"/>
      <c r="OOR44" s="344"/>
      <c r="OOS44" s="344"/>
      <c r="OOT44" s="344"/>
      <c r="OOU44" s="344"/>
      <c r="OOV44" s="344"/>
      <c r="OOW44" s="344"/>
      <c r="OOX44" s="344"/>
      <c r="OOY44" s="344"/>
      <c r="OOZ44" s="344"/>
      <c r="OPA44" s="344"/>
      <c r="OPB44" s="344"/>
      <c r="OPC44" s="344"/>
      <c r="OPD44" s="344"/>
      <c r="OPE44" s="344"/>
      <c r="OPF44" s="344"/>
      <c r="OPG44" s="344"/>
      <c r="OPH44" s="344"/>
      <c r="OPI44" s="344"/>
      <c r="OPJ44" s="344"/>
      <c r="OPK44" s="344"/>
      <c r="OPL44" s="344"/>
      <c r="OPM44" s="344"/>
      <c r="OPN44" s="344"/>
      <c r="OPO44" s="344"/>
      <c r="OPP44" s="344"/>
      <c r="OPQ44" s="344"/>
      <c r="OPR44" s="344"/>
      <c r="OPS44" s="344"/>
      <c r="OPT44" s="344"/>
      <c r="OPU44" s="344"/>
      <c r="OPV44" s="344"/>
      <c r="OPW44" s="344"/>
      <c r="OPX44" s="344"/>
      <c r="OPY44" s="344"/>
      <c r="OPZ44" s="344"/>
      <c r="OQA44" s="344"/>
      <c r="OQB44" s="344"/>
      <c r="OQC44" s="344"/>
      <c r="OQD44" s="344"/>
      <c r="OQE44" s="344"/>
      <c r="OQF44" s="344"/>
      <c r="OQG44" s="344"/>
      <c r="OQH44" s="344"/>
      <c r="OQI44" s="344"/>
      <c r="OQJ44" s="344"/>
      <c r="OQK44" s="344"/>
      <c r="OQL44" s="344"/>
      <c r="OQM44" s="344"/>
      <c r="OQN44" s="344"/>
      <c r="OQO44" s="344"/>
      <c r="OQP44" s="344"/>
      <c r="OQQ44" s="344"/>
      <c r="OQR44" s="344"/>
      <c r="OQS44" s="344"/>
      <c r="OQT44" s="344"/>
      <c r="OQU44" s="344"/>
      <c r="OQV44" s="344"/>
      <c r="OQW44" s="344"/>
      <c r="OQX44" s="344"/>
      <c r="OQY44" s="344"/>
      <c r="OQZ44" s="344"/>
      <c r="ORA44" s="344"/>
      <c r="ORB44" s="344"/>
      <c r="ORC44" s="344"/>
      <c r="ORD44" s="344"/>
      <c r="ORE44" s="344"/>
      <c r="ORF44" s="344"/>
      <c r="ORG44" s="344"/>
      <c r="ORH44" s="344"/>
      <c r="ORI44" s="344"/>
      <c r="ORJ44" s="344"/>
      <c r="ORK44" s="344"/>
      <c r="ORL44" s="344"/>
      <c r="ORM44" s="344"/>
      <c r="ORN44" s="344"/>
      <c r="ORO44" s="344"/>
      <c r="ORP44" s="344"/>
      <c r="ORQ44" s="344"/>
      <c r="ORR44" s="344"/>
      <c r="ORS44" s="344"/>
      <c r="ORT44" s="344"/>
      <c r="ORU44" s="344"/>
      <c r="ORV44" s="344"/>
      <c r="ORW44" s="344"/>
      <c r="ORX44" s="344"/>
      <c r="ORY44" s="344"/>
      <c r="ORZ44" s="344"/>
      <c r="OSA44" s="344"/>
      <c r="OSB44" s="344"/>
      <c r="OSC44" s="344"/>
      <c r="OSD44" s="344"/>
      <c r="OSE44" s="344"/>
      <c r="OSF44" s="344"/>
      <c r="OSG44" s="344"/>
      <c r="OSH44" s="344"/>
      <c r="OSI44" s="344"/>
      <c r="OSJ44" s="344"/>
      <c r="OSK44" s="344"/>
      <c r="OSL44" s="344"/>
      <c r="OSM44" s="344"/>
      <c r="OSN44" s="344"/>
      <c r="OSO44" s="344"/>
      <c r="OSP44" s="344"/>
      <c r="OSQ44" s="344"/>
      <c r="OSR44" s="344"/>
      <c r="OSS44" s="344"/>
      <c r="OST44" s="344"/>
      <c r="OSU44" s="344"/>
      <c r="OSV44" s="344"/>
      <c r="OSW44" s="344"/>
      <c r="OSX44" s="344"/>
      <c r="OSY44" s="344"/>
      <c r="OSZ44" s="344"/>
      <c r="OTA44" s="344"/>
      <c r="OTB44" s="344"/>
      <c r="OTC44" s="344"/>
      <c r="OTD44" s="344"/>
      <c r="OTE44" s="344"/>
      <c r="OTF44" s="344"/>
      <c r="OTG44" s="344"/>
      <c r="OTH44" s="344"/>
      <c r="OTI44" s="344"/>
      <c r="OTJ44" s="344"/>
      <c r="OTK44" s="344"/>
      <c r="OTL44" s="344"/>
      <c r="OTM44" s="344"/>
      <c r="OTN44" s="344"/>
      <c r="OTO44" s="344"/>
      <c r="OTP44" s="344"/>
      <c r="OTQ44" s="344"/>
      <c r="OTR44" s="344"/>
      <c r="OTS44" s="344"/>
      <c r="OTT44" s="344"/>
      <c r="OTU44" s="344"/>
      <c r="OTV44" s="344"/>
      <c r="OTW44" s="344"/>
      <c r="OTX44" s="344"/>
      <c r="OTY44" s="344"/>
      <c r="OTZ44" s="344"/>
      <c r="OUA44" s="344"/>
      <c r="OUB44" s="344"/>
      <c r="OUC44" s="344"/>
      <c r="OUD44" s="344"/>
      <c r="OUE44" s="344"/>
      <c r="OUF44" s="344"/>
      <c r="OUG44" s="344"/>
      <c r="OUH44" s="344"/>
      <c r="OUI44" s="344"/>
      <c r="OUJ44" s="344"/>
      <c r="OUK44" s="344"/>
      <c r="OUL44" s="344"/>
      <c r="OUM44" s="344"/>
      <c r="OUN44" s="344"/>
      <c r="OUO44" s="344"/>
      <c r="OUP44" s="344"/>
      <c r="OUQ44" s="344"/>
      <c r="OUR44" s="344"/>
      <c r="OUS44" s="344"/>
      <c r="OUT44" s="344"/>
      <c r="OUU44" s="344"/>
      <c r="OUV44" s="344"/>
      <c r="OUW44" s="344"/>
      <c r="OUX44" s="344"/>
      <c r="OUY44" s="344"/>
      <c r="OUZ44" s="344"/>
      <c r="OVA44" s="344"/>
      <c r="OVB44" s="344"/>
      <c r="OVC44" s="344"/>
      <c r="OVD44" s="344"/>
      <c r="OVE44" s="344"/>
      <c r="OVF44" s="344"/>
      <c r="OVG44" s="344"/>
      <c r="OVH44" s="344"/>
      <c r="OVI44" s="344"/>
      <c r="OVJ44" s="344"/>
      <c r="OVK44" s="344"/>
      <c r="OVL44" s="344"/>
      <c r="OVM44" s="344"/>
      <c r="OVN44" s="344"/>
      <c r="OVO44" s="344"/>
      <c r="OVP44" s="344"/>
      <c r="OVQ44" s="344"/>
      <c r="OVR44" s="344"/>
      <c r="OVS44" s="344"/>
      <c r="OVT44" s="344"/>
      <c r="OVU44" s="344"/>
      <c r="OVV44" s="344"/>
      <c r="OVW44" s="344"/>
      <c r="OVX44" s="344"/>
      <c r="OVY44" s="344"/>
      <c r="OVZ44" s="344"/>
      <c r="OWA44" s="344"/>
      <c r="OWB44" s="344"/>
      <c r="OWC44" s="344"/>
      <c r="OWD44" s="344"/>
      <c r="OWE44" s="344"/>
      <c r="OWF44" s="344"/>
      <c r="OWG44" s="344"/>
      <c r="OWH44" s="344"/>
      <c r="OWI44" s="344"/>
      <c r="OWJ44" s="344"/>
      <c r="OWK44" s="344"/>
      <c r="OWL44" s="344"/>
      <c r="OWM44" s="344"/>
      <c r="OWN44" s="344"/>
      <c r="OWO44" s="344"/>
      <c r="OWP44" s="344"/>
      <c r="OWQ44" s="344"/>
      <c r="OWR44" s="344"/>
      <c r="OWS44" s="344"/>
      <c r="OWT44" s="344"/>
      <c r="OWU44" s="344"/>
      <c r="OWV44" s="344"/>
      <c r="OWW44" s="344"/>
      <c r="OWX44" s="344"/>
      <c r="OWY44" s="344"/>
      <c r="OWZ44" s="344"/>
      <c r="OXA44" s="344"/>
      <c r="OXB44" s="344"/>
      <c r="OXC44" s="344"/>
      <c r="OXD44" s="344"/>
      <c r="OXE44" s="344"/>
      <c r="OXF44" s="344"/>
      <c r="OXG44" s="344"/>
      <c r="OXH44" s="344"/>
      <c r="OXI44" s="344"/>
      <c r="OXJ44" s="344"/>
      <c r="OXK44" s="344"/>
      <c r="OXL44" s="344"/>
      <c r="OXM44" s="344"/>
      <c r="OXN44" s="344"/>
      <c r="OXO44" s="344"/>
      <c r="OXP44" s="344"/>
      <c r="OXQ44" s="344"/>
      <c r="OXR44" s="344"/>
      <c r="OXS44" s="344"/>
      <c r="OXT44" s="344"/>
      <c r="OXU44" s="344"/>
      <c r="OXV44" s="344"/>
      <c r="OXW44" s="344"/>
      <c r="OXX44" s="344"/>
      <c r="OXY44" s="344"/>
      <c r="OXZ44" s="344"/>
      <c r="OYA44" s="344"/>
      <c r="OYB44" s="344"/>
      <c r="OYC44" s="344"/>
      <c r="OYD44" s="344"/>
      <c r="OYE44" s="344"/>
      <c r="OYF44" s="344"/>
      <c r="OYG44" s="344"/>
      <c r="OYH44" s="344"/>
      <c r="OYI44" s="344"/>
      <c r="OYJ44" s="344"/>
      <c r="OYK44" s="344"/>
      <c r="OYL44" s="344"/>
      <c r="OYM44" s="344"/>
      <c r="OYN44" s="344"/>
      <c r="OYO44" s="344"/>
      <c r="OYP44" s="344"/>
      <c r="OYQ44" s="344"/>
      <c r="OYR44" s="344"/>
      <c r="OYS44" s="344"/>
      <c r="OYT44" s="344"/>
      <c r="OYU44" s="344"/>
      <c r="OYV44" s="344"/>
      <c r="OYW44" s="344"/>
      <c r="OYX44" s="344"/>
      <c r="OYY44" s="344"/>
      <c r="OYZ44" s="344"/>
      <c r="OZA44" s="344"/>
      <c r="OZB44" s="344"/>
      <c r="OZC44" s="344"/>
      <c r="OZD44" s="344"/>
      <c r="OZE44" s="344"/>
      <c r="OZF44" s="344"/>
      <c r="OZG44" s="344"/>
      <c r="OZH44" s="344"/>
      <c r="OZI44" s="344"/>
      <c r="OZJ44" s="344"/>
      <c r="OZK44" s="344"/>
      <c r="OZL44" s="344"/>
      <c r="OZM44" s="344"/>
      <c r="OZN44" s="344"/>
      <c r="OZO44" s="344"/>
      <c r="OZP44" s="344"/>
      <c r="OZQ44" s="344"/>
      <c r="OZR44" s="344"/>
      <c r="OZS44" s="344"/>
      <c r="OZT44" s="344"/>
      <c r="OZU44" s="344"/>
      <c r="OZV44" s="344"/>
      <c r="OZW44" s="344"/>
      <c r="OZX44" s="344"/>
      <c r="OZY44" s="344"/>
      <c r="OZZ44" s="344"/>
      <c r="PAA44" s="344"/>
      <c r="PAB44" s="344"/>
      <c r="PAC44" s="344"/>
      <c r="PAD44" s="344"/>
      <c r="PAE44" s="344"/>
      <c r="PAF44" s="344"/>
      <c r="PAG44" s="344"/>
      <c r="PAH44" s="344"/>
      <c r="PAI44" s="344"/>
      <c r="PAJ44" s="344"/>
      <c r="PAK44" s="344"/>
      <c r="PAL44" s="344"/>
      <c r="PAM44" s="344"/>
      <c r="PAN44" s="344"/>
      <c r="PAO44" s="344"/>
      <c r="PAP44" s="344"/>
      <c r="PAQ44" s="344"/>
      <c r="PAR44" s="344"/>
      <c r="PAS44" s="344"/>
      <c r="PAT44" s="344"/>
      <c r="PAU44" s="344"/>
      <c r="PAV44" s="344"/>
      <c r="PAW44" s="344"/>
      <c r="PAX44" s="344"/>
      <c r="PAY44" s="344"/>
      <c r="PAZ44" s="344"/>
      <c r="PBA44" s="344"/>
      <c r="PBB44" s="344"/>
      <c r="PBC44" s="344"/>
      <c r="PBD44" s="344"/>
      <c r="PBE44" s="344"/>
      <c r="PBF44" s="344"/>
      <c r="PBG44" s="344"/>
      <c r="PBH44" s="344"/>
      <c r="PBI44" s="344"/>
      <c r="PBJ44" s="344"/>
      <c r="PBK44" s="344"/>
      <c r="PBL44" s="344"/>
      <c r="PBM44" s="344"/>
      <c r="PBN44" s="344"/>
      <c r="PBO44" s="344"/>
      <c r="PBP44" s="344"/>
      <c r="PBQ44" s="344"/>
      <c r="PBR44" s="344"/>
      <c r="PBS44" s="344"/>
      <c r="PBT44" s="344"/>
      <c r="PBU44" s="344"/>
      <c r="PBV44" s="344"/>
      <c r="PBW44" s="344"/>
      <c r="PBX44" s="344"/>
      <c r="PBY44" s="344"/>
      <c r="PBZ44" s="344"/>
      <c r="PCA44" s="344"/>
      <c r="PCB44" s="344"/>
      <c r="PCC44" s="344"/>
      <c r="PCD44" s="344"/>
      <c r="PCE44" s="344"/>
      <c r="PCF44" s="344"/>
      <c r="PCG44" s="344"/>
      <c r="PCH44" s="344"/>
      <c r="PCI44" s="344"/>
      <c r="PCJ44" s="344"/>
      <c r="PCK44" s="344"/>
      <c r="PCL44" s="344"/>
      <c r="PCM44" s="344"/>
      <c r="PCN44" s="344"/>
      <c r="PCO44" s="344"/>
      <c r="PCP44" s="344"/>
      <c r="PCQ44" s="344"/>
      <c r="PCR44" s="344"/>
      <c r="PCS44" s="344"/>
      <c r="PCT44" s="344"/>
      <c r="PCU44" s="344"/>
      <c r="PCV44" s="344"/>
      <c r="PCW44" s="344"/>
      <c r="PCX44" s="344"/>
      <c r="PCY44" s="344"/>
      <c r="PCZ44" s="344"/>
      <c r="PDA44" s="344"/>
      <c r="PDB44" s="344"/>
      <c r="PDC44" s="344"/>
      <c r="PDD44" s="344"/>
      <c r="PDE44" s="344"/>
      <c r="PDF44" s="344"/>
      <c r="PDG44" s="344"/>
      <c r="PDH44" s="344"/>
      <c r="PDI44" s="344"/>
      <c r="PDJ44" s="344"/>
      <c r="PDK44" s="344"/>
      <c r="PDL44" s="344"/>
      <c r="PDM44" s="344"/>
      <c r="PDN44" s="344"/>
      <c r="PDO44" s="344"/>
      <c r="PDP44" s="344"/>
      <c r="PDQ44" s="344"/>
      <c r="PDR44" s="344"/>
      <c r="PDS44" s="344"/>
      <c r="PDT44" s="344"/>
      <c r="PDU44" s="344"/>
      <c r="PDV44" s="344"/>
      <c r="PDW44" s="344"/>
      <c r="PDX44" s="344"/>
      <c r="PDY44" s="344"/>
      <c r="PDZ44" s="344"/>
      <c r="PEA44" s="344"/>
      <c r="PEB44" s="344"/>
      <c r="PEC44" s="344"/>
      <c r="PED44" s="344"/>
      <c r="PEE44" s="344"/>
      <c r="PEF44" s="344"/>
      <c r="PEG44" s="344"/>
      <c r="PEH44" s="344"/>
      <c r="PEI44" s="344"/>
      <c r="PEJ44" s="344"/>
      <c r="PEK44" s="344"/>
      <c r="PEL44" s="344"/>
      <c r="PEM44" s="344"/>
      <c r="PEN44" s="344"/>
      <c r="PEO44" s="344"/>
      <c r="PEP44" s="344"/>
      <c r="PEQ44" s="344"/>
      <c r="PER44" s="344"/>
      <c r="PES44" s="344"/>
      <c r="PET44" s="344"/>
      <c r="PEU44" s="344"/>
      <c r="PEV44" s="344"/>
      <c r="PEW44" s="344"/>
      <c r="PEX44" s="344"/>
      <c r="PEY44" s="344"/>
      <c r="PEZ44" s="344"/>
      <c r="PFA44" s="344"/>
      <c r="PFB44" s="344"/>
      <c r="PFC44" s="344"/>
      <c r="PFD44" s="344"/>
      <c r="PFE44" s="344"/>
      <c r="PFF44" s="344"/>
      <c r="PFG44" s="344"/>
      <c r="PFH44" s="344"/>
      <c r="PFI44" s="344"/>
      <c r="PFJ44" s="344"/>
      <c r="PFK44" s="344"/>
      <c r="PFL44" s="344"/>
      <c r="PFM44" s="344"/>
      <c r="PFN44" s="344"/>
      <c r="PFO44" s="344"/>
      <c r="PFP44" s="344"/>
      <c r="PFQ44" s="344"/>
      <c r="PFR44" s="344"/>
      <c r="PFS44" s="344"/>
      <c r="PFT44" s="344"/>
      <c r="PFU44" s="344"/>
      <c r="PFV44" s="344"/>
      <c r="PFW44" s="344"/>
      <c r="PFX44" s="344"/>
      <c r="PFY44" s="344"/>
      <c r="PFZ44" s="344"/>
      <c r="PGA44" s="344"/>
      <c r="PGB44" s="344"/>
      <c r="PGC44" s="344"/>
      <c r="PGD44" s="344"/>
      <c r="PGE44" s="344"/>
      <c r="PGF44" s="344"/>
      <c r="PGG44" s="344"/>
      <c r="PGH44" s="344"/>
      <c r="PGI44" s="344"/>
      <c r="PGJ44" s="344"/>
      <c r="PGK44" s="344"/>
      <c r="PGL44" s="344"/>
      <c r="PGM44" s="344"/>
      <c r="PGN44" s="344"/>
      <c r="PGO44" s="344"/>
      <c r="PGP44" s="344"/>
      <c r="PGQ44" s="344"/>
      <c r="PGR44" s="344"/>
      <c r="PGS44" s="344"/>
      <c r="PGT44" s="344"/>
      <c r="PGU44" s="344"/>
      <c r="PGV44" s="344"/>
      <c r="PGW44" s="344"/>
      <c r="PGX44" s="344"/>
      <c r="PGY44" s="344"/>
      <c r="PGZ44" s="344"/>
      <c r="PHA44" s="344"/>
      <c r="PHB44" s="344"/>
      <c r="PHC44" s="344"/>
      <c r="PHD44" s="344"/>
      <c r="PHE44" s="344"/>
      <c r="PHF44" s="344"/>
      <c r="PHG44" s="344"/>
      <c r="PHH44" s="344"/>
      <c r="PHI44" s="344"/>
      <c r="PHJ44" s="344"/>
      <c r="PHK44" s="344"/>
      <c r="PHL44" s="344"/>
      <c r="PHM44" s="344"/>
      <c r="PHN44" s="344"/>
      <c r="PHO44" s="344"/>
      <c r="PHP44" s="344"/>
      <c r="PHQ44" s="344"/>
      <c r="PHR44" s="344"/>
      <c r="PHS44" s="344"/>
      <c r="PHT44" s="344"/>
      <c r="PHU44" s="344"/>
      <c r="PHV44" s="344"/>
      <c r="PHW44" s="344"/>
      <c r="PHX44" s="344"/>
      <c r="PHY44" s="344"/>
      <c r="PHZ44" s="344"/>
      <c r="PIA44" s="344"/>
      <c r="PIB44" s="344"/>
      <c r="PIC44" s="344"/>
      <c r="PID44" s="344"/>
      <c r="PIE44" s="344"/>
      <c r="PIF44" s="344"/>
      <c r="PIG44" s="344"/>
      <c r="PIH44" s="344"/>
      <c r="PII44" s="344"/>
      <c r="PIJ44" s="344"/>
      <c r="PIK44" s="344"/>
      <c r="PIL44" s="344"/>
      <c r="PIM44" s="344"/>
      <c r="PIN44" s="344"/>
      <c r="PIO44" s="344"/>
      <c r="PIP44" s="344"/>
      <c r="PIQ44" s="344"/>
      <c r="PIR44" s="344"/>
      <c r="PIS44" s="344"/>
      <c r="PIT44" s="344"/>
      <c r="PIU44" s="344"/>
      <c r="PIV44" s="344"/>
      <c r="PIW44" s="344"/>
      <c r="PIX44" s="344"/>
      <c r="PIY44" s="344"/>
      <c r="PIZ44" s="344"/>
      <c r="PJA44" s="344"/>
      <c r="PJB44" s="344"/>
      <c r="PJC44" s="344"/>
      <c r="PJD44" s="344"/>
      <c r="PJE44" s="344"/>
      <c r="PJF44" s="344"/>
      <c r="PJG44" s="344"/>
      <c r="PJH44" s="344"/>
      <c r="PJI44" s="344"/>
      <c r="PJJ44" s="344"/>
      <c r="PJK44" s="344"/>
      <c r="PJL44" s="344"/>
      <c r="PJM44" s="344"/>
      <c r="PJN44" s="344"/>
      <c r="PJO44" s="344"/>
      <c r="PJP44" s="344"/>
      <c r="PJQ44" s="344"/>
      <c r="PJR44" s="344"/>
      <c r="PJS44" s="344"/>
      <c r="PJT44" s="344"/>
      <c r="PJU44" s="344"/>
      <c r="PJV44" s="344"/>
      <c r="PJW44" s="344"/>
      <c r="PJX44" s="344"/>
      <c r="PJY44" s="344"/>
      <c r="PJZ44" s="344"/>
      <c r="PKA44" s="344"/>
      <c r="PKB44" s="344"/>
      <c r="PKC44" s="344"/>
      <c r="PKD44" s="344"/>
      <c r="PKE44" s="344"/>
      <c r="PKF44" s="344"/>
      <c r="PKG44" s="344"/>
      <c r="PKH44" s="344"/>
      <c r="PKI44" s="344"/>
      <c r="PKJ44" s="344"/>
      <c r="PKK44" s="344"/>
      <c r="PKL44" s="344"/>
      <c r="PKM44" s="344"/>
      <c r="PKN44" s="344"/>
      <c r="PKO44" s="344"/>
      <c r="PKP44" s="344"/>
      <c r="PKQ44" s="344"/>
      <c r="PKR44" s="344"/>
      <c r="PKS44" s="344"/>
      <c r="PKT44" s="344"/>
      <c r="PKU44" s="344"/>
      <c r="PKV44" s="344"/>
      <c r="PKW44" s="344"/>
      <c r="PKX44" s="344"/>
      <c r="PKY44" s="344"/>
      <c r="PKZ44" s="344"/>
      <c r="PLA44" s="344"/>
      <c r="PLB44" s="344"/>
      <c r="PLC44" s="344"/>
      <c r="PLD44" s="344"/>
      <c r="PLE44" s="344"/>
      <c r="PLF44" s="344"/>
      <c r="PLG44" s="344"/>
      <c r="PLH44" s="344"/>
      <c r="PLI44" s="344"/>
      <c r="PLJ44" s="344"/>
      <c r="PLK44" s="344"/>
      <c r="PLL44" s="344"/>
      <c r="PLM44" s="344"/>
      <c r="PLN44" s="344"/>
      <c r="PLO44" s="344"/>
      <c r="PLP44" s="344"/>
      <c r="PLQ44" s="344"/>
      <c r="PLR44" s="344"/>
      <c r="PLS44" s="344"/>
      <c r="PLT44" s="344"/>
      <c r="PLU44" s="344"/>
      <c r="PLV44" s="344"/>
      <c r="PLW44" s="344"/>
      <c r="PLX44" s="344"/>
      <c r="PLY44" s="344"/>
      <c r="PLZ44" s="344"/>
      <c r="PMA44" s="344"/>
      <c r="PMB44" s="344"/>
      <c r="PMC44" s="344"/>
      <c r="PMD44" s="344"/>
      <c r="PME44" s="344"/>
      <c r="PMF44" s="344"/>
      <c r="PMG44" s="344"/>
      <c r="PMH44" s="344"/>
      <c r="PMI44" s="344"/>
      <c r="PMJ44" s="344"/>
      <c r="PMK44" s="344"/>
      <c r="PML44" s="344"/>
      <c r="PMM44" s="344"/>
      <c r="PMN44" s="344"/>
      <c r="PMO44" s="344"/>
      <c r="PMP44" s="344"/>
      <c r="PMQ44" s="344"/>
      <c r="PMR44" s="344"/>
      <c r="PMS44" s="344"/>
      <c r="PMT44" s="344"/>
      <c r="PMU44" s="344"/>
      <c r="PMV44" s="344"/>
      <c r="PMW44" s="344"/>
      <c r="PMX44" s="344"/>
      <c r="PMY44" s="344"/>
      <c r="PMZ44" s="344"/>
      <c r="PNA44" s="344"/>
      <c r="PNB44" s="344"/>
      <c r="PNC44" s="344"/>
      <c r="PND44" s="344"/>
      <c r="PNE44" s="344"/>
      <c r="PNF44" s="344"/>
      <c r="PNG44" s="344"/>
      <c r="PNH44" s="344"/>
      <c r="PNI44" s="344"/>
      <c r="PNJ44" s="344"/>
      <c r="PNK44" s="344"/>
      <c r="PNL44" s="344"/>
      <c r="PNM44" s="344"/>
      <c r="PNN44" s="344"/>
      <c r="PNO44" s="344"/>
      <c r="PNP44" s="344"/>
      <c r="PNQ44" s="344"/>
      <c r="PNR44" s="344"/>
      <c r="PNS44" s="344"/>
      <c r="PNT44" s="344"/>
      <c r="PNU44" s="344"/>
      <c r="PNV44" s="344"/>
      <c r="PNW44" s="344"/>
      <c r="PNX44" s="344"/>
      <c r="PNY44" s="344"/>
      <c r="PNZ44" s="344"/>
      <c r="POA44" s="344"/>
      <c r="POB44" s="344"/>
      <c r="POC44" s="344"/>
      <c r="POD44" s="344"/>
      <c r="POE44" s="344"/>
      <c r="POF44" s="344"/>
      <c r="POG44" s="344"/>
      <c r="POH44" s="344"/>
      <c r="POI44" s="344"/>
      <c r="POJ44" s="344"/>
      <c r="POK44" s="344"/>
      <c r="POL44" s="344"/>
      <c r="POM44" s="344"/>
      <c r="PON44" s="344"/>
      <c r="POO44" s="344"/>
      <c r="POP44" s="344"/>
      <c r="POQ44" s="344"/>
      <c r="POR44" s="344"/>
      <c r="POS44" s="344"/>
      <c r="POT44" s="344"/>
      <c r="POU44" s="344"/>
      <c r="POV44" s="344"/>
      <c r="POW44" s="344"/>
      <c r="POX44" s="344"/>
      <c r="POY44" s="344"/>
      <c r="POZ44" s="344"/>
      <c r="PPA44" s="344"/>
      <c r="PPB44" s="344"/>
      <c r="PPC44" s="344"/>
      <c r="PPD44" s="344"/>
      <c r="PPE44" s="344"/>
      <c r="PPF44" s="344"/>
      <c r="PPG44" s="344"/>
      <c r="PPH44" s="344"/>
      <c r="PPI44" s="344"/>
      <c r="PPJ44" s="344"/>
      <c r="PPK44" s="344"/>
      <c r="PPL44" s="344"/>
      <c r="PPM44" s="344"/>
      <c r="PPN44" s="344"/>
      <c r="PPO44" s="344"/>
      <c r="PPP44" s="344"/>
      <c r="PPQ44" s="344"/>
      <c r="PPR44" s="344"/>
      <c r="PPS44" s="344"/>
      <c r="PPT44" s="344"/>
      <c r="PPU44" s="344"/>
      <c r="PPV44" s="344"/>
      <c r="PPW44" s="344"/>
      <c r="PPX44" s="344"/>
      <c r="PPY44" s="344"/>
      <c r="PPZ44" s="344"/>
      <c r="PQA44" s="344"/>
      <c r="PQB44" s="344"/>
      <c r="PQC44" s="344"/>
      <c r="PQD44" s="344"/>
      <c r="PQE44" s="344"/>
      <c r="PQF44" s="344"/>
      <c r="PQG44" s="344"/>
      <c r="PQH44" s="344"/>
      <c r="PQI44" s="344"/>
      <c r="PQJ44" s="344"/>
      <c r="PQK44" s="344"/>
      <c r="PQL44" s="344"/>
      <c r="PQM44" s="344"/>
      <c r="PQN44" s="344"/>
      <c r="PQO44" s="344"/>
      <c r="PQP44" s="344"/>
      <c r="PQQ44" s="344"/>
      <c r="PQR44" s="344"/>
      <c r="PQS44" s="344"/>
      <c r="PQT44" s="344"/>
      <c r="PQU44" s="344"/>
      <c r="PQV44" s="344"/>
      <c r="PQW44" s="344"/>
      <c r="PQX44" s="344"/>
      <c r="PQY44" s="344"/>
      <c r="PQZ44" s="344"/>
      <c r="PRA44" s="344"/>
      <c r="PRB44" s="344"/>
      <c r="PRC44" s="344"/>
      <c r="PRD44" s="344"/>
      <c r="PRE44" s="344"/>
      <c r="PRF44" s="344"/>
      <c r="PRG44" s="344"/>
      <c r="PRH44" s="344"/>
      <c r="PRI44" s="344"/>
      <c r="PRJ44" s="344"/>
      <c r="PRK44" s="344"/>
      <c r="PRL44" s="344"/>
      <c r="PRM44" s="344"/>
      <c r="PRN44" s="344"/>
      <c r="PRO44" s="344"/>
      <c r="PRP44" s="344"/>
      <c r="PRQ44" s="344"/>
      <c r="PRR44" s="344"/>
      <c r="PRS44" s="344"/>
      <c r="PRT44" s="344"/>
      <c r="PRU44" s="344"/>
      <c r="PRV44" s="344"/>
      <c r="PRW44" s="344"/>
      <c r="PRX44" s="344"/>
      <c r="PRY44" s="344"/>
      <c r="PRZ44" s="344"/>
      <c r="PSA44" s="344"/>
      <c r="PSB44" s="344"/>
      <c r="PSC44" s="344"/>
      <c r="PSD44" s="344"/>
      <c r="PSE44" s="344"/>
      <c r="PSF44" s="344"/>
      <c r="PSG44" s="344"/>
      <c r="PSH44" s="344"/>
      <c r="PSI44" s="344"/>
      <c r="PSJ44" s="344"/>
      <c r="PSK44" s="344"/>
      <c r="PSL44" s="344"/>
      <c r="PSM44" s="344"/>
      <c r="PSN44" s="344"/>
      <c r="PSO44" s="344"/>
      <c r="PSP44" s="344"/>
      <c r="PSQ44" s="344"/>
      <c r="PSR44" s="344"/>
      <c r="PSS44" s="344"/>
      <c r="PST44" s="344"/>
      <c r="PSU44" s="344"/>
      <c r="PSV44" s="344"/>
      <c r="PSW44" s="344"/>
      <c r="PSX44" s="344"/>
      <c r="PSY44" s="344"/>
      <c r="PSZ44" s="344"/>
      <c r="PTA44" s="344"/>
      <c r="PTB44" s="344"/>
      <c r="PTC44" s="344"/>
      <c r="PTD44" s="344"/>
      <c r="PTE44" s="344"/>
      <c r="PTF44" s="344"/>
      <c r="PTG44" s="344"/>
      <c r="PTH44" s="344"/>
      <c r="PTI44" s="344"/>
      <c r="PTJ44" s="344"/>
      <c r="PTK44" s="344"/>
      <c r="PTL44" s="344"/>
      <c r="PTM44" s="344"/>
      <c r="PTN44" s="344"/>
      <c r="PTO44" s="344"/>
      <c r="PTP44" s="344"/>
      <c r="PTQ44" s="344"/>
      <c r="PTR44" s="344"/>
      <c r="PTS44" s="344"/>
      <c r="PTT44" s="344"/>
      <c r="PTU44" s="344"/>
      <c r="PTV44" s="344"/>
      <c r="PTW44" s="344"/>
      <c r="PTX44" s="344"/>
      <c r="PTY44" s="344"/>
      <c r="PTZ44" s="344"/>
      <c r="PUA44" s="344"/>
      <c r="PUB44" s="344"/>
      <c r="PUC44" s="344"/>
      <c r="PUD44" s="344"/>
      <c r="PUE44" s="344"/>
      <c r="PUF44" s="344"/>
      <c r="PUG44" s="344"/>
      <c r="PUH44" s="344"/>
      <c r="PUI44" s="344"/>
      <c r="PUJ44" s="344"/>
      <c r="PUK44" s="344"/>
      <c r="PUL44" s="344"/>
      <c r="PUM44" s="344"/>
      <c r="PUN44" s="344"/>
      <c r="PUO44" s="344"/>
      <c r="PUP44" s="344"/>
      <c r="PUQ44" s="344"/>
      <c r="PUR44" s="344"/>
      <c r="PUS44" s="344"/>
      <c r="PUT44" s="344"/>
      <c r="PUU44" s="344"/>
      <c r="PUV44" s="344"/>
      <c r="PUW44" s="344"/>
      <c r="PUX44" s="344"/>
      <c r="PUY44" s="344"/>
      <c r="PUZ44" s="344"/>
      <c r="PVA44" s="344"/>
      <c r="PVB44" s="344"/>
      <c r="PVC44" s="344"/>
      <c r="PVD44" s="344"/>
      <c r="PVE44" s="344"/>
      <c r="PVF44" s="344"/>
      <c r="PVG44" s="344"/>
      <c r="PVH44" s="344"/>
      <c r="PVI44" s="344"/>
      <c r="PVJ44" s="344"/>
      <c r="PVK44" s="344"/>
      <c r="PVL44" s="344"/>
      <c r="PVM44" s="344"/>
      <c r="PVN44" s="344"/>
      <c r="PVO44" s="344"/>
      <c r="PVP44" s="344"/>
      <c r="PVQ44" s="344"/>
      <c r="PVR44" s="344"/>
      <c r="PVS44" s="344"/>
      <c r="PVT44" s="344"/>
      <c r="PVU44" s="344"/>
      <c r="PVV44" s="344"/>
      <c r="PVW44" s="344"/>
      <c r="PVX44" s="344"/>
      <c r="PVY44" s="344"/>
      <c r="PVZ44" s="344"/>
      <c r="PWA44" s="344"/>
      <c r="PWB44" s="344"/>
      <c r="PWC44" s="344"/>
      <c r="PWD44" s="344"/>
      <c r="PWE44" s="344"/>
      <c r="PWF44" s="344"/>
      <c r="PWG44" s="344"/>
      <c r="PWH44" s="344"/>
      <c r="PWI44" s="344"/>
      <c r="PWJ44" s="344"/>
      <c r="PWK44" s="344"/>
      <c r="PWL44" s="344"/>
      <c r="PWM44" s="344"/>
      <c r="PWN44" s="344"/>
      <c r="PWO44" s="344"/>
      <c r="PWP44" s="344"/>
      <c r="PWQ44" s="344"/>
      <c r="PWR44" s="344"/>
      <c r="PWS44" s="344"/>
      <c r="PWT44" s="344"/>
      <c r="PWU44" s="344"/>
      <c r="PWV44" s="344"/>
      <c r="PWW44" s="344"/>
      <c r="PWX44" s="344"/>
      <c r="PWY44" s="344"/>
      <c r="PWZ44" s="344"/>
      <c r="PXA44" s="344"/>
      <c r="PXB44" s="344"/>
      <c r="PXC44" s="344"/>
      <c r="PXD44" s="344"/>
      <c r="PXE44" s="344"/>
      <c r="PXF44" s="344"/>
      <c r="PXG44" s="344"/>
      <c r="PXH44" s="344"/>
      <c r="PXI44" s="344"/>
      <c r="PXJ44" s="344"/>
      <c r="PXK44" s="344"/>
      <c r="PXL44" s="344"/>
      <c r="PXM44" s="344"/>
      <c r="PXN44" s="344"/>
      <c r="PXO44" s="344"/>
      <c r="PXP44" s="344"/>
      <c r="PXQ44" s="344"/>
      <c r="PXR44" s="344"/>
      <c r="PXS44" s="344"/>
      <c r="PXT44" s="344"/>
      <c r="PXU44" s="344"/>
      <c r="PXV44" s="344"/>
      <c r="PXW44" s="344"/>
      <c r="PXX44" s="344"/>
      <c r="PXY44" s="344"/>
      <c r="PXZ44" s="344"/>
      <c r="PYA44" s="344"/>
      <c r="PYB44" s="344"/>
      <c r="PYC44" s="344"/>
      <c r="PYD44" s="344"/>
      <c r="PYE44" s="344"/>
      <c r="PYF44" s="344"/>
      <c r="PYG44" s="344"/>
      <c r="PYH44" s="344"/>
      <c r="PYI44" s="344"/>
      <c r="PYJ44" s="344"/>
      <c r="PYK44" s="344"/>
      <c r="PYL44" s="344"/>
      <c r="PYM44" s="344"/>
      <c r="PYN44" s="344"/>
      <c r="PYO44" s="344"/>
      <c r="PYP44" s="344"/>
      <c r="PYQ44" s="344"/>
      <c r="PYR44" s="344"/>
      <c r="PYS44" s="344"/>
      <c r="PYT44" s="344"/>
      <c r="PYU44" s="344"/>
      <c r="PYV44" s="344"/>
      <c r="PYW44" s="344"/>
      <c r="PYX44" s="344"/>
      <c r="PYY44" s="344"/>
      <c r="PYZ44" s="344"/>
      <c r="PZA44" s="344"/>
      <c r="PZB44" s="344"/>
      <c r="PZC44" s="344"/>
      <c r="PZD44" s="344"/>
      <c r="PZE44" s="344"/>
      <c r="PZF44" s="344"/>
      <c r="PZG44" s="344"/>
      <c r="PZH44" s="344"/>
      <c r="PZI44" s="344"/>
      <c r="PZJ44" s="344"/>
      <c r="PZK44" s="344"/>
      <c r="PZL44" s="344"/>
      <c r="PZM44" s="344"/>
      <c r="PZN44" s="344"/>
      <c r="PZO44" s="344"/>
      <c r="PZP44" s="344"/>
      <c r="PZQ44" s="344"/>
      <c r="PZR44" s="344"/>
      <c r="PZS44" s="344"/>
      <c r="PZT44" s="344"/>
      <c r="PZU44" s="344"/>
      <c r="PZV44" s="344"/>
      <c r="PZW44" s="344"/>
      <c r="PZX44" s="344"/>
      <c r="PZY44" s="344"/>
      <c r="PZZ44" s="344"/>
      <c r="QAA44" s="344"/>
      <c r="QAB44" s="344"/>
      <c r="QAC44" s="344"/>
      <c r="QAD44" s="344"/>
      <c r="QAE44" s="344"/>
      <c r="QAF44" s="344"/>
      <c r="QAG44" s="344"/>
      <c r="QAH44" s="344"/>
      <c r="QAI44" s="344"/>
      <c r="QAJ44" s="344"/>
      <c r="QAK44" s="344"/>
      <c r="QAL44" s="344"/>
      <c r="QAM44" s="344"/>
      <c r="QAN44" s="344"/>
      <c r="QAO44" s="344"/>
      <c r="QAP44" s="344"/>
      <c r="QAQ44" s="344"/>
      <c r="QAR44" s="344"/>
      <c r="QAS44" s="344"/>
      <c r="QAT44" s="344"/>
      <c r="QAU44" s="344"/>
      <c r="QAV44" s="344"/>
      <c r="QAW44" s="344"/>
      <c r="QAX44" s="344"/>
      <c r="QAY44" s="344"/>
      <c r="QAZ44" s="344"/>
      <c r="QBA44" s="344"/>
      <c r="QBB44" s="344"/>
      <c r="QBC44" s="344"/>
      <c r="QBD44" s="344"/>
      <c r="QBE44" s="344"/>
      <c r="QBF44" s="344"/>
      <c r="QBG44" s="344"/>
      <c r="QBH44" s="344"/>
      <c r="QBI44" s="344"/>
      <c r="QBJ44" s="344"/>
      <c r="QBK44" s="344"/>
      <c r="QBL44" s="344"/>
      <c r="QBM44" s="344"/>
      <c r="QBN44" s="344"/>
      <c r="QBO44" s="344"/>
      <c r="QBP44" s="344"/>
      <c r="QBQ44" s="344"/>
      <c r="QBR44" s="344"/>
      <c r="QBS44" s="344"/>
      <c r="QBT44" s="344"/>
      <c r="QBU44" s="344"/>
      <c r="QBV44" s="344"/>
      <c r="QBW44" s="344"/>
      <c r="QBX44" s="344"/>
      <c r="QBY44" s="344"/>
      <c r="QBZ44" s="344"/>
      <c r="QCA44" s="344"/>
      <c r="QCB44" s="344"/>
      <c r="QCC44" s="344"/>
      <c r="QCD44" s="344"/>
      <c r="QCE44" s="344"/>
      <c r="QCF44" s="344"/>
      <c r="QCG44" s="344"/>
      <c r="QCH44" s="344"/>
      <c r="QCI44" s="344"/>
      <c r="QCJ44" s="344"/>
      <c r="QCK44" s="344"/>
      <c r="QCL44" s="344"/>
      <c r="QCM44" s="344"/>
      <c r="QCN44" s="344"/>
      <c r="QCO44" s="344"/>
      <c r="QCP44" s="344"/>
      <c r="QCQ44" s="344"/>
      <c r="QCR44" s="344"/>
      <c r="QCS44" s="344"/>
      <c r="QCT44" s="344"/>
      <c r="QCU44" s="344"/>
      <c r="QCV44" s="344"/>
      <c r="QCW44" s="344"/>
      <c r="QCX44" s="344"/>
      <c r="QCY44" s="344"/>
      <c r="QCZ44" s="344"/>
      <c r="QDA44" s="344"/>
      <c r="QDB44" s="344"/>
      <c r="QDC44" s="344"/>
      <c r="QDD44" s="344"/>
      <c r="QDE44" s="344"/>
      <c r="QDF44" s="344"/>
      <c r="QDG44" s="344"/>
      <c r="QDH44" s="344"/>
      <c r="QDI44" s="344"/>
      <c r="QDJ44" s="344"/>
      <c r="QDK44" s="344"/>
      <c r="QDL44" s="344"/>
      <c r="QDM44" s="344"/>
      <c r="QDN44" s="344"/>
      <c r="QDO44" s="344"/>
      <c r="QDP44" s="344"/>
      <c r="QDQ44" s="344"/>
      <c r="QDR44" s="344"/>
      <c r="QDS44" s="344"/>
      <c r="QDT44" s="344"/>
      <c r="QDU44" s="344"/>
      <c r="QDV44" s="344"/>
      <c r="QDW44" s="344"/>
      <c r="QDX44" s="344"/>
      <c r="QDY44" s="344"/>
      <c r="QDZ44" s="344"/>
      <c r="QEA44" s="344"/>
      <c r="QEB44" s="344"/>
      <c r="QEC44" s="344"/>
      <c r="QED44" s="344"/>
      <c r="QEE44" s="344"/>
      <c r="QEF44" s="344"/>
      <c r="QEG44" s="344"/>
      <c r="QEH44" s="344"/>
      <c r="QEI44" s="344"/>
      <c r="QEJ44" s="344"/>
      <c r="QEK44" s="344"/>
      <c r="QEL44" s="344"/>
      <c r="QEM44" s="344"/>
      <c r="QEN44" s="344"/>
      <c r="QEO44" s="344"/>
      <c r="QEP44" s="344"/>
      <c r="QEQ44" s="344"/>
      <c r="QER44" s="344"/>
      <c r="QES44" s="344"/>
      <c r="QET44" s="344"/>
      <c r="QEU44" s="344"/>
      <c r="QEV44" s="344"/>
      <c r="QEW44" s="344"/>
      <c r="QEX44" s="344"/>
      <c r="QEY44" s="344"/>
      <c r="QEZ44" s="344"/>
      <c r="QFA44" s="344"/>
      <c r="QFB44" s="344"/>
      <c r="QFC44" s="344"/>
      <c r="QFD44" s="344"/>
      <c r="QFE44" s="344"/>
      <c r="QFF44" s="344"/>
      <c r="QFG44" s="344"/>
      <c r="QFH44" s="344"/>
      <c r="QFI44" s="344"/>
      <c r="QFJ44" s="344"/>
      <c r="QFK44" s="344"/>
      <c r="QFL44" s="344"/>
      <c r="QFM44" s="344"/>
      <c r="QFN44" s="344"/>
      <c r="QFO44" s="344"/>
      <c r="QFP44" s="344"/>
      <c r="QFQ44" s="344"/>
      <c r="QFR44" s="344"/>
      <c r="QFS44" s="344"/>
      <c r="QFT44" s="344"/>
      <c r="QFU44" s="344"/>
      <c r="QFV44" s="344"/>
      <c r="QFW44" s="344"/>
      <c r="QFX44" s="344"/>
      <c r="QFY44" s="344"/>
      <c r="QFZ44" s="344"/>
      <c r="QGA44" s="344"/>
      <c r="QGB44" s="344"/>
      <c r="QGC44" s="344"/>
      <c r="QGD44" s="344"/>
      <c r="QGE44" s="344"/>
      <c r="QGF44" s="344"/>
      <c r="QGG44" s="344"/>
      <c r="QGH44" s="344"/>
      <c r="QGI44" s="344"/>
      <c r="QGJ44" s="344"/>
      <c r="QGK44" s="344"/>
      <c r="QGL44" s="344"/>
      <c r="QGM44" s="344"/>
      <c r="QGN44" s="344"/>
      <c r="QGO44" s="344"/>
      <c r="QGP44" s="344"/>
      <c r="QGQ44" s="344"/>
      <c r="QGR44" s="344"/>
      <c r="QGS44" s="344"/>
      <c r="QGT44" s="344"/>
      <c r="QGU44" s="344"/>
      <c r="QGV44" s="344"/>
      <c r="QGW44" s="344"/>
      <c r="QGX44" s="344"/>
      <c r="QGY44" s="344"/>
      <c r="QGZ44" s="344"/>
      <c r="QHA44" s="344"/>
      <c r="QHB44" s="344"/>
      <c r="QHC44" s="344"/>
      <c r="QHD44" s="344"/>
      <c r="QHE44" s="344"/>
      <c r="QHF44" s="344"/>
      <c r="QHG44" s="344"/>
      <c r="QHH44" s="344"/>
      <c r="QHI44" s="344"/>
      <c r="QHJ44" s="344"/>
      <c r="QHK44" s="344"/>
      <c r="QHL44" s="344"/>
      <c r="QHM44" s="344"/>
      <c r="QHN44" s="344"/>
      <c r="QHO44" s="344"/>
      <c r="QHP44" s="344"/>
      <c r="QHQ44" s="344"/>
      <c r="QHR44" s="344"/>
      <c r="QHS44" s="344"/>
      <c r="QHT44" s="344"/>
      <c r="QHU44" s="344"/>
      <c r="QHV44" s="344"/>
      <c r="QHW44" s="344"/>
      <c r="QHX44" s="344"/>
      <c r="QHY44" s="344"/>
      <c r="QHZ44" s="344"/>
      <c r="QIA44" s="344"/>
      <c r="QIB44" s="344"/>
      <c r="QIC44" s="344"/>
      <c r="QID44" s="344"/>
      <c r="QIE44" s="344"/>
      <c r="QIF44" s="344"/>
      <c r="QIG44" s="344"/>
      <c r="QIH44" s="344"/>
      <c r="QII44" s="344"/>
      <c r="QIJ44" s="344"/>
      <c r="QIK44" s="344"/>
      <c r="QIL44" s="344"/>
      <c r="QIM44" s="344"/>
      <c r="QIN44" s="344"/>
      <c r="QIO44" s="344"/>
      <c r="QIP44" s="344"/>
      <c r="QIQ44" s="344"/>
      <c r="QIR44" s="344"/>
      <c r="QIS44" s="344"/>
      <c r="QIT44" s="344"/>
      <c r="QIU44" s="344"/>
      <c r="QIV44" s="344"/>
      <c r="QIW44" s="344"/>
      <c r="QIX44" s="344"/>
      <c r="QIY44" s="344"/>
      <c r="QIZ44" s="344"/>
      <c r="QJA44" s="344"/>
      <c r="QJB44" s="344"/>
      <c r="QJC44" s="344"/>
      <c r="QJD44" s="344"/>
      <c r="QJE44" s="344"/>
      <c r="QJF44" s="344"/>
      <c r="QJG44" s="344"/>
      <c r="QJH44" s="344"/>
      <c r="QJI44" s="344"/>
      <c r="QJJ44" s="344"/>
      <c r="QJK44" s="344"/>
      <c r="QJL44" s="344"/>
      <c r="QJM44" s="344"/>
      <c r="QJN44" s="344"/>
      <c r="QJO44" s="344"/>
      <c r="QJP44" s="344"/>
      <c r="QJQ44" s="344"/>
      <c r="QJR44" s="344"/>
      <c r="QJS44" s="344"/>
      <c r="QJT44" s="344"/>
      <c r="QJU44" s="344"/>
      <c r="QJV44" s="344"/>
      <c r="QJW44" s="344"/>
      <c r="QJX44" s="344"/>
      <c r="QJY44" s="344"/>
      <c r="QJZ44" s="344"/>
      <c r="QKA44" s="344"/>
      <c r="QKB44" s="344"/>
      <c r="QKC44" s="344"/>
      <c r="QKD44" s="344"/>
      <c r="QKE44" s="344"/>
      <c r="QKF44" s="344"/>
      <c r="QKG44" s="344"/>
      <c r="QKH44" s="344"/>
      <c r="QKI44" s="344"/>
      <c r="QKJ44" s="344"/>
      <c r="QKK44" s="344"/>
      <c r="QKL44" s="344"/>
      <c r="QKM44" s="344"/>
      <c r="QKN44" s="344"/>
      <c r="QKO44" s="344"/>
      <c r="QKP44" s="344"/>
      <c r="QKQ44" s="344"/>
      <c r="QKR44" s="344"/>
      <c r="QKS44" s="344"/>
      <c r="QKT44" s="344"/>
      <c r="QKU44" s="344"/>
      <c r="QKV44" s="344"/>
      <c r="QKW44" s="344"/>
      <c r="QKX44" s="344"/>
      <c r="QKY44" s="344"/>
      <c r="QKZ44" s="344"/>
      <c r="QLA44" s="344"/>
      <c r="QLB44" s="344"/>
      <c r="QLC44" s="344"/>
      <c r="QLD44" s="344"/>
      <c r="QLE44" s="344"/>
      <c r="QLF44" s="344"/>
      <c r="QLG44" s="344"/>
      <c r="QLH44" s="344"/>
      <c r="QLI44" s="344"/>
      <c r="QLJ44" s="344"/>
      <c r="QLK44" s="344"/>
      <c r="QLL44" s="344"/>
      <c r="QLM44" s="344"/>
      <c r="QLN44" s="344"/>
      <c r="QLO44" s="344"/>
      <c r="QLP44" s="344"/>
      <c r="QLQ44" s="344"/>
      <c r="QLR44" s="344"/>
      <c r="QLS44" s="344"/>
      <c r="QLT44" s="344"/>
      <c r="QLU44" s="344"/>
      <c r="QLV44" s="344"/>
      <c r="QLW44" s="344"/>
      <c r="QLX44" s="344"/>
      <c r="QLY44" s="344"/>
      <c r="QLZ44" s="344"/>
      <c r="QMA44" s="344"/>
      <c r="QMB44" s="344"/>
      <c r="QMC44" s="344"/>
      <c r="QMD44" s="344"/>
      <c r="QME44" s="344"/>
      <c r="QMF44" s="344"/>
      <c r="QMG44" s="344"/>
      <c r="QMH44" s="344"/>
      <c r="QMI44" s="344"/>
      <c r="QMJ44" s="344"/>
      <c r="QMK44" s="344"/>
      <c r="QML44" s="344"/>
      <c r="QMM44" s="344"/>
      <c r="QMN44" s="344"/>
      <c r="QMO44" s="344"/>
      <c r="QMP44" s="344"/>
      <c r="QMQ44" s="344"/>
      <c r="QMR44" s="344"/>
      <c r="QMS44" s="344"/>
      <c r="QMT44" s="344"/>
      <c r="QMU44" s="344"/>
      <c r="QMV44" s="344"/>
      <c r="QMW44" s="344"/>
      <c r="QMX44" s="344"/>
      <c r="QMY44" s="344"/>
      <c r="QMZ44" s="344"/>
      <c r="QNA44" s="344"/>
      <c r="QNB44" s="344"/>
      <c r="QNC44" s="344"/>
      <c r="QND44" s="344"/>
      <c r="QNE44" s="344"/>
      <c r="QNF44" s="344"/>
      <c r="QNG44" s="344"/>
      <c r="QNH44" s="344"/>
      <c r="QNI44" s="344"/>
      <c r="QNJ44" s="344"/>
      <c r="QNK44" s="344"/>
      <c r="QNL44" s="344"/>
      <c r="QNM44" s="344"/>
      <c r="QNN44" s="344"/>
      <c r="QNO44" s="344"/>
      <c r="QNP44" s="344"/>
      <c r="QNQ44" s="344"/>
      <c r="QNR44" s="344"/>
      <c r="QNS44" s="344"/>
      <c r="QNT44" s="344"/>
      <c r="QNU44" s="344"/>
      <c r="QNV44" s="344"/>
      <c r="QNW44" s="344"/>
      <c r="QNX44" s="344"/>
      <c r="QNY44" s="344"/>
      <c r="QNZ44" s="344"/>
      <c r="QOA44" s="344"/>
      <c r="QOB44" s="344"/>
      <c r="QOC44" s="344"/>
      <c r="QOD44" s="344"/>
      <c r="QOE44" s="344"/>
      <c r="QOF44" s="344"/>
      <c r="QOG44" s="344"/>
      <c r="QOH44" s="344"/>
      <c r="QOI44" s="344"/>
      <c r="QOJ44" s="344"/>
      <c r="QOK44" s="344"/>
      <c r="QOL44" s="344"/>
      <c r="QOM44" s="344"/>
      <c r="QON44" s="344"/>
      <c r="QOO44" s="344"/>
      <c r="QOP44" s="344"/>
      <c r="QOQ44" s="344"/>
      <c r="QOR44" s="344"/>
      <c r="QOS44" s="344"/>
      <c r="QOT44" s="344"/>
      <c r="QOU44" s="344"/>
      <c r="QOV44" s="344"/>
      <c r="QOW44" s="344"/>
      <c r="QOX44" s="344"/>
      <c r="QOY44" s="344"/>
      <c r="QOZ44" s="344"/>
      <c r="QPA44" s="344"/>
      <c r="QPB44" s="344"/>
      <c r="QPC44" s="344"/>
      <c r="QPD44" s="344"/>
      <c r="QPE44" s="344"/>
      <c r="QPF44" s="344"/>
      <c r="QPG44" s="344"/>
      <c r="QPH44" s="344"/>
      <c r="QPI44" s="344"/>
      <c r="QPJ44" s="344"/>
      <c r="QPK44" s="344"/>
      <c r="QPL44" s="344"/>
      <c r="QPM44" s="344"/>
      <c r="QPN44" s="344"/>
      <c r="QPO44" s="344"/>
      <c r="QPP44" s="344"/>
      <c r="QPQ44" s="344"/>
      <c r="QPR44" s="344"/>
      <c r="QPS44" s="344"/>
      <c r="QPT44" s="344"/>
      <c r="QPU44" s="344"/>
      <c r="QPV44" s="344"/>
      <c r="QPW44" s="344"/>
      <c r="QPX44" s="344"/>
      <c r="QPY44" s="344"/>
      <c r="QPZ44" s="344"/>
      <c r="QQA44" s="344"/>
      <c r="QQB44" s="344"/>
      <c r="QQC44" s="344"/>
      <c r="QQD44" s="344"/>
      <c r="QQE44" s="344"/>
      <c r="QQF44" s="344"/>
      <c r="QQG44" s="344"/>
      <c r="QQH44" s="344"/>
      <c r="QQI44" s="344"/>
      <c r="QQJ44" s="344"/>
      <c r="QQK44" s="344"/>
      <c r="QQL44" s="344"/>
      <c r="QQM44" s="344"/>
      <c r="QQN44" s="344"/>
      <c r="QQO44" s="344"/>
      <c r="QQP44" s="344"/>
      <c r="QQQ44" s="344"/>
      <c r="QQR44" s="344"/>
      <c r="QQS44" s="344"/>
      <c r="QQT44" s="344"/>
      <c r="QQU44" s="344"/>
      <c r="QQV44" s="344"/>
      <c r="QQW44" s="344"/>
      <c r="QQX44" s="344"/>
      <c r="QQY44" s="344"/>
      <c r="QQZ44" s="344"/>
      <c r="QRA44" s="344"/>
      <c r="QRB44" s="344"/>
      <c r="QRC44" s="344"/>
      <c r="QRD44" s="344"/>
      <c r="QRE44" s="344"/>
      <c r="QRF44" s="344"/>
      <c r="QRG44" s="344"/>
      <c r="QRH44" s="344"/>
      <c r="QRI44" s="344"/>
      <c r="QRJ44" s="344"/>
      <c r="QRK44" s="344"/>
      <c r="QRL44" s="344"/>
      <c r="QRM44" s="344"/>
      <c r="QRN44" s="344"/>
      <c r="QRO44" s="344"/>
      <c r="QRP44" s="344"/>
      <c r="QRQ44" s="344"/>
      <c r="QRR44" s="344"/>
      <c r="QRS44" s="344"/>
      <c r="QRT44" s="344"/>
      <c r="QRU44" s="344"/>
      <c r="QRV44" s="344"/>
      <c r="QRW44" s="344"/>
      <c r="QRX44" s="344"/>
      <c r="QRY44" s="344"/>
      <c r="QRZ44" s="344"/>
      <c r="QSA44" s="344"/>
      <c r="QSB44" s="344"/>
      <c r="QSC44" s="344"/>
      <c r="QSD44" s="344"/>
      <c r="QSE44" s="344"/>
      <c r="QSF44" s="344"/>
      <c r="QSG44" s="344"/>
      <c r="QSH44" s="344"/>
      <c r="QSI44" s="344"/>
      <c r="QSJ44" s="344"/>
      <c r="QSK44" s="344"/>
      <c r="QSL44" s="344"/>
      <c r="QSM44" s="344"/>
      <c r="QSN44" s="344"/>
      <c r="QSO44" s="344"/>
      <c r="QSP44" s="344"/>
      <c r="QSQ44" s="344"/>
      <c r="QSR44" s="344"/>
      <c r="QSS44" s="344"/>
      <c r="QST44" s="344"/>
      <c r="QSU44" s="344"/>
      <c r="QSV44" s="344"/>
      <c r="QSW44" s="344"/>
      <c r="QSX44" s="344"/>
      <c r="QSY44" s="344"/>
      <c r="QSZ44" s="344"/>
      <c r="QTA44" s="344"/>
      <c r="QTB44" s="344"/>
      <c r="QTC44" s="344"/>
      <c r="QTD44" s="344"/>
      <c r="QTE44" s="344"/>
      <c r="QTF44" s="344"/>
      <c r="QTG44" s="344"/>
      <c r="QTH44" s="344"/>
      <c r="QTI44" s="344"/>
      <c r="QTJ44" s="344"/>
      <c r="QTK44" s="344"/>
      <c r="QTL44" s="344"/>
      <c r="QTM44" s="344"/>
      <c r="QTN44" s="344"/>
      <c r="QTO44" s="344"/>
      <c r="QTP44" s="344"/>
      <c r="QTQ44" s="344"/>
      <c r="QTR44" s="344"/>
      <c r="QTS44" s="344"/>
      <c r="QTT44" s="344"/>
      <c r="QTU44" s="344"/>
      <c r="QTV44" s="344"/>
      <c r="QTW44" s="344"/>
      <c r="QTX44" s="344"/>
      <c r="QTY44" s="344"/>
      <c r="QTZ44" s="344"/>
      <c r="QUA44" s="344"/>
      <c r="QUB44" s="344"/>
      <c r="QUC44" s="344"/>
      <c r="QUD44" s="344"/>
      <c r="QUE44" s="344"/>
      <c r="QUF44" s="344"/>
      <c r="QUG44" s="344"/>
      <c r="QUH44" s="344"/>
      <c r="QUI44" s="344"/>
      <c r="QUJ44" s="344"/>
      <c r="QUK44" s="344"/>
      <c r="QUL44" s="344"/>
      <c r="QUM44" s="344"/>
      <c r="QUN44" s="344"/>
      <c r="QUO44" s="344"/>
      <c r="QUP44" s="344"/>
      <c r="QUQ44" s="344"/>
      <c r="QUR44" s="344"/>
      <c r="QUS44" s="344"/>
      <c r="QUT44" s="344"/>
      <c r="QUU44" s="344"/>
      <c r="QUV44" s="344"/>
      <c r="QUW44" s="344"/>
      <c r="QUX44" s="344"/>
      <c r="QUY44" s="344"/>
      <c r="QUZ44" s="344"/>
      <c r="QVA44" s="344"/>
      <c r="QVB44" s="344"/>
      <c r="QVC44" s="344"/>
      <c r="QVD44" s="344"/>
      <c r="QVE44" s="344"/>
      <c r="QVF44" s="344"/>
      <c r="QVG44" s="344"/>
      <c r="QVH44" s="344"/>
      <c r="QVI44" s="344"/>
      <c r="QVJ44" s="344"/>
      <c r="QVK44" s="344"/>
      <c r="QVL44" s="344"/>
      <c r="QVM44" s="344"/>
      <c r="QVN44" s="344"/>
      <c r="QVO44" s="344"/>
      <c r="QVP44" s="344"/>
      <c r="QVQ44" s="344"/>
      <c r="QVR44" s="344"/>
      <c r="QVS44" s="344"/>
      <c r="QVT44" s="344"/>
      <c r="QVU44" s="344"/>
      <c r="QVV44" s="344"/>
      <c r="QVW44" s="344"/>
      <c r="QVX44" s="344"/>
      <c r="QVY44" s="344"/>
      <c r="QVZ44" s="344"/>
      <c r="QWA44" s="344"/>
      <c r="QWB44" s="344"/>
      <c r="QWC44" s="344"/>
      <c r="QWD44" s="344"/>
      <c r="QWE44" s="344"/>
      <c r="QWF44" s="344"/>
      <c r="QWG44" s="344"/>
      <c r="QWH44" s="344"/>
      <c r="QWI44" s="344"/>
      <c r="QWJ44" s="344"/>
      <c r="QWK44" s="344"/>
      <c r="QWL44" s="344"/>
      <c r="QWM44" s="344"/>
      <c r="QWN44" s="344"/>
      <c r="QWO44" s="344"/>
      <c r="QWP44" s="344"/>
      <c r="QWQ44" s="344"/>
      <c r="QWR44" s="344"/>
      <c r="QWS44" s="344"/>
      <c r="QWT44" s="344"/>
      <c r="QWU44" s="344"/>
      <c r="QWV44" s="344"/>
      <c r="QWW44" s="344"/>
      <c r="QWX44" s="344"/>
      <c r="QWY44" s="344"/>
      <c r="QWZ44" s="344"/>
      <c r="QXA44" s="344"/>
      <c r="QXB44" s="344"/>
      <c r="QXC44" s="344"/>
      <c r="QXD44" s="344"/>
      <c r="QXE44" s="344"/>
      <c r="QXF44" s="344"/>
      <c r="QXG44" s="344"/>
      <c r="QXH44" s="344"/>
      <c r="QXI44" s="344"/>
      <c r="QXJ44" s="344"/>
      <c r="QXK44" s="344"/>
      <c r="QXL44" s="344"/>
      <c r="QXM44" s="344"/>
      <c r="QXN44" s="344"/>
      <c r="QXO44" s="344"/>
      <c r="QXP44" s="344"/>
      <c r="QXQ44" s="344"/>
      <c r="QXR44" s="344"/>
      <c r="QXS44" s="344"/>
      <c r="QXT44" s="344"/>
      <c r="QXU44" s="344"/>
      <c r="QXV44" s="344"/>
      <c r="QXW44" s="344"/>
      <c r="QXX44" s="344"/>
      <c r="QXY44" s="344"/>
      <c r="QXZ44" s="344"/>
      <c r="QYA44" s="344"/>
      <c r="QYB44" s="344"/>
      <c r="QYC44" s="344"/>
      <c r="QYD44" s="344"/>
      <c r="QYE44" s="344"/>
      <c r="QYF44" s="344"/>
      <c r="QYG44" s="344"/>
      <c r="QYH44" s="344"/>
      <c r="QYI44" s="344"/>
      <c r="QYJ44" s="344"/>
      <c r="QYK44" s="344"/>
      <c r="QYL44" s="344"/>
      <c r="QYM44" s="344"/>
      <c r="QYN44" s="344"/>
      <c r="QYO44" s="344"/>
      <c r="QYP44" s="344"/>
      <c r="QYQ44" s="344"/>
      <c r="QYR44" s="344"/>
      <c r="QYS44" s="344"/>
      <c r="QYT44" s="344"/>
      <c r="QYU44" s="344"/>
      <c r="QYV44" s="344"/>
      <c r="QYW44" s="344"/>
      <c r="QYX44" s="344"/>
      <c r="QYY44" s="344"/>
      <c r="QYZ44" s="344"/>
      <c r="QZA44" s="344"/>
      <c r="QZB44" s="344"/>
      <c r="QZC44" s="344"/>
      <c r="QZD44" s="344"/>
      <c r="QZE44" s="344"/>
      <c r="QZF44" s="344"/>
      <c r="QZG44" s="344"/>
      <c r="QZH44" s="344"/>
      <c r="QZI44" s="344"/>
      <c r="QZJ44" s="344"/>
      <c r="QZK44" s="344"/>
      <c r="QZL44" s="344"/>
      <c r="QZM44" s="344"/>
      <c r="QZN44" s="344"/>
      <c r="QZO44" s="344"/>
      <c r="QZP44" s="344"/>
      <c r="QZQ44" s="344"/>
      <c r="QZR44" s="344"/>
      <c r="QZS44" s="344"/>
      <c r="QZT44" s="344"/>
      <c r="QZU44" s="344"/>
      <c r="QZV44" s="344"/>
      <c r="QZW44" s="344"/>
      <c r="QZX44" s="344"/>
      <c r="QZY44" s="344"/>
      <c r="QZZ44" s="344"/>
      <c r="RAA44" s="344"/>
      <c r="RAB44" s="344"/>
      <c r="RAC44" s="344"/>
      <c r="RAD44" s="344"/>
      <c r="RAE44" s="344"/>
      <c r="RAF44" s="344"/>
      <c r="RAG44" s="344"/>
      <c r="RAH44" s="344"/>
      <c r="RAI44" s="344"/>
      <c r="RAJ44" s="344"/>
      <c r="RAK44" s="344"/>
      <c r="RAL44" s="344"/>
      <c r="RAM44" s="344"/>
      <c r="RAN44" s="344"/>
      <c r="RAO44" s="344"/>
      <c r="RAP44" s="344"/>
      <c r="RAQ44" s="344"/>
      <c r="RAR44" s="344"/>
      <c r="RAS44" s="344"/>
      <c r="RAT44" s="344"/>
      <c r="RAU44" s="344"/>
      <c r="RAV44" s="344"/>
      <c r="RAW44" s="344"/>
      <c r="RAX44" s="344"/>
      <c r="RAY44" s="344"/>
      <c r="RAZ44" s="344"/>
      <c r="RBA44" s="344"/>
      <c r="RBB44" s="344"/>
      <c r="RBC44" s="344"/>
      <c r="RBD44" s="344"/>
      <c r="RBE44" s="344"/>
      <c r="RBF44" s="344"/>
      <c r="RBG44" s="344"/>
      <c r="RBH44" s="344"/>
      <c r="RBI44" s="344"/>
      <c r="RBJ44" s="344"/>
      <c r="RBK44" s="344"/>
      <c r="RBL44" s="344"/>
      <c r="RBM44" s="344"/>
      <c r="RBN44" s="344"/>
      <c r="RBO44" s="344"/>
      <c r="RBP44" s="344"/>
      <c r="RBQ44" s="344"/>
      <c r="RBR44" s="344"/>
      <c r="RBS44" s="344"/>
      <c r="RBT44" s="344"/>
      <c r="RBU44" s="344"/>
      <c r="RBV44" s="344"/>
      <c r="RBW44" s="344"/>
      <c r="RBX44" s="344"/>
      <c r="RBY44" s="344"/>
      <c r="RBZ44" s="344"/>
      <c r="RCA44" s="344"/>
      <c r="RCB44" s="344"/>
      <c r="RCC44" s="344"/>
      <c r="RCD44" s="344"/>
      <c r="RCE44" s="344"/>
      <c r="RCF44" s="344"/>
      <c r="RCG44" s="344"/>
      <c r="RCH44" s="344"/>
      <c r="RCI44" s="344"/>
      <c r="RCJ44" s="344"/>
      <c r="RCK44" s="344"/>
      <c r="RCL44" s="344"/>
      <c r="RCM44" s="344"/>
      <c r="RCN44" s="344"/>
      <c r="RCO44" s="344"/>
      <c r="RCP44" s="344"/>
      <c r="RCQ44" s="344"/>
      <c r="RCR44" s="344"/>
      <c r="RCS44" s="344"/>
      <c r="RCT44" s="344"/>
      <c r="RCU44" s="344"/>
      <c r="RCV44" s="344"/>
      <c r="RCW44" s="344"/>
      <c r="RCX44" s="344"/>
      <c r="RCY44" s="344"/>
      <c r="RCZ44" s="344"/>
      <c r="RDA44" s="344"/>
      <c r="RDB44" s="344"/>
      <c r="RDC44" s="344"/>
      <c r="RDD44" s="344"/>
      <c r="RDE44" s="344"/>
      <c r="RDF44" s="344"/>
      <c r="RDG44" s="344"/>
      <c r="RDH44" s="344"/>
      <c r="RDI44" s="344"/>
      <c r="RDJ44" s="344"/>
      <c r="RDK44" s="344"/>
      <c r="RDL44" s="344"/>
      <c r="RDM44" s="344"/>
      <c r="RDN44" s="344"/>
      <c r="RDO44" s="344"/>
      <c r="RDP44" s="344"/>
      <c r="RDQ44" s="344"/>
      <c r="RDR44" s="344"/>
      <c r="RDS44" s="344"/>
      <c r="RDT44" s="344"/>
      <c r="RDU44" s="344"/>
      <c r="RDV44" s="344"/>
      <c r="RDW44" s="344"/>
      <c r="RDX44" s="344"/>
      <c r="RDY44" s="344"/>
      <c r="RDZ44" s="344"/>
      <c r="REA44" s="344"/>
      <c r="REB44" s="344"/>
      <c r="REC44" s="344"/>
      <c r="RED44" s="344"/>
      <c r="REE44" s="344"/>
      <c r="REF44" s="344"/>
      <c r="REG44" s="344"/>
      <c r="REH44" s="344"/>
      <c r="REI44" s="344"/>
      <c r="REJ44" s="344"/>
      <c r="REK44" s="344"/>
      <c r="REL44" s="344"/>
      <c r="REM44" s="344"/>
      <c r="REN44" s="344"/>
      <c r="REO44" s="344"/>
      <c r="REP44" s="344"/>
      <c r="REQ44" s="344"/>
      <c r="RER44" s="344"/>
      <c r="RES44" s="344"/>
      <c r="RET44" s="344"/>
      <c r="REU44" s="344"/>
      <c r="REV44" s="344"/>
      <c r="REW44" s="344"/>
      <c r="REX44" s="344"/>
      <c r="REY44" s="344"/>
      <c r="REZ44" s="344"/>
      <c r="RFA44" s="344"/>
      <c r="RFB44" s="344"/>
      <c r="RFC44" s="344"/>
      <c r="RFD44" s="344"/>
      <c r="RFE44" s="344"/>
      <c r="RFF44" s="344"/>
      <c r="RFG44" s="344"/>
      <c r="RFH44" s="344"/>
      <c r="RFI44" s="344"/>
      <c r="RFJ44" s="344"/>
      <c r="RFK44" s="344"/>
      <c r="RFL44" s="344"/>
      <c r="RFM44" s="344"/>
      <c r="RFN44" s="344"/>
      <c r="RFO44" s="344"/>
      <c r="RFP44" s="344"/>
      <c r="RFQ44" s="344"/>
      <c r="RFR44" s="344"/>
      <c r="RFS44" s="344"/>
      <c r="RFT44" s="344"/>
      <c r="RFU44" s="344"/>
      <c r="RFV44" s="344"/>
      <c r="RFW44" s="344"/>
      <c r="RFX44" s="344"/>
      <c r="RFY44" s="344"/>
      <c r="RFZ44" s="344"/>
      <c r="RGA44" s="344"/>
      <c r="RGB44" s="344"/>
      <c r="RGC44" s="344"/>
      <c r="RGD44" s="344"/>
      <c r="RGE44" s="344"/>
      <c r="RGF44" s="344"/>
      <c r="RGG44" s="344"/>
      <c r="RGH44" s="344"/>
      <c r="RGI44" s="344"/>
      <c r="RGJ44" s="344"/>
      <c r="RGK44" s="344"/>
      <c r="RGL44" s="344"/>
      <c r="RGM44" s="344"/>
      <c r="RGN44" s="344"/>
      <c r="RGO44" s="344"/>
      <c r="RGP44" s="344"/>
      <c r="RGQ44" s="344"/>
      <c r="RGR44" s="344"/>
      <c r="RGS44" s="344"/>
      <c r="RGT44" s="344"/>
      <c r="RGU44" s="344"/>
      <c r="RGV44" s="344"/>
      <c r="RGW44" s="344"/>
      <c r="RGX44" s="344"/>
      <c r="RGY44" s="344"/>
      <c r="RGZ44" s="344"/>
      <c r="RHA44" s="344"/>
      <c r="RHB44" s="344"/>
      <c r="RHC44" s="344"/>
      <c r="RHD44" s="344"/>
      <c r="RHE44" s="344"/>
      <c r="RHF44" s="344"/>
      <c r="RHG44" s="344"/>
      <c r="RHH44" s="344"/>
      <c r="RHI44" s="344"/>
      <c r="RHJ44" s="344"/>
      <c r="RHK44" s="344"/>
      <c r="RHL44" s="344"/>
      <c r="RHM44" s="344"/>
      <c r="RHN44" s="344"/>
      <c r="RHO44" s="344"/>
      <c r="RHP44" s="344"/>
      <c r="RHQ44" s="344"/>
      <c r="RHR44" s="344"/>
      <c r="RHS44" s="344"/>
      <c r="RHT44" s="344"/>
      <c r="RHU44" s="344"/>
      <c r="RHV44" s="344"/>
      <c r="RHW44" s="344"/>
      <c r="RHX44" s="344"/>
      <c r="RHY44" s="344"/>
      <c r="RHZ44" s="344"/>
      <c r="RIA44" s="344"/>
      <c r="RIB44" s="344"/>
      <c r="RIC44" s="344"/>
      <c r="RID44" s="344"/>
      <c r="RIE44" s="344"/>
      <c r="RIF44" s="344"/>
      <c r="RIG44" s="344"/>
      <c r="RIH44" s="344"/>
      <c r="RII44" s="344"/>
      <c r="RIJ44" s="344"/>
      <c r="RIK44" s="344"/>
      <c r="RIL44" s="344"/>
      <c r="RIM44" s="344"/>
      <c r="RIN44" s="344"/>
      <c r="RIO44" s="344"/>
      <c r="RIP44" s="344"/>
      <c r="RIQ44" s="344"/>
      <c r="RIR44" s="344"/>
      <c r="RIS44" s="344"/>
      <c r="RIT44" s="344"/>
      <c r="RIU44" s="344"/>
      <c r="RIV44" s="344"/>
      <c r="RIW44" s="344"/>
      <c r="RIX44" s="344"/>
      <c r="RIY44" s="344"/>
      <c r="RIZ44" s="344"/>
      <c r="RJA44" s="344"/>
      <c r="RJB44" s="344"/>
      <c r="RJC44" s="344"/>
      <c r="RJD44" s="344"/>
      <c r="RJE44" s="344"/>
      <c r="RJF44" s="344"/>
      <c r="RJG44" s="344"/>
      <c r="RJH44" s="344"/>
      <c r="RJI44" s="344"/>
      <c r="RJJ44" s="344"/>
      <c r="RJK44" s="344"/>
      <c r="RJL44" s="344"/>
      <c r="RJM44" s="344"/>
      <c r="RJN44" s="344"/>
      <c r="RJO44" s="344"/>
      <c r="RJP44" s="344"/>
      <c r="RJQ44" s="344"/>
      <c r="RJR44" s="344"/>
      <c r="RJS44" s="344"/>
      <c r="RJT44" s="344"/>
      <c r="RJU44" s="344"/>
      <c r="RJV44" s="344"/>
      <c r="RJW44" s="344"/>
      <c r="RJX44" s="344"/>
      <c r="RJY44" s="344"/>
      <c r="RJZ44" s="344"/>
      <c r="RKA44" s="344"/>
      <c r="RKB44" s="344"/>
      <c r="RKC44" s="344"/>
      <c r="RKD44" s="344"/>
      <c r="RKE44" s="344"/>
      <c r="RKF44" s="344"/>
      <c r="RKG44" s="344"/>
      <c r="RKH44" s="344"/>
      <c r="RKI44" s="344"/>
      <c r="RKJ44" s="344"/>
      <c r="RKK44" s="344"/>
      <c r="RKL44" s="344"/>
      <c r="RKM44" s="344"/>
      <c r="RKN44" s="344"/>
      <c r="RKO44" s="344"/>
      <c r="RKP44" s="344"/>
      <c r="RKQ44" s="344"/>
      <c r="RKR44" s="344"/>
      <c r="RKS44" s="344"/>
      <c r="RKT44" s="344"/>
      <c r="RKU44" s="344"/>
      <c r="RKV44" s="344"/>
      <c r="RKW44" s="344"/>
      <c r="RKX44" s="344"/>
      <c r="RKY44" s="344"/>
      <c r="RKZ44" s="344"/>
      <c r="RLA44" s="344"/>
      <c r="RLB44" s="344"/>
      <c r="RLC44" s="344"/>
      <c r="RLD44" s="344"/>
      <c r="RLE44" s="344"/>
      <c r="RLF44" s="344"/>
      <c r="RLG44" s="344"/>
      <c r="RLH44" s="344"/>
      <c r="RLI44" s="344"/>
      <c r="RLJ44" s="344"/>
      <c r="RLK44" s="344"/>
      <c r="RLL44" s="344"/>
      <c r="RLM44" s="344"/>
      <c r="RLN44" s="344"/>
      <c r="RLO44" s="344"/>
      <c r="RLP44" s="344"/>
      <c r="RLQ44" s="344"/>
      <c r="RLR44" s="344"/>
      <c r="RLS44" s="344"/>
      <c r="RLT44" s="344"/>
      <c r="RLU44" s="344"/>
      <c r="RLV44" s="344"/>
      <c r="RLW44" s="344"/>
      <c r="RLX44" s="344"/>
      <c r="RLY44" s="344"/>
      <c r="RLZ44" s="344"/>
      <c r="RMA44" s="344"/>
      <c r="RMB44" s="344"/>
      <c r="RMC44" s="344"/>
      <c r="RMD44" s="344"/>
      <c r="RME44" s="344"/>
      <c r="RMF44" s="344"/>
      <c r="RMG44" s="344"/>
      <c r="RMH44" s="344"/>
      <c r="RMI44" s="344"/>
      <c r="RMJ44" s="344"/>
      <c r="RMK44" s="344"/>
      <c r="RML44" s="344"/>
      <c r="RMM44" s="344"/>
      <c r="RMN44" s="344"/>
      <c r="RMO44" s="344"/>
      <c r="RMP44" s="344"/>
      <c r="RMQ44" s="344"/>
      <c r="RMR44" s="344"/>
      <c r="RMS44" s="344"/>
      <c r="RMT44" s="344"/>
      <c r="RMU44" s="344"/>
      <c r="RMV44" s="344"/>
      <c r="RMW44" s="344"/>
      <c r="RMX44" s="344"/>
      <c r="RMY44" s="344"/>
      <c r="RMZ44" s="344"/>
      <c r="RNA44" s="344"/>
      <c r="RNB44" s="344"/>
      <c r="RNC44" s="344"/>
      <c r="RND44" s="344"/>
      <c r="RNE44" s="344"/>
      <c r="RNF44" s="344"/>
      <c r="RNG44" s="344"/>
      <c r="RNH44" s="344"/>
      <c r="RNI44" s="344"/>
      <c r="RNJ44" s="344"/>
      <c r="RNK44" s="344"/>
      <c r="RNL44" s="344"/>
      <c r="RNM44" s="344"/>
      <c r="RNN44" s="344"/>
      <c r="RNO44" s="344"/>
      <c r="RNP44" s="344"/>
      <c r="RNQ44" s="344"/>
      <c r="RNR44" s="344"/>
      <c r="RNS44" s="344"/>
      <c r="RNT44" s="344"/>
      <c r="RNU44" s="344"/>
      <c r="RNV44" s="344"/>
      <c r="RNW44" s="344"/>
      <c r="RNX44" s="344"/>
      <c r="RNY44" s="344"/>
      <c r="RNZ44" s="344"/>
      <c r="ROA44" s="344"/>
      <c r="ROB44" s="344"/>
      <c r="ROC44" s="344"/>
      <c r="ROD44" s="344"/>
      <c r="ROE44" s="344"/>
      <c r="ROF44" s="344"/>
      <c r="ROG44" s="344"/>
      <c r="ROH44" s="344"/>
      <c r="ROI44" s="344"/>
      <c r="ROJ44" s="344"/>
      <c r="ROK44" s="344"/>
      <c r="ROL44" s="344"/>
      <c r="ROM44" s="344"/>
      <c r="RON44" s="344"/>
      <c r="ROO44" s="344"/>
      <c r="ROP44" s="344"/>
      <c r="ROQ44" s="344"/>
      <c r="ROR44" s="344"/>
      <c r="ROS44" s="344"/>
      <c r="ROT44" s="344"/>
      <c r="ROU44" s="344"/>
      <c r="ROV44" s="344"/>
      <c r="ROW44" s="344"/>
      <c r="ROX44" s="344"/>
      <c r="ROY44" s="344"/>
      <c r="ROZ44" s="344"/>
      <c r="RPA44" s="344"/>
      <c r="RPB44" s="344"/>
      <c r="RPC44" s="344"/>
      <c r="RPD44" s="344"/>
      <c r="RPE44" s="344"/>
      <c r="RPF44" s="344"/>
      <c r="RPG44" s="344"/>
      <c r="RPH44" s="344"/>
      <c r="RPI44" s="344"/>
      <c r="RPJ44" s="344"/>
      <c r="RPK44" s="344"/>
      <c r="RPL44" s="344"/>
      <c r="RPM44" s="344"/>
      <c r="RPN44" s="344"/>
      <c r="RPO44" s="344"/>
      <c r="RPP44" s="344"/>
      <c r="RPQ44" s="344"/>
      <c r="RPR44" s="344"/>
      <c r="RPS44" s="344"/>
      <c r="RPT44" s="344"/>
      <c r="RPU44" s="344"/>
      <c r="RPV44" s="344"/>
      <c r="RPW44" s="344"/>
      <c r="RPX44" s="344"/>
      <c r="RPY44" s="344"/>
      <c r="RPZ44" s="344"/>
      <c r="RQA44" s="344"/>
      <c r="RQB44" s="344"/>
      <c r="RQC44" s="344"/>
      <c r="RQD44" s="344"/>
      <c r="RQE44" s="344"/>
      <c r="RQF44" s="344"/>
      <c r="RQG44" s="344"/>
      <c r="RQH44" s="344"/>
      <c r="RQI44" s="344"/>
      <c r="RQJ44" s="344"/>
      <c r="RQK44" s="344"/>
      <c r="RQL44" s="344"/>
      <c r="RQM44" s="344"/>
      <c r="RQN44" s="344"/>
      <c r="RQO44" s="344"/>
      <c r="RQP44" s="344"/>
      <c r="RQQ44" s="344"/>
      <c r="RQR44" s="344"/>
      <c r="RQS44" s="344"/>
      <c r="RQT44" s="344"/>
      <c r="RQU44" s="344"/>
      <c r="RQV44" s="344"/>
      <c r="RQW44" s="344"/>
      <c r="RQX44" s="344"/>
      <c r="RQY44" s="344"/>
      <c r="RQZ44" s="344"/>
      <c r="RRA44" s="344"/>
      <c r="RRB44" s="344"/>
      <c r="RRC44" s="344"/>
      <c r="RRD44" s="344"/>
      <c r="RRE44" s="344"/>
      <c r="RRF44" s="344"/>
      <c r="RRG44" s="344"/>
      <c r="RRH44" s="344"/>
      <c r="RRI44" s="344"/>
      <c r="RRJ44" s="344"/>
      <c r="RRK44" s="344"/>
      <c r="RRL44" s="344"/>
      <c r="RRM44" s="344"/>
      <c r="RRN44" s="344"/>
      <c r="RRO44" s="344"/>
      <c r="RRP44" s="344"/>
      <c r="RRQ44" s="344"/>
      <c r="RRR44" s="344"/>
      <c r="RRS44" s="344"/>
      <c r="RRT44" s="344"/>
      <c r="RRU44" s="344"/>
      <c r="RRV44" s="344"/>
      <c r="RRW44" s="344"/>
      <c r="RRX44" s="344"/>
      <c r="RRY44" s="344"/>
      <c r="RRZ44" s="344"/>
      <c r="RSA44" s="344"/>
      <c r="RSB44" s="344"/>
      <c r="RSC44" s="344"/>
      <c r="RSD44" s="344"/>
      <c r="RSE44" s="344"/>
      <c r="RSF44" s="344"/>
      <c r="RSG44" s="344"/>
      <c r="RSH44" s="344"/>
      <c r="RSI44" s="344"/>
      <c r="RSJ44" s="344"/>
      <c r="RSK44" s="344"/>
      <c r="RSL44" s="344"/>
      <c r="RSM44" s="344"/>
      <c r="RSN44" s="344"/>
      <c r="RSO44" s="344"/>
      <c r="RSP44" s="344"/>
      <c r="RSQ44" s="344"/>
      <c r="RSR44" s="344"/>
      <c r="RSS44" s="344"/>
      <c r="RST44" s="344"/>
      <c r="RSU44" s="344"/>
      <c r="RSV44" s="344"/>
      <c r="RSW44" s="344"/>
      <c r="RSX44" s="344"/>
      <c r="RSY44" s="344"/>
      <c r="RSZ44" s="344"/>
      <c r="RTA44" s="344"/>
      <c r="RTB44" s="344"/>
      <c r="RTC44" s="344"/>
      <c r="RTD44" s="344"/>
      <c r="RTE44" s="344"/>
      <c r="RTF44" s="344"/>
      <c r="RTG44" s="344"/>
      <c r="RTH44" s="344"/>
      <c r="RTI44" s="344"/>
      <c r="RTJ44" s="344"/>
      <c r="RTK44" s="344"/>
      <c r="RTL44" s="344"/>
      <c r="RTM44" s="344"/>
      <c r="RTN44" s="344"/>
      <c r="RTO44" s="344"/>
      <c r="RTP44" s="344"/>
      <c r="RTQ44" s="344"/>
      <c r="RTR44" s="344"/>
      <c r="RTS44" s="344"/>
      <c r="RTT44" s="344"/>
      <c r="RTU44" s="344"/>
      <c r="RTV44" s="344"/>
      <c r="RTW44" s="344"/>
      <c r="RTX44" s="344"/>
      <c r="RTY44" s="344"/>
      <c r="RTZ44" s="344"/>
      <c r="RUA44" s="344"/>
      <c r="RUB44" s="344"/>
      <c r="RUC44" s="344"/>
      <c r="RUD44" s="344"/>
      <c r="RUE44" s="344"/>
      <c r="RUF44" s="344"/>
      <c r="RUG44" s="344"/>
      <c r="RUH44" s="344"/>
      <c r="RUI44" s="344"/>
      <c r="RUJ44" s="344"/>
      <c r="RUK44" s="344"/>
      <c r="RUL44" s="344"/>
      <c r="RUM44" s="344"/>
      <c r="RUN44" s="344"/>
      <c r="RUO44" s="344"/>
      <c r="RUP44" s="344"/>
      <c r="RUQ44" s="344"/>
      <c r="RUR44" s="344"/>
      <c r="RUS44" s="344"/>
      <c r="RUT44" s="344"/>
      <c r="RUU44" s="344"/>
      <c r="RUV44" s="344"/>
      <c r="RUW44" s="344"/>
      <c r="RUX44" s="344"/>
      <c r="RUY44" s="344"/>
      <c r="RUZ44" s="344"/>
      <c r="RVA44" s="344"/>
      <c r="RVB44" s="344"/>
      <c r="RVC44" s="344"/>
      <c r="RVD44" s="344"/>
      <c r="RVE44" s="344"/>
      <c r="RVF44" s="344"/>
      <c r="RVG44" s="344"/>
      <c r="RVH44" s="344"/>
      <c r="RVI44" s="344"/>
      <c r="RVJ44" s="344"/>
      <c r="RVK44" s="344"/>
      <c r="RVL44" s="344"/>
      <c r="RVM44" s="344"/>
      <c r="RVN44" s="344"/>
      <c r="RVO44" s="344"/>
      <c r="RVP44" s="344"/>
      <c r="RVQ44" s="344"/>
      <c r="RVR44" s="344"/>
      <c r="RVS44" s="344"/>
      <c r="RVT44" s="344"/>
      <c r="RVU44" s="344"/>
      <c r="RVV44" s="344"/>
      <c r="RVW44" s="344"/>
      <c r="RVX44" s="344"/>
      <c r="RVY44" s="344"/>
      <c r="RVZ44" s="344"/>
      <c r="RWA44" s="344"/>
      <c r="RWB44" s="344"/>
      <c r="RWC44" s="344"/>
      <c r="RWD44" s="344"/>
      <c r="RWE44" s="344"/>
      <c r="RWF44" s="344"/>
      <c r="RWG44" s="344"/>
      <c r="RWH44" s="344"/>
      <c r="RWI44" s="344"/>
      <c r="RWJ44" s="344"/>
      <c r="RWK44" s="344"/>
      <c r="RWL44" s="344"/>
      <c r="RWM44" s="344"/>
      <c r="RWN44" s="344"/>
      <c r="RWO44" s="344"/>
      <c r="RWP44" s="344"/>
      <c r="RWQ44" s="344"/>
      <c r="RWR44" s="344"/>
      <c r="RWS44" s="344"/>
      <c r="RWT44" s="344"/>
      <c r="RWU44" s="344"/>
      <c r="RWV44" s="344"/>
      <c r="RWW44" s="344"/>
      <c r="RWX44" s="344"/>
      <c r="RWY44" s="344"/>
      <c r="RWZ44" s="344"/>
      <c r="RXA44" s="344"/>
      <c r="RXB44" s="344"/>
      <c r="RXC44" s="344"/>
      <c r="RXD44" s="344"/>
      <c r="RXE44" s="344"/>
      <c r="RXF44" s="344"/>
      <c r="RXG44" s="344"/>
      <c r="RXH44" s="344"/>
      <c r="RXI44" s="344"/>
      <c r="RXJ44" s="344"/>
      <c r="RXK44" s="344"/>
      <c r="RXL44" s="344"/>
      <c r="RXM44" s="344"/>
      <c r="RXN44" s="344"/>
      <c r="RXO44" s="344"/>
      <c r="RXP44" s="344"/>
      <c r="RXQ44" s="344"/>
      <c r="RXR44" s="344"/>
      <c r="RXS44" s="344"/>
      <c r="RXT44" s="344"/>
      <c r="RXU44" s="344"/>
      <c r="RXV44" s="344"/>
      <c r="RXW44" s="344"/>
      <c r="RXX44" s="344"/>
      <c r="RXY44" s="344"/>
      <c r="RXZ44" s="344"/>
      <c r="RYA44" s="344"/>
      <c r="RYB44" s="344"/>
      <c r="RYC44" s="344"/>
      <c r="RYD44" s="344"/>
      <c r="RYE44" s="344"/>
      <c r="RYF44" s="344"/>
      <c r="RYG44" s="344"/>
      <c r="RYH44" s="344"/>
      <c r="RYI44" s="344"/>
      <c r="RYJ44" s="344"/>
      <c r="RYK44" s="344"/>
      <c r="RYL44" s="344"/>
      <c r="RYM44" s="344"/>
      <c r="RYN44" s="344"/>
      <c r="RYO44" s="344"/>
      <c r="RYP44" s="344"/>
      <c r="RYQ44" s="344"/>
      <c r="RYR44" s="344"/>
      <c r="RYS44" s="344"/>
      <c r="RYT44" s="344"/>
      <c r="RYU44" s="344"/>
      <c r="RYV44" s="344"/>
      <c r="RYW44" s="344"/>
      <c r="RYX44" s="344"/>
      <c r="RYY44" s="344"/>
      <c r="RYZ44" s="344"/>
      <c r="RZA44" s="344"/>
      <c r="RZB44" s="344"/>
      <c r="RZC44" s="344"/>
      <c r="RZD44" s="344"/>
      <c r="RZE44" s="344"/>
      <c r="RZF44" s="344"/>
      <c r="RZG44" s="344"/>
      <c r="RZH44" s="344"/>
      <c r="RZI44" s="344"/>
      <c r="RZJ44" s="344"/>
      <c r="RZK44" s="344"/>
      <c r="RZL44" s="344"/>
      <c r="RZM44" s="344"/>
      <c r="RZN44" s="344"/>
      <c r="RZO44" s="344"/>
      <c r="RZP44" s="344"/>
      <c r="RZQ44" s="344"/>
      <c r="RZR44" s="344"/>
      <c r="RZS44" s="344"/>
      <c r="RZT44" s="344"/>
      <c r="RZU44" s="344"/>
      <c r="RZV44" s="344"/>
      <c r="RZW44" s="344"/>
      <c r="RZX44" s="344"/>
      <c r="RZY44" s="344"/>
      <c r="RZZ44" s="344"/>
      <c r="SAA44" s="344"/>
      <c r="SAB44" s="344"/>
      <c r="SAC44" s="344"/>
      <c r="SAD44" s="344"/>
      <c r="SAE44" s="344"/>
      <c r="SAF44" s="344"/>
      <c r="SAG44" s="344"/>
      <c r="SAH44" s="344"/>
      <c r="SAI44" s="344"/>
      <c r="SAJ44" s="344"/>
      <c r="SAK44" s="344"/>
      <c r="SAL44" s="344"/>
      <c r="SAM44" s="344"/>
      <c r="SAN44" s="344"/>
      <c r="SAO44" s="344"/>
      <c r="SAP44" s="344"/>
      <c r="SAQ44" s="344"/>
      <c r="SAR44" s="344"/>
      <c r="SAS44" s="344"/>
      <c r="SAT44" s="344"/>
      <c r="SAU44" s="344"/>
      <c r="SAV44" s="344"/>
      <c r="SAW44" s="344"/>
      <c r="SAX44" s="344"/>
      <c r="SAY44" s="344"/>
      <c r="SAZ44" s="344"/>
      <c r="SBA44" s="344"/>
      <c r="SBB44" s="344"/>
      <c r="SBC44" s="344"/>
      <c r="SBD44" s="344"/>
      <c r="SBE44" s="344"/>
      <c r="SBF44" s="344"/>
      <c r="SBG44" s="344"/>
      <c r="SBH44" s="344"/>
      <c r="SBI44" s="344"/>
      <c r="SBJ44" s="344"/>
      <c r="SBK44" s="344"/>
      <c r="SBL44" s="344"/>
      <c r="SBM44" s="344"/>
      <c r="SBN44" s="344"/>
      <c r="SBO44" s="344"/>
      <c r="SBP44" s="344"/>
      <c r="SBQ44" s="344"/>
      <c r="SBR44" s="344"/>
      <c r="SBS44" s="344"/>
      <c r="SBT44" s="344"/>
      <c r="SBU44" s="344"/>
      <c r="SBV44" s="344"/>
      <c r="SBW44" s="344"/>
      <c r="SBX44" s="344"/>
      <c r="SBY44" s="344"/>
      <c r="SBZ44" s="344"/>
      <c r="SCA44" s="344"/>
      <c r="SCB44" s="344"/>
      <c r="SCC44" s="344"/>
      <c r="SCD44" s="344"/>
      <c r="SCE44" s="344"/>
      <c r="SCF44" s="344"/>
      <c r="SCG44" s="344"/>
      <c r="SCH44" s="344"/>
      <c r="SCI44" s="344"/>
      <c r="SCJ44" s="344"/>
      <c r="SCK44" s="344"/>
      <c r="SCL44" s="344"/>
      <c r="SCM44" s="344"/>
      <c r="SCN44" s="344"/>
      <c r="SCO44" s="344"/>
      <c r="SCP44" s="344"/>
      <c r="SCQ44" s="344"/>
      <c r="SCR44" s="344"/>
      <c r="SCS44" s="344"/>
      <c r="SCT44" s="344"/>
      <c r="SCU44" s="344"/>
      <c r="SCV44" s="344"/>
      <c r="SCW44" s="344"/>
      <c r="SCX44" s="344"/>
      <c r="SCY44" s="344"/>
      <c r="SCZ44" s="344"/>
      <c r="SDA44" s="344"/>
      <c r="SDB44" s="344"/>
      <c r="SDC44" s="344"/>
      <c r="SDD44" s="344"/>
      <c r="SDE44" s="344"/>
      <c r="SDF44" s="344"/>
      <c r="SDG44" s="344"/>
      <c r="SDH44" s="344"/>
      <c r="SDI44" s="344"/>
      <c r="SDJ44" s="344"/>
      <c r="SDK44" s="344"/>
      <c r="SDL44" s="344"/>
      <c r="SDM44" s="344"/>
      <c r="SDN44" s="344"/>
      <c r="SDO44" s="344"/>
      <c r="SDP44" s="344"/>
      <c r="SDQ44" s="344"/>
      <c r="SDR44" s="344"/>
      <c r="SDS44" s="344"/>
      <c r="SDT44" s="344"/>
      <c r="SDU44" s="344"/>
      <c r="SDV44" s="344"/>
      <c r="SDW44" s="344"/>
      <c r="SDX44" s="344"/>
      <c r="SDY44" s="344"/>
      <c r="SDZ44" s="344"/>
      <c r="SEA44" s="344"/>
      <c r="SEB44" s="344"/>
      <c r="SEC44" s="344"/>
      <c r="SED44" s="344"/>
      <c r="SEE44" s="344"/>
      <c r="SEF44" s="344"/>
      <c r="SEG44" s="344"/>
      <c r="SEH44" s="344"/>
      <c r="SEI44" s="344"/>
      <c r="SEJ44" s="344"/>
      <c r="SEK44" s="344"/>
      <c r="SEL44" s="344"/>
      <c r="SEM44" s="344"/>
      <c r="SEN44" s="344"/>
      <c r="SEO44" s="344"/>
      <c r="SEP44" s="344"/>
      <c r="SEQ44" s="344"/>
      <c r="SER44" s="344"/>
      <c r="SES44" s="344"/>
      <c r="SET44" s="344"/>
      <c r="SEU44" s="344"/>
      <c r="SEV44" s="344"/>
      <c r="SEW44" s="344"/>
      <c r="SEX44" s="344"/>
      <c r="SEY44" s="344"/>
      <c r="SEZ44" s="344"/>
      <c r="SFA44" s="344"/>
      <c r="SFB44" s="344"/>
      <c r="SFC44" s="344"/>
      <c r="SFD44" s="344"/>
      <c r="SFE44" s="344"/>
      <c r="SFF44" s="344"/>
      <c r="SFG44" s="344"/>
      <c r="SFH44" s="344"/>
      <c r="SFI44" s="344"/>
      <c r="SFJ44" s="344"/>
      <c r="SFK44" s="344"/>
      <c r="SFL44" s="344"/>
      <c r="SFM44" s="344"/>
      <c r="SFN44" s="344"/>
      <c r="SFO44" s="344"/>
      <c r="SFP44" s="344"/>
      <c r="SFQ44" s="344"/>
      <c r="SFR44" s="344"/>
      <c r="SFS44" s="344"/>
      <c r="SFT44" s="344"/>
      <c r="SFU44" s="344"/>
      <c r="SFV44" s="344"/>
      <c r="SFW44" s="344"/>
      <c r="SFX44" s="344"/>
      <c r="SFY44" s="344"/>
      <c r="SFZ44" s="344"/>
      <c r="SGA44" s="344"/>
      <c r="SGB44" s="344"/>
      <c r="SGC44" s="344"/>
      <c r="SGD44" s="344"/>
      <c r="SGE44" s="344"/>
      <c r="SGF44" s="344"/>
      <c r="SGG44" s="344"/>
      <c r="SGH44" s="344"/>
      <c r="SGI44" s="344"/>
      <c r="SGJ44" s="344"/>
      <c r="SGK44" s="344"/>
      <c r="SGL44" s="344"/>
      <c r="SGM44" s="344"/>
      <c r="SGN44" s="344"/>
      <c r="SGO44" s="344"/>
      <c r="SGP44" s="344"/>
      <c r="SGQ44" s="344"/>
      <c r="SGR44" s="344"/>
      <c r="SGS44" s="344"/>
      <c r="SGT44" s="344"/>
      <c r="SGU44" s="344"/>
      <c r="SGV44" s="344"/>
      <c r="SGW44" s="344"/>
      <c r="SGX44" s="344"/>
      <c r="SGY44" s="344"/>
      <c r="SGZ44" s="344"/>
      <c r="SHA44" s="344"/>
      <c r="SHB44" s="344"/>
      <c r="SHC44" s="344"/>
      <c r="SHD44" s="344"/>
      <c r="SHE44" s="344"/>
      <c r="SHF44" s="344"/>
      <c r="SHG44" s="344"/>
      <c r="SHH44" s="344"/>
      <c r="SHI44" s="344"/>
      <c r="SHJ44" s="344"/>
      <c r="SHK44" s="344"/>
      <c r="SHL44" s="344"/>
      <c r="SHM44" s="344"/>
      <c r="SHN44" s="344"/>
      <c r="SHO44" s="344"/>
      <c r="SHP44" s="344"/>
      <c r="SHQ44" s="344"/>
      <c r="SHR44" s="344"/>
      <c r="SHS44" s="344"/>
      <c r="SHT44" s="344"/>
      <c r="SHU44" s="344"/>
      <c r="SHV44" s="344"/>
      <c r="SHW44" s="344"/>
      <c r="SHX44" s="344"/>
      <c r="SHY44" s="344"/>
      <c r="SHZ44" s="344"/>
      <c r="SIA44" s="344"/>
      <c r="SIB44" s="344"/>
      <c r="SIC44" s="344"/>
      <c r="SID44" s="344"/>
      <c r="SIE44" s="344"/>
      <c r="SIF44" s="344"/>
      <c r="SIG44" s="344"/>
      <c r="SIH44" s="344"/>
      <c r="SII44" s="344"/>
      <c r="SIJ44" s="344"/>
      <c r="SIK44" s="344"/>
      <c r="SIL44" s="344"/>
      <c r="SIM44" s="344"/>
      <c r="SIN44" s="344"/>
      <c r="SIO44" s="344"/>
      <c r="SIP44" s="344"/>
      <c r="SIQ44" s="344"/>
      <c r="SIR44" s="344"/>
      <c r="SIS44" s="344"/>
      <c r="SIT44" s="344"/>
      <c r="SIU44" s="344"/>
      <c r="SIV44" s="344"/>
      <c r="SIW44" s="344"/>
      <c r="SIX44" s="344"/>
      <c r="SIY44" s="344"/>
      <c r="SIZ44" s="344"/>
      <c r="SJA44" s="344"/>
      <c r="SJB44" s="344"/>
      <c r="SJC44" s="344"/>
      <c r="SJD44" s="344"/>
      <c r="SJE44" s="344"/>
      <c r="SJF44" s="344"/>
      <c r="SJG44" s="344"/>
      <c r="SJH44" s="344"/>
      <c r="SJI44" s="344"/>
      <c r="SJJ44" s="344"/>
      <c r="SJK44" s="344"/>
      <c r="SJL44" s="344"/>
      <c r="SJM44" s="344"/>
      <c r="SJN44" s="344"/>
      <c r="SJO44" s="344"/>
      <c r="SJP44" s="344"/>
      <c r="SJQ44" s="344"/>
      <c r="SJR44" s="344"/>
      <c r="SJS44" s="344"/>
      <c r="SJT44" s="344"/>
      <c r="SJU44" s="344"/>
      <c r="SJV44" s="344"/>
      <c r="SJW44" s="344"/>
      <c r="SJX44" s="344"/>
      <c r="SJY44" s="344"/>
      <c r="SJZ44" s="344"/>
      <c r="SKA44" s="344"/>
      <c r="SKB44" s="344"/>
      <c r="SKC44" s="344"/>
      <c r="SKD44" s="344"/>
      <c r="SKE44" s="344"/>
      <c r="SKF44" s="344"/>
      <c r="SKG44" s="344"/>
      <c r="SKH44" s="344"/>
      <c r="SKI44" s="344"/>
      <c r="SKJ44" s="344"/>
      <c r="SKK44" s="344"/>
      <c r="SKL44" s="344"/>
      <c r="SKM44" s="344"/>
      <c r="SKN44" s="344"/>
      <c r="SKO44" s="344"/>
      <c r="SKP44" s="344"/>
      <c r="SKQ44" s="344"/>
      <c r="SKR44" s="344"/>
      <c r="SKS44" s="344"/>
      <c r="SKT44" s="344"/>
      <c r="SKU44" s="344"/>
      <c r="SKV44" s="344"/>
      <c r="SKW44" s="344"/>
      <c r="SKX44" s="344"/>
      <c r="SKY44" s="344"/>
      <c r="SKZ44" s="344"/>
      <c r="SLA44" s="344"/>
      <c r="SLB44" s="344"/>
      <c r="SLC44" s="344"/>
      <c r="SLD44" s="344"/>
      <c r="SLE44" s="344"/>
      <c r="SLF44" s="344"/>
      <c r="SLG44" s="344"/>
      <c r="SLH44" s="344"/>
      <c r="SLI44" s="344"/>
      <c r="SLJ44" s="344"/>
      <c r="SLK44" s="344"/>
      <c r="SLL44" s="344"/>
      <c r="SLM44" s="344"/>
      <c r="SLN44" s="344"/>
      <c r="SLO44" s="344"/>
      <c r="SLP44" s="344"/>
      <c r="SLQ44" s="344"/>
      <c r="SLR44" s="344"/>
      <c r="SLS44" s="344"/>
      <c r="SLT44" s="344"/>
      <c r="SLU44" s="344"/>
      <c r="SLV44" s="344"/>
      <c r="SLW44" s="344"/>
      <c r="SLX44" s="344"/>
      <c r="SLY44" s="344"/>
      <c r="SLZ44" s="344"/>
      <c r="SMA44" s="344"/>
      <c r="SMB44" s="344"/>
      <c r="SMC44" s="344"/>
      <c r="SMD44" s="344"/>
      <c r="SME44" s="344"/>
      <c r="SMF44" s="344"/>
      <c r="SMG44" s="344"/>
      <c r="SMH44" s="344"/>
      <c r="SMI44" s="344"/>
      <c r="SMJ44" s="344"/>
      <c r="SMK44" s="344"/>
      <c r="SML44" s="344"/>
      <c r="SMM44" s="344"/>
      <c r="SMN44" s="344"/>
      <c r="SMO44" s="344"/>
      <c r="SMP44" s="344"/>
      <c r="SMQ44" s="344"/>
      <c r="SMR44" s="344"/>
      <c r="SMS44" s="344"/>
      <c r="SMT44" s="344"/>
      <c r="SMU44" s="344"/>
      <c r="SMV44" s="344"/>
      <c r="SMW44" s="344"/>
      <c r="SMX44" s="344"/>
      <c r="SMY44" s="344"/>
      <c r="SMZ44" s="344"/>
      <c r="SNA44" s="344"/>
      <c r="SNB44" s="344"/>
      <c r="SNC44" s="344"/>
      <c r="SND44" s="344"/>
      <c r="SNE44" s="344"/>
      <c r="SNF44" s="344"/>
      <c r="SNG44" s="344"/>
      <c r="SNH44" s="344"/>
      <c r="SNI44" s="344"/>
      <c r="SNJ44" s="344"/>
      <c r="SNK44" s="344"/>
      <c r="SNL44" s="344"/>
      <c r="SNM44" s="344"/>
      <c r="SNN44" s="344"/>
      <c r="SNO44" s="344"/>
      <c r="SNP44" s="344"/>
      <c r="SNQ44" s="344"/>
      <c r="SNR44" s="344"/>
      <c r="SNS44" s="344"/>
      <c r="SNT44" s="344"/>
      <c r="SNU44" s="344"/>
      <c r="SNV44" s="344"/>
      <c r="SNW44" s="344"/>
      <c r="SNX44" s="344"/>
      <c r="SNY44" s="344"/>
      <c r="SNZ44" s="344"/>
      <c r="SOA44" s="344"/>
      <c r="SOB44" s="344"/>
      <c r="SOC44" s="344"/>
      <c r="SOD44" s="344"/>
      <c r="SOE44" s="344"/>
      <c r="SOF44" s="344"/>
      <c r="SOG44" s="344"/>
      <c r="SOH44" s="344"/>
      <c r="SOI44" s="344"/>
      <c r="SOJ44" s="344"/>
      <c r="SOK44" s="344"/>
      <c r="SOL44" s="344"/>
      <c r="SOM44" s="344"/>
      <c r="SON44" s="344"/>
      <c r="SOO44" s="344"/>
      <c r="SOP44" s="344"/>
      <c r="SOQ44" s="344"/>
      <c r="SOR44" s="344"/>
      <c r="SOS44" s="344"/>
      <c r="SOT44" s="344"/>
      <c r="SOU44" s="344"/>
      <c r="SOV44" s="344"/>
      <c r="SOW44" s="344"/>
      <c r="SOX44" s="344"/>
      <c r="SOY44" s="344"/>
      <c r="SOZ44" s="344"/>
      <c r="SPA44" s="344"/>
      <c r="SPB44" s="344"/>
      <c r="SPC44" s="344"/>
      <c r="SPD44" s="344"/>
      <c r="SPE44" s="344"/>
      <c r="SPF44" s="344"/>
      <c r="SPG44" s="344"/>
      <c r="SPH44" s="344"/>
      <c r="SPI44" s="344"/>
      <c r="SPJ44" s="344"/>
      <c r="SPK44" s="344"/>
      <c r="SPL44" s="344"/>
      <c r="SPM44" s="344"/>
      <c r="SPN44" s="344"/>
      <c r="SPO44" s="344"/>
      <c r="SPP44" s="344"/>
      <c r="SPQ44" s="344"/>
      <c r="SPR44" s="344"/>
      <c r="SPS44" s="344"/>
      <c r="SPT44" s="344"/>
      <c r="SPU44" s="344"/>
      <c r="SPV44" s="344"/>
      <c r="SPW44" s="344"/>
      <c r="SPX44" s="344"/>
      <c r="SPY44" s="344"/>
      <c r="SPZ44" s="344"/>
      <c r="SQA44" s="344"/>
      <c r="SQB44" s="344"/>
      <c r="SQC44" s="344"/>
      <c r="SQD44" s="344"/>
      <c r="SQE44" s="344"/>
      <c r="SQF44" s="344"/>
      <c r="SQG44" s="344"/>
      <c r="SQH44" s="344"/>
      <c r="SQI44" s="344"/>
      <c r="SQJ44" s="344"/>
      <c r="SQK44" s="344"/>
      <c r="SQL44" s="344"/>
      <c r="SQM44" s="344"/>
      <c r="SQN44" s="344"/>
      <c r="SQO44" s="344"/>
      <c r="SQP44" s="344"/>
      <c r="SQQ44" s="344"/>
      <c r="SQR44" s="344"/>
      <c r="SQS44" s="344"/>
      <c r="SQT44" s="344"/>
      <c r="SQU44" s="344"/>
      <c r="SQV44" s="344"/>
      <c r="SQW44" s="344"/>
      <c r="SQX44" s="344"/>
      <c r="SQY44" s="344"/>
      <c r="SQZ44" s="344"/>
      <c r="SRA44" s="344"/>
      <c r="SRB44" s="344"/>
      <c r="SRC44" s="344"/>
      <c r="SRD44" s="344"/>
      <c r="SRE44" s="344"/>
      <c r="SRF44" s="344"/>
      <c r="SRG44" s="344"/>
      <c r="SRH44" s="344"/>
      <c r="SRI44" s="344"/>
      <c r="SRJ44" s="344"/>
      <c r="SRK44" s="344"/>
      <c r="SRL44" s="344"/>
      <c r="SRM44" s="344"/>
      <c r="SRN44" s="344"/>
      <c r="SRO44" s="344"/>
      <c r="SRP44" s="344"/>
      <c r="SRQ44" s="344"/>
      <c r="SRR44" s="344"/>
      <c r="SRS44" s="344"/>
      <c r="SRT44" s="344"/>
      <c r="SRU44" s="344"/>
      <c r="SRV44" s="344"/>
      <c r="SRW44" s="344"/>
      <c r="SRX44" s="344"/>
      <c r="SRY44" s="344"/>
      <c r="SRZ44" s="344"/>
      <c r="SSA44" s="344"/>
      <c r="SSB44" s="344"/>
      <c r="SSC44" s="344"/>
      <c r="SSD44" s="344"/>
      <c r="SSE44" s="344"/>
      <c r="SSF44" s="344"/>
      <c r="SSG44" s="344"/>
      <c r="SSH44" s="344"/>
      <c r="SSI44" s="344"/>
      <c r="SSJ44" s="344"/>
      <c r="SSK44" s="344"/>
      <c r="SSL44" s="344"/>
      <c r="SSM44" s="344"/>
      <c r="SSN44" s="344"/>
      <c r="SSO44" s="344"/>
      <c r="SSP44" s="344"/>
      <c r="SSQ44" s="344"/>
      <c r="SSR44" s="344"/>
      <c r="SSS44" s="344"/>
      <c r="SST44" s="344"/>
      <c r="SSU44" s="344"/>
      <c r="SSV44" s="344"/>
      <c r="SSW44" s="344"/>
      <c r="SSX44" s="344"/>
      <c r="SSY44" s="344"/>
      <c r="SSZ44" s="344"/>
      <c r="STA44" s="344"/>
      <c r="STB44" s="344"/>
      <c r="STC44" s="344"/>
      <c r="STD44" s="344"/>
      <c r="STE44" s="344"/>
      <c r="STF44" s="344"/>
      <c r="STG44" s="344"/>
      <c r="STH44" s="344"/>
      <c r="STI44" s="344"/>
      <c r="STJ44" s="344"/>
      <c r="STK44" s="344"/>
      <c r="STL44" s="344"/>
      <c r="STM44" s="344"/>
      <c r="STN44" s="344"/>
      <c r="STO44" s="344"/>
      <c r="STP44" s="344"/>
      <c r="STQ44" s="344"/>
      <c r="STR44" s="344"/>
      <c r="STS44" s="344"/>
      <c r="STT44" s="344"/>
      <c r="STU44" s="344"/>
      <c r="STV44" s="344"/>
      <c r="STW44" s="344"/>
      <c r="STX44" s="344"/>
      <c r="STY44" s="344"/>
      <c r="STZ44" s="344"/>
      <c r="SUA44" s="344"/>
      <c r="SUB44" s="344"/>
      <c r="SUC44" s="344"/>
      <c r="SUD44" s="344"/>
      <c r="SUE44" s="344"/>
      <c r="SUF44" s="344"/>
      <c r="SUG44" s="344"/>
      <c r="SUH44" s="344"/>
      <c r="SUI44" s="344"/>
      <c r="SUJ44" s="344"/>
      <c r="SUK44" s="344"/>
      <c r="SUL44" s="344"/>
      <c r="SUM44" s="344"/>
      <c r="SUN44" s="344"/>
      <c r="SUO44" s="344"/>
      <c r="SUP44" s="344"/>
      <c r="SUQ44" s="344"/>
      <c r="SUR44" s="344"/>
      <c r="SUS44" s="344"/>
      <c r="SUT44" s="344"/>
      <c r="SUU44" s="344"/>
      <c r="SUV44" s="344"/>
      <c r="SUW44" s="344"/>
      <c r="SUX44" s="344"/>
      <c r="SUY44" s="344"/>
      <c r="SUZ44" s="344"/>
      <c r="SVA44" s="344"/>
      <c r="SVB44" s="344"/>
      <c r="SVC44" s="344"/>
      <c r="SVD44" s="344"/>
      <c r="SVE44" s="344"/>
      <c r="SVF44" s="344"/>
      <c r="SVG44" s="344"/>
      <c r="SVH44" s="344"/>
      <c r="SVI44" s="344"/>
      <c r="SVJ44" s="344"/>
      <c r="SVK44" s="344"/>
      <c r="SVL44" s="344"/>
      <c r="SVM44" s="344"/>
      <c r="SVN44" s="344"/>
      <c r="SVO44" s="344"/>
      <c r="SVP44" s="344"/>
      <c r="SVQ44" s="344"/>
      <c r="SVR44" s="344"/>
      <c r="SVS44" s="344"/>
      <c r="SVT44" s="344"/>
      <c r="SVU44" s="344"/>
      <c r="SVV44" s="344"/>
      <c r="SVW44" s="344"/>
      <c r="SVX44" s="344"/>
      <c r="SVY44" s="344"/>
      <c r="SVZ44" s="344"/>
      <c r="SWA44" s="344"/>
      <c r="SWB44" s="344"/>
      <c r="SWC44" s="344"/>
      <c r="SWD44" s="344"/>
      <c r="SWE44" s="344"/>
      <c r="SWF44" s="344"/>
      <c r="SWG44" s="344"/>
      <c r="SWH44" s="344"/>
      <c r="SWI44" s="344"/>
      <c r="SWJ44" s="344"/>
      <c r="SWK44" s="344"/>
      <c r="SWL44" s="344"/>
      <c r="SWM44" s="344"/>
      <c r="SWN44" s="344"/>
      <c r="SWO44" s="344"/>
      <c r="SWP44" s="344"/>
      <c r="SWQ44" s="344"/>
      <c r="SWR44" s="344"/>
      <c r="SWS44" s="344"/>
      <c r="SWT44" s="344"/>
      <c r="SWU44" s="344"/>
      <c r="SWV44" s="344"/>
      <c r="SWW44" s="344"/>
      <c r="SWX44" s="344"/>
      <c r="SWY44" s="344"/>
      <c r="SWZ44" s="344"/>
      <c r="SXA44" s="344"/>
      <c r="SXB44" s="344"/>
      <c r="SXC44" s="344"/>
      <c r="SXD44" s="344"/>
      <c r="SXE44" s="344"/>
      <c r="SXF44" s="344"/>
      <c r="SXG44" s="344"/>
      <c r="SXH44" s="344"/>
      <c r="SXI44" s="344"/>
      <c r="SXJ44" s="344"/>
      <c r="SXK44" s="344"/>
      <c r="SXL44" s="344"/>
      <c r="SXM44" s="344"/>
      <c r="SXN44" s="344"/>
      <c r="SXO44" s="344"/>
      <c r="SXP44" s="344"/>
      <c r="SXQ44" s="344"/>
      <c r="SXR44" s="344"/>
      <c r="SXS44" s="344"/>
      <c r="SXT44" s="344"/>
      <c r="SXU44" s="344"/>
      <c r="SXV44" s="344"/>
      <c r="SXW44" s="344"/>
      <c r="SXX44" s="344"/>
      <c r="SXY44" s="344"/>
      <c r="SXZ44" s="344"/>
      <c r="SYA44" s="344"/>
      <c r="SYB44" s="344"/>
      <c r="SYC44" s="344"/>
      <c r="SYD44" s="344"/>
      <c r="SYE44" s="344"/>
      <c r="SYF44" s="344"/>
      <c r="SYG44" s="344"/>
      <c r="SYH44" s="344"/>
      <c r="SYI44" s="344"/>
      <c r="SYJ44" s="344"/>
      <c r="SYK44" s="344"/>
      <c r="SYL44" s="344"/>
      <c r="SYM44" s="344"/>
      <c r="SYN44" s="344"/>
      <c r="SYO44" s="344"/>
      <c r="SYP44" s="344"/>
      <c r="SYQ44" s="344"/>
      <c r="SYR44" s="344"/>
      <c r="SYS44" s="344"/>
      <c r="SYT44" s="344"/>
      <c r="SYU44" s="344"/>
      <c r="SYV44" s="344"/>
      <c r="SYW44" s="344"/>
      <c r="SYX44" s="344"/>
      <c r="SYY44" s="344"/>
      <c r="SYZ44" s="344"/>
      <c r="SZA44" s="344"/>
      <c r="SZB44" s="344"/>
      <c r="SZC44" s="344"/>
      <c r="SZD44" s="344"/>
      <c r="SZE44" s="344"/>
      <c r="SZF44" s="344"/>
      <c r="SZG44" s="344"/>
      <c r="SZH44" s="344"/>
      <c r="SZI44" s="344"/>
      <c r="SZJ44" s="344"/>
      <c r="SZK44" s="344"/>
      <c r="SZL44" s="344"/>
      <c r="SZM44" s="344"/>
      <c r="SZN44" s="344"/>
      <c r="SZO44" s="344"/>
      <c r="SZP44" s="344"/>
      <c r="SZQ44" s="344"/>
      <c r="SZR44" s="344"/>
      <c r="SZS44" s="344"/>
      <c r="SZT44" s="344"/>
      <c r="SZU44" s="344"/>
      <c r="SZV44" s="344"/>
      <c r="SZW44" s="344"/>
      <c r="SZX44" s="344"/>
      <c r="SZY44" s="344"/>
      <c r="SZZ44" s="344"/>
      <c r="TAA44" s="344"/>
      <c r="TAB44" s="344"/>
      <c r="TAC44" s="344"/>
      <c r="TAD44" s="344"/>
      <c r="TAE44" s="344"/>
      <c r="TAF44" s="344"/>
      <c r="TAG44" s="344"/>
      <c r="TAH44" s="344"/>
      <c r="TAI44" s="344"/>
      <c r="TAJ44" s="344"/>
      <c r="TAK44" s="344"/>
      <c r="TAL44" s="344"/>
      <c r="TAM44" s="344"/>
      <c r="TAN44" s="344"/>
      <c r="TAO44" s="344"/>
      <c r="TAP44" s="344"/>
      <c r="TAQ44" s="344"/>
      <c r="TAR44" s="344"/>
      <c r="TAS44" s="344"/>
      <c r="TAT44" s="344"/>
      <c r="TAU44" s="344"/>
      <c r="TAV44" s="344"/>
      <c r="TAW44" s="344"/>
      <c r="TAX44" s="344"/>
      <c r="TAY44" s="344"/>
      <c r="TAZ44" s="344"/>
      <c r="TBA44" s="344"/>
      <c r="TBB44" s="344"/>
      <c r="TBC44" s="344"/>
      <c r="TBD44" s="344"/>
      <c r="TBE44" s="344"/>
      <c r="TBF44" s="344"/>
      <c r="TBG44" s="344"/>
      <c r="TBH44" s="344"/>
      <c r="TBI44" s="344"/>
      <c r="TBJ44" s="344"/>
      <c r="TBK44" s="344"/>
      <c r="TBL44" s="344"/>
      <c r="TBM44" s="344"/>
      <c r="TBN44" s="344"/>
      <c r="TBO44" s="344"/>
      <c r="TBP44" s="344"/>
      <c r="TBQ44" s="344"/>
      <c r="TBR44" s="344"/>
      <c r="TBS44" s="344"/>
      <c r="TBT44" s="344"/>
      <c r="TBU44" s="344"/>
      <c r="TBV44" s="344"/>
      <c r="TBW44" s="344"/>
      <c r="TBX44" s="344"/>
      <c r="TBY44" s="344"/>
      <c r="TBZ44" s="344"/>
      <c r="TCA44" s="344"/>
      <c r="TCB44" s="344"/>
      <c r="TCC44" s="344"/>
      <c r="TCD44" s="344"/>
      <c r="TCE44" s="344"/>
      <c r="TCF44" s="344"/>
      <c r="TCG44" s="344"/>
      <c r="TCH44" s="344"/>
      <c r="TCI44" s="344"/>
      <c r="TCJ44" s="344"/>
      <c r="TCK44" s="344"/>
      <c r="TCL44" s="344"/>
      <c r="TCM44" s="344"/>
      <c r="TCN44" s="344"/>
      <c r="TCO44" s="344"/>
      <c r="TCP44" s="344"/>
      <c r="TCQ44" s="344"/>
      <c r="TCR44" s="344"/>
      <c r="TCS44" s="344"/>
      <c r="TCT44" s="344"/>
      <c r="TCU44" s="344"/>
      <c r="TCV44" s="344"/>
      <c r="TCW44" s="344"/>
      <c r="TCX44" s="344"/>
      <c r="TCY44" s="344"/>
      <c r="TCZ44" s="344"/>
      <c r="TDA44" s="344"/>
      <c r="TDB44" s="344"/>
      <c r="TDC44" s="344"/>
      <c r="TDD44" s="344"/>
      <c r="TDE44" s="344"/>
      <c r="TDF44" s="344"/>
      <c r="TDG44" s="344"/>
      <c r="TDH44" s="344"/>
      <c r="TDI44" s="344"/>
      <c r="TDJ44" s="344"/>
      <c r="TDK44" s="344"/>
      <c r="TDL44" s="344"/>
      <c r="TDM44" s="344"/>
      <c r="TDN44" s="344"/>
      <c r="TDO44" s="344"/>
      <c r="TDP44" s="344"/>
      <c r="TDQ44" s="344"/>
      <c r="TDR44" s="344"/>
      <c r="TDS44" s="344"/>
      <c r="TDT44" s="344"/>
      <c r="TDU44" s="344"/>
      <c r="TDV44" s="344"/>
      <c r="TDW44" s="344"/>
      <c r="TDX44" s="344"/>
      <c r="TDY44" s="344"/>
      <c r="TDZ44" s="344"/>
      <c r="TEA44" s="344"/>
      <c r="TEB44" s="344"/>
      <c r="TEC44" s="344"/>
      <c r="TED44" s="344"/>
      <c r="TEE44" s="344"/>
      <c r="TEF44" s="344"/>
      <c r="TEG44" s="344"/>
      <c r="TEH44" s="344"/>
      <c r="TEI44" s="344"/>
      <c r="TEJ44" s="344"/>
      <c r="TEK44" s="344"/>
      <c r="TEL44" s="344"/>
      <c r="TEM44" s="344"/>
      <c r="TEN44" s="344"/>
      <c r="TEO44" s="344"/>
      <c r="TEP44" s="344"/>
      <c r="TEQ44" s="344"/>
      <c r="TER44" s="344"/>
      <c r="TES44" s="344"/>
      <c r="TET44" s="344"/>
      <c r="TEU44" s="344"/>
      <c r="TEV44" s="344"/>
      <c r="TEW44" s="344"/>
      <c r="TEX44" s="344"/>
      <c r="TEY44" s="344"/>
      <c r="TEZ44" s="344"/>
      <c r="TFA44" s="344"/>
      <c r="TFB44" s="344"/>
      <c r="TFC44" s="344"/>
      <c r="TFD44" s="344"/>
      <c r="TFE44" s="344"/>
      <c r="TFF44" s="344"/>
      <c r="TFG44" s="344"/>
      <c r="TFH44" s="344"/>
      <c r="TFI44" s="344"/>
      <c r="TFJ44" s="344"/>
      <c r="TFK44" s="344"/>
      <c r="TFL44" s="344"/>
      <c r="TFM44" s="344"/>
      <c r="TFN44" s="344"/>
      <c r="TFO44" s="344"/>
      <c r="TFP44" s="344"/>
      <c r="TFQ44" s="344"/>
      <c r="TFR44" s="344"/>
      <c r="TFS44" s="344"/>
      <c r="TFT44" s="344"/>
      <c r="TFU44" s="344"/>
      <c r="TFV44" s="344"/>
      <c r="TFW44" s="344"/>
      <c r="TFX44" s="344"/>
      <c r="TFY44" s="344"/>
      <c r="TFZ44" s="344"/>
      <c r="TGA44" s="344"/>
      <c r="TGB44" s="344"/>
      <c r="TGC44" s="344"/>
      <c r="TGD44" s="344"/>
      <c r="TGE44" s="344"/>
      <c r="TGF44" s="344"/>
      <c r="TGG44" s="344"/>
      <c r="TGH44" s="344"/>
      <c r="TGI44" s="344"/>
      <c r="TGJ44" s="344"/>
      <c r="TGK44" s="344"/>
      <c r="TGL44" s="344"/>
      <c r="TGM44" s="344"/>
      <c r="TGN44" s="344"/>
      <c r="TGO44" s="344"/>
      <c r="TGP44" s="344"/>
      <c r="TGQ44" s="344"/>
      <c r="TGR44" s="344"/>
      <c r="TGS44" s="344"/>
      <c r="TGT44" s="344"/>
      <c r="TGU44" s="344"/>
      <c r="TGV44" s="344"/>
      <c r="TGW44" s="344"/>
      <c r="TGX44" s="344"/>
      <c r="TGY44" s="344"/>
      <c r="TGZ44" s="344"/>
      <c r="THA44" s="344"/>
      <c r="THB44" s="344"/>
      <c r="THC44" s="344"/>
      <c r="THD44" s="344"/>
      <c r="THE44" s="344"/>
      <c r="THF44" s="344"/>
      <c r="THG44" s="344"/>
      <c r="THH44" s="344"/>
      <c r="THI44" s="344"/>
      <c r="THJ44" s="344"/>
      <c r="THK44" s="344"/>
      <c r="THL44" s="344"/>
      <c r="THM44" s="344"/>
      <c r="THN44" s="344"/>
      <c r="THO44" s="344"/>
      <c r="THP44" s="344"/>
      <c r="THQ44" s="344"/>
      <c r="THR44" s="344"/>
      <c r="THS44" s="344"/>
      <c r="THT44" s="344"/>
      <c r="THU44" s="344"/>
      <c r="THV44" s="344"/>
      <c r="THW44" s="344"/>
      <c r="THX44" s="344"/>
      <c r="THY44" s="344"/>
      <c r="THZ44" s="344"/>
      <c r="TIA44" s="344"/>
      <c r="TIB44" s="344"/>
      <c r="TIC44" s="344"/>
      <c r="TID44" s="344"/>
      <c r="TIE44" s="344"/>
      <c r="TIF44" s="344"/>
      <c r="TIG44" s="344"/>
      <c r="TIH44" s="344"/>
      <c r="TII44" s="344"/>
      <c r="TIJ44" s="344"/>
      <c r="TIK44" s="344"/>
      <c r="TIL44" s="344"/>
      <c r="TIM44" s="344"/>
      <c r="TIN44" s="344"/>
      <c r="TIO44" s="344"/>
      <c r="TIP44" s="344"/>
      <c r="TIQ44" s="344"/>
      <c r="TIR44" s="344"/>
      <c r="TIS44" s="344"/>
      <c r="TIT44" s="344"/>
      <c r="TIU44" s="344"/>
      <c r="TIV44" s="344"/>
      <c r="TIW44" s="344"/>
      <c r="TIX44" s="344"/>
      <c r="TIY44" s="344"/>
      <c r="TIZ44" s="344"/>
      <c r="TJA44" s="344"/>
      <c r="TJB44" s="344"/>
      <c r="TJC44" s="344"/>
      <c r="TJD44" s="344"/>
      <c r="TJE44" s="344"/>
      <c r="TJF44" s="344"/>
      <c r="TJG44" s="344"/>
      <c r="TJH44" s="344"/>
      <c r="TJI44" s="344"/>
      <c r="TJJ44" s="344"/>
      <c r="TJK44" s="344"/>
      <c r="TJL44" s="344"/>
      <c r="TJM44" s="344"/>
      <c r="TJN44" s="344"/>
      <c r="TJO44" s="344"/>
      <c r="TJP44" s="344"/>
      <c r="TJQ44" s="344"/>
      <c r="TJR44" s="344"/>
      <c r="TJS44" s="344"/>
      <c r="TJT44" s="344"/>
      <c r="TJU44" s="344"/>
      <c r="TJV44" s="344"/>
      <c r="TJW44" s="344"/>
      <c r="TJX44" s="344"/>
      <c r="TJY44" s="344"/>
      <c r="TJZ44" s="344"/>
      <c r="TKA44" s="344"/>
      <c r="TKB44" s="344"/>
      <c r="TKC44" s="344"/>
      <c r="TKD44" s="344"/>
      <c r="TKE44" s="344"/>
      <c r="TKF44" s="344"/>
      <c r="TKG44" s="344"/>
      <c r="TKH44" s="344"/>
      <c r="TKI44" s="344"/>
      <c r="TKJ44" s="344"/>
      <c r="TKK44" s="344"/>
      <c r="TKL44" s="344"/>
      <c r="TKM44" s="344"/>
      <c r="TKN44" s="344"/>
      <c r="TKO44" s="344"/>
      <c r="TKP44" s="344"/>
      <c r="TKQ44" s="344"/>
      <c r="TKR44" s="344"/>
      <c r="TKS44" s="344"/>
      <c r="TKT44" s="344"/>
      <c r="TKU44" s="344"/>
      <c r="TKV44" s="344"/>
      <c r="TKW44" s="344"/>
      <c r="TKX44" s="344"/>
      <c r="TKY44" s="344"/>
      <c r="TKZ44" s="344"/>
      <c r="TLA44" s="344"/>
      <c r="TLB44" s="344"/>
      <c r="TLC44" s="344"/>
      <c r="TLD44" s="344"/>
      <c r="TLE44" s="344"/>
      <c r="TLF44" s="344"/>
      <c r="TLG44" s="344"/>
      <c r="TLH44" s="344"/>
      <c r="TLI44" s="344"/>
      <c r="TLJ44" s="344"/>
      <c r="TLK44" s="344"/>
      <c r="TLL44" s="344"/>
      <c r="TLM44" s="344"/>
      <c r="TLN44" s="344"/>
      <c r="TLO44" s="344"/>
      <c r="TLP44" s="344"/>
      <c r="TLQ44" s="344"/>
      <c r="TLR44" s="344"/>
      <c r="TLS44" s="344"/>
      <c r="TLT44" s="344"/>
      <c r="TLU44" s="344"/>
      <c r="TLV44" s="344"/>
      <c r="TLW44" s="344"/>
      <c r="TLX44" s="344"/>
      <c r="TLY44" s="344"/>
      <c r="TLZ44" s="344"/>
      <c r="TMA44" s="344"/>
      <c r="TMB44" s="344"/>
      <c r="TMC44" s="344"/>
      <c r="TMD44" s="344"/>
      <c r="TME44" s="344"/>
      <c r="TMF44" s="344"/>
      <c r="TMG44" s="344"/>
      <c r="TMH44" s="344"/>
      <c r="TMI44" s="344"/>
      <c r="TMJ44" s="344"/>
      <c r="TMK44" s="344"/>
      <c r="TML44" s="344"/>
      <c r="TMM44" s="344"/>
      <c r="TMN44" s="344"/>
      <c r="TMO44" s="344"/>
      <c r="TMP44" s="344"/>
      <c r="TMQ44" s="344"/>
      <c r="TMR44" s="344"/>
      <c r="TMS44" s="344"/>
      <c r="TMT44" s="344"/>
      <c r="TMU44" s="344"/>
      <c r="TMV44" s="344"/>
      <c r="TMW44" s="344"/>
      <c r="TMX44" s="344"/>
      <c r="TMY44" s="344"/>
      <c r="TMZ44" s="344"/>
      <c r="TNA44" s="344"/>
      <c r="TNB44" s="344"/>
      <c r="TNC44" s="344"/>
      <c r="TND44" s="344"/>
      <c r="TNE44" s="344"/>
      <c r="TNF44" s="344"/>
      <c r="TNG44" s="344"/>
      <c r="TNH44" s="344"/>
      <c r="TNI44" s="344"/>
      <c r="TNJ44" s="344"/>
      <c r="TNK44" s="344"/>
      <c r="TNL44" s="344"/>
      <c r="TNM44" s="344"/>
      <c r="TNN44" s="344"/>
      <c r="TNO44" s="344"/>
      <c r="TNP44" s="344"/>
      <c r="TNQ44" s="344"/>
      <c r="TNR44" s="344"/>
      <c r="TNS44" s="344"/>
      <c r="TNT44" s="344"/>
      <c r="TNU44" s="344"/>
      <c r="TNV44" s="344"/>
      <c r="TNW44" s="344"/>
      <c r="TNX44" s="344"/>
      <c r="TNY44" s="344"/>
      <c r="TNZ44" s="344"/>
      <c r="TOA44" s="344"/>
      <c r="TOB44" s="344"/>
      <c r="TOC44" s="344"/>
      <c r="TOD44" s="344"/>
      <c r="TOE44" s="344"/>
      <c r="TOF44" s="344"/>
      <c r="TOG44" s="344"/>
      <c r="TOH44" s="344"/>
      <c r="TOI44" s="344"/>
      <c r="TOJ44" s="344"/>
      <c r="TOK44" s="344"/>
      <c r="TOL44" s="344"/>
      <c r="TOM44" s="344"/>
      <c r="TON44" s="344"/>
      <c r="TOO44" s="344"/>
      <c r="TOP44" s="344"/>
      <c r="TOQ44" s="344"/>
      <c r="TOR44" s="344"/>
      <c r="TOS44" s="344"/>
      <c r="TOT44" s="344"/>
      <c r="TOU44" s="344"/>
      <c r="TOV44" s="344"/>
      <c r="TOW44" s="344"/>
      <c r="TOX44" s="344"/>
      <c r="TOY44" s="344"/>
      <c r="TOZ44" s="344"/>
      <c r="TPA44" s="344"/>
      <c r="TPB44" s="344"/>
      <c r="TPC44" s="344"/>
      <c r="TPD44" s="344"/>
      <c r="TPE44" s="344"/>
      <c r="TPF44" s="344"/>
      <c r="TPG44" s="344"/>
      <c r="TPH44" s="344"/>
      <c r="TPI44" s="344"/>
      <c r="TPJ44" s="344"/>
      <c r="TPK44" s="344"/>
      <c r="TPL44" s="344"/>
      <c r="TPM44" s="344"/>
      <c r="TPN44" s="344"/>
      <c r="TPO44" s="344"/>
      <c r="TPP44" s="344"/>
      <c r="TPQ44" s="344"/>
      <c r="TPR44" s="344"/>
      <c r="TPS44" s="344"/>
      <c r="TPT44" s="344"/>
      <c r="TPU44" s="344"/>
      <c r="TPV44" s="344"/>
      <c r="TPW44" s="344"/>
      <c r="TPX44" s="344"/>
      <c r="TPY44" s="344"/>
      <c r="TPZ44" s="344"/>
      <c r="TQA44" s="344"/>
      <c r="TQB44" s="344"/>
      <c r="TQC44" s="344"/>
      <c r="TQD44" s="344"/>
      <c r="TQE44" s="344"/>
      <c r="TQF44" s="344"/>
      <c r="TQG44" s="344"/>
      <c r="TQH44" s="344"/>
      <c r="TQI44" s="344"/>
      <c r="TQJ44" s="344"/>
      <c r="TQK44" s="344"/>
      <c r="TQL44" s="344"/>
      <c r="TQM44" s="344"/>
      <c r="TQN44" s="344"/>
      <c r="TQO44" s="344"/>
      <c r="TQP44" s="344"/>
      <c r="TQQ44" s="344"/>
      <c r="TQR44" s="344"/>
      <c r="TQS44" s="344"/>
      <c r="TQT44" s="344"/>
      <c r="TQU44" s="344"/>
      <c r="TQV44" s="344"/>
      <c r="TQW44" s="344"/>
      <c r="TQX44" s="344"/>
      <c r="TQY44" s="344"/>
      <c r="TQZ44" s="344"/>
      <c r="TRA44" s="344"/>
      <c r="TRB44" s="344"/>
      <c r="TRC44" s="344"/>
      <c r="TRD44" s="344"/>
      <c r="TRE44" s="344"/>
      <c r="TRF44" s="344"/>
      <c r="TRG44" s="344"/>
      <c r="TRH44" s="344"/>
      <c r="TRI44" s="344"/>
      <c r="TRJ44" s="344"/>
      <c r="TRK44" s="344"/>
      <c r="TRL44" s="344"/>
      <c r="TRM44" s="344"/>
      <c r="TRN44" s="344"/>
      <c r="TRO44" s="344"/>
      <c r="TRP44" s="344"/>
      <c r="TRQ44" s="344"/>
      <c r="TRR44" s="344"/>
      <c r="TRS44" s="344"/>
      <c r="TRT44" s="344"/>
      <c r="TRU44" s="344"/>
      <c r="TRV44" s="344"/>
      <c r="TRW44" s="344"/>
      <c r="TRX44" s="344"/>
      <c r="TRY44" s="344"/>
      <c r="TRZ44" s="344"/>
      <c r="TSA44" s="344"/>
      <c r="TSB44" s="344"/>
      <c r="TSC44" s="344"/>
      <c r="TSD44" s="344"/>
      <c r="TSE44" s="344"/>
      <c r="TSF44" s="344"/>
      <c r="TSG44" s="344"/>
      <c r="TSH44" s="344"/>
      <c r="TSI44" s="344"/>
      <c r="TSJ44" s="344"/>
      <c r="TSK44" s="344"/>
      <c r="TSL44" s="344"/>
      <c r="TSM44" s="344"/>
      <c r="TSN44" s="344"/>
      <c r="TSO44" s="344"/>
      <c r="TSP44" s="344"/>
      <c r="TSQ44" s="344"/>
      <c r="TSR44" s="344"/>
      <c r="TSS44" s="344"/>
      <c r="TST44" s="344"/>
      <c r="TSU44" s="344"/>
      <c r="TSV44" s="344"/>
      <c r="TSW44" s="344"/>
      <c r="TSX44" s="344"/>
      <c r="TSY44" s="344"/>
      <c r="TSZ44" s="344"/>
      <c r="TTA44" s="344"/>
      <c r="TTB44" s="344"/>
      <c r="TTC44" s="344"/>
      <c r="TTD44" s="344"/>
      <c r="TTE44" s="344"/>
      <c r="TTF44" s="344"/>
      <c r="TTG44" s="344"/>
      <c r="TTH44" s="344"/>
      <c r="TTI44" s="344"/>
      <c r="TTJ44" s="344"/>
      <c r="TTK44" s="344"/>
      <c r="TTL44" s="344"/>
      <c r="TTM44" s="344"/>
      <c r="TTN44" s="344"/>
      <c r="TTO44" s="344"/>
      <c r="TTP44" s="344"/>
      <c r="TTQ44" s="344"/>
      <c r="TTR44" s="344"/>
      <c r="TTS44" s="344"/>
      <c r="TTT44" s="344"/>
      <c r="TTU44" s="344"/>
      <c r="TTV44" s="344"/>
      <c r="TTW44" s="344"/>
      <c r="TTX44" s="344"/>
      <c r="TTY44" s="344"/>
      <c r="TTZ44" s="344"/>
      <c r="TUA44" s="344"/>
      <c r="TUB44" s="344"/>
      <c r="TUC44" s="344"/>
      <c r="TUD44" s="344"/>
      <c r="TUE44" s="344"/>
      <c r="TUF44" s="344"/>
      <c r="TUG44" s="344"/>
      <c r="TUH44" s="344"/>
      <c r="TUI44" s="344"/>
      <c r="TUJ44" s="344"/>
      <c r="TUK44" s="344"/>
      <c r="TUL44" s="344"/>
      <c r="TUM44" s="344"/>
      <c r="TUN44" s="344"/>
      <c r="TUO44" s="344"/>
      <c r="TUP44" s="344"/>
      <c r="TUQ44" s="344"/>
      <c r="TUR44" s="344"/>
      <c r="TUS44" s="344"/>
      <c r="TUT44" s="344"/>
      <c r="TUU44" s="344"/>
      <c r="TUV44" s="344"/>
      <c r="TUW44" s="344"/>
      <c r="TUX44" s="344"/>
      <c r="TUY44" s="344"/>
      <c r="TUZ44" s="344"/>
      <c r="TVA44" s="344"/>
      <c r="TVB44" s="344"/>
      <c r="TVC44" s="344"/>
      <c r="TVD44" s="344"/>
      <c r="TVE44" s="344"/>
      <c r="TVF44" s="344"/>
      <c r="TVG44" s="344"/>
      <c r="TVH44" s="344"/>
      <c r="TVI44" s="344"/>
      <c r="TVJ44" s="344"/>
      <c r="TVK44" s="344"/>
      <c r="TVL44" s="344"/>
      <c r="TVM44" s="344"/>
      <c r="TVN44" s="344"/>
      <c r="TVO44" s="344"/>
      <c r="TVP44" s="344"/>
      <c r="TVQ44" s="344"/>
      <c r="TVR44" s="344"/>
      <c r="TVS44" s="344"/>
      <c r="TVT44" s="344"/>
      <c r="TVU44" s="344"/>
      <c r="TVV44" s="344"/>
      <c r="TVW44" s="344"/>
      <c r="TVX44" s="344"/>
      <c r="TVY44" s="344"/>
      <c r="TVZ44" s="344"/>
      <c r="TWA44" s="344"/>
      <c r="TWB44" s="344"/>
      <c r="TWC44" s="344"/>
      <c r="TWD44" s="344"/>
      <c r="TWE44" s="344"/>
      <c r="TWF44" s="344"/>
      <c r="TWG44" s="344"/>
      <c r="TWH44" s="344"/>
      <c r="TWI44" s="344"/>
      <c r="TWJ44" s="344"/>
      <c r="TWK44" s="344"/>
      <c r="TWL44" s="344"/>
      <c r="TWM44" s="344"/>
      <c r="TWN44" s="344"/>
      <c r="TWO44" s="344"/>
      <c r="TWP44" s="344"/>
      <c r="TWQ44" s="344"/>
      <c r="TWR44" s="344"/>
      <c r="TWS44" s="344"/>
      <c r="TWT44" s="344"/>
      <c r="TWU44" s="344"/>
      <c r="TWV44" s="344"/>
      <c r="TWW44" s="344"/>
      <c r="TWX44" s="344"/>
      <c r="TWY44" s="344"/>
      <c r="TWZ44" s="344"/>
      <c r="TXA44" s="344"/>
      <c r="TXB44" s="344"/>
      <c r="TXC44" s="344"/>
      <c r="TXD44" s="344"/>
      <c r="TXE44" s="344"/>
      <c r="TXF44" s="344"/>
      <c r="TXG44" s="344"/>
      <c r="TXH44" s="344"/>
      <c r="TXI44" s="344"/>
      <c r="TXJ44" s="344"/>
      <c r="TXK44" s="344"/>
      <c r="TXL44" s="344"/>
      <c r="TXM44" s="344"/>
      <c r="TXN44" s="344"/>
      <c r="TXO44" s="344"/>
      <c r="TXP44" s="344"/>
      <c r="TXQ44" s="344"/>
      <c r="TXR44" s="344"/>
      <c r="TXS44" s="344"/>
      <c r="TXT44" s="344"/>
      <c r="TXU44" s="344"/>
      <c r="TXV44" s="344"/>
      <c r="TXW44" s="344"/>
      <c r="TXX44" s="344"/>
      <c r="TXY44" s="344"/>
      <c r="TXZ44" s="344"/>
      <c r="TYA44" s="344"/>
      <c r="TYB44" s="344"/>
      <c r="TYC44" s="344"/>
      <c r="TYD44" s="344"/>
      <c r="TYE44" s="344"/>
      <c r="TYF44" s="344"/>
      <c r="TYG44" s="344"/>
      <c r="TYH44" s="344"/>
      <c r="TYI44" s="344"/>
      <c r="TYJ44" s="344"/>
      <c r="TYK44" s="344"/>
      <c r="TYL44" s="344"/>
      <c r="TYM44" s="344"/>
      <c r="TYN44" s="344"/>
      <c r="TYO44" s="344"/>
      <c r="TYP44" s="344"/>
      <c r="TYQ44" s="344"/>
      <c r="TYR44" s="344"/>
      <c r="TYS44" s="344"/>
      <c r="TYT44" s="344"/>
      <c r="TYU44" s="344"/>
      <c r="TYV44" s="344"/>
      <c r="TYW44" s="344"/>
      <c r="TYX44" s="344"/>
      <c r="TYY44" s="344"/>
      <c r="TYZ44" s="344"/>
      <c r="TZA44" s="344"/>
      <c r="TZB44" s="344"/>
      <c r="TZC44" s="344"/>
      <c r="TZD44" s="344"/>
      <c r="TZE44" s="344"/>
      <c r="TZF44" s="344"/>
      <c r="TZG44" s="344"/>
      <c r="TZH44" s="344"/>
      <c r="TZI44" s="344"/>
      <c r="TZJ44" s="344"/>
      <c r="TZK44" s="344"/>
      <c r="TZL44" s="344"/>
      <c r="TZM44" s="344"/>
      <c r="TZN44" s="344"/>
      <c r="TZO44" s="344"/>
      <c r="TZP44" s="344"/>
      <c r="TZQ44" s="344"/>
      <c r="TZR44" s="344"/>
      <c r="TZS44" s="344"/>
      <c r="TZT44" s="344"/>
      <c r="TZU44" s="344"/>
      <c r="TZV44" s="344"/>
      <c r="TZW44" s="344"/>
      <c r="TZX44" s="344"/>
      <c r="TZY44" s="344"/>
      <c r="TZZ44" s="344"/>
      <c r="UAA44" s="344"/>
      <c r="UAB44" s="344"/>
      <c r="UAC44" s="344"/>
      <c r="UAD44" s="344"/>
      <c r="UAE44" s="344"/>
      <c r="UAF44" s="344"/>
      <c r="UAG44" s="344"/>
      <c r="UAH44" s="344"/>
      <c r="UAI44" s="344"/>
      <c r="UAJ44" s="344"/>
      <c r="UAK44" s="344"/>
      <c r="UAL44" s="344"/>
      <c r="UAM44" s="344"/>
      <c r="UAN44" s="344"/>
      <c r="UAO44" s="344"/>
      <c r="UAP44" s="344"/>
      <c r="UAQ44" s="344"/>
      <c r="UAR44" s="344"/>
      <c r="UAS44" s="344"/>
      <c r="UAT44" s="344"/>
      <c r="UAU44" s="344"/>
      <c r="UAV44" s="344"/>
      <c r="UAW44" s="344"/>
      <c r="UAX44" s="344"/>
      <c r="UAY44" s="344"/>
      <c r="UAZ44" s="344"/>
      <c r="UBA44" s="344"/>
      <c r="UBB44" s="344"/>
      <c r="UBC44" s="344"/>
      <c r="UBD44" s="344"/>
      <c r="UBE44" s="344"/>
      <c r="UBF44" s="344"/>
      <c r="UBG44" s="344"/>
      <c r="UBH44" s="344"/>
      <c r="UBI44" s="344"/>
      <c r="UBJ44" s="344"/>
      <c r="UBK44" s="344"/>
      <c r="UBL44" s="344"/>
      <c r="UBM44" s="344"/>
      <c r="UBN44" s="344"/>
      <c r="UBO44" s="344"/>
      <c r="UBP44" s="344"/>
      <c r="UBQ44" s="344"/>
      <c r="UBR44" s="344"/>
      <c r="UBS44" s="344"/>
      <c r="UBT44" s="344"/>
      <c r="UBU44" s="344"/>
      <c r="UBV44" s="344"/>
      <c r="UBW44" s="344"/>
      <c r="UBX44" s="344"/>
      <c r="UBY44" s="344"/>
      <c r="UBZ44" s="344"/>
      <c r="UCA44" s="344"/>
      <c r="UCB44" s="344"/>
      <c r="UCC44" s="344"/>
      <c r="UCD44" s="344"/>
      <c r="UCE44" s="344"/>
      <c r="UCF44" s="344"/>
      <c r="UCG44" s="344"/>
      <c r="UCH44" s="344"/>
      <c r="UCI44" s="344"/>
      <c r="UCJ44" s="344"/>
      <c r="UCK44" s="344"/>
      <c r="UCL44" s="344"/>
      <c r="UCM44" s="344"/>
      <c r="UCN44" s="344"/>
      <c r="UCO44" s="344"/>
      <c r="UCP44" s="344"/>
      <c r="UCQ44" s="344"/>
      <c r="UCR44" s="344"/>
      <c r="UCS44" s="344"/>
      <c r="UCT44" s="344"/>
      <c r="UCU44" s="344"/>
      <c r="UCV44" s="344"/>
      <c r="UCW44" s="344"/>
      <c r="UCX44" s="344"/>
      <c r="UCY44" s="344"/>
      <c r="UCZ44" s="344"/>
      <c r="UDA44" s="344"/>
      <c r="UDB44" s="344"/>
      <c r="UDC44" s="344"/>
      <c r="UDD44" s="344"/>
      <c r="UDE44" s="344"/>
      <c r="UDF44" s="344"/>
      <c r="UDG44" s="344"/>
      <c r="UDH44" s="344"/>
      <c r="UDI44" s="344"/>
      <c r="UDJ44" s="344"/>
      <c r="UDK44" s="344"/>
      <c r="UDL44" s="344"/>
      <c r="UDM44" s="344"/>
      <c r="UDN44" s="344"/>
      <c r="UDO44" s="344"/>
      <c r="UDP44" s="344"/>
      <c r="UDQ44" s="344"/>
      <c r="UDR44" s="344"/>
      <c r="UDS44" s="344"/>
      <c r="UDT44" s="344"/>
      <c r="UDU44" s="344"/>
      <c r="UDV44" s="344"/>
      <c r="UDW44" s="344"/>
      <c r="UDX44" s="344"/>
      <c r="UDY44" s="344"/>
      <c r="UDZ44" s="344"/>
      <c r="UEA44" s="344"/>
      <c r="UEB44" s="344"/>
      <c r="UEC44" s="344"/>
      <c r="UED44" s="344"/>
      <c r="UEE44" s="344"/>
      <c r="UEF44" s="344"/>
      <c r="UEG44" s="344"/>
      <c r="UEH44" s="344"/>
      <c r="UEI44" s="344"/>
      <c r="UEJ44" s="344"/>
      <c r="UEK44" s="344"/>
      <c r="UEL44" s="344"/>
      <c r="UEM44" s="344"/>
      <c r="UEN44" s="344"/>
      <c r="UEO44" s="344"/>
      <c r="UEP44" s="344"/>
      <c r="UEQ44" s="344"/>
      <c r="UER44" s="344"/>
      <c r="UES44" s="344"/>
      <c r="UET44" s="344"/>
      <c r="UEU44" s="344"/>
      <c r="UEV44" s="344"/>
      <c r="UEW44" s="344"/>
      <c r="UEX44" s="344"/>
      <c r="UEY44" s="344"/>
      <c r="UEZ44" s="344"/>
      <c r="UFA44" s="344"/>
      <c r="UFB44" s="344"/>
      <c r="UFC44" s="344"/>
      <c r="UFD44" s="344"/>
      <c r="UFE44" s="344"/>
      <c r="UFF44" s="344"/>
      <c r="UFG44" s="344"/>
      <c r="UFH44" s="344"/>
      <c r="UFI44" s="344"/>
      <c r="UFJ44" s="344"/>
      <c r="UFK44" s="344"/>
      <c r="UFL44" s="344"/>
      <c r="UFM44" s="344"/>
      <c r="UFN44" s="344"/>
      <c r="UFO44" s="344"/>
      <c r="UFP44" s="344"/>
      <c r="UFQ44" s="344"/>
      <c r="UFR44" s="344"/>
      <c r="UFS44" s="344"/>
      <c r="UFT44" s="344"/>
      <c r="UFU44" s="344"/>
      <c r="UFV44" s="344"/>
      <c r="UFW44" s="344"/>
      <c r="UFX44" s="344"/>
      <c r="UFY44" s="344"/>
      <c r="UFZ44" s="344"/>
      <c r="UGA44" s="344"/>
      <c r="UGB44" s="344"/>
      <c r="UGC44" s="344"/>
      <c r="UGD44" s="344"/>
      <c r="UGE44" s="344"/>
      <c r="UGF44" s="344"/>
      <c r="UGG44" s="344"/>
      <c r="UGH44" s="344"/>
      <c r="UGI44" s="344"/>
      <c r="UGJ44" s="344"/>
      <c r="UGK44" s="344"/>
      <c r="UGL44" s="344"/>
      <c r="UGM44" s="344"/>
      <c r="UGN44" s="344"/>
      <c r="UGO44" s="344"/>
      <c r="UGP44" s="344"/>
      <c r="UGQ44" s="344"/>
      <c r="UGR44" s="344"/>
      <c r="UGS44" s="344"/>
      <c r="UGT44" s="344"/>
      <c r="UGU44" s="344"/>
      <c r="UGV44" s="344"/>
      <c r="UGW44" s="344"/>
      <c r="UGX44" s="344"/>
      <c r="UGY44" s="344"/>
      <c r="UGZ44" s="344"/>
      <c r="UHA44" s="344"/>
      <c r="UHB44" s="344"/>
      <c r="UHC44" s="344"/>
      <c r="UHD44" s="344"/>
      <c r="UHE44" s="344"/>
      <c r="UHF44" s="344"/>
      <c r="UHG44" s="344"/>
      <c r="UHH44" s="344"/>
      <c r="UHI44" s="344"/>
      <c r="UHJ44" s="344"/>
      <c r="UHK44" s="344"/>
      <c r="UHL44" s="344"/>
      <c r="UHM44" s="344"/>
      <c r="UHN44" s="344"/>
      <c r="UHO44" s="344"/>
      <c r="UHP44" s="344"/>
      <c r="UHQ44" s="344"/>
      <c r="UHR44" s="344"/>
      <c r="UHS44" s="344"/>
      <c r="UHT44" s="344"/>
      <c r="UHU44" s="344"/>
      <c r="UHV44" s="344"/>
      <c r="UHW44" s="344"/>
      <c r="UHX44" s="344"/>
      <c r="UHY44" s="344"/>
      <c r="UHZ44" s="344"/>
      <c r="UIA44" s="344"/>
      <c r="UIB44" s="344"/>
      <c r="UIC44" s="344"/>
      <c r="UID44" s="344"/>
      <c r="UIE44" s="344"/>
      <c r="UIF44" s="344"/>
      <c r="UIG44" s="344"/>
      <c r="UIH44" s="344"/>
      <c r="UII44" s="344"/>
      <c r="UIJ44" s="344"/>
      <c r="UIK44" s="344"/>
      <c r="UIL44" s="344"/>
      <c r="UIM44" s="344"/>
      <c r="UIN44" s="344"/>
      <c r="UIO44" s="344"/>
      <c r="UIP44" s="344"/>
      <c r="UIQ44" s="344"/>
      <c r="UIR44" s="344"/>
      <c r="UIS44" s="344"/>
      <c r="UIT44" s="344"/>
      <c r="UIU44" s="344"/>
      <c r="UIV44" s="344"/>
      <c r="UIW44" s="344"/>
      <c r="UIX44" s="344"/>
      <c r="UIY44" s="344"/>
      <c r="UIZ44" s="344"/>
      <c r="UJA44" s="344"/>
      <c r="UJB44" s="344"/>
      <c r="UJC44" s="344"/>
      <c r="UJD44" s="344"/>
      <c r="UJE44" s="344"/>
      <c r="UJF44" s="344"/>
      <c r="UJG44" s="344"/>
      <c r="UJH44" s="344"/>
      <c r="UJI44" s="344"/>
      <c r="UJJ44" s="344"/>
      <c r="UJK44" s="344"/>
      <c r="UJL44" s="344"/>
      <c r="UJM44" s="344"/>
      <c r="UJN44" s="344"/>
      <c r="UJO44" s="344"/>
      <c r="UJP44" s="344"/>
      <c r="UJQ44" s="344"/>
      <c r="UJR44" s="344"/>
      <c r="UJS44" s="344"/>
      <c r="UJT44" s="344"/>
      <c r="UJU44" s="344"/>
      <c r="UJV44" s="344"/>
      <c r="UJW44" s="344"/>
      <c r="UJX44" s="344"/>
      <c r="UJY44" s="344"/>
      <c r="UJZ44" s="344"/>
      <c r="UKA44" s="344"/>
      <c r="UKB44" s="344"/>
      <c r="UKC44" s="344"/>
      <c r="UKD44" s="344"/>
      <c r="UKE44" s="344"/>
      <c r="UKF44" s="344"/>
      <c r="UKG44" s="344"/>
      <c r="UKH44" s="344"/>
      <c r="UKI44" s="344"/>
      <c r="UKJ44" s="344"/>
      <c r="UKK44" s="344"/>
      <c r="UKL44" s="344"/>
      <c r="UKM44" s="344"/>
      <c r="UKN44" s="344"/>
      <c r="UKO44" s="344"/>
      <c r="UKP44" s="344"/>
      <c r="UKQ44" s="344"/>
      <c r="UKR44" s="344"/>
      <c r="UKS44" s="344"/>
      <c r="UKT44" s="344"/>
      <c r="UKU44" s="344"/>
      <c r="UKV44" s="344"/>
      <c r="UKW44" s="344"/>
      <c r="UKX44" s="344"/>
      <c r="UKY44" s="344"/>
      <c r="UKZ44" s="344"/>
      <c r="ULA44" s="344"/>
      <c r="ULB44" s="344"/>
      <c r="ULC44" s="344"/>
      <c r="ULD44" s="344"/>
      <c r="ULE44" s="344"/>
      <c r="ULF44" s="344"/>
      <c r="ULG44" s="344"/>
      <c r="ULH44" s="344"/>
      <c r="ULI44" s="344"/>
      <c r="ULJ44" s="344"/>
      <c r="ULK44" s="344"/>
      <c r="ULL44" s="344"/>
      <c r="ULM44" s="344"/>
      <c r="ULN44" s="344"/>
      <c r="ULO44" s="344"/>
      <c r="ULP44" s="344"/>
      <c r="ULQ44" s="344"/>
      <c r="ULR44" s="344"/>
      <c r="ULS44" s="344"/>
      <c r="ULT44" s="344"/>
      <c r="ULU44" s="344"/>
      <c r="ULV44" s="344"/>
      <c r="ULW44" s="344"/>
      <c r="ULX44" s="344"/>
      <c r="ULY44" s="344"/>
      <c r="ULZ44" s="344"/>
      <c r="UMA44" s="344"/>
      <c r="UMB44" s="344"/>
      <c r="UMC44" s="344"/>
      <c r="UMD44" s="344"/>
      <c r="UME44" s="344"/>
      <c r="UMF44" s="344"/>
      <c r="UMG44" s="344"/>
      <c r="UMH44" s="344"/>
      <c r="UMI44" s="344"/>
      <c r="UMJ44" s="344"/>
      <c r="UMK44" s="344"/>
      <c r="UML44" s="344"/>
      <c r="UMM44" s="344"/>
      <c r="UMN44" s="344"/>
      <c r="UMO44" s="344"/>
      <c r="UMP44" s="344"/>
      <c r="UMQ44" s="344"/>
      <c r="UMR44" s="344"/>
      <c r="UMS44" s="344"/>
      <c r="UMT44" s="344"/>
      <c r="UMU44" s="344"/>
      <c r="UMV44" s="344"/>
      <c r="UMW44" s="344"/>
      <c r="UMX44" s="344"/>
      <c r="UMY44" s="344"/>
      <c r="UMZ44" s="344"/>
      <c r="UNA44" s="344"/>
      <c r="UNB44" s="344"/>
      <c r="UNC44" s="344"/>
      <c r="UND44" s="344"/>
      <c r="UNE44" s="344"/>
      <c r="UNF44" s="344"/>
      <c r="UNG44" s="344"/>
      <c r="UNH44" s="344"/>
      <c r="UNI44" s="344"/>
      <c r="UNJ44" s="344"/>
      <c r="UNK44" s="344"/>
      <c r="UNL44" s="344"/>
      <c r="UNM44" s="344"/>
      <c r="UNN44" s="344"/>
      <c r="UNO44" s="344"/>
      <c r="UNP44" s="344"/>
      <c r="UNQ44" s="344"/>
      <c r="UNR44" s="344"/>
      <c r="UNS44" s="344"/>
      <c r="UNT44" s="344"/>
      <c r="UNU44" s="344"/>
      <c r="UNV44" s="344"/>
      <c r="UNW44" s="344"/>
      <c r="UNX44" s="344"/>
      <c r="UNY44" s="344"/>
      <c r="UNZ44" s="344"/>
      <c r="UOA44" s="344"/>
      <c r="UOB44" s="344"/>
      <c r="UOC44" s="344"/>
      <c r="UOD44" s="344"/>
      <c r="UOE44" s="344"/>
      <c r="UOF44" s="344"/>
      <c r="UOG44" s="344"/>
      <c r="UOH44" s="344"/>
      <c r="UOI44" s="344"/>
      <c r="UOJ44" s="344"/>
      <c r="UOK44" s="344"/>
      <c r="UOL44" s="344"/>
      <c r="UOM44" s="344"/>
      <c r="UON44" s="344"/>
      <c r="UOO44" s="344"/>
      <c r="UOP44" s="344"/>
      <c r="UOQ44" s="344"/>
      <c r="UOR44" s="344"/>
      <c r="UOS44" s="344"/>
      <c r="UOT44" s="344"/>
      <c r="UOU44" s="344"/>
      <c r="UOV44" s="344"/>
      <c r="UOW44" s="344"/>
      <c r="UOX44" s="344"/>
      <c r="UOY44" s="344"/>
      <c r="UOZ44" s="344"/>
      <c r="UPA44" s="344"/>
      <c r="UPB44" s="344"/>
      <c r="UPC44" s="344"/>
      <c r="UPD44" s="344"/>
      <c r="UPE44" s="344"/>
      <c r="UPF44" s="344"/>
      <c r="UPG44" s="344"/>
      <c r="UPH44" s="344"/>
      <c r="UPI44" s="344"/>
      <c r="UPJ44" s="344"/>
      <c r="UPK44" s="344"/>
      <c r="UPL44" s="344"/>
      <c r="UPM44" s="344"/>
      <c r="UPN44" s="344"/>
      <c r="UPO44" s="344"/>
      <c r="UPP44" s="344"/>
      <c r="UPQ44" s="344"/>
      <c r="UPR44" s="344"/>
      <c r="UPS44" s="344"/>
      <c r="UPT44" s="344"/>
      <c r="UPU44" s="344"/>
      <c r="UPV44" s="344"/>
      <c r="UPW44" s="344"/>
      <c r="UPX44" s="344"/>
      <c r="UPY44" s="344"/>
      <c r="UPZ44" s="344"/>
      <c r="UQA44" s="344"/>
      <c r="UQB44" s="344"/>
      <c r="UQC44" s="344"/>
      <c r="UQD44" s="344"/>
      <c r="UQE44" s="344"/>
      <c r="UQF44" s="344"/>
      <c r="UQG44" s="344"/>
      <c r="UQH44" s="344"/>
      <c r="UQI44" s="344"/>
      <c r="UQJ44" s="344"/>
      <c r="UQK44" s="344"/>
      <c r="UQL44" s="344"/>
      <c r="UQM44" s="344"/>
      <c r="UQN44" s="344"/>
      <c r="UQO44" s="344"/>
      <c r="UQP44" s="344"/>
      <c r="UQQ44" s="344"/>
      <c r="UQR44" s="344"/>
      <c r="UQS44" s="344"/>
      <c r="UQT44" s="344"/>
      <c r="UQU44" s="344"/>
      <c r="UQV44" s="344"/>
      <c r="UQW44" s="344"/>
      <c r="UQX44" s="344"/>
      <c r="UQY44" s="344"/>
      <c r="UQZ44" s="344"/>
      <c r="URA44" s="344"/>
      <c r="URB44" s="344"/>
      <c r="URC44" s="344"/>
      <c r="URD44" s="344"/>
      <c r="URE44" s="344"/>
      <c r="URF44" s="344"/>
      <c r="URG44" s="344"/>
      <c r="URH44" s="344"/>
      <c r="URI44" s="344"/>
      <c r="URJ44" s="344"/>
      <c r="URK44" s="344"/>
      <c r="URL44" s="344"/>
      <c r="URM44" s="344"/>
      <c r="URN44" s="344"/>
      <c r="URO44" s="344"/>
      <c r="URP44" s="344"/>
      <c r="URQ44" s="344"/>
      <c r="URR44" s="344"/>
      <c r="URS44" s="344"/>
      <c r="URT44" s="344"/>
      <c r="URU44" s="344"/>
      <c r="URV44" s="344"/>
      <c r="URW44" s="344"/>
      <c r="URX44" s="344"/>
      <c r="URY44" s="344"/>
      <c r="URZ44" s="344"/>
      <c r="USA44" s="344"/>
      <c r="USB44" s="344"/>
      <c r="USC44" s="344"/>
      <c r="USD44" s="344"/>
      <c r="USE44" s="344"/>
      <c r="USF44" s="344"/>
      <c r="USG44" s="344"/>
      <c r="USH44" s="344"/>
      <c r="USI44" s="344"/>
      <c r="USJ44" s="344"/>
      <c r="USK44" s="344"/>
      <c r="USL44" s="344"/>
      <c r="USM44" s="344"/>
      <c r="USN44" s="344"/>
      <c r="USO44" s="344"/>
      <c r="USP44" s="344"/>
      <c r="USQ44" s="344"/>
      <c r="USR44" s="344"/>
      <c r="USS44" s="344"/>
      <c r="UST44" s="344"/>
      <c r="USU44" s="344"/>
      <c r="USV44" s="344"/>
      <c r="USW44" s="344"/>
      <c r="USX44" s="344"/>
      <c r="USY44" s="344"/>
      <c r="USZ44" s="344"/>
      <c r="UTA44" s="344"/>
      <c r="UTB44" s="344"/>
      <c r="UTC44" s="344"/>
      <c r="UTD44" s="344"/>
      <c r="UTE44" s="344"/>
      <c r="UTF44" s="344"/>
      <c r="UTG44" s="344"/>
      <c r="UTH44" s="344"/>
      <c r="UTI44" s="344"/>
      <c r="UTJ44" s="344"/>
      <c r="UTK44" s="344"/>
      <c r="UTL44" s="344"/>
      <c r="UTM44" s="344"/>
      <c r="UTN44" s="344"/>
      <c r="UTO44" s="344"/>
      <c r="UTP44" s="344"/>
      <c r="UTQ44" s="344"/>
      <c r="UTR44" s="344"/>
      <c r="UTS44" s="344"/>
      <c r="UTT44" s="344"/>
      <c r="UTU44" s="344"/>
      <c r="UTV44" s="344"/>
      <c r="UTW44" s="344"/>
      <c r="UTX44" s="344"/>
      <c r="UTY44" s="344"/>
      <c r="UTZ44" s="344"/>
      <c r="UUA44" s="344"/>
      <c r="UUB44" s="344"/>
      <c r="UUC44" s="344"/>
      <c r="UUD44" s="344"/>
      <c r="UUE44" s="344"/>
      <c r="UUF44" s="344"/>
      <c r="UUG44" s="344"/>
      <c r="UUH44" s="344"/>
      <c r="UUI44" s="344"/>
      <c r="UUJ44" s="344"/>
      <c r="UUK44" s="344"/>
      <c r="UUL44" s="344"/>
      <c r="UUM44" s="344"/>
      <c r="UUN44" s="344"/>
      <c r="UUO44" s="344"/>
      <c r="UUP44" s="344"/>
      <c r="UUQ44" s="344"/>
      <c r="UUR44" s="344"/>
      <c r="UUS44" s="344"/>
      <c r="UUT44" s="344"/>
      <c r="UUU44" s="344"/>
      <c r="UUV44" s="344"/>
      <c r="UUW44" s="344"/>
      <c r="UUX44" s="344"/>
      <c r="UUY44" s="344"/>
      <c r="UUZ44" s="344"/>
      <c r="UVA44" s="344"/>
      <c r="UVB44" s="344"/>
      <c r="UVC44" s="344"/>
      <c r="UVD44" s="344"/>
      <c r="UVE44" s="344"/>
      <c r="UVF44" s="344"/>
      <c r="UVG44" s="344"/>
      <c r="UVH44" s="344"/>
      <c r="UVI44" s="344"/>
      <c r="UVJ44" s="344"/>
      <c r="UVK44" s="344"/>
      <c r="UVL44" s="344"/>
      <c r="UVM44" s="344"/>
      <c r="UVN44" s="344"/>
      <c r="UVO44" s="344"/>
      <c r="UVP44" s="344"/>
      <c r="UVQ44" s="344"/>
      <c r="UVR44" s="344"/>
      <c r="UVS44" s="344"/>
      <c r="UVT44" s="344"/>
      <c r="UVU44" s="344"/>
      <c r="UVV44" s="344"/>
      <c r="UVW44" s="344"/>
      <c r="UVX44" s="344"/>
      <c r="UVY44" s="344"/>
      <c r="UVZ44" s="344"/>
      <c r="UWA44" s="344"/>
      <c r="UWB44" s="344"/>
      <c r="UWC44" s="344"/>
      <c r="UWD44" s="344"/>
      <c r="UWE44" s="344"/>
      <c r="UWF44" s="344"/>
      <c r="UWG44" s="344"/>
      <c r="UWH44" s="344"/>
      <c r="UWI44" s="344"/>
      <c r="UWJ44" s="344"/>
      <c r="UWK44" s="344"/>
      <c r="UWL44" s="344"/>
      <c r="UWM44" s="344"/>
      <c r="UWN44" s="344"/>
      <c r="UWO44" s="344"/>
      <c r="UWP44" s="344"/>
      <c r="UWQ44" s="344"/>
      <c r="UWR44" s="344"/>
      <c r="UWS44" s="344"/>
      <c r="UWT44" s="344"/>
      <c r="UWU44" s="344"/>
      <c r="UWV44" s="344"/>
      <c r="UWW44" s="344"/>
      <c r="UWX44" s="344"/>
      <c r="UWY44" s="344"/>
      <c r="UWZ44" s="344"/>
      <c r="UXA44" s="344"/>
      <c r="UXB44" s="344"/>
      <c r="UXC44" s="344"/>
      <c r="UXD44" s="344"/>
      <c r="UXE44" s="344"/>
      <c r="UXF44" s="344"/>
      <c r="UXG44" s="344"/>
      <c r="UXH44" s="344"/>
      <c r="UXI44" s="344"/>
      <c r="UXJ44" s="344"/>
      <c r="UXK44" s="344"/>
      <c r="UXL44" s="344"/>
      <c r="UXM44" s="344"/>
      <c r="UXN44" s="344"/>
      <c r="UXO44" s="344"/>
      <c r="UXP44" s="344"/>
      <c r="UXQ44" s="344"/>
      <c r="UXR44" s="344"/>
      <c r="UXS44" s="344"/>
      <c r="UXT44" s="344"/>
      <c r="UXU44" s="344"/>
      <c r="UXV44" s="344"/>
      <c r="UXW44" s="344"/>
      <c r="UXX44" s="344"/>
      <c r="UXY44" s="344"/>
      <c r="UXZ44" s="344"/>
      <c r="UYA44" s="344"/>
      <c r="UYB44" s="344"/>
      <c r="UYC44" s="344"/>
      <c r="UYD44" s="344"/>
      <c r="UYE44" s="344"/>
      <c r="UYF44" s="344"/>
      <c r="UYG44" s="344"/>
      <c r="UYH44" s="344"/>
      <c r="UYI44" s="344"/>
      <c r="UYJ44" s="344"/>
      <c r="UYK44" s="344"/>
      <c r="UYL44" s="344"/>
      <c r="UYM44" s="344"/>
      <c r="UYN44" s="344"/>
      <c r="UYO44" s="344"/>
      <c r="UYP44" s="344"/>
      <c r="UYQ44" s="344"/>
      <c r="UYR44" s="344"/>
      <c r="UYS44" s="344"/>
      <c r="UYT44" s="344"/>
      <c r="UYU44" s="344"/>
      <c r="UYV44" s="344"/>
      <c r="UYW44" s="344"/>
      <c r="UYX44" s="344"/>
      <c r="UYY44" s="344"/>
      <c r="UYZ44" s="344"/>
      <c r="UZA44" s="344"/>
      <c r="UZB44" s="344"/>
      <c r="UZC44" s="344"/>
      <c r="UZD44" s="344"/>
      <c r="UZE44" s="344"/>
      <c r="UZF44" s="344"/>
      <c r="UZG44" s="344"/>
      <c r="UZH44" s="344"/>
      <c r="UZI44" s="344"/>
      <c r="UZJ44" s="344"/>
      <c r="UZK44" s="344"/>
      <c r="UZL44" s="344"/>
      <c r="UZM44" s="344"/>
      <c r="UZN44" s="344"/>
      <c r="UZO44" s="344"/>
      <c r="UZP44" s="344"/>
      <c r="UZQ44" s="344"/>
      <c r="UZR44" s="344"/>
      <c r="UZS44" s="344"/>
      <c r="UZT44" s="344"/>
      <c r="UZU44" s="344"/>
      <c r="UZV44" s="344"/>
      <c r="UZW44" s="344"/>
      <c r="UZX44" s="344"/>
      <c r="UZY44" s="344"/>
      <c r="UZZ44" s="344"/>
      <c r="VAA44" s="344"/>
      <c r="VAB44" s="344"/>
      <c r="VAC44" s="344"/>
      <c r="VAD44" s="344"/>
      <c r="VAE44" s="344"/>
      <c r="VAF44" s="344"/>
      <c r="VAG44" s="344"/>
      <c r="VAH44" s="344"/>
      <c r="VAI44" s="344"/>
      <c r="VAJ44" s="344"/>
      <c r="VAK44" s="344"/>
      <c r="VAL44" s="344"/>
      <c r="VAM44" s="344"/>
      <c r="VAN44" s="344"/>
      <c r="VAO44" s="344"/>
      <c r="VAP44" s="344"/>
      <c r="VAQ44" s="344"/>
      <c r="VAR44" s="344"/>
      <c r="VAS44" s="344"/>
      <c r="VAT44" s="344"/>
      <c r="VAU44" s="344"/>
      <c r="VAV44" s="344"/>
      <c r="VAW44" s="344"/>
      <c r="VAX44" s="344"/>
      <c r="VAY44" s="344"/>
      <c r="VAZ44" s="344"/>
      <c r="VBA44" s="344"/>
      <c r="VBB44" s="344"/>
      <c r="VBC44" s="344"/>
      <c r="VBD44" s="344"/>
      <c r="VBE44" s="344"/>
      <c r="VBF44" s="344"/>
      <c r="VBG44" s="344"/>
      <c r="VBH44" s="344"/>
      <c r="VBI44" s="344"/>
      <c r="VBJ44" s="344"/>
      <c r="VBK44" s="344"/>
      <c r="VBL44" s="344"/>
      <c r="VBM44" s="344"/>
      <c r="VBN44" s="344"/>
      <c r="VBO44" s="344"/>
      <c r="VBP44" s="344"/>
      <c r="VBQ44" s="344"/>
      <c r="VBR44" s="344"/>
      <c r="VBS44" s="344"/>
      <c r="VBT44" s="344"/>
      <c r="VBU44" s="344"/>
      <c r="VBV44" s="344"/>
      <c r="VBW44" s="344"/>
      <c r="VBX44" s="344"/>
      <c r="VBY44" s="344"/>
      <c r="VBZ44" s="344"/>
      <c r="VCA44" s="344"/>
      <c r="VCB44" s="344"/>
      <c r="VCC44" s="344"/>
      <c r="VCD44" s="344"/>
      <c r="VCE44" s="344"/>
      <c r="VCF44" s="344"/>
      <c r="VCG44" s="344"/>
      <c r="VCH44" s="344"/>
      <c r="VCI44" s="344"/>
      <c r="VCJ44" s="344"/>
      <c r="VCK44" s="344"/>
      <c r="VCL44" s="344"/>
      <c r="VCM44" s="344"/>
      <c r="VCN44" s="344"/>
      <c r="VCO44" s="344"/>
      <c r="VCP44" s="344"/>
      <c r="VCQ44" s="344"/>
      <c r="VCR44" s="344"/>
      <c r="VCS44" s="344"/>
      <c r="VCT44" s="344"/>
      <c r="VCU44" s="344"/>
      <c r="VCV44" s="344"/>
      <c r="VCW44" s="344"/>
      <c r="VCX44" s="344"/>
      <c r="VCY44" s="344"/>
      <c r="VCZ44" s="344"/>
      <c r="VDA44" s="344"/>
      <c r="VDB44" s="344"/>
      <c r="VDC44" s="344"/>
      <c r="VDD44" s="344"/>
      <c r="VDE44" s="344"/>
      <c r="VDF44" s="344"/>
      <c r="VDG44" s="344"/>
      <c r="VDH44" s="344"/>
      <c r="VDI44" s="344"/>
      <c r="VDJ44" s="344"/>
      <c r="VDK44" s="344"/>
      <c r="VDL44" s="344"/>
      <c r="VDM44" s="344"/>
      <c r="VDN44" s="344"/>
      <c r="VDO44" s="344"/>
      <c r="VDP44" s="344"/>
      <c r="VDQ44" s="344"/>
      <c r="VDR44" s="344"/>
      <c r="VDS44" s="344"/>
      <c r="VDT44" s="344"/>
      <c r="VDU44" s="344"/>
      <c r="VDV44" s="344"/>
      <c r="VDW44" s="344"/>
      <c r="VDX44" s="344"/>
      <c r="VDY44" s="344"/>
      <c r="VDZ44" s="344"/>
      <c r="VEA44" s="344"/>
      <c r="VEB44" s="344"/>
      <c r="VEC44" s="344"/>
      <c r="VED44" s="344"/>
      <c r="VEE44" s="344"/>
      <c r="VEF44" s="344"/>
      <c r="VEG44" s="344"/>
      <c r="VEH44" s="344"/>
      <c r="VEI44" s="344"/>
      <c r="VEJ44" s="344"/>
      <c r="VEK44" s="344"/>
      <c r="VEL44" s="344"/>
      <c r="VEM44" s="344"/>
      <c r="VEN44" s="344"/>
      <c r="VEO44" s="344"/>
      <c r="VEP44" s="344"/>
      <c r="VEQ44" s="344"/>
      <c r="VER44" s="344"/>
      <c r="VES44" s="344"/>
      <c r="VET44" s="344"/>
      <c r="VEU44" s="344"/>
      <c r="VEV44" s="344"/>
      <c r="VEW44" s="344"/>
      <c r="VEX44" s="344"/>
      <c r="VEY44" s="344"/>
      <c r="VEZ44" s="344"/>
      <c r="VFA44" s="344"/>
      <c r="VFB44" s="344"/>
      <c r="VFC44" s="344"/>
      <c r="VFD44" s="344"/>
      <c r="VFE44" s="344"/>
      <c r="VFF44" s="344"/>
      <c r="VFG44" s="344"/>
      <c r="VFH44" s="344"/>
      <c r="VFI44" s="344"/>
      <c r="VFJ44" s="344"/>
      <c r="VFK44" s="344"/>
      <c r="VFL44" s="344"/>
      <c r="VFM44" s="344"/>
      <c r="VFN44" s="344"/>
      <c r="VFO44" s="344"/>
      <c r="VFP44" s="344"/>
      <c r="VFQ44" s="344"/>
      <c r="VFR44" s="344"/>
      <c r="VFS44" s="344"/>
      <c r="VFT44" s="344"/>
      <c r="VFU44" s="344"/>
      <c r="VFV44" s="344"/>
      <c r="VFW44" s="344"/>
      <c r="VFX44" s="344"/>
      <c r="VFY44" s="344"/>
      <c r="VFZ44" s="344"/>
      <c r="VGA44" s="344"/>
      <c r="VGB44" s="344"/>
      <c r="VGC44" s="344"/>
      <c r="VGD44" s="344"/>
      <c r="VGE44" s="344"/>
      <c r="VGF44" s="344"/>
      <c r="VGG44" s="344"/>
      <c r="VGH44" s="344"/>
      <c r="VGI44" s="344"/>
      <c r="VGJ44" s="344"/>
      <c r="VGK44" s="344"/>
      <c r="VGL44" s="344"/>
      <c r="VGM44" s="344"/>
      <c r="VGN44" s="344"/>
      <c r="VGO44" s="344"/>
      <c r="VGP44" s="344"/>
      <c r="VGQ44" s="344"/>
      <c r="VGR44" s="344"/>
      <c r="VGS44" s="344"/>
      <c r="VGT44" s="344"/>
      <c r="VGU44" s="344"/>
      <c r="VGV44" s="344"/>
      <c r="VGW44" s="344"/>
      <c r="VGX44" s="344"/>
      <c r="VGY44" s="344"/>
      <c r="VGZ44" s="344"/>
      <c r="VHA44" s="344"/>
      <c r="VHB44" s="344"/>
      <c r="VHC44" s="344"/>
      <c r="VHD44" s="344"/>
      <c r="VHE44" s="344"/>
      <c r="VHF44" s="344"/>
      <c r="VHG44" s="344"/>
      <c r="VHH44" s="344"/>
      <c r="VHI44" s="344"/>
      <c r="VHJ44" s="344"/>
      <c r="VHK44" s="344"/>
      <c r="VHL44" s="344"/>
      <c r="VHM44" s="344"/>
      <c r="VHN44" s="344"/>
      <c r="VHO44" s="344"/>
      <c r="VHP44" s="344"/>
      <c r="VHQ44" s="344"/>
      <c r="VHR44" s="344"/>
      <c r="VHS44" s="344"/>
      <c r="VHT44" s="344"/>
      <c r="VHU44" s="344"/>
      <c r="VHV44" s="344"/>
      <c r="VHW44" s="344"/>
      <c r="VHX44" s="344"/>
      <c r="VHY44" s="344"/>
      <c r="VHZ44" s="344"/>
      <c r="VIA44" s="344"/>
      <c r="VIB44" s="344"/>
      <c r="VIC44" s="344"/>
      <c r="VID44" s="344"/>
      <c r="VIE44" s="344"/>
      <c r="VIF44" s="344"/>
      <c r="VIG44" s="344"/>
      <c r="VIH44" s="344"/>
      <c r="VII44" s="344"/>
      <c r="VIJ44" s="344"/>
      <c r="VIK44" s="344"/>
      <c r="VIL44" s="344"/>
      <c r="VIM44" s="344"/>
      <c r="VIN44" s="344"/>
      <c r="VIO44" s="344"/>
      <c r="VIP44" s="344"/>
      <c r="VIQ44" s="344"/>
      <c r="VIR44" s="344"/>
      <c r="VIS44" s="344"/>
      <c r="VIT44" s="344"/>
      <c r="VIU44" s="344"/>
      <c r="VIV44" s="344"/>
      <c r="VIW44" s="344"/>
      <c r="VIX44" s="344"/>
      <c r="VIY44" s="344"/>
      <c r="VIZ44" s="344"/>
      <c r="VJA44" s="344"/>
      <c r="VJB44" s="344"/>
      <c r="VJC44" s="344"/>
      <c r="VJD44" s="344"/>
      <c r="VJE44" s="344"/>
      <c r="VJF44" s="344"/>
      <c r="VJG44" s="344"/>
      <c r="VJH44" s="344"/>
      <c r="VJI44" s="344"/>
      <c r="VJJ44" s="344"/>
      <c r="VJK44" s="344"/>
      <c r="VJL44" s="344"/>
      <c r="VJM44" s="344"/>
      <c r="VJN44" s="344"/>
      <c r="VJO44" s="344"/>
      <c r="VJP44" s="344"/>
      <c r="VJQ44" s="344"/>
      <c r="VJR44" s="344"/>
      <c r="VJS44" s="344"/>
      <c r="VJT44" s="344"/>
      <c r="VJU44" s="344"/>
      <c r="VJV44" s="344"/>
      <c r="VJW44" s="344"/>
      <c r="VJX44" s="344"/>
      <c r="VJY44" s="344"/>
      <c r="VJZ44" s="344"/>
      <c r="VKA44" s="344"/>
      <c r="VKB44" s="344"/>
      <c r="VKC44" s="344"/>
      <c r="VKD44" s="344"/>
      <c r="VKE44" s="344"/>
      <c r="VKF44" s="344"/>
      <c r="VKG44" s="344"/>
      <c r="VKH44" s="344"/>
      <c r="VKI44" s="344"/>
      <c r="VKJ44" s="344"/>
      <c r="VKK44" s="344"/>
      <c r="VKL44" s="344"/>
      <c r="VKM44" s="344"/>
      <c r="VKN44" s="344"/>
      <c r="VKO44" s="344"/>
      <c r="VKP44" s="344"/>
      <c r="VKQ44" s="344"/>
      <c r="VKR44" s="344"/>
      <c r="VKS44" s="344"/>
      <c r="VKT44" s="344"/>
      <c r="VKU44" s="344"/>
      <c r="VKV44" s="344"/>
      <c r="VKW44" s="344"/>
      <c r="VKX44" s="344"/>
      <c r="VKY44" s="344"/>
      <c r="VKZ44" s="344"/>
      <c r="VLA44" s="344"/>
      <c r="VLB44" s="344"/>
      <c r="VLC44" s="344"/>
      <c r="VLD44" s="344"/>
      <c r="VLE44" s="344"/>
      <c r="VLF44" s="344"/>
      <c r="VLG44" s="344"/>
      <c r="VLH44" s="344"/>
      <c r="VLI44" s="344"/>
      <c r="VLJ44" s="344"/>
      <c r="VLK44" s="344"/>
      <c r="VLL44" s="344"/>
      <c r="VLM44" s="344"/>
      <c r="VLN44" s="344"/>
      <c r="VLO44" s="344"/>
      <c r="VLP44" s="344"/>
      <c r="VLQ44" s="344"/>
      <c r="VLR44" s="344"/>
      <c r="VLS44" s="344"/>
      <c r="VLT44" s="344"/>
      <c r="VLU44" s="344"/>
      <c r="VLV44" s="344"/>
      <c r="VLW44" s="344"/>
      <c r="VLX44" s="344"/>
      <c r="VLY44" s="344"/>
      <c r="VLZ44" s="344"/>
      <c r="VMA44" s="344"/>
      <c r="VMB44" s="344"/>
      <c r="VMC44" s="344"/>
      <c r="VMD44" s="344"/>
      <c r="VME44" s="344"/>
      <c r="VMF44" s="344"/>
      <c r="VMG44" s="344"/>
      <c r="VMH44" s="344"/>
      <c r="VMI44" s="344"/>
      <c r="VMJ44" s="344"/>
      <c r="VMK44" s="344"/>
      <c r="VML44" s="344"/>
      <c r="VMM44" s="344"/>
      <c r="VMN44" s="344"/>
      <c r="VMO44" s="344"/>
      <c r="VMP44" s="344"/>
      <c r="VMQ44" s="344"/>
      <c r="VMR44" s="344"/>
      <c r="VMS44" s="344"/>
      <c r="VMT44" s="344"/>
      <c r="VMU44" s="344"/>
      <c r="VMV44" s="344"/>
      <c r="VMW44" s="344"/>
      <c r="VMX44" s="344"/>
      <c r="VMY44" s="344"/>
      <c r="VMZ44" s="344"/>
      <c r="VNA44" s="344"/>
      <c r="VNB44" s="344"/>
      <c r="VNC44" s="344"/>
      <c r="VND44" s="344"/>
      <c r="VNE44" s="344"/>
      <c r="VNF44" s="344"/>
      <c r="VNG44" s="344"/>
      <c r="VNH44" s="344"/>
      <c r="VNI44" s="344"/>
      <c r="VNJ44" s="344"/>
      <c r="VNK44" s="344"/>
      <c r="VNL44" s="344"/>
      <c r="VNM44" s="344"/>
      <c r="VNN44" s="344"/>
      <c r="VNO44" s="344"/>
      <c r="VNP44" s="344"/>
      <c r="VNQ44" s="344"/>
      <c r="VNR44" s="344"/>
      <c r="VNS44" s="344"/>
      <c r="VNT44" s="344"/>
      <c r="VNU44" s="344"/>
      <c r="VNV44" s="344"/>
      <c r="VNW44" s="344"/>
      <c r="VNX44" s="344"/>
      <c r="VNY44" s="344"/>
      <c r="VNZ44" s="344"/>
      <c r="VOA44" s="344"/>
      <c r="VOB44" s="344"/>
      <c r="VOC44" s="344"/>
      <c r="VOD44" s="344"/>
      <c r="VOE44" s="344"/>
      <c r="VOF44" s="344"/>
      <c r="VOG44" s="344"/>
      <c r="VOH44" s="344"/>
      <c r="VOI44" s="344"/>
      <c r="VOJ44" s="344"/>
      <c r="VOK44" s="344"/>
      <c r="VOL44" s="344"/>
      <c r="VOM44" s="344"/>
      <c r="VON44" s="344"/>
      <c r="VOO44" s="344"/>
      <c r="VOP44" s="344"/>
      <c r="VOQ44" s="344"/>
      <c r="VOR44" s="344"/>
      <c r="VOS44" s="344"/>
      <c r="VOT44" s="344"/>
      <c r="VOU44" s="344"/>
      <c r="VOV44" s="344"/>
      <c r="VOW44" s="344"/>
      <c r="VOX44" s="344"/>
      <c r="VOY44" s="344"/>
      <c r="VOZ44" s="344"/>
      <c r="VPA44" s="344"/>
      <c r="VPB44" s="344"/>
      <c r="VPC44" s="344"/>
      <c r="VPD44" s="344"/>
      <c r="VPE44" s="344"/>
      <c r="VPF44" s="344"/>
      <c r="VPG44" s="344"/>
      <c r="VPH44" s="344"/>
      <c r="VPI44" s="344"/>
      <c r="VPJ44" s="344"/>
      <c r="VPK44" s="344"/>
      <c r="VPL44" s="344"/>
      <c r="VPM44" s="344"/>
      <c r="VPN44" s="344"/>
      <c r="VPO44" s="344"/>
      <c r="VPP44" s="344"/>
      <c r="VPQ44" s="344"/>
      <c r="VPR44" s="344"/>
      <c r="VPS44" s="344"/>
      <c r="VPT44" s="344"/>
      <c r="VPU44" s="344"/>
      <c r="VPV44" s="344"/>
      <c r="VPW44" s="344"/>
      <c r="VPX44" s="344"/>
      <c r="VPY44" s="344"/>
      <c r="VPZ44" s="344"/>
      <c r="VQA44" s="344"/>
      <c r="VQB44" s="344"/>
      <c r="VQC44" s="344"/>
      <c r="VQD44" s="344"/>
      <c r="VQE44" s="344"/>
      <c r="VQF44" s="344"/>
      <c r="VQG44" s="344"/>
      <c r="VQH44" s="344"/>
      <c r="VQI44" s="344"/>
      <c r="VQJ44" s="344"/>
      <c r="VQK44" s="344"/>
      <c r="VQL44" s="344"/>
      <c r="VQM44" s="344"/>
      <c r="VQN44" s="344"/>
      <c r="VQO44" s="344"/>
      <c r="VQP44" s="344"/>
      <c r="VQQ44" s="344"/>
      <c r="VQR44" s="344"/>
      <c r="VQS44" s="344"/>
      <c r="VQT44" s="344"/>
      <c r="VQU44" s="344"/>
      <c r="VQV44" s="344"/>
      <c r="VQW44" s="344"/>
      <c r="VQX44" s="344"/>
      <c r="VQY44" s="344"/>
      <c r="VQZ44" s="344"/>
      <c r="VRA44" s="344"/>
      <c r="VRB44" s="344"/>
      <c r="VRC44" s="344"/>
      <c r="VRD44" s="344"/>
      <c r="VRE44" s="344"/>
      <c r="VRF44" s="344"/>
      <c r="VRG44" s="344"/>
      <c r="VRH44" s="344"/>
      <c r="VRI44" s="344"/>
      <c r="VRJ44" s="344"/>
      <c r="VRK44" s="344"/>
      <c r="VRL44" s="344"/>
      <c r="VRM44" s="344"/>
      <c r="VRN44" s="344"/>
      <c r="VRO44" s="344"/>
      <c r="VRP44" s="344"/>
      <c r="VRQ44" s="344"/>
      <c r="VRR44" s="344"/>
      <c r="VRS44" s="344"/>
      <c r="VRT44" s="344"/>
      <c r="VRU44" s="344"/>
      <c r="VRV44" s="344"/>
      <c r="VRW44" s="344"/>
      <c r="VRX44" s="344"/>
      <c r="VRY44" s="344"/>
      <c r="VRZ44" s="344"/>
      <c r="VSA44" s="344"/>
      <c r="VSB44" s="344"/>
      <c r="VSC44" s="344"/>
      <c r="VSD44" s="344"/>
      <c r="VSE44" s="344"/>
      <c r="VSF44" s="344"/>
      <c r="VSG44" s="344"/>
      <c r="VSH44" s="344"/>
      <c r="VSI44" s="344"/>
      <c r="VSJ44" s="344"/>
      <c r="VSK44" s="344"/>
      <c r="VSL44" s="344"/>
      <c r="VSM44" s="344"/>
      <c r="VSN44" s="344"/>
      <c r="VSO44" s="344"/>
      <c r="VSP44" s="344"/>
      <c r="VSQ44" s="344"/>
      <c r="VSR44" s="344"/>
      <c r="VSS44" s="344"/>
      <c r="VST44" s="344"/>
      <c r="VSU44" s="344"/>
      <c r="VSV44" s="344"/>
      <c r="VSW44" s="344"/>
      <c r="VSX44" s="344"/>
      <c r="VSY44" s="344"/>
      <c r="VSZ44" s="344"/>
      <c r="VTA44" s="344"/>
      <c r="VTB44" s="344"/>
      <c r="VTC44" s="344"/>
      <c r="VTD44" s="344"/>
      <c r="VTE44" s="344"/>
      <c r="VTF44" s="344"/>
      <c r="VTG44" s="344"/>
      <c r="VTH44" s="344"/>
      <c r="VTI44" s="344"/>
      <c r="VTJ44" s="344"/>
      <c r="VTK44" s="344"/>
      <c r="VTL44" s="344"/>
      <c r="VTM44" s="344"/>
      <c r="VTN44" s="344"/>
      <c r="VTO44" s="344"/>
      <c r="VTP44" s="344"/>
      <c r="VTQ44" s="344"/>
      <c r="VTR44" s="344"/>
      <c r="VTS44" s="344"/>
      <c r="VTT44" s="344"/>
      <c r="VTU44" s="344"/>
      <c r="VTV44" s="344"/>
      <c r="VTW44" s="344"/>
      <c r="VTX44" s="344"/>
      <c r="VTY44" s="344"/>
      <c r="VTZ44" s="344"/>
      <c r="VUA44" s="344"/>
      <c r="VUB44" s="344"/>
      <c r="VUC44" s="344"/>
      <c r="VUD44" s="344"/>
      <c r="VUE44" s="344"/>
      <c r="VUF44" s="344"/>
      <c r="VUG44" s="344"/>
      <c r="VUH44" s="344"/>
      <c r="VUI44" s="344"/>
      <c r="VUJ44" s="344"/>
      <c r="VUK44" s="344"/>
      <c r="VUL44" s="344"/>
      <c r="VUM44" s="344"/>
      <c r="VUN44" s="344"/>
      <c r="VUO44" s="344"/>
      <c r="VUP44" s="344"/>
      <c r="VUQ44" s="344"/>
      <c r="VUR44" s="344"/>
      <c r="VUS44" s="344"/>
      <c r="VUT44" s="344"/>
      <c r="VUU44" s="344"/>
      <c r="VUV44" s="344"/>
      <c r="VUW44" s="344"/>
      <c r="VUX44" s="344"/>
      <c r="VUY44" s="344"/>
      <c r="VUZ44" s="344"/>
      <c r="VVA44" s="344"/>
      <c r="VVB44" s="344"/>
      <c r="VVC44" s="344"/>
      <c r="VVD44" s="344"/>
      <c r="VVE44" s="344"/>
      <c r="VVF44" s="344"/>
      <c r="VVG44" s="344"/>
      <c r="VVH44" s="344"/>
      <c r="VVI44" s="344"/>
      <c r="VVJ44" s="344"/>
      <c r="VVK44" s="344"/>
      <c r="VVL44" s="344"/>
      <c r="VVM44" s="344"/>
      <c r="VVN44" s="344"/>
      <c r="VVO44" s="344"/>
      <c r="VVP44" s="344"/>
      <c r="VVQ44" s="344"/>
      <c r="VVR44" s="344"/>
      <c r="VVS44" s="344"/>
      <c r="VVT44" s="344"/>
      <c r="VVU44" s="344"/>
      <c r="VVV44" s="344"/>
      <c r="VVW44" s="344"/>
      <c r="VVX44" s="344"/>
      <c r="VVY44" s="344"/>
      <c r="VVZ44" s="344"/>
      <c r="VWA44" s="344"/>
      <c r="VWB44" s="344"/>
      <c r="VWC44" s="344"/>
      <c r="VWD44" s="344"/>
      <c r="VWE44" s="344"/>
      <c r="VWF44" s="344"/>
      <c r="VWG44" s="344"/>
      <c r="VWH44" s="344"/>
      <c r="VWI44" s="344"/>
      <c r="VWJ44" s="344"/>
      <c r="VWK44" s="344"/>
      <c r="VWL44" s="344"/>
      <c r="VWM44" s="344"/>
      <c r="VWN44" s="344"/>
      <c r="VWO44" s="344"/>
      <c r="VWP44" s="344"/>
      <c r="VWQ44" s="344"/>
      <c r="VWR44" s="344"/>
      <c r="VWS44" s="344"/>
      <c r="VWT44" s="344"/>
      <c r="VWU44" s="344"/>
      <c r="VWV44" s="344"/>
      <c r="VWW44" s="344"/>
      <c r="VWX44" s="344"/>
      <c r="VWY44" s="344"/>
      <c r="VWZ44" s="344"/>
      <c r="VXA44" s="344"/>
      <c r="VXB44" s="344"/>
      <c r="VXC44" s="344"/>
      <c r="VXD44" s="344"/>
      <c r="VXE44" s="344"/>
      <c r="VXF44" s="344"/>
      <c r="VXG44" s="344"/>
      <c r="VXH44" s="344"/>
      <c r="VXI44" s="344"/>
      <c r="VXJ44" s="344"/>
      <c r="VXK44" s="344"/>
      <c r="VXL44" s="344"/>
      <c r="VXM44" s="344"/>
      <c r="VXN44" s="344"/>
      <c r="VXO44" s="344"/>
      <c r="VXP44" s="344"/>
      <c r="VXQ44" s="344"/>
      <c r="VXR44" s="344"/>
      <c r="VXS44" s="344"/>
      <c r="VXT44" s="344"/>
      <c r="VXU44" s="344"/>
      <c r="VXV44" s="344"/>
      <c r="VXW44" s="344"/>
      <c r="VXX44" s="344"/>
      <c r="VXY44" s="344"/>
      <c r="VXZ44" s="344"/>
      <c r="VYA44" s="344"/>
      <c r="VYB44" s="344"/>
      <c r="VYC44" s="344"/>
      <c r="VYD44" s="344"/>
      <c r="VYE44" s="344"/>
      <c r="VYF44" s="344"/>
      <c r="VYG44" s="344"/>
      <c r="VYH44" s="344"/>
      <c r="VYI44" s="344"/>
      <c r="VYJ44" s="344"/>
      <c r="VYK44" s="344"/>
      <c r="VYL44" s="344"/>
      <c r="VYM44" s="344"/>
      <c r="VYN44" s="344"/>
      <c r="VYO44" s="344"/>
      <c r="VYP44" s="344"/>
      <c r="VYQ44" s="344"/>
      <c r="VYR44" s="344"/>
      <c r="VYS44" s="344"/>
      <c r="VYT44" s="344"/>
      <c r="VYU44" s="344"/>
      <c r="VYV44" s="344"/>
      <c r="VYW44" s="344"/>
      <c r="VYX44" s="344"/>
      <c r="VYY44" s="344"/>
      <c r="VYZ44" s="344"/>
      <c r="VZA44" s="344"/>
      <c r="VZB44" s="344"/>
      <c r="VZC44" s="344"/>
      <c r="VZD44" s="344"/>
      <c r="VZE44" s="344"/>
      <c r="VZF44" s="344"/>
      <c r="VZG44" s="344"/>
      <c r="VZH44" s="344"/>
      <c r="VZI44" s="344"/>
      <c r="VZJ44" s="344"/>
      <c r="VZK44" s="344"/>
      <c r="VZL44" s="344"/>
      <c r="VZM44" s="344"/>
      <c r="VZN44" s="344"/>
      <c r="VZO44" s="344"/>
      <c r="VZP44" s="344"/>
      <c r="VZQ44" s="344"/>
      <c r="VZR44" s="344"/>
      <c r="VZS44" s="344"/>
      <c r="VZT44" s="344"/>
      <c r="VZU44" s="344"/>
      <c r="VZV44" s="344"/>
      <c r="VZW44" s="344"/>
      <c r="VZX44" s="344"/>
      <c r="VZY44" s="344"/>
      <c r="VZZ44" s="344"/>
      <c r="WAA44" s="344"/>
      <c r="WAB44" s="344"/>
      <c r="WAC44" s="344"/>
      <c r="WAD44" s="344"/>
      <c r="WAE44" s="344"/>
      <c r="WAF44" s="344"/>
      <c r="WAG44" s="344"/>
      <c r="WAH44" s="344"/>
      <c r="WAI44" s="344"/>
      <c r="WAJ44" s="344"/>
      <c r="WAK44" s="344"/>
      <c r="WAL44" s="344"/>
      <c r="WAM44" s="344"/>
      <c r="WAN44" s="344"/>
      <c r="WAO44" s="344"/>
      <c r="WAP44" s="344"/>
      <c r="WAQ44" s="344"/>
      <c r="WAR44" s="344"/>
      <c r="WAS44" s="344"/>
      <c r="WAT44" s="344"/>
      <c r="WAU44" s="344"/>
      <c r="WAV44" s="344"/>
      <c r="WAW44" s="344"/>
      <c r="WAX44" s="344"/>
      <c r="WAY44" s="344"/>
      <c r="WAZ44" s="344"/>
      <c r="WBA44" s="344"/>
      <c r="WBB44" s="344"/>
      <c r="WBC44" s="344"/>
      <c r="WBD44" s="344"/>
      <c r="WBE44" s="344"/>
      <c r="WBF44" s="344"/>
      <c r="WBG44" s="344"/>
      <c r="WBH44" s="344"/>
      <c r="WBI44" s="344"/>
      <c r="WBJ44" s="344"/>
      <c r="WBK44" s="344"/>
      <c r="WBL44" s="344"/>
      <c r="WBM44" s="344"/>
      <c r="WBN44" s="344"/>
      <c r="WBO44" s="344"/>
      <c r="WBP44" s="344"/>
      <c r="WBQ44" s="344"/>
      <c r="WBR44" s="344"/>
      <c r="WBS44" s="344"/>
      <c r="WBT44" s="344"/>
      <c r="WBU44" s="344"/>
      <c r="WBV44" s="344"/>
      <c r="WBW44" s="344"/>
      <c r="WBX44" s="344"/>
      <c r="WBY44" s="344"/>
      <c r="WBZ44" s="344"/>
      <c r="WCA44" s="344"/>
      <c r="WCB44" s="344"/>
      <c r="WCC44" s="344"/>
      <c r="WCD44" s="344"/>
      <c r="WCE44" s="344"/>
      <c r="WCF44" s="344"/>
      <c r="WCG44" s="344"/>
      <c r="WCH44" s="344"/>
      <c r="WCI44" s="344"/>
      <c r="WCJ44" s="344"/>
      <c r="WCK44" s="344"/>
      <c r="WCL44" s="344"/>
      <c r="WCM44" s="344"/>
      <c r="WCN44" s="344"/>
      <c r="WCO44" s="344"/>
      <c r="WCP44" s="344"/>
      <c r="WCQ44" s="344"/>
      <c r="WCR44" s="344"/>
      <c r="WCS44" s="344"/>
      <c r="WCT44" s="344"/>
      <c r="WCU44" s="344"/>
      <c r="WCV44" s="344"/>
      <c r="WCW44" s="344"/>
      <c r="WCX44" s="344"/>
      <c r="WCY44" s="344"/>
      <c r="WCZ44" s="344"/>
      <c r="WDA44" s="344"/>
      <c r="WDB44" s="344"/>
      <c r="WDC44" s="344"/>
      <c r="WDD44" s="344"/>
      <c r="WDE44" s="344"/>
      <c r="WDF44" s="344"/>
      <c r="WDG44" s="344"/>
      <c r="WDH44" s="344"/>
      <c r="WDI44" s="344"/>
      <c r="WDJ44" s="344"/>
      <c r="WDK44" s="344"/>
      <c r="WDL44" s="344"/>
      <c r="WDM44" s="344"/>
      <c r="WDN44" s="344"/>
      <c r="WDO44" s="344"/>
      <c r="WDP44" s="344"/>
      <c r="WDQ44" s="344"/>
      <c r="WDR44" s="344"/>
      <c r="WDS44" s="344"/>
      <c r="WDT44" s="344"/>
      <c r="WDU44" s="344"/>
      <c r="WDV44" s="344"/>
      <c r="WDW44" s="344"/>
      <c r="WDX44" s="344"/>
      <c r="WDY44" s="344"/>
      <c r="WDZ44" s="344"/>
      <c r="WEA44" s="344"/>
      <c r="WEB44" s="344"/>
      <c r="WEC44" s="344"/>
      <c r="WED44" s="344"/>
      <c r="WEE44" s="344"/>
      <c r="WEF44" s="344"/>
      <c r="WEG44" s="344"/>
      <c r="WEH44" s="344"/>
      <c r="WEI44" s="344"/>
      <c r="WEJ44" s="344"/>
      <c r="WEK44" s="344"/>
      <c r="WEL44" s="344"/>
      <c r="WEM44" s="344"/>
      <c r="WEN44" s="344"/>
      <c r="WEO44" s="344"/>
      <c r="WEP44" s="344"/>
      <c r="WEQ44" s="344"/>
      <c r="WER44" s="344"/>
      <c r="WES44" s="344"/>
      <c r="WET44" s="344"/>
      <c r="WEU44" s="344"/>
      <c r="WEV44" s="344"/>
      <c r="WEW44" s="344"/>
      <c r="WEX44" s="344"/>
      <c r="WEY44" s="344"/>
      <c r="WEZ44" s="344"/>
      <c r="WFA44" s="344"/>
      <c r="WFB44" s="344"/>
      <c r="WFC44" s="344"/>
      <c r="WFD44" s="344"/>
      <c r="WFE44" s="344"/>
      <c r="WFF44" s="344"/>
      <c r="WFG44" s="344"/>
      <c r="WFH44" s="344"/>
      <c r="WFI44" s="344"/>
      <c r="WFJ44" s="344"/>
      <c r="WFK44" s="344"/>
      <c r="WFL44" s="344"/>
      <c r="WFM44" s="344"/>
      <c r="WFN44" s="344"/>
      <c r="WFO44" s="344"/>
      <c r="WFP44" s="344"/>
      <c r="WFQ44" s="344"/>
      <c r="WFR44" s="344"/>
      <c r="WFS44" s="344"/>
      <c r="WFT44" s="344"/>
      <c r="WFU44" s="344"/>
      <c r="WFV44" s="344"/>
      <c r="WFW44" s="344"/>
      <c r="WFX44" s="344"/>
      <c r="WFY44" s="344"/>
      <c r="WFZ44" s="344"/>
      <c r="WGA44" s="344"/>
      <c r="WGB44" s="344"/>
      <c r="WGC44" s="344"/>
      <c r="WGD44" s="344"/>
      <c r="WGE44" s="344"/>
      <c r="WGF44" s="344"/>
      <c r="WGG44" s="344"/>
      <c r="WGH44" s="344"/>
      <c r="WGI44" s="344"/>
      <c r="WGJ44" s="344"/>
      <c r="WGK44" s="344"/>
      <c r="WGL44" s="344"/>
      <c r="WGM44" s="344"/>
      <c r="WGN44" s="344"/>
      <c r="WGO44" s="344"/>
      <c r="WGP44" s="344"/>
      <c r="WGQ44" s="344"/>
      <c r="WGR44" s="344"/>
      <c r="WGS44" s="344"/>
      <c r="WGT44" s="344"/>
      <c r="WGU44" s="344"/>
      <c r="WGV44" s="344"/>
      <c r="WGW44" s="344"/>
      <c r="WGX44" s="344"/>
      <c r="WGY44" s="344"/>
      <c r="WGZ44" s="344"/>
      <c r="WHA44" s="344"/>
      <c r="WHB44" s="344"/>
      <c r="WHC44" s="344"/>
      <c r="WHD44" s="344"/>
      <c r="WHE44" s="344"/>
      <c r="WHF44" s="344"/>
      <c r="WHG44" s="344"/>
      <c r="WHH44" s="344"/>
      <c r="WHI44" s="344"/>
      <c r="WHJ44" s="344"/>
      <c r="WHK44" s="344"/>
      <c r="WHL44" s="344"/>
      <c r="WHM44" s="344"/>
      <c r="WHN44" s="344"/>
      <c r="WHO44" s="344"/>
      <c r="WHP44" s="344"/>
      <c r="WHQ44" s="344"/>
      <c r="WHR44" s="344"/>
      <c r="WHS44" s="344"/>
      <c r="WHT44" s="344"/>
      <c r="WHU44" s="344"/>
      <c r="WHV44" s="344"/>
      <c r="WHW44" s="344"/>
      <c r="WHX44" s="344"/>
      <c r="WHY44" s="344"/>
      <c r="WHZ44" s="344"/>
      <c r="WIA44" s="344"/>
      <c r="WIB44" s="344"/>
      <c r="WIC44" s="344"/>
      <c r="WID44" s="344"/>
      <c r="WIE44" s="344"/>
      <c r="WIF44" s="344"/>
      <c r="WIG44" s="344"/>
      <c r="WIH44" s="344"/>
      <c r="WII44" s="344"/>
      <c r="WIJ44" s="344"/>
      <c r="WIK44" s="344"/>
      <c r="WIL44" s="344"/>
      <c r="WIM44" s="344"/>
      <c r="WIN44" s="344"/>
      <c r="WIO44" s="344"/>
      <c r="WIP44" s="344"/>
      <c r="WIQ44" s="344"/>
      <c r="WIR44" s="344"/>
      <c r="WIS44" s="344"/>
      <c r="WIT44" s="344"/>
      <c r="WIU44" s="344"/>
      <c r="WIV44" s="344"/>
      <c r="WIW44" s="344"/>
      <c r="WIX44" s="344"/>
      <c r="WIY44" s="344"/>
      <c r="WIZ44" s="344"/>
      <c r="WJA44" s="344"/>
      <c r="WJB44" s="344"/>
      <c r="WJC44" s="344"/>
      <c r="WJD44" s="344"/>
      <c r="WJE44" s="344"/>
      <c r="WJF44" s="344"/>
      <c r="WJG44" s="344"/>
      <c r="WJH44" s="344"/>
      <c r="WJI44" s="344"/>
      <c r="WJJ44" s="344"/>
      <c r="WJK44" s="344"/>
      <c r="WJL44" s="344"/>
      <c r="WJM44" s="344"/>
      <c r="WJN44" s="344"/>
      <c r="WJO44" s="344"/>
      <c r="WJP44" s="344"/>
      <c r="WJQ44" s="344"/>
      <c r="WJR44" s="344"/>
      <c r="WJS44" s="344"/>
      <c r="WJT44" s="344"/>
      <c r="WJU44" s="344"/>
      <c r="WJV44" s="344"/>
      <c r="WJW44" s="344"/>
      <c r="WJX44" s="344"/>
      <c r="WJY44" s="344"/>
      <c r="WJZ44" s="344"/>
      <c r="WKA44" s="344"/>
      <c r="WKB44" s="344"/>
      <c r="WKC44" s="344"/>
      <c r="WKD44" s="344"/>
      <c r="WKE44" s="344"/>
      <c r="WKF44" s="344"/>
      <c r="WKG44" s="344"/>
      <c r="WKH44" s="344"/>
      <c r="WKI44" s="344"/>
      <c r="WKJ44" s="344"/>
      <c r="WKK44" s="344"/>
      <c r="WKL44" s="344"/>
      <c r="WKM44" s="344"/>
      <c r="WKN44" s="344"/>
      <c r="WKO44" s="344"/>
      <c r="WKP44" s="344"/>
      <c r="WKQ44" s="344"/>
      <c r="WKR44" s="344"/>
      <c r="WKS44" s="344"/>
      <c r="WKT44" s="344"/>
      <c r="WKU44" s="344"/>
      <c r="WKV44" s="344"/>
      <c r="WKW44" s="344"/>
      <c r="WKX44" s="344"/>
      <c r="WKY44" s="344"/>
      <c r="WKZ44" s="344"/>
      <c r="WLA44" s="344"/>
      <c r="WLB44" s="344"/>
      <c r="WLC44" s="344"/>
      <c r="WLD44" s="344"/>
      <c r="WLE44" s="344"/>
      <c r="WLF44" s="344"/>
      <c r="WLG44" s="344"/>
      <c r="WLH44" s="344"/>
      <c r="WLI44" s="344"/>
      <c r="WLJ44" s="344"/>
      <c r="WLK44" s="344"/>
      <c r="WLL44" s="344"/>
      <c r="WLM44" s="344"/>
      <c r="WLN44" s="344"/>
      <c r="WLO44" s="344"/>
      <c r="WLP44" s="344"/>
      <c r="WLQ44" s="344"/>
      <c r="WLR44" s="344"/>
      <c r="WLS44" s="344"/>
      <c r="WLT44" s="344"/>
      <c r="WLU44" s="344"/>
      <c r="WLV44" s="344"/>
      <c r="WLW44" s="344"/>
      <c r="WLX44" s="344"/>
      <c r="WLY44" s="344"/>
      <c r="WLZ44" s="344"/>
      <c r="WMA44" s="344"/>
      <c r="WMB44" s="344"/>
      <c r="WMC44" s="344"/>
      <c r="WMD44" s="344"/>
      <c r="WME44" s="344"/>
      <c r="WMF44" s="344"/>
      <c r="WMG44" s="344"/>
      <c r="WMH44" s="344"/>
      <c r="WMI44" s="344"/>
      <c r="WMJ44" s="344"/>
      <c r="WMK44" s="344"/>
      <c r="WML44" s="344"/>
      <c r="WMM44" s="344"/>
      <c r="WMN44" s="344"/>
      <c r="WMO44" s="344"/>
      <c r="WMP44" s="344"/>
      <c r="WMQ44" s="344"/>
      <c r="WMR44" s="344"/>
      <c r="WMS44" s="344"/>
      <c r="WMT44" s="344"/>
      <c r="WMU44" s="344"/>
      <c r="WMV44" s="344"/>
      <c r="WMW44" s="344"/>
      <c r="WMX44" s="344"/>
      <c r="WMY44" s="344"/>
      <c r="WMZ44" s="344"/>
      <c r="WNA44" s="344"/>
      <c r="WNB44" s="344"/>
      <c r="WNC44" s="344"/>
      <c r="WND44" s="344"/>
      <c r="WNE44" s="344"/>
      <c r="WNF44" s="344"/>
      <c r="WNG44" s="344"/>
      <c r="WNH44" s="344"/>
      <c r="WNI44" s="344"/>
      <c r="WNJ44" s="344"/>
      <c r="WNK44" s="344"/>
      <c r="WNL44" s="344"/>
      <c r="WNM44" s="344"/>
      <c r="WNN44" s="344"/>
      <c r="WNO44" s="344"/>
      <c r="WNP44" s="344"/>
      <c r="WNQ44" s="344"/>
      <c r="WNR44" s="344"/>
      <c r="WNS44" s="344"/>
      <c r="WNT44" s="344"/>
      <c r="WNU44" s="344"/>
      <c r="WNV44" s="344"/>
      <c r="WNW44" s="344"/>
      <c r="WNX44" s="344"/>
      <c r="WNY44" s="344"/>
      <c r="WNZ44" s="344"/>
      <c r="WOA44" s="344"/>
      <c r="WOB44" s="344"/>
      <c r="WOC44" s="344"/>
      <c r="WOD44" s="344"/>
      <c r="WOE44" s="344"/>
      <c r="WOF44" s="344"/>
      <c r="WOG44" s="344"/>
      <c r="WOH44" s="344"/>
      <c r="WOI44" s="344"/>
      <c r="WOJ44" s="344"/>
      <c r="WOK44" s="344"/>
      <c r="WOL44" s="344"/>
      <c r="WOM44" s="344"/>
      <c r="WON44" s="344"/>
      <c r="WOO44" s="344"/>
      <c r="WOP44" s="344"/>
      <c r="WOQ44" s="344"/>
      <c r="WOR44" s="344"/>
      <c r="WOS44" s="344"/>
      <c r="WOT44" s="344"/>
      <c r="WOU44" s="344"/>
      <c r="WOV44" s="344"/>
      <c r="WOW44" s="344"/>
      <c r="WOX44" s="344"/>
      <c r="WOY44" s="344"/>
      <c r="WOZ44" s="344"/>
      <c r="WPA44" s="344"/>
      <c r="WPB44" s="344"/>
      <c r="WPC44" s="344"/>
      <c r="WPD44" s="344"/>
      <c r="WPE44" s="344"/>
      <c r="WPF44" s="344"/>
      <c r="WPG44" s="344"/>
      <c r="WPH44" s="344"/>
      <c r="WPI44" s="344"/>
      <c r="WPJ44" s="344"/>
      <c r="WPK44" s="344"/>
      <c r="WPL44" s="344"/>
      <c r="WPM44" s="344"/>
      <c r="WPN44" s="344"/>
      <c r="WPO44" s="344"/>
      <c r="WPP44" s="344"/>
      <c r="WPQ44" s="344"/>
      <c r="WPR44" s="344"/>
      <c r="WPS44" s="344"/>
      <c r="WPT44" s="344"/>
      <c r="WPU44" s="344"/>
      <c r="WPV44" s="344"/>
      <c r="WPW44" s="344"/>
      <c r="WPX44" s="344"/>
      <c r="WPY44" s="344"/>
      <c r="WPZ44" s="344"/>
      <c r="WQA44" s="344"/>
      <c r="WQB44" s="344"/>
      <c r="WQC44" s="344"/>
      <c r="WQD44" s="344"/>
      <c r="WQE44" s="344"/>
      <c r="WQF44" s="344"/>
      <c r="WQG44" s="344"/>
      <c r="WQH44" s="344"/>
      <c r="WQI44" s="344"/>
      <c r="WQJ44" s="344"/>
      <c r="WQK44" s="344"/>
      <c r="WQL44" s="344"/>
      <c r="WQM44" s="344"/>
      <c r="WQN44" s="344"/>
      <c r="WQO44" s="344"/>
      <c r="WQP44" s="344"/>
      <c r="WQQ44" s="344"/>
      <c r="WQR44" s="344"/>
      <c r="WQS44" s="344"/>
      <c r="WQT44" s="344"/>
      <c r="WQU44" s="344"/>
      <c r="WQV44" s="344"/>
      <c r="WQW44" s="344"/>
      <c r="WQX44" s="344"/>
      <c r="WQY44" s="344"/>
      <c r="WQZ44" s="344"/>
      <c r="WRA44" s="344"/>
      <c r="WRB44" s="344"/>
      <c r="WRC44" s="344"/>
      <c r="WRD44" s="344"/>
      <c r="WRE44" s="344"/>
      <c r="WRF44" s="344"/>
      <c r="WRG44" s="344"/>
      <c r="WRH44" s="344"/>
      <c r="WRI44" s="344"/>
      <c r="WRJ44" s="344"/>
      <c r="WRK44" s="344"/>
      <c r="WRL44" s="344"/>
      <c r="WRM44" s="344"/>
      <c r="WRN44" s="344"/>
      <c r="WRO44" s="344"/>
      <c r="WRP44" s="344"/>
      <c r="WRQ44" s="344"/>
      <c r="WRR44" s="344"/>
      <c r="WRS44" s="344"/>
      <c r="WRT44" s="344"/>
      <c r="WRU44" s="344"/>
      <c r="WRV44" s="344"/>
      <c r="WRW44" s="344"/>
      <c r="WRX44" s="344"/>
      <c r="WRY44" s="344"/>
      <c r="WRZ44" s="344"/>
      <c r="WSA44" s="344"/>
      <c r="WSB44" s="344"/>
      <c r="WSC44" s="344"/>
      <c r="WSD44" s="344"/>
      <c r="WSE44" s="344"/>
      <c r="WSF44" s="344"/>
      <c r="WSG44" s="344"/>
      <c r="WSH44" s="344"/>
      <c r="WSI44" s="344"/>
      <c r="WSJ44" s="344"/>
      <c r="WSK44" s="344"/>
      <c r="WSL44" s="344"/>
      <c r="WSM44" s="344"/>
      <c r="WSN44" s="344"/>
      <c r="WSO44" s="344"/>
      <c r="WSP44" s="344"/>
      <c r="WSQ44" s="344"/>
      <c r="WSR44" s="344"/>
      <c r="WSS44" s="344"/>
      <c r="WST44" s="344"/>
      <c r="WSU44" s="344"/>
      <c r="WSV44" s="344"/>
      <c r="WSW44" s="344"/>
      <c r="WSX44" s="344"/>
      <c r="WSY44" s="344"/>
      <c r="WSZ44" s="344"/>
      <c r="WTA44" s="344"/>
      <c r="WTB44" s="344"/>
      <c r="WTC44" s="344"/>
      <c r="WTD44" s="344"/>
      <c r="WTE44" s="344"/>
      <c r="WTF44" s="344"/>
      <c r="WTG44" s="344"/>
      <c r="WTH44" s="344"/>
      <c r="WTI44" s="344"/>
      <c r="WTJ44" s="344"/>
      <c r="WTK44" s="344"/>
      <c r="WTL44" s="344"/>
      <c r="WTM44" s="344"/>
      <c r="WTN44" s="344"/>
      <c r="WTO44" s="344"/>
      <c r="WTP44" s="344"/>
      <c r="WTQ44" s="344"/>
      <c r="WTR44" s="344"/>
      <c r="WTS44" s="344"/>
      <c r="WTT44" s="344"/>
      <c r="WTU44" s="344"/>
      <c r="WTV44" s="344"/>
      <c r="WTW44" s="344"/>
      <c r="WTX44" s="344"/>
      <c r="WTY44" s="344"/>
      <c r="WTZ44" s="344"/>
      <c r="WUA44" s="344"/>
      <c r="WUB44" s="344"/>
      <c r="WUC44" s="344"/>
      <c r="WUD44" s="344"/>
      <c r="WUE44" s="344"/>
      <c r="WUF44" s="344"/>
      <c r="WUG44" s="344"/>
      <c r="WUH44" s="344"/>
      <c r="WUI44" s="344"/>
      <c r="WUJ44" s="344"/>
      <c r="WUK44" s="344"/>
      <c r="WUL44" s="344"/>
      <c r="WUM44" s="344"/>
      <c r="WUN44" s="344"/>
      <c r="WUO44" s="344"/>
      <c r="WUP44" s="344"/>
      <c r="WUQ44" s="344"/>
      <c r="WUR44" s="344"/>
      <c r="WUS44" s="344"/>
      <c r="WUT44" s="344"/>
      <c r="WUU44" s="344"/>
      <c r="WUV44" s="344"/>
      <c r="WUW44" s="344"/>
      <c r="WUX44" s="344"/>
      <c r="WUY44" s="344"/>
      <c r="WUZ44" s="344"/>
      <c r="WVA44" s="344"/>
      <c r="WVB44" s="344"/>
      <c r="WVC44" s="344"/>
      <c r="WVD44" s="344"/>
      <c r="WVE44" s="344"/>
      <c r="WVF44" s="344"/>
      <c r="WVG44" s="344"/>
      <c r="WVH44" s="344"/>
      <c r="WVI44" s="344"/>
      <c r="WVJ44" s="344"/>
      <c r="WVK44" s="344"/>
      <c r="WVL44" s="344"/>
      <c r="WVM44" s="344"/>
      <c r="WVN44" s="344"/>
      <c r="WVO44" s="344"/>
      <c r="WVP44" s="344"/>
      <c r="WVQ44" s="344"/>
      <c r="WVR44" s="344"/>
      <c r="WVS44" s="344"/>
      <c r="WVT44" s="344"/>
      <c r="WVU44" s="344"/>
      <c r="WVV44" s="344"/>
      <c r="WVW44" s="344"/>
      <c r="WVX44" s="344"/>
      <c r="WVY44" s="344"/>
      <c r="WVZ44" s="344"/>
      <c r="WWA44" s="344"/>
      <c r="WWB44" s="344"/>
      <c r="WWC44" s="344"/>
      <c r="WWD44" s="344"/>
      <c r="WWE44" s="344"/>
      <c r="WWF44" s="344"/>
      <c r="WWG44" s="344"/>
      <c r="WWH44" s="344"/>
      <c r="WWI44" s="344"/>
      <c r="WWJ44" s="344"/>
      <c r="WWK44" s="344"/>
      <c r="WWL44" s="344"/>
      <c r="WWM44" s="344"/>
      <c r="WWN44" s="344"/>
      <c r="WWO44" s="344"/>
      <c r="WWP44" s="344"/>
      <c r="WWQ44" s="344"/>
      <c r="WWR44" s="344"/>
      <c r="WWS44" s="344"/>
      <c r="WWT44" s="344"/>
      <c r="WWU44" s="344"/>
      <c r="WWV44" s="344"/>
      <c r="WWW44" s="344"/>
      <c r="WWX44" s="344"/>
      <c r="WWY44" s="344"/>
      <c r="WWZ44" s="344"/>
      <c r="WXA44" s="344"/>
      <c r="WXB44" s="344"/>
      <c r="WXC44" s="344"/>
      <c r="WXD44" s="344"/>
      <c r="WXE44" s="344"/>
      <c r="WXF44" s="344"/>
      <c r="WXG44" s="344"/>
      <c r="WXH44" s="344"/>
      <c r="WXI44" s="344"/>
      <c r="WXJ44" s="344"/>
      <c r="WXK44" s="344"/>
      <c r="WXL44" s="344"/>
      <c r="WXM44" s="344"/>
      <c r="WXN44" s="344"/>
      <c r="WXO44" s="344"/>
      <c r="WXP44" s="344"/>
      <c r="WXQ44" s="344"/>
      <c r="WXR44" s="344"/>
      <c r="WXS44" s="344"/>
      <c r="WXT44" s="344"/>
      <c r="WXU44" s="344"/>
      <c r="WXV44" s="344"/>
      <c r="WXW44" s="344"/>
      <c r="WXX44" s="344"/>
      <c r="WXY44" s="344"/>
      <c r="WXZ44" s="344"/>
      <c r="WYA44" s="344"/>
      <c r="WYB44" s="344"/>
      <c r="WYC44" s="344"/>
      <c r="WYD44" s="344"/>
      <c r="WYE44" s="344"/>
      <c r="WYF44" s="344"/>
      <c r="WYG44" s="344"/>
      <c r="WYH44" s="344"/>
      <c r="WYI44" s="344"/>
      <c r="WYJ44" s="344"/>
      <c r="WYK44" s="344"/>
      <c r="WYL44" s="344"/>
      <c r="WYM44" s="344"/>
      <c r="WYN44" s="344"/>
      <c r="WYO44" s="344"/>
      <c r="WYP44" s="344"/>
      <c r="WYQ44" s="344"/>
      <c r="WYR44" s="344"/>
      <c r="WYS44" s="344"/>
      <c r="WYT44" s="344"/>
      <c r="WYU44" s="344"/>
      <c r="WYV44" s="344"/>
      <c r="WYW44" s="344"/>
      <c r="WYX44" s="344"/>
      <c r="WYY44" s="344"/>
      <c r="WYZ44" s="344"/>
      <c r="WZA44" s="344"/>
      <c r="WZB44" s="344"/>
      <c r="WZC44" s="344"/>
      <c r="WZD44" s="344"/>
      <c r="WZE44" s="344"/>
      <c r="WZF44" s="344"/>
      <c r="WZG44" s="344"/>
      <c r="WZH44" s="344"/>
      <c r="WZI44" s="344"/>
      <c r="WZJ44" s="344"/>
      <c r="WZK44" s="344"/>
      <c r="WZL44" s="344"/>
      <c r="WZM44" s="344"/>
      <c r="WZN44" s="344"/>
      <c r="WZO44" s="344"/>
      <c r="WZP44" s="344"/>
      <c r="WZQ44" s="344"/>
      <c r="WZR44" s="344"/>
      <c r="WZS44" s="344"/>
      <c r="WZT44" s="344"/>
      <c r="WZU44" s="344"/>
      <c r="WZV44" s="344"/>
      <c r="WZW44" s="344"/>
      <c r="WZX44" s="344"/>
      <c r="WZY44" s="344"/>
      <c r="WZZ44" s="344"/>
      <c r="XAA44" s="344"/>
      <c r="XAB44" s="344"/>
      <c r="XAC44" s="344"/>
      <c r="XAD44" s="344"/>
      <c r="XAE44" s="344"/>
      <c r="XAF44" s="344"/>
      <c r="XAG44" s="344"/>
      <c r="XAH44" s="344"/>
      <c r="XAI44" s="344"/>
      <c r="XAJ44" s="344"/>
      <c r="XAK44" s="344"/>
      <c r="XAL44" s="344"/>
      <c r="XAM44" s="344"/>
      <c r="XAN44" s="344"/>
      <c r="XAO44" s="344"/>
      <c r="XAP44" s="344"/>
      <c r="XAQ44" s="344"/>
      <c r="XAR44" s="344"/>
      <c r="XAS44" s="344"/>
      <c r="XAT44" s="344"/>
      <c r="XAU44" s="344"/>
      <c r="XAV44" s="344"/>
      <c r="XAW44" s="344"/>
      <c r="XAX44" s="344"/>
      <c r="XAY44" s="344"/>
      <c r="XAZ44" s="344"/>
      <c r="XBA44" s="344"/>
      <c r="XBB44" s="344"/>
      <c r="XBC44" s="344"/>
      <c r="XBD44" s="344"/>
      <c r="XBE44" s="344"/>
      <c r="XBF44" s="344"/>
      <c r="XBG44" s="344"/>
      <c r="XBH44" s="344"/>
      <c r="XBI44" s="344"/>
      <c r="XBJ44" s="344"/>
      <c r="XBK44" s="344"/>
      <c r="XBL44" s="344"/>
      <c r="XBM44" s="344"/>
      <c r="XBN44" s="344"/>
      <c r="XBO44" s="344"/>
      <c r="XBP44" s="344"/>
      <c r="XBQ44" s="344"/>
      <c r="XBR44" s="344"/>
      <c r="XBS44" s="344"/>
      <c r="XBT44" s="344"/>
      <c r="XBU44" s="344"/>
      <c r="XBV44" s="344"/>
      <c r="XBW44" s="344"/>
      <c r="XBX44" s="344"/>
      <c r="XBY44" s="344"/>
      <c r="XBZ44" s="344"/>
      <c r="XCA44" s="344"/>
      <c r="XCB44" s="344"/>
      <c r="XCC44" s="344"/>
      <c r="XCD44" s="344"/>
      <c r="XCE44" s="344"/>
      <c r="XCF44" s="344"/>
      <c r="XCG44" s="344"/>
      <c r="XCH44" s="344"/>
      <c r="XCI44" s="344"/>
      <c r="XCJ44" s="344"/>
      <c r="XCK44" s="344"/>
      <c r="XCL44" s="344"/>
      <c r="XCM44" s="344"/>
      <c r="XCN44" s="344"/>
      <c r="XCO44" s="344"/>
      <c r="XCP44" s="344"/>
      <c r="XCQ44" s="344"/>
      <c r="XCR44" s="344"/>
      <c r="XCS44" s="344"/>
      <c r="XCT44" s="344"/>
      <c r="XCU44" s="344"/>
      <c r="XCV44" s="344"/>
      <c r="XCW44" s="344"/>
      <c r="XCX44" s="344"/>
      <c r="XCY44" s="344"/>
      <c r="XCZ44" s="344"/>
      <c r="XDA44" s="344"/>
      <c r="XDB44" s="344"/>
      <c r="XDC44" s="344"/>
      <c r="XDD44" s="344"/>
      <c r="XDE44" s="344"/>
      <c r="XDF44" s="344"/>
      <c r="XDG44" s="344"/>
      <c r="XDH44" s="344"/>
      <c r="XDI44" s="344"/>
      <c r="XDJ44" s="344"/>
      <c r="XDK44" s="344"/>
      <c r="XDL44" s="344"/>
      <c r="XDM44" s="344"/>
      <c r="XDN44" s="344"/>
      <c r="XDO44" s="344"/>
      <c r="XDP44" s="344"/>
      <c r="XDQ44" s="344"/>
      <c r="XDR44" s="344"/>
      <c r="XDS44" s="344"/>
      <c r="XDT44" s="344"/>
      <c r="XDU44" s="344"/>
      <c r="XDV44" s="344"/>
      <c r="XDW44" s="344"/>
      <c r="XDX44" s="344"/>
      <c r="XDY44" s="344"/>
      <c r="XDZ44" s="344"/>
      <c r="XEA44" s="344"/>
      <c r="XEB44" s="344"/>
      <c r="XEC44" s="344"/>
      <c r="XED44" s="344"/>
      <c r="XEE44" s="344"/>
      <c r="XEF44" s="344"/>
      <c r="XEG44" s="344"/>
      <c r="XEH44" s="344"/>
      <c r="XEI44" s="344"/>
      <c r="XEJ44" s="344"/>
      <c r="XEK44" s="344"/>
      <c r="XEL44" s="344"/>
      <c r="XEM44" s="344"/>
      <c r="XEN44" s="344"/>
      <c r="XEO44" s="344"/>
      <c r="XEP44" s="344"/>
      <c r="XEQ44" s="344"/>
      <c r="XER44" s="344"/>
      <c r="XES44" s="344"/>
      <c r="XET44" s="344"/>
      <c r="XEU44" s="344"/>
      <c r="XEV44" s="344"/>
      <c r="XEW44" s="344"/>
      <c r="XEX44" s="344"/>
      <c r="XEY44" s="344"/>
      <c r="XEZ44" s="344"/>
      <c r="XFA44" s="344"/>
    </row>
    <row r="45" s="338" customFormat="1" ht="29.25" customHeight="1" spans="1:1024 1025:16381">
      <c r="A45" s="344"/>
      <c r="B45" s="382">
        <v>35</v>
      </c>
      <c r="C45" s="380" t="e">
        <f>_xlfn.XLOOKUP(D45,商品汇总表!$B:$B,商品汇总表!$A:$A,"")</f>
        <v>#N/A</v>
      </c>
      <c r="D45" s="362" t="e" cm="1">
        <f t="array" ref="D45">LOOKUP(1,0/(('5.21出货明细'!AR:AR=$D$52)*('5.21出货明细'!A:A=B45)),'5.21出货明细'!E:E)</f>
        <v>#N/A</v>
      </c>
      <c r="E45" s="358" t="e">
        <f>_xlfn.XLOOKUP(D45,商品汇总表!$B:$B,商品汇总表!$D:$D,"")</f>
        <v>#N/A</v>
      </c>
      <c r="F45" s="363" t="e" cm="1">
        <f t="array" ref="F45">_xlfn.LET(_xlpm.数组,B45&amp;D45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5" s="373"/>
      <c r="H45" s="364"/>
      <c r="I45" s="365"/>
      <c r="J45" s="366"/>
      <c r="K45" s="367"/>
      <c r="L45" s="368"/>
      <c r="M45" s="369" t="s">
        <v>2953</v>
      </c>
      <c r="N45" s="370"/>
      <c r="O45" s="370"/>
      <c r="P45" s="383"/>
      <c r="Q45" s="372"/>
      <c r="R45" s="372"/>
      <c r="S45" s="372"/>
      <c r="T45" s="372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344"/>
      <c r="AN45" s="344"/>
      <c r="AO45" s="344"/>
      <c r="AP45" s="344"/>
      <c r="AQ45" s="344"/>
      <c r="AR45" s="344"/>
      <c r="AS45" s="344"/>
      <c r="AT45" s="344"/>
      <c r="AU45" s="344"/>
      <c r="AV45" s="344"/>
      <c r="AW45" s="344"/>
      <c r="AX45" s="344"/>
      <c r="AY45" s="344"/>
      <c r="AZ45" s="344"/>
      <c r="BA45" s="344"/>
      <c r="BB45" s="344"/>
      <c r="BC45" s="344"/>
      <c r="BD45" s="344"/>
      <c r="BE45" s="344"/>
      <c r="BF45" s="344"/>
      <c r="BG45" s="344"/>
      <c r="BH45" s="344"/>
      <c r="BI45" s="344"/>
      <c r="BJ45" s="344"/>
      <c r="BK45" s="344"/>
      <c r="BL45" s="344"/>
      <c r="BM45" s="344"/>
      <c r="BN45" s="344"/>
      <c r="BO45" s="344"/>
      <c r="BP45" s="344"/>
      <c r="BQ45" s="344"/>
      <c r="BR45" s="344"/>
      <c r="BS45" s="344"/>
      <c r="BT45" s="344"/>
      <c r="BU45" s="344"/>
      <c r="BV45" s="344"/>
      <c r="BW45" s="344"/>
      <c r="BX45" s="344"/>
      <c r="BY45" s="344"/>
      <c r="BZ45" s="344"/>
      <c r="CA45" s="344"/>
      <c r="CB45" s="344"/>
      <c r="CC45" s="344"/>
      <c r="CD45" s="344"/>
      <c r="CE45" s="344"/>
      <c r="CF45" s="344"/>
      <c r="CG45" s="344"/>
      <c r="CH45" s="344"/>
      <c r="CI45" s="344"/>
      <c r="CJ45" s="344"/>
      <c r="CK45" s="344"/>
      <c r="CL45" s="344"/>
      <c r="CM45" s="344"/>
      <c r="CN45" s="344"/>
      <c r="CO45" s="344"/>
      <c r="CP45" s="344"/>
      <c r="CQ45" s="344"/>
      <c r="CR45" s="344"/>
      <c r="CS45" s="344"/>
      <c r="CT45" s="344"/>
      <c r="CU45" s="344"/>
      <c r="CV45" s="344"/>
      <c r="CW45" s="344"/>
      <c r="CX45" s="344"/>
      <c r="CY45" s="344"/>
      <c r="CZ45" s="344"/>
      <c r="DA45" s="344"/>
      <c r="DB45" s="344"/>
      <c r="DC45" s="344"/>
      <c r="DD45" s="344"/>
      <c r="DE45" s="344"/>
      <c r="DF45" s="344"/>
      <c r="DG45" s="344"/>
      <c r="DH45" s="344"/>
      <c r="DI45" s="344"/>
      <c r="DJ45" s="344"/>
      <c r="DK45" s="344"/>
      <c r="DL45" s="344"/>
      <c r="DM45" s="344"/>
      <c r="DN45" s="344"/>
      <c r="DO45" s="344"/>
      <c r="DP45" s="344"/>
      <c r="DQ45" s="344"/>
      <c r="DR45" s="344"/>
      <c r="DS45" s="344"/>
      <c r="DT45" s="344"/>
      <c r="DU45" s="344"/>
      <c r="DV45" s="344"/>
      <c r="DW45" s="344"/>
      <c r="DX45" s="344"/>
      <c r="DY45" s="344"/>
      <c r="DZ45" s="344"/>
      <c r="EA45" s="344"/>
      <c r="EB45" s="344"/>
      <c r="EC45" s="344"/>
      <c r="ED45" s="344"/>
      <c r="EE45" s="344"/>
      <c r="EF45" s="344"/>
      <c r="EG45" s="344"/>
      <c r="EH45" s="344"/>
      <c r="EI45" s="344"/>
      <c r="EJ45" s="344"/>
      <c r="EK45" s="344"/>
      <c r="EL45" s="344"/>
      <c r="EM45" s="344"/>
      <c r="EN45" s="344"/>
      <c r="EO45" s="344"/>
      <c r="EP45" s="344"/>
      <c r="EQ45" s="344"/>
      <c r="ER45" s="344"/>
      <c r="ES45" s="344"/>
      <c r="ET45" s="344"/>
      <c r="EU45" s="344"/>
      <c r="EV45" s="344"/>
      <c r="EW45" s="344"/>
      <c r="EX45" s="344"/>
      <c r="EY45" s="344"/>
      <c r="EZ45" s="344"/>
      <c r="FA45" s="344"/>
      <c r="FB45" s="344"/>
      <c r="FC45" s="344"/>
      <c r="FD45" s="344"/>
      <c r="FE45" s="344"/>
      <c r="FF45" s="344"/>
      <c r="FG45" s="344"/>
      <c r="FH45" s="344"/>
      <c r="FI45" s="344"/>
      <c r="FJ45" s="344"/>
      <c r="FK45" s="344"/>
      <c r="FL45" s="344"/>
      <c r="FM45" s="344"/>
      <c r="FN45" s="344"/>
      <c r="FO45" s="344"/>
      <c r="FP45" s="344"/>
      <c r="FQ45" s="344"/>
      <c r="FR45" s="344"/>
      <c r="FS45" s="344"/>
      <c r="FT45" s="344"/>
      <c r="FU45" s="344"/>
      <c r="FV45" s="344"/>
      <c r="FW45" s="344"/>
      <c r="FX45" s="344"/>
      <c r="FY45" s="344"/>
      <c r="FZ45" s="344"/>
      <c r="GA45" s="344"/>
      <c r="GB45" s="344"/>
      <c r="GC45" s="344"/>
      <c r="GD45" s="344"/>
      <c r="GE45" s="344"/>
      <c r="GF45" s="344"/>
      <c r="GG45" s="344"/>
      <c r="GH45" s="344"/>
      <c r="GI45" s="344"/>
      <c r="GJ45" s="344"/>
      <c r="GK45" s="344"/>
      <c r="GL45" s="344"/>
      <c r="GM45" s="344"/>
      <c r="GN45" s="344"/>
      <c r="GO45" s="344"/>
      <c r="GP45" s="344"/>
      <c r="GQ45" s="344"/>
      <c r="GR45" s="344"/>
      <c r="GS45" s="344"/>
      <c r="GT45" s="344"/>
      <c r="GU45" s="344"/>
      <c r="GV45" s="344"/>
      <c r="GW45" s="344"/>
      <c r="GX45" s="344"/>
      <c r="GY45" s="344"/>
      <c r="GZ45" s="344"/>
      <c r="HA45" s="344"/>
      <c r="HB45" s="344"/>
      <c r="HC45" s="344"/>
      <c r="HD45" s="344"/>
      <c r="HE45" s="344"/>
      <c r="HF45" s="344"/>
      <c r="HG45" s="344"/>
      <c r="HH45" s="344"/>
      <c r="HI45" s="344"/>
      <c r="HJ45" s="344"/>
      <c r="HK45" s="344"/>
      <c r="HL45" s="344"/>
      <c r="HM45" s="344"/>
      <c r="HN45" s="344"/>
      <c r="HO45" s="344"/>
      <c r="HP45" s="344"/>
      <c r="HQ45" s="344"/>
      <c r="HR45" s="344"/>
      <c r="HS45" s="344"/>
      <c r="HT45" s="344"/>
      <c r="HU45" s="344"/>
      <c r="HV45" s="344"/>
      <c r="HW45" s="344"/>
      <c r="HX45" s="344"/>
      <c r="HY45" s="344"/>
      <c r="HZ45" s="344"/>
      <c r="IA45" s="344"/>
      <c r="IB45" s="344"/>
      <c r="IC45" s="344"/>
      <c r="ID45" s="344"/>
      <c r="IE45" s="344"/>
      <c r="IF45" s="344"/>
      <c r="IG45" s="344"/>
      <c r="IH45" s="344"/>
      <c r="II45" s="344"/>
      <c r="IJ45" s="344"/>
      <c r="IK45" s="344"/>
      <c r="IL45" s="344"/>
      <c r="IM45" s="344"/>
      <c r="IN45" s="344"/>
      <c r="IO45" s="344"/>
      <c r="IP45" s="344"/>
      <c r="IQ45" s="344"/>
      <c r="IR45" s="344"/>
      <c r="IS45" s="344"/>
      <c r="IT45" s="344"/>
      <c r="IU45" s="344"/>
      <c r="IV45" s="344"/>
      <c r="IW45" s="344"/>
      <c r="IX45" s="344"/>
      <c r="IY45" s="344"/>
      <c r="IZ45" s="344"/>
      <c r="JA45" s="344"/>
      <c r="JB45" s="344"/>
      <c r="JC45" s="344"/>
      <c r="JD45" s="344"/>
      <c r="JE45" s="344"/>
      <c r="JF45" s="344"/>
      <c r="JG45" s="344"/>
      <c r="JH45" s="344"/>
      <c r="JI45" s="344"/>
      <c r="JJ45" s="344"/>
      <c r="JK45" s="344"/>
      <c r="JL45" s="344"/>
      <c r="JM45" s="344"/>
      <c r="JN45" s="344"/>
      <c r="JO45" s="344"/>
      <c r="JP45" s="344"/>
      <c r="JQ45" s="344"/>
      <c r="JR45" s="344"/>
      <c r="JS45" s="344"/>
      <c r="JT45" s="344"/>
      <c r="JU45" s="344"/>
      <c r="JV45" s="344"/>
      <c r="JW45" s="344"/>
      <c r="JX45" s="344"/>
      <c r="JY45" s="344"/>
      <c r="JZ45" s="344"/>
      <c r="KA45" s="344"/>
      <c r="KB45" s="344"/>
      <c r="KC45" s="344"/>
      <c r="KD45" s="344"/>
      <c r="KE45" s="344"/>
      <c r="KF45" s="344"/>
      <c r="KG45" s="344"/>
      <c r="KH45" s="344"/>
      <c r="KI45" s="344"/>
      <c r="KJ45" s="344"/>
      <c r="KK45" s="344"/>
      <c r="KL45" s="344"/>
      <c r="KM45" s="344"/>
      <c r="KN45" s="344"/>
      <c r="KO45" s="344"/>
      <c r="KP45" s="344"/>
      <c r="KQ45" s="344"/>
      <c r="KR45" s="344"/>
      <c r="KS45" s="344"/>
      <c r="KT45" s="344"/>
      <c r="KU45" s="344"/>
      <c r="KV45" s="344"/>
      <c r="KW45" s="344"/>
      <c r="KX45" s="344"/>
      <c r="KY45" s="344"/>
      <c r="KZ45" s="344"/>
      <c r="LA45" s="344"/>
      <c r="LB45" s="344"/>
      <c r="LC45" s="344"/>
      <c r="LD45" s="344"/>
      <c r="LE45" s="344"/>
      <c r="LF45" s="344"/>
      <c r="LG45" s="344"/>
      <c r="LH45" s="344"/>
      <c r="LI45" s="344"/>
      <c r="LJ45" s="344"/>
      <c r="LK45" s="344"/>
      <c r="LL45" s="344"/>
      <c r="LM45" s="344"/>
      <c r="LN45" s="344"/>
      <c r="LO45" s="344"/>
      <c r="LP45" s="344"/>
      <c r="LQ45" s="344"/>
      <c r="LR45" s="344"/>
      <c r="LS45" s="344"/>
      <c r="LT45" s="344"/>
      <c r="LU45" s="344"/>
      <c r="LV45" s="344"/>
      <c r="LW45" s="344"/>
      <c r="LX45" s="344"/>
      <c r="LY45" s="344"/>
      <c r="LZ45" s="344"/>
      <c r="MA45" s="344"/>
      <c r="MB45" s="344"/>
      <c r="MC45" s="344"/>
      <c r="MD45" s="344"/>
      <c r="ME45" s="344"/>
      <c r="MF45" s="344"/>
      <c r="MG45" s="344"/>
      <c r="MH45" s="344"/>
      <c r="MI45" s="344"/>
      <c r="MJ45" s="344"/>
      <c r="MK45" s="344"/>
      <c r="ML45" s="344"/>
      <c r="MM45" s="344"/>
      <c r="MN45" s="344"/>
      <c r="MO45" s="344"/>
      <c r="MP45" s="344"/>
      <c r="MQ45" s="344"/>
      <c r="MR45" s="344"/>
      <c r="MS45" s="344"/>
      <c r="MT45" s="344"/>
      <c r="MU45" s="344"/>
      <c r="MV45" s="344"/>
      <c r="MW45" s="344"/>
      <c r="MX45" s="344"/>
      <c r="MY45" s="344"/>
      <c r="MZ45" s="344"/>
      <c r="NA45" s="344"/>
      <c r="NB45" s="344"/>
      <c r="NC45" s="344"/>
      <c r="ND45" s="344"/>
      <c r="NE45" s="344"/>
      <c r="NF45" s="344"/>
      <c r="NG45" s="344"/>
      <c r="NH45" s="344"/>
      <c r="NI45" s="344"/>
      <c r="NJ45" s="344"/>
      <c r="NK45" s="344"/>
      <c r="NL45" s="344"/>
      <c r="NM45" s="344"/>
      <c r="NN45" s="344"/>
      <c r="NO45" s="344"/>
      <c r="NP45" s="344"/>
      <c r="NQ45" s="344"/>
      <c r="NR45" s="344"/>
      <c r="NS45" s="344"/>
      <c r="NT45" s="344"/>
      <c r="NU45" s="344"/>
      <c r="NV45" s="344"/>
      <c r="NW45" s="344"/>
      <c r="NX45" s="344"/>
      <c r="NY45" s="344"/>
      <c r="NZ45" s="344"/>
      <c r="OA45" s="344"/>
      <c r="OB45" s="344"/>
      <c r="OC45" s="344"/>
      <c r="OD45" s="344"/>
      <c r="OE45" s="344"/>
      <c r="OF45" s="344"/>
      <c r="OG45" s="344"/>
      <c r="OH45" s="344"/>
      <c r="OI45" s="344"/>
      <c r="OJ45" s="344"/>
      <c r="OK45" s="344"/>
      <c r="OL45" s="344"/>
      <c r="OM45" s="344"/>
      <c r="ON45" s="344"/>
      <c r="OO45" s="344"/>
      <c r="OP45" s="344"/>
      <c r="OQ45" s="344"/>
      <c r="OR45" s="344"/>
      <c r="OS45" s="344"/>
      <c r="OT45" s="344"/>
      <c r="OU45" s="344"/>
      <c r="OV45" s="344"/>
      <c r="OW45" s="344"/>
      <c r="OX45" s="344"/>
      <c r="OY45" s="344"/>
      <c r="OZ45" s="344"/>
      <c r="PA45" s="344"/>
      <c r="PB45" s="344"/>
      <c r="PC45" s="344"/>
      <c r="PD45" s="344"/>
      <c r="PE45" s="344"/>
      <c r="PF45" s="344"/>
      <c r="PG45" s="344"/>
      <c r="PH45" s="344"/>
      <c r="PI45" s="344"/>
      <c r="PJ45" s="344"/>
      <c r="PK45" s="344"/>
      <c r="PL45" s="344"/>
      <c r="PM45" s="344"/>
      <c r="PN45" s="344"/>
      <c r="PO45" s="344"/>
      <c r="PP45" s="344"/>
      <c r="PQ45" s="344"/>
      <c r="PR45" s="344"/>
      <c r="PS45" s="344"/>
      <c r="PT45" s="344"/>
      <c r="PU45" s="344"/>
      <c r="PV45" s="344"/>
      <c r="PW45" s="344"/>
      <c r="PX45" s="344"/>
      <c r="PY45" s="344"/>
      <c r="PZ45" s="344"/>
      <c r="QA45" s="344"/>
      <c r="QB45" s="344"/>
      <c r="QC45" s="344"/>
      <c r="QD45" s="344"/>
      <c r="QE45" s="344"/>
      <c r="QF45" s="344"/>
      <c r="QG45" s="344"/>
      <c r="QH45" s="344"/>
      <c r="QI45" s="344"/>
      <c r="QJ45" s="344"/>
      <c r="QK45" s="344"/>
      <c r="QL45" s="344"/>
      <c r="QM45" s="344"/>
      <c r="QN45" s="344"/>
      <c r="QO45" s="344"/>
      <c r="QP45" s="344"/>
      <c r="QQ45" s="344"/>
      <c r="QR45" s="344"/>
      <c r="QS45" s="344"/>
      <c r="QT45" s="344"/>
      <c r="QU45" s="344"/>
      <c r="QV45" s="344"/>
      <c r="QW45" s="344"/>
      <c r="QX45" s="344"/>
      <c r="QY45" s="344"/>
      <c r="QZ45" s="344"/>
      <c r="RA45" s="344"/>
      <c r="RB45" s="344"/>
      <c r="RC45" s="344"/>
      <c r="RD45" s="344"/>
      <c r="RE45" s="344"/>
      <c r="RF45" s="344"/>
      <c r="RG45" s="344"/>
      <c r="RH45" s="344"/>
      <c r="RI45" s="344"/>
      <c r="RJ45" s="344"/>
      <c r="RK45" s="344"/>
      <c r="RL45" s="344"/>
      <c r="RM45" s="344"/>
      <c r="RN45" s="344"/>
      <c r="RO45" s="344"/>
      <c r="RP45" s="344"/>
      <c r="RQ45" s="344"/>
      <c r="RR45" s="344"/>
      <c r="RS45" s="344"/>
      <c r="RT45" s="344"/>
      <c r="RU45" s="344"/>
      <c r="RV45" s="344"/>
      <c r="RW45" s="344"/>
      <c r="RX45" s="344"/>
      <c r="RY45" s="344"/>
      <c r="RZ45" s="344"/>
      <c r="SA45" s="344"/>
      <c r="SB45" s="344"/>
      <c r="SC45" s="344"/>
      <c r="SD45" s="344"/>
      <c r="SE45" s="344"/>
      <c r="SF45" s="344"/>
      <c r="SG45" s="344"/>
      <c r="SH45" s="344"/>
      <c r="SI45" s="344"/>
      <c r="SJ45" s="344"/>
      <c r="SK45" s="344"/>
      <c r="SL45" s="344"/>
      <c r="SM45" s="344"/>
      <c r="SN45" s="344"/>
      <c r="SO45" s="344"/>
      <c r="SP45" s="344"/>
      <c r="SQ45" s="344"/>
      <c r="SR45" s="344"/>
      <c r="SS45" s="344"/>
      <c r="ST45" s="344"/>
      <c r="SU45" s="344"/>
      <c r="SV45" s="344"/>
      <c r="SW45" s="344"/>
      <c r="SX45" s="344"/>
      <c r="SY45" s="344"/>
      <c r="SZ45" s="344"/>
      <c r="TA45" s="344"/>
      <c r="TB45" s="344"/>
      <c r="TC45" s="344"/>
      <c r="TD45" s="344"/>
      <c r="TE45" s="344"/>
      <c r="TF45" s="344"/>
      <c r="TG45" s="344"/>
      <c r="TH45" s="344"/>
      <c r="TI45" s="344"/>
      <c r="TJ45" s="344"/>
      <c r="TK45" s="344"/>
      <c r="TL45" s="344"/>
      <c r="TM45" s="344"/>
      <c r="TN45" s="344"/>
      <c r="TO45" s="344"/>
      <c r="TP45" s="344"/>
      <c r="TQ45" s="344"/>
      <c r="TR45" s="344"/>
      <c r="TS45" s="344"/>
      <c r="TT45" s="344"/>
      <c r="TU45" s="344"/>
      <c r="TV45" s="344"/>
      <c r="TW45" s="344"/>
      <c r="TX45" s="344"/>
      <c r="TY45" s="344"/>
      <c r="TZ45" s="344"/>
      <c r="UA45" s="344"/>
      <c r="UB45" s="344"/>
      <c r="UC45" s="344"/>
      <c r="UD45" s="344"/>
      <c r="UE45" s="344"/>
      <c r="UF45" s="344"/>
      <c r="UG45" s="344"/>
      <c r="UH45" s="344"/>
      <c r="UI45" s="344"/>
      <c r="UJ45" s="344"/>
      <c r="UK45" s="344"/>
      <c r="UL45" s="344"/>
      <c r="UM45" s="344"/>
      <c r="UN45" s="344"/>
      <c r="UO45" s="344"/>
      <c r="UP45" s="344"/>
      <c r="UQ45" s="344"/>
      <c r="UR45" s="344"/>
      <c r="US45" s="344"/>
      <c r="UT45" s="344"/>
      <c r="UU45" s="344"/>
      <c r="UV45" s="344"/>
      <c r="UW45" s="344"/>
      <c r="UX45" s="344"/>
      <c r="UY45" s="344"/>
      <c r="UZ45" s="344"/>
      <c r="VA45" s="344"/>
      <c r="VB45" s="344"/>
      <c r="VC45" s="344"/>
      <c r="VD45" s="344"/>
      <c r="VE45" s="344"/>
      <c r="VF45" s="344"/>
      <c r="VG45" s="344"/>
      <c r="VH45" s="344"/>
      <c r="VI45" s="344"/>
      <c r="VJ45" s="344"/>
      <c r="VK45" s="344"/>
      <c r="VL45" s="344"/>
      <c r="VM45" s="344"/>
      <c r="VN45" s="344"/>
      <c r="VO45" s="344"/>
      <c r="VP45" s="344"/>
      <c r="VQ45" s="344"/>
      <c r="VR45" s="344"/>
      <c r="VS45" s="344"/>
      <c r="VT45" s="344"/>
      <c r="VU45" s="344"/>
      <c r="VV45" s="344"/>
      <c r="VW45" s="344"/>
      <c r="VX45" s="344"/>
      <c r="VY45" s="344"/>
      <c r="VZ45" s="344"/>
      <c r="WA45" s="344"/>
      <c r="WB45" s="344"/>
      <c r="WC45" s="344"/>
      <c r="WD45" s="344"/>
      <c r="WE45" s="344"/>
      <c r="WF45" s="344"/>
      <c r="WG45" s="344"/>
      <c r="WH45" s="344"/>
      <c r="WI45" s="344"/>
      <c r="WJ45" s="344"/>
      <c r="WK45" s="344"/>
      <c r="WL45" s="344"/>
      <c r="WM45" s="344"/>
      <c r="WN45" s="344"/>
      <c r="WO45" s="344"/>
      <c r="WP45" s="344"/>
      <c r="WQ45" s="344"/>
      <c r="WR45" s="344"/>
      <c r="WS45" s="344"/>
      <c r="WT45" s="344"/>
      <c r="WU45" s="344"/>
      <c r="WV45" s="344"/>
      <c r="WW45" s="344"/>
      <c r="WX45" s="344"/>
      <c r="WY45" s="344"/>
      <c r="WZ45" s="344"/>
      <c r="XA45" s="344"/>
      <c r="XB45" s="344"/>
      <c r="XC45" s="344"/>
      <c r="XD45" s="344"/>
      <c r="XE45" s="344"/>
      <c r="XF45" s="344"/>
      <c r="XG45" s="344"/>
      <c r="XH45" s="344"/>
      <c r="XI45" s="344"/>
      <c r="XJ45" s="344"/>
      <c r="XK45" s="344"/>
      <c r="XL45" s="344"/>
      <c r="XM45" s="344"/>
      <c r="XN45" s="344"/>
      <c r="XO45" s="344"/>
      <c r="XP45" s="344"/>
      <c r="XQ45" s="344"/>
      <c r="XR45" s="344"/>
      <c r="XS45" s="344"/>
      <c r="XT45" s="344"/>
      <c r="XU45" s="344"/>
      <c r="XV45" s="344"/>
      <c r="XW45" s="344"/>
      <c r="XX45" s="344"/>
      <c r="XY45" s="344"/>
      <c r="XZ45" s="344"/>
      <c r="YA45" s="344"/>
      <c r="YB45" s="344"/>
      <c r="YC45" s="344"/>
      <c r="YD45" s="344"/>
      <c r="YE45" s="344"/>
      <c r="YF45" s="344"/>
      <c r="YG45" s="344"/>
      <c r="YH45" s="344"/>
      <c r="YI45" s="344"/>
      <c r="YJ45" s="344"/>
      <c r="YK45" s="344"/>
      <c r="YL45" s="344"/>
      <c r="YM45" s="344"/>
      <c r="YN45" s="344"/>
      <c r="YO45" s="344"/>
      <c r="YP45" s="344"/>
      <c r="YQ45" s="344"/>
      <c r="YR45" s="344"/>
      <c r="YS45" s="344"/>
      <c r="YT45" s="344"/>
      <c r="YU45" s="344"/>
      <c r="YV45" s="344"/>
      <c r="YW45" s="344"/>
      <c r="YX45" s="344"/>
      <c r="YY45" s="344"/>
      <c r="YZ45" s="344"/>
      <c r="ZA45" s="344"/>
      <c r="ZB45" s="344"/>
      <c r="ZC45" s="344"/>
      <c r="ZD45" s="344"/>
      <c r="ZE45" s="344"/>
      <c r="ZF45" s="344"/>
      <c r="ZG45" s="344"/>
      <c r="ZH45" s="344"/>
      <c r="ZI45" s="344"/>
      <c r="ZJ45" s="344"/>
      <c r="ZK45" s="344"/>
      <c r="ZL45" s="344"/>
      <c r="ZM45" s="344"/>
      <c r="ZN45" s="344"/>
      <c r="ZO45" s="344"/>
      <c r="ZP45" s="344"/>
      <c r="ZQ45" s="344"/>
      <c r="ZR45" s="344"/>
      <c r="ZS45" s="344"/>
      <c r="ZT45" s="344"/>
      <c r="ZU45" s="344"/>
      <c r="ZV45" s="344"/>
      <c r="ZW45" s="344"/>
      <c r="ZX45" s="344"/>
      <c r="ZY45" s="344"/>
      <c r="ZZ45" s="344"/>
      <c r="AAA45" s="344"/>
      <c r="AAB45" s="344"/>
      <c r="AAC45" s="344"/>
      <c r="AAD45" s="344"/>
      <c r="AAE45" s="344"/>
      <c r="AAF45" s="344"/>
      <c r="AAG45" s="344"/>
      <c r="AAH45" s="344"/>
      <c r="AAI45" s="344"/>
      <c r="AAJ45" s="344"/>
      <c r="AAK45" s="344"/>
      <c r="AAL45" s="344"/>
      <c r="AAM45" s="344"/>
      <c r="AAN45" s="344"/>
      <c r="AAO45" s="344"/>
      <c r="AAP45" s="344"/>
      <c r="AAQ45" s="344"/>
      <c r="AAR45" s="344"/>
      <c r="AAS45" s="344"/>
      <c r="AAT45" s="344"/>
      <c r="AAU45" s="344"/>
      <c r="AAV45" s="344"/>
      <c r="AAW45" s="344"/>
      <c r="AAX45" s="344"/>
      <c r="AAY45" s="344"/>
      <c r="AAZ45" s="344"/>
      <c r="ABA45" s="344"/>
      <c r="ABB45" s="344"/>
      <c r="ABC45" s="344"/>
      <c r="ABD45" s="344"/>
      <c r="ABE45" s="344"/>
      <c r="ABF45" s="344"/>
      <c r="ABG45" s="344"/>
      <c r="ABH45" s="344"/>
      <c r="ABI45" s="344"/>
      <c r="ABJ45" s="344"/>
      <c r="ABK45" s="344"/>
      <c r="ABL45" s="344"/>
      <c r="ABM45" s="344"/>
      <c r="ABN45" s="344"/>
      <c r="ABO45" s="344"/>
      <c r="ABP45" s="344"/>
      <c r="ABQ45" s="344"/>
      <c r="ABR45" s="344"/>
      <c r="ABS45" s="344"/>
      <c r="ABT45" s="344"/>
      <c r="ABU45" s="344"/>
      <c r="ABV45" s="344"/>
      <c r="ABW45" s="344"/>
      <c r="ABX45" s="344"/>
      <c r="ABY45" s="344"/>
      <c r="ABZ45" s="344"/>
      <c r="ACA45" s="344"/>
      <c r="ACB45" s="344"/>
      <c r="ACC45" s="344"/>
      <c r="ACD45" s="344"/>
      <c r="ACE45" s="344"/>
      <c r="ACF45" s="344"/>
      <c r="ACG45" s="344"/>
      <c r="ACH45" s="344"/>
      <c r="ACI45" s="344"/>
      <c r="ACJ45" s="344"/>
      <c r="ACK45" s="344"/>
      <c r="ACL45" s="344"/>
      <c r="ACM45" s="344"/>
      <c r="ACN45" s="344"/>
      <c r="ACO45" s="344"/>
      <c r="ACP45" s="344"/>
      <c r="ACQ45" s="344"/>
      <c r="ACR45" s="344"/>
      <c r="ACS45" s="344"/>
      <c r="ACT45" s="344"/>
      <c r="ACU45" s="344"/>
      <c r="ACV45" s="344"/>
      <c r="ACW45" s="344"/>
      <c r="ACX45" s="344"/>
      <c r="ACY45" s="344"/>
      <c r="ACZ45" s="344"/>
      <c r="ADA45" s="344"/>
      <c r="ADB45" s="344"/>
      <c r="ADC45" s="344"/>
      <c r="ADD45" s="344"/>
      <c r="ADE45" s="344"/>
      <c r="ADF45" s="344"/>
      <c r="ADG45" s="344"/>
      <c r="ADH45" s="344"/>
      <c r="ADI45" s="344"/>
      <c r="ADJ45" s="344"/>
      <c r="ADK45" s="344"/>
      <c r="ADL45" s="344"/>
      <c r="ADM45" s="344"/>
      <c r="ADN45" s="344"/>
      <c r="ADO45" s="344"/>
      <c r="ADP45" s="344"/>
      <c r="ADQ45" s="344"/>
      <c r="ADR45" s="344"/>
      <c r="ADS45" s="344"/>
      <c r="ADT45" s="344"/>
      <c r="ADU45" s="344"/>
      <c r="ADV45" s="344"/>
      <c r="ADW45" s="344"/>
      <c r="ADX45" s="344"/>
      <c r="ADY45" s="344"/>
      <c r="ADZ45" s="344"/>
      <c r="AEA45" s="344"/>
      <c r="AEB45" s="344"/>
      <c r="AEC45" s="344"/>
      <c r="AED45" s="344"/>
      <c r="AEE45" s="344"/>
      <c r="AEF45" s="344"/>
      <c r="AEG45" s="344"/>
      <c r="AEH45" s="344"/>
      <c r="AEI45" s="344"/>
      <c r="AEJ45" s="344"/>
      <c r="AEK45" s="344"/>
      <c r="AEL45" s="344"/>
      <c r="AEM45" s="344"/>
      <c r="AEN45" s="344"/>
      <c r="AEO45" s="344"/>
      <c r="AEP45" s="344"/>
      <c r="AEQ45" s="344"/>
      <c r="AER45" s="344"/>
      <c r="AES45" s="344"/>
      <c r="AET45" s="344"/>
      <c r="AEU45" s="344"/>
      <c r="AEV45" s="344"/>
      <c r="AEW45" s="344"/>
      <c r="AEX45" s="344"/>
      <c r="AEY45" s="344"/>
      <c r="AEZ45" s="344"/>
      <c r="AFA45" s="344"/>
      <c r="AFB45" s="344"/>
      <c r="AFC45" s="344"/>
      <c r="AFD45" s="344"/>
      <c r="AFE45" s="344"/>
      <c r="AFF45" s="344"/>
      <c r="AFG45" s="344"/>
      <c r="AFH45" s="344"/>
      <c r="AFI45" s="344"/>
      <c r="AFJ45" s="344"/>
      <c r="AFK45" s="344"/>
      <c r="AFL45" s="344"/>
      <c r="AFM45" s="344"/>
      <c r="AFN45" s="344"/>
      <c r="AFO45" s="344"/>
      <c r="AFP45" s="344"/>
      <c r="AFQ45" s="344"/>
      <c r="AFR45" s="344"/>
      <c r="AFS45" s="344"/>
      <c r="AFT45" s="344"/>
      <c r="AFU45" s="344"/>
      <c r="AFV45" s="344"/>
      <c r="AFW45" s="344"/>
      <c r="AFX45" s="344"/>
      <c r="AFY45" s="344"/>
      <c r="AFZ45" s="344"/>
      <c r="AGA45" s="344"/>
      <c r="AGB45" s="344"/>
      <c r="AGC45" s="344"/>
      <c r="AGD45" s="344"/>
      <c r="AGE45" s="344"/>
      <c r="AGF45" s="344"/>
      <c r="AGG45" s="344"/>
      <c r="AGH45" s="344"/>
      <c r="AGI45" s="344"/>
      <c r="AGJ45" s="344"/>
      <c r="AGK45" s="344"/>
      <c r="AGL45" s="344"/>
      <c r="AGM45" s="344"/>
      <c r="AGN45" s="344"/>
      <c r="AGO45" s="344"/>
      <c r="AGP45" s="344"/>
      <c r="AGQ45" s="344"/>
      <c r="AGR45" s="344"/>
      <c r="AGS45" s="344"/>
      <c r="AGT45" s="344"/>
      <c r="AGU45" s="344"/>
      <c r="AGV45" s="344"/>
      <c r="AGW45" s="344"/>
      <c r="AGX45" s="344"/>
      <c r="AGY45" s="344"/>
      <c r="AGZ45" s="344"/>
      <c r="AHA45" s="344"/>
      <c r="AHB45" s="344"/>
      <c r="AHC45" s="344"/>
      <c r="AHD45" s="344"/>
      <c r="AHE45" s="344"/>
      <c r="AHF45" s="344"/>
      <c r="AHG45" s="344"/>
      <c r="AHH45" s="344"/>
      <c r="AHI45" s="344"/>
      <c r="AHJ45" s="344"/>
      <c r="AHK45" s="344"/>
      <c r="AHL45" s="344"/>
      <c r="AHM45" s="344"/>
      <c r="AHN45" s="344"/>
      <c r="AHO45" s="344"/>
      <c r="AHP45" s="344"/>
      <c r="AHQ45" s="344"/>
      <c r="AHR45" s="344"/>
      <c r="AHS45" s="344"/>
      <c r="AHT45" s="344"/>
      <c r="AHU45" s="344"/>
      <c r="AHV45" s="344"/>
      <c r="AHW45" s="344"/>
      <c r="AHX45" s="344"/>
      <c r="AHY45" s="344"/>
      <c r="AHZ45" s="344"/>
      <c r="AIA45" s="344"/>
      <c r="AIB45" s="344"/>
      <c r="AIC45" s="344"/>
      <c r="AID45" s="344"/>
      <c r="AIE45" s="344"/>
      <c r="AIF45" s="344"/>
      <c r="AIG45" s="344"/>
      <c r="AIH45" s="344"/>
      <c r="AII45" s="344"/>
      <c r="AIJ45" s="344"/>
      <c r="AIK45" s="344"/>
      <c r="AIL45" s="344"/>
      <c r="AIM45" s="344"/>
      <c r="AIN45" s="344"/>
      <c r="AIO45" s="344"/>
      <c r="AIP45" s="344"/>
      <c r="AIQ45" s="344"/>
      <c r="AIR45" s="344"/>
      <c r="AIS45" s="344"/>
      <c r="AIT45" s="344"/>
      <c r="AIU45" s="344"/>
      <c r="AIV45" s="344"/>
      <c r="AIW45" s="344"/>
      <c r="AIX45" s="344"/>
      <c r="AIY45" s="344"/>
      <c r="AIZ45" s="344"/>
      <c r="AJA45" s="344"/>
      <c r="AJB45" s="344"/>
      <c r="AJC45" s="344"/>
      <c r="AJD45" s="344"/>
      <c r="AJE45" s="344"/>
      <c r="AJF45" s="344"/>
      <c r="AJG45" s="344"/>
      <c r="AJH45" s="344"/>
      <c r="AJI45" s="344"/>
      <c r="AJJ45" s="344"/>
      <c r="AJK45" s="344"/>
      <c r="AJL45" s="344"/>
      <c r="AJM45" s="344"/>
      <c r="AJN45" s="344"/>
      <c r="AJO45" s="344"/>
      <c r="AJP45" s="344"/>
      <c r="AJQ45" s="344"/>
      <c r="AJR45" s="344"/>
      <c r="AJS45" s="344"/>
      <c r="AJT45" s="344"/>
      <c r="AJU45" s="344"/>
      <c r="AJV45" s="344"/>
      <c r="AJW45" s="344"/>
      <c r="AJX45" s="344"/>
      <c r="AJY45" s="344"/>
      <c r="AJZ45" s="344"/>
      <c r="AKA45" s="344"/>
      <c r="AKB45" s="344"/>
      <c r="AKC45" s="344"/>
      <c r="AKD45" s="344"/>
      <c r="AKE45" s="344"/>
      <c r="AKF45" s="344"/>
      <c r="AKG45" s="344"/>
      <c r="AKH45" s="344"/>
      <c r="AKI45" s="344"/>
      <c r="AKJ45" s="344"/>
      <c r="AKK45" s="344"/>
      <c r="AKL45" s="344"/>
      <c r="AKM45" s="344"/>
      <c r="AKN45" s="344"/>
      <c r="AKO45" s="344"/>
      <c r="AKP45" s="344"/>
      <c r="AKQ45" s="344"/>
      <c r="AKR45" s="344"/>
      <c r="AKS45" s="344"/>
      <c r="AKT45" s="344"/>
      <c r="AKU45" s="344"/>
      <c r="AKV45" s="344"/>
      <c r="AKW45" s="344"/>
      <c r="AKX45" s="344"/>
      <c r="AKY45" s="344"/>
      <c r="AKZ45" s="344"/>
      <c r="ALA45" s="344"/>
      <c r="ALB45" s="344"/>
      <c r="ALC45" s="344"/>
      <c r="ALD45" s="344"/>
      <c r="ALE45" s="344"/>
      <c r="ALF45" s="344"/>
      <c r="ALG45" s="344"/>
      <c r="ALH45" s="344"/>
      <c r="ALI45" s="344"/>
      <c r="ALJ45" s="344"/>
      <c r="ALK45" s="344"/>
      <c r="ALL45" s="344"/>
      <c r="ALM45" s="344"/>
      <c r="ALN45" s="344"/>
      <c r="ALO45" s="344"/>
      <c r="ALP45" s="344"/>
      <c r="ALQ45" s="344"/>
      <c r="ALR45" s="344"/>
      <c r="ALS45" s="344"/>
      <c r="ALT45" s="344"/>
      <c r="ALU45" s="344"/>
      <c r="ALV45" s="344"/>
      <c r="ALW45" s="344"/>
      <c r="ALX45" s="344"/>
      <c r="ALY45" s="344"/>
      <c r="ALZ45" s="344"/>
      <c r="AMA45" s="344"/>
      <c r="AMB45" s="344"/>
      <c r="AMC45" s="344"/>
      <c r="AMD45" s="344"/>
      <c r="AME45" s="344"/>
      <c r="AMF45" s="344"/>
      <c r="AMG45" s="344"/>
      <c r="AMH45" s="344"/>
      <c r="AMI45" s="344"/>
      <c r="AMJ45" s="344"/>
      <c r="AMK45" s="344"/>
      <c r="AML45" s="344"/>
      <c r="AMM45" s="344"/>
      <c r="AMN45" s="344"/>
      <c r="AMO45" s="344"/>
      <c r="AMP45" s="344"/>
      <c r="AMQ45" s="344"/>
      <c r="AMR45" s="344"/>
      <c r="AMS45" s="344"/>
      <c r="AMT45" s="344"/>
      <c r="AMU45" s="344"/>
      <c r="AMV45" s="344"/>
      <c r="AMW45" s="344"/>
      <c r="AMX45" s="344"/>
      <c r="AMY45" s="344"/>
      <c r="AMZ45" s="344"/>
      <c r="ANA45" s="344"/>
      <c r="ANB45" s="344"/>
      <c r="ANC45" s="344"/>
      <c r="AND45" s="344"/>
      <c r="ANE45" s="344"/>
      <c r="ANF45" s="344"/>
      <c r="ANG45" s="344"/>
      <c r="ANH45" s="344"/>
      <c r="ANI45" s="344"/>
      <c r="ANJ45" s="344"/>
      <c r="ANK45" s="344"/>
      <c r="ANL45" s="344"/>
      <c r="ANM45" s="344"/>
      <c r="ANN45" s="344"/>
      <c r="ANO45" s="344"/>
      <c r="ANP45" s="344"/>
      <c r="ANQ45" s="344"/>
      <c r="ANR45" s="344"/>
      <c r="ANS45" s="344"/>
      <c r="ANT45" s="344"/>
      <c r="ANU45" s="344"/>
      <c r="ANV45" s="344"/>
      <c r="ANW45" s="344"/>
      <c r="ANX45" s="344"/>
      <c r="ANY45" s="344"/>
      <c r="ANZ45" s="344"/>
      <c r="AOA45" s="344"/>
      <c r="AOB45" s="344"/>
      <c r="AOC45" s="344"/>
      <c r="AOD45" s="344"/>
      <c r="AOE45" s="344"/>
      <c r="AOF45" s="344"/>
      <c r="AOG45" s="344"/>
      <c r="AOH45" s="344"/>
      <c r="AOI45" s="344"/>
      <c r="AOJ45" s="344"/>
      <c r="AOK45" s="344"/>
      <c r="AOL45" s="344"/>
      <c r="AOM45" s="344"/>
      <c r="AON45" s="344"/>
      <c r="AOO45" s="344"/>
      <c r="AOP45" s="344"/>
      <c r="AOQ45" s="344"/>
      <c r="AOR45" s="344"/>
      <c r="AOS45" s="344"/>
      <c r="AOT45" s="344"/>
      <c r="AOU45" s="344"/>
      <c r="AOV45" s="344"/>
      <c r="AOW45" s="344"/>
      <c r="AOX45" s="344"/>
      <c r="AOY45" s="344"/>
      <c r="AOZ45" s="344"/>
      <c r="APA45" s="344"/>
      <c r="APB45" s="344"/>
      <c r="APC45" s="344"/>
      <c r="APD45" s="344"/>
      <c r="APE45" s="344"/>
      <c r="APF45" s="344"/>
      <c r="APG45" s="344"/>
      <c r="APH45" s="344"/>
      <c r="API45" s="344"/>
      <c r="APJ45" s="344"/>
      <c r="APK45" s="344"/>
      <c r="APL45" s="344"/>
      <c r="APM45" s="344"/>
      <c r="APN45" s="344"/>
      <c r="APO45" s="344"/>
      <c r="APP45" s="344"/>
      <c r="APQ45" s="344"/>
      <c r="APR45" s="344"/>
      <c r="APS45" s="344"/>
      <c r="APT45" s="344"/>
      <c r="APU45" s="344"/>
      <c r="APV45" s="344"/>
      <c r="APW45" s="344"/>
      <c r="APX45" s="344"/>
      <c r="APY45" s="344"/>
      <c r="APZ45" s="344"/>
      <c r="AQA45" s="344"/>
      <c r="AQB45" s="344"/>
      <c r="AQC45" s="344"/>
      <c r="AQD45" s="344"/>
      <c r="AQE45" s="344"/>
      <c r="AQF45" s="344"/>
      <c r="AQG45" s="344"/>
      <c r="AQH45" s="344"/>
      <c r="AQI45" s="344"/>
      <c r="AQJ45" s="344"/>
      <c r="AQK45" s="344"/>
      <c r="AQL45" s="344"/>
      <c r="AQM45" s="344"/>
      <c r="AQN45" s="344"/>
      <c r="AQO45" s="344"/>
      <c r="AQP45" s="344"/>
      <c r="AQQ45" s="344"/>
      <c r="AQR45" s="344"/>
      <c r="AQS45" s="344"/>
      <c r="AQT45" s="344"/>
      <c r="AQU45" s="344"/>
      <c r="AQV45" s="344"/>
      <c r="AQW45" s="344"/>
      <c r="AQX45" s="344"/>
      <c r="AQY45" s="344"/>
      <c r="AQZ45" s="344"/>
      <c r="ARA45" s="344"/>
      <c r="ARB45" s="344"/>
      <c r="ARC45" s="344"/>
      <c r="ARD45" s="344"/>
      <c r="ARE45" s="344"/>
      <c r="ARF45" s="344"/>
      <c r="ARG45" s="344"/>
      <c r="ARH45" s="344"/>
      <c r="ARI45" s="344"/>
      <c r="ARJ45" s="344"/>
      <c r="ARK45" s="344"/>
      <c r="ARL45" s="344"/>
      <c r="ARM45" s="344"/>
      <c r="ARN45" s="344"/>
      <c r="ARO45" s="344"/>
      <c r="ARP45" s="344"/>
      <c r="ARQ45" s="344"/>
      <c r="ARR45" s="344"/>
      <c r="ARS45" s="344"/>
      <c r="ART45" s="344"/>
      <c r="ARU45" s="344"/>
      <c r="ARV45" s="344"/>
      <c r="ARW45" s="344"/>
      <c r="ARX45" s="344"/>
      <c r="ARY45" s="344"/>
      <c r="ARZ45" s="344"/>
      <c r="ASA45" s="344"/>
      <c r="ASB45" s="344"/>
      <c r="ASC45" s="344"/>
      <c r="ASD45" s="344"/>
      <c r="ASE45" s="344"/>
      <c r="ASF45" s="344"/>
      <c r="ASG45" s="344"/>
      <c r="ASH45" s="344"/>
      <c r="ASI45" s="344"/>
      <c r="ASJ45" s="344"/>
      <c r="ASK45" s="344"/>
      <c r="ASL45" s="344"/>
      <c r="ASM45" s="344"/>
      <c r="ASN45" s="344"/>
      <c r="ASO45" s="344"/>
      <c r="ASP45" s="344"/>
      <c r="ASQ45" s="344"/>
      <c r="ASR45" s="344"/>
      <c r="ASS45" s="344"/>
      <c r="AST45" s="344"/>
      <c r="ASU45" s="344"/>
      <c r="ASV45" s="344"/>
      <c r="ASW45" s="344"/>
      <c r="ASX45" s="344"/>
      <c r="ASY45" s="344"/>
      <c r="ASZ45" s="344"/>
      <c r="ATA45" s="344"/>
      <c r="ATB45" s="344"/>
      <c r="ATC45" s="344"/>
      <c r="ATD45" s="344"/>
      <c r="ATE45" s="344"/>
      <c r="ATF45" s="344"/>
      <c r="ATG45" s="344"/>
      <c r="ATH45" s="344"/>
      <c r="ATI45" s="344"/>
      <c r="ATJ45" s="344"/>
      <c r="ATK45" s="344"/>
      <c r="ATL45" s="344"/>
      <c r="ATM45" s="344"/>
      <c r="ATN45" s="344"/>
      <c r="ATO45" s="344"/>
      <c r="ATP45" s="344"/>
      <c r="ATQ45" s="344"/>
      <c r="ATR45" s="344"/>
      <c r="ATS45" s="344"/>
      <c r="ATT45" s="344"/>
      <c r="ATU45" s="344"/>
      <c r="ATV45" s="344"/>
      <c r="ATW45" s="344"/>
      <c r="ATX45" s="344"/>
      <c r="ATY45" s="344"/>
      <c r="ATZ45" s="344"/>
      <c r="AUA45" s="344"/>
      <c r="AUB45" s="344"/>
      <c r="AUC45" s="344"/>
      <c r="AUD45" s="344"/>
      <c r="AUE45" s="344"/>
      <c r="AUF45" s="344"/>
      <c r="AUG45" s="344"/>
      <c r="AUH45" s="344"/>
      <c r="AUI45" s="344"/>
      <c r="AUJ45" s="344"/>
      <c r="AUK45" s="344"/>
      <c r="AUL45" s="344"/>
      <c r="AUM45" s="344"/>
      <c r="AUN45" s="344"/>
      <c r="AUO45" s="344"/>
      <c r="AUP45" s="344"/>
      <c r="AUQ45" s="344"/>
      <c r="AUR45" s="344"/>
      <c r="AUS45" s="344"/>
      <c r="AUT45" s="344"/>
      <c r="AUU45" s="344"/>
      <c r="AUV45" s="344"/>
      <c r="AUW45" s="344"/>
      <c r="AUX45" s="344"/>
      <c r="AUY45" s="344"/>
      <c r="AUZ45" s="344"/>
      <c r="AVA45" s="344"/>
      <c r="AVB45" s="344"/>
      <c r="AVC45" s="344"/>
      <c r="AVD45" s="344"/>
      <c r="AVE45" s="344"/>
      <c r="AVF45" s="344"/>
      <c r="AVG45" s="344"/>
      <c r="AVH45" s="344"/>
      <c r="AVI45" s="344"/>
      <c r="AVJ45" s="344"/>
      <c r="AVK45" s="344"/>
      <c r="AVL45" s="344"/>
      <c r="AVM45" s="344"/>
      <c r="AVN45" s="344"/>
      <c r="AVO45" s="344"/>
      <c r="AVP45" s="344"/>
      <c r="AVQ45" s="344"/>
      <c r="AVR45" s="344"/>
      <c r="AVS45" s="344"/>
      <c r="AVT45" s="344"/>
      <c r="AVU45" s="344"/>
      <c r="AVV45" s="344"/>
      <c r="AVW45" s="344"/>
      <c r="AVX45" s="344"/>
      <c r="AVY45" s="344"/>
      <c r="AVZ45" s="344"/>
      <c r="AWA45" s="344"/>
      <c r="AWB45" s="344"/>
      <c r="AWC45" s="344"/>
      <c r="AWD45" s="344"/>
      <c r="AWE45" s="344"/>
      <c r="AWF45" s="344"/>
      <c r="AWG45" s="344"/>
      <c r="AWH45" s="344"/>
      <c r="AWI45" s="344"/>
      <c r="AWJ45" s="344"/>
      <c r="AWK45" s="344"/>
      <c r="AWL45" s="344"/>
      <c r="AWM45" s="344"/>
      <c r="AWN45" s="344"/>
      <c r="AWO45" s="344"/>
      <c r="AWP45" s="344"/>
      <c r="AWQ45" s="344"/>
      <c r="AWR45" s="344"/>
      <c r="AWS45" s="344"/>
      <c r="AWT45" s="344"/>
      <c r="AWU45" s="344"/>
      <c r="AWV45" s="344"/>
      <c r="AWW45" s="344"/>
      <c r="AWX45" s="344"/>
      <c r="AWY45" s="344"/>
      <c r="AWZ45" s="344"/>
      <c r="AXA45" s="344"/>
      <c r="AXB45" s="344"/>
      <c r="AXC45" s="344"/>
      <c r="AXD45" s="344"/>
      <c r="AXE45" s="344"/>
      <c r="AXF45" s="344"/>
      <c r="AXG45" s="344"/>
      <c r="AXH45" s="344"/>
      <c r="AXI45" s="344"/>
      <c r="AXJ45" s="344"/>
      <c r="AXK45" s="344"/>
      <c r="AXL45" s="344"/>
      <c r="AXM45" s="344"/>
      <c r="AXN45" s="344"/>
      <c r="AXO45" s="344"/>
      <c r="AXP45" s="344"/>
      <c r="AXQ45" s="344"/>
      <c r="AXR45" s="344"/>
      <c r="AXS45" s="344"/>
      <c r="AXT45" s="344"/>
      <c r="AXU45" s="344"/>
      <c r="AXV45" s="344"/>
      <c r="AXW45" s="344"/>
      <c r="AXX45" s="344"/>
      <c r="AXY45" s="344"/>
      <c r="AXZ45" s="344"/>
      <c r="AYA45" s="344"/>
      <c r="AYB45" s="344"/>
      <c r="AYC45" s="344"/>
      <c r="AYD45" s="344"/>
      <c r="AYE45" s="344"/>
      <c r="AYF45" s="344"/>
      <c r="AYG45" s="344"/>
      <c r="AYH45" s="344"/>
      <c r="AYI45" s="344"/>
      <c r="AYJ45" s="344"/>
      <c r="AYK45" s="344"/>
      <c r="AYL45" s="344"/>
      <c r="AYM45" s="344"/>
      <c r="AYN45" s="344"/>
      <c r="AYO45" s="344"/>
      <c r="AYP45" s="344"/>
      <c r="AYQ45" s="344"/>
      <c r="AYR45" s="344"/>
      <c r="AYS45" s="344"/>
      <c r="AYT45" s="344"/>
      <c r="AYU45" s="344"/>
      <c r="AYV45" s="344"/>
      <c r="AYW45" s="344"/>
      <c r="AYX45" s="344"/>
      <c r="AYY45" s="344"/>
      <c r="AYZ45" s="344"/>
      <c r="AZA45" s="344"/>
      <c r="AZB45" s="344"/>
      <c r="AZC45" s="344"/>
      <c r="AZD45" s="344"/>
      <c r="AZE45" s="344"/>
      <c r="AZF45" s="344"/>
      <c r="AZG45" s="344"/>
      <c r="AZH45" s="344"/>
      <c r="AZI45" s="344"/>
      <c r="AZJ45" s="344"/>
      <c r="AZK45" s="344"/>
      <c r="AZL45" s="344"/>
      <c r="AZM45" s="344"/>
      <c r="AZN45" s="344"/>
      <c r="AZO45" s="344"/>
      <c r="AZP45" s="344"/>
      <c r="AZQ45" s="344"/>
      <c r="AZR45" s="344"/>
      <c r="AZS45" s="344"/>
      <c r="AZT45" s="344"/>
      <c r="AZU45" s="344"/>
      <c r="AZV45" s="344"/>
      <c r="AZW45" s="344"/>
      <c r="AZX45" s="344"/>
      <c r="AZY45" s="344"/>
      <c r="AZZ45" s="344"/>
      <c r="BAA45" s="344"/>
      <c r="BAB45" s="344"/>
      <c r="BAC45" s="344"/>
      <c r="BAD45" s="344"/>
      <c r="BAE45" s="344"/>
      <c r="BAF45" s="344"/>
      <c r="BAG45" s="344"/>
      <c r="BAH45" s="344"/>
      <c r="BAI45" s="344"/>
      <c r="BAJ45" s="344"/>
      <c r="BAK45" s="344"/>
      <c r="BAL45" s="344"/>
      <c r="BAM45" s="344"/>
      <c r="BAN45" s="344"/>
      <c r="BAO45" s="344"/>
      <c r="BAP45" s="344"/>
      <c r="BAQ45" s="344"/>
      <c r="BAR45" s="344"/>
      <c r="BAS45" s="344"/>
      <c r="BAT45" s="344"/>
      <c r="BAU45" s="344"/>
      <c r="BAV45" s="344"/>
      <c r="BAW45" s="344"/>
      <c r="BAX45" s="344"/>
      <c r="BAY45" s="344"/>
      <c r="BAZ45" s="344"/>
      <c r="BBA45" s="344"/>
      <c r="BBB45" s="344"/>
      <c r="BBC45" s="344"/>
      <c r="BBD45" s="344"/>
      <c r="BBE45" s="344"/>
      <c r="BBF45" s="344"/>
      <c r="BBG45" s="344"/>
      <c r="BBH45" s="344"/>
      <c r="BBI45" s="344"/>
      <c r="BBJ45" s="344"/>
      <c r="BBK45" s="344"/>
      <c r="BBL45" s="344"/>
      <c r="BBM45" s="344"/>
      <c r="BBN45" s="344"/>
      <c r="BBO45" s="344"/>
      <c r="BBP45" s="344"/>
      <c r="BBQ45" s="344"/>
      <c r="BBR45" s="344"/>
      <c r="BBS45" s="344"/>
      <c r="BBT45" s="344"/>
      <c r="BBU45" s="344"/>
      <c r="BBV45" s="344"/>
      <c r="BBW45" s="344"/>
      <c r="BBX45" s="344"/>
      <c r="BBY45" s="344"/>
      <c r="BBZ45" s="344"/>
      <c r="BCA45" s="344"/>
      <c r="BCB45" s="344"/>
      <c r="BCC45" s="344"/>
      <c r="BCD45" s="344"/>
      <c r="BCE45" s="344"/>
      <c r="BCF45" s="344"/>
      <c r="BCG45" s="344"/>
      <c r="BCH45" s="344"/>
      <c r="BCI45" s="344"/>
      <c r="BCJ45" s="344"/>
      <c r="BCK45" s="344"/>
      <c r="BCL45" s="344"/>
      <c r="BCM45" s="344"/>
      <c r="BCN45" s="344"/>
      <c r="BCO45" s="344"/>
      <c r="BCP45" s="344"/>
      <c r="BCQ45" s="344"/>
      <c r="BCR45" s="344"/>
      <c r="BCS45" s="344"/>
      <c r="BCT45" s="344"/>
      <c r="BCU45" s="344"/>
      <c r="BCV45" s="344"/>
      <c r="BCW45" s="344"/>
      <c r="BCX45" s="344"/>
      <c r="BCY45" s="344"/>
      <c r="BCZ45" s="344"/>
      <c r="BDA45" s="344"/>
      <c r="BDB45" s="344"/>
      <c r="BDC45" s="344"/>
      <c r="BDD45" s="344"/>
      <c r="BDE45" s="344"/>
      <c r="BDF45" s="344"/>
      <c r="BDG45" s="344"/>
      <c r="BDH45" s="344"/>
      <c r="BDI45" s="344"/>
      <c r="BDJ45" s="344"/>
      <c r="BDK45" s="344"/>
      <c r="BDL45" s="344"/>
      <c r="BDM45" s="344"/>
      <c r="BDN45" s="344"/>
      <c r="BDO45" s="344"/>
      <c r="BDP45" s="344"/>
      <c r="BDQ45" s="344"/>
      <c r="BDR45" s="344"/>
      <c r="BDS45" s="344"/>
      <c r="BDT45" s="344"/>
      <c r="BDU45" s="344"/>
      <c r="BDV45" s="344"/>
      <c r="BDW45" s="344"/>
      <c r="BDX45" s="344"/>
      <c r="BDY45" s="344"/>
      <c r="BDZ45" s="344"/>
      <c r="BEA45" s="344"/>
      <c r="BEB45" s="344"/>
      <c r="BEC45" s="344"/>
      <c r="BED45" s="344"/>
      <c r="BEE45" s="344"/>
      <c r="BEF45" s="344"/>
      <c r="BEG45" s="344"/>
      <c r="BEH45" s="344"/>
      <c r="BEI45" s="344"/>
      <c r="BEJ45" s="344"/>
      <c r="BEK45" s="344"/>
      <c r="BEL45" s="344"/>
      <c r="BEM45" s="344"/>
      <c r="BEN45" s="344"/>
      <c r="BEO45" s="344"/>
      <c r="BEP45" s="344"/>
      <c r="BEQ45" s="344"/>
      <c r="BER45" s="344"/>
      <c r="BES45" s="344"/>
      <c r="BET45" s="344"/>
      <c r="BEU45" s="344"/>
      <c r="BEV45" s="344"/>
      <c r="BEW45" s="344"/>
      <c r="BEX45" s="344"/>
      <c r="BEY45" s="344"/>
      <c r="BEZ45" s="344"/>
      <c r="BFA45" s="344"/>
      <c r="BFB45" s="344"/>
      <c r="BFC45" s="344"/>
      <c r="BFD45" s="344"/>
      <c r="BFE45" s="344"/>
      <c r="BFF45" s="344"/>
      <c r="BFG45" s="344"/>
      <c r="BFH45" s="344"/>
      <c r="BFI45" s="344"/>
      <c r="BFJ45" s="344"/>
      <c r="BFK45" s="344"/>
      <c r="BFL45" s="344"/>
      <c r="BFM45" s="344"/>
      <c r="BFN45" s="344"/>
      <c r="BFO45" s="344"/>
      <c r="BFP45" s="344"/>
      <c r="BFQ45" s="344"/>
      <c r="BFR45" s="344"/>
      <c r="BFS45" s="344"/>
      <c r="BFT45" s="344"/>
      <c r="BFU45" s="344"/>
      <c r="BFV45" s="344"/>
      <c r="BFW45" s="344"/>
      <c r="BFX45" s="344"/>
      <c r="BFY45" s="344"/>
      <c r="BFZ45" s="344"/>
      <c r="BGA45" s="344"/>
      <c r="BGB45" s="344"/>
      <c r="BGC45" s="344"/>
      <c r="BGD45" s="344"/>
      <c r="BGE45" s="344"/>
      <c r="BGF45" s="344"/>
      <c r="BGG45" s="344"/>
      <c r="BGH45" s="344"/>
      <c r="BGI45" s="344"/>
      <c r="BGJ45" s="344"/>
      <c r="BGK45" s="344"/>
      <c r="BGL45" s="344"/>
      <c r="BGM45" s="344"/>
      <c r="BGN45" s="344"/>
      <c r="BGO45" s="344"/>
      <c r="BGP45" s="344"/>
      <c r="BGQ45" s="344"/>
      <c r="BGR45" s="344"/>
      <c r="BGS45" s="344"/>
      <c r="BGT45" s="344"/>
      <c r="BGU45" s="344"/>
      <c r="BGV45" s="344"/>
      <c r="BGW45" s="344"/>
      <c r="BGX45" s="344"/>
      <c r="BGY45" s="344"/>
      <c r="BGZ45" s="344"/>
      <c r="BHA45" s="344"/>
      <c r="BHB45" s="344"/>
      <c r="BHC45" s="344"/>
      <c r="BHD45" s="344"/>
      <c r="BHE45" s="344"/>
      <c r="BHF45" s="344"/>
      <c r="BHG45" s="344"/>
      <c r="BHH45" s="344"/>
      <c r="BHI45" s="344"/>
      <c r="BHJ45" s="344"/>
      <c r="BHK45" s="344"/>
      <c r="BHL45" s="344"/>
      <c r="BHM45" s="344"/>
      <c r="BHN45" s="344"/>
      <c r="BHO45" s="344"/>
      <c r="BHP45" s="344"/>
      <c r="BHQ45" s="344"/>
      <c r="BHR45" s="344"/>
      <c r="BHS45" s="344"/>
      <c r="BHT45" s="344"/>
      <c r="BHU45" s="344"/>
      <c r="BHV45" s="344"/>
      <c r="BHW45" s="344"/>
      <c r="BHX45" s="344"/>
      <c r="BHY45" s="344"/>
      <c r="BHZ45" s="344"/>
      <c r="BIA45" s="344"/>
      <c r="BIB45" s="344"/>
      <c r="BIC45" s="344"/>
      <c r="BID45" s="344"/>
      <c r="BIE45" s="344"/>
      <c r="BIF45" s="344"/>
      <c r="BIG45" s="344"/>
      <c r="BIH45" s="344"/>
      <c r="BII45" s="344"/>
      <c r="BIJ45" s="344"/>
      <c r="BIK45" s="344"/>
      <c r="BIL45" s="344"/>
      <c r="BIM45" s="344"/>
      <c r="BIN45" s="344"/>
      <c r="BIO45" s="344"/>
      <c r="BIP45" s="344"/>
      <c r="BIQ45" s="344"/>
      <c r="BIR45" s="344"/>
      <c r="BIS45" s="344"/>
      <c r="BIT45" s="344"/>
      <c r="BIU45" s="344"/>
      <c r="BIV45" s="344"/>
      <c r="BIW45" s="344"/>
      <c r="BIX45" s="344"/>
      <c r="BIY45" s="344"/>
      <c r="BIZ45" s="344"/>
      <c r="BJA45" s="344"/>
      <c r="BJB45" s="344"/>
      <c r="BJC45" s="344"/>
      <c r="BJD45" s="344"/>
      <c r="BJE45" s="344"/>
      <c r="BJF45" s="344"/>
      <c r="BJG45" s="344"/>
      <c r="BJH45" s="344"/>
      <c r="BJI45" s="344"/>
      <c r="BJJ45" s="344"/>
      <c r="BJK45" s="344"/>
      <c r="BJL45" s="344"/>
      <c r="BJM45" s="344"/>
      <c r="BJN45" s="344"/>
      <c r="BJO45" s="344"/>
      <c r="BJP45" s="344"/>
      <c r="BJQ45" s="344"/>
      <c r="BJR45" s="344"/>
      <c r="BJS45" s="344"/>
      <c r="BJT45" s="344"/>
      <c r="BJU45" s="344"/>
      <c r="BJV45" s="344"/>
      <c r="BJW45" s="344"/>
      <c r="BJX45" s="344"/>
      <c r="BJY45" s="344"/>
      <c r="BJZ45" s="344"/>
      <c r="BKA45" s="344"/>
      <c r="BKB45" s="344"/>
      <c r="BKC45" s="344"/>
      <c r="BKD45" s="344"/>
      <c r="BKE45" s="344"/>
      <c r="BKF45" s="344"/>
      <c r="BKG45" s="344"/>
      <c r="BKH45" s="344"/>
      <c r="BKI45" s="344"/>
      <c r="BKJ45" s="344"/>
      <c r="BKK45" s="344"/>
      <c r="BKL45" s="344"/>
      <c r="BKM45" s="344"/>
      <c r="BKN45" s="344"/>
      <c r="BKO45" s="344"/>
      <c r="BKP45" s="344"/>
      <c r="BKQ45" s="344"/>
      <c r="BKR45" s="344"/>
      <c r="BKS45" s="344"/>
      <c r="BKT45" s="344"/>
      <c r="BKU45" s="344"/>
      <c r="BKV45" s="344"/>
      <c r="BKW45" s="344"/>
      <c r="BKX45" s="344"/>
      <c r="BKY45" s="344"/>
      <c r="BKZ45" s="344"/>
      <c r="BLA45" s="344"/>
      <c r="BLB45" s="344"/>
      <c r="BLC45" s="344"/>
      <c r="BLD45" s="344"/>
      <c r="BLE45" s="344"/>
      <c r="BLF45" s="344"/>
      <c r="BLG45" s="344"/>
      <c r="BLH45" s="344"/>
      <c r="BLI45" s="344"/>
      <c r="BLJ45" s="344"/>
      <c r="BLK45" s="344"/>
      <c r="BLL45" s="344"/>
      <c r="BLM45" s="344"/>
      <c r="BLN45" s="344"/>
      <c r="BLO45" s="344"/>
      <c r="BLP45" s="344"/>
      <c r="BLQ45" s="344"/>
      <c r="BLR45" s="344"/>
      <c r="BLS45" s="344"/>
      <c r="BLT45" s="344"/>
      <c r="BLU45" s="344"/>
      <c r="BLV45" s="344"/>
      <c r="BLW45" s="344"/>
      <c r="BLX45" s="344"/>
      <c r="BLY45" s="344"/>
      <c r="BLZ45" s="344"/>
      <c r="BMA45" s="344"/>
      <c r="BMB45" s="344"/>
      <c r="BMC45" s="344"/>
      <c r="BMD45" s="344"/>
      <c r="BME45" s="344"/>
      <c r="BMF45" s="344"/>
      <c r="BMG45" s="344"/>
      <c r="BMH45" s="344"/>
      <c r="BMI45" s="344"/>
      <c r="BMJ45" s="344"/>
      <c r="BMK45" s="344"/>
      <c r="BML45" s="344"/>
      <c r="BMM45" s="344"/>
      <c r="BMN45" s="344"/>
      <c r="BMO45" s="344"/>
      <c r="BMP45" s="344"/>
      <c r="BMQ45" s="344"/>
      <c r="BMR45" s="344"/>
      <c r="BMS45" s="344"/>
      <c r="BMT45" s="344"/>
      <c r="BMU45" s="344"/>
      <c r="BMV45" s="344"/>
      <c r="BMW45" s="344"/>
      <c r="BMX45" s="344"/>
      <c r="BMY45" s="344"/>
      <c r="BMZ45" s="344"/>
      <c r="BNA45" s="344"/>
      <c r="BNB45" s="344"/>
      <c r="BNC45" s="344"/>
      <c r="BND45" s="344"/>
      <c r="BNE45" s="344"/>
      <c r="BNF45" s="344"/>
      <c r="BNG45" s="344"/>
      <c r="BNH45" s="344"/>
      <c r="BNI45" s="344"/>
      <c r="BNJ45" s="344"/>
      <c r="BNK45" s="344"/>
      <c r="BNL45" s="344"/>
      <c r="BNM45" s="344"/>
      <c r="BNN45" s="344"/>
      <c r="BNO45" s="344"/>
      <c r="BNP45" s="344"/>
      <c r="BNQ45" s="344"/>
      <c r="BNR45" s="344"/>
      <c r="BNS45" s="344"/>
      <c r="BNT45" s="344"/>
      <c r="BNU45" s="344"/>
      <c r="BNV45" s="344"/>
      <c r="BNW45" s="344"/>
      <c r="BNX45" s="344"/>
      <c r="BNY45" s="344"/>
      <c r="BNZ45" s="344"/>
      <c r="BOA45" s="344"/>
      <c r="BOB45" s="344"/>
      <c r="BOC45" s="344"/>
      <c r="BOD45" s="344"/>
      <c r="BOE45" s="344"/>
      <c r="BOF45" s="344"/>
      <c r="BOG45" s="344"/>
      <c r="BOH45" s="344"/>
      <c r="BOI45" s="344"/>
      <c r="BOJ45" s="344"/>
      <c r="BOK45" s="344"/>
      <c r="BOL45" s="344"/>
      <c r="BOM45" s="344"/>
      <c r="BON45" s="344"/>
      <c r="BOO45" s="344"/>
      <c r="BOP45" s="344"/>
      <c r="BOQ45" s="344"/>
      <c r="BOR45" s="344"/>
      <c r="BOS45" s="344"/>
      <c r="BOT45" s="344"/>
      <c r="BOU45" s="344"/>
      <c r="BOV45" s="344"/>
      <c r="BOW45" s="344"/>
      <c r="BOX45" s="344"/>
      <c r="BOY45" s="344"/>
      <c r="BOZ45" s="344"/>
      <c r="BPA45" s="344"/>
      <c r="BPB45" s="344"/>
      <c r="BPC45" s="344"/>
      <c r="BPD45" s="344"/>
      <c r="BPE45" s="344"/>
      <c r="BPF45" s="344"/>
      <c r="BPG45" s="344"/>
      <c r="BPH45" s="344"/>
      <c r="BPI45" s="344"/>
      <c r="BPJ45" s="344"/>
      <c r="BPK45" s="344"/>
      <c r="BPL45" s="344"/>
      <c r="BPM45" s="344"/>
      <c r="BPN45" s="344"/>
      <c r="BPO45" s="344"/>
      <c r="BPP45" s="344"/>
      <c r="BPQ45" s="344"/>
      <c r="BPR45" s="344"/>
      <c r="BPS45" s="344"/>
      <c r="BPT45" s="344"/>
      <c r="BPU45" s="344"/>
      <c r="BPV45" s="344"/>
      <c r="BPW45" s="344"/>
      <c r="BPX45" s="344"/>
      <c r="BPY45" s="344"/>
      <c r="BPZ45" s="344"/>
      <c r="BQA45" s="344"/>
      <c r="BQB45" s="344"/>
      <c r="BQC45" s="344"/>
      <c r="BQD45" s="344"/>
      <c r="BQE45" s="344"/>
      <c r="BQF45" s="344"/>
      <c r="BQG45" s="344"/>
      <c r="BQH45" s="344"/>
      <c r="BQI45" s="344"/>
      <c r="BQJ45" s="344"/>
      <c r="BQK45" s="344"/>
      <c r="BQL45" s="344"/>
      <c r="BQM45" s="344"/>
      <c r="BQN45" s="344"/>
      <c r="BQO45" s="344"/>
      <c r="BQP45" s="344"/>
      <c r="BQQ45" s="344"/>
      <c r="BQR45" s="344"/>
      <c r="BQS45" s="344"/>
      <c r="BQT45" s="344"/>
      <c r="BQU45" s="344"/>
      <c r="BQV45" s="344"/>
      <c r="BQW45" s="344"/>
      <c r="BQX45" s="344"/>
      <c r="BQY45" s="344"/>
      <c r="BQZ45" s="344"/>
      <c r="BRA45" s="344"/>
      <c r="BRB45" s="344"/>
      <c r="BRC45" s="344"/>
      <c r="BRD45" s="344"/>
      <c r="BRE45" s="344"/>
      <c r="BRF45" s="344"/>
      <c r="BRG45" s="344"/>
      <c r="BRH45" s="344"/>
      <c r="BRI45" s="344"/>
      <c r="BRJ45" s="344"/>
      <c r="BRK45" s="344"/>
      <c r="BRL45" s="344"/>
      <c r="BRM45" s="344"/>
      <c r="BRN45" s="344"/>
      <c r="BRO45" s="344"/>
      <c r="BRP45" s="344"/>
      <c r="BRQ45" s="344"/>
      <c r="BRR45" s="344"/>
      <c r="BRS45" s="344"/>
      <c r="BRT45" s="344"/>
      <c r="BRU45" s="344"/>
      <c r="BRV45" s="344"/>
      <c r="BRW45" s="344"/>
      <c r="BRX45" s="344"/>
      <c r="BRY45" s="344"/>
      <c r="BRZ45" s="344"/>
      <c r="BSA45" s="344"/>
      <c r="BSB45" s="344"/>
      <c r="BSC45" s="344"/>
      <c r="BSD45" s="344"/>
      <c r="BSE45" s="344"/>
      <c r="BSF45" s="344"/>
      <c r="BSG45" s="344"/>
      <c r="BSH45" s="344"/>
      <c r="BSI45" s="344"/>
      <c r="BSJ45" s="344"/>
      <c r="BSK45" s="344"/>
      <c r="BSL45" s="344"/>
      <c r="BSM45" s="344"/>
      <c r="BSN45" s="344"/>
      <c r="BSO45" s="344"/>
      <c r="BSP45" s="344"/>
      <c r="BSQ45" s="344"/>
      <c r="BSR45" s="344"/>
      <c r="BSS45" s="344"/>
      <c r="BST45" s="344"/>
      <c r="BSU45" s="344"/>
      <c r="BSV45" s="344"/>
      <c r="BSW45" s="344"/>
      <c r="BSX45" s="344"/>
      <c r="BSY45" s="344"/>
      <c r="BSZ45" s="344"/>
      <c r="BTA45" s="344"/>
      <c r="BTB45" s="344"/>
      <c r="BTC45" s="344"/>
      <c r="BTD45" s="344"/>
      <c r="BTE45" s="344"/>
      <c r="BTF45" s="344"/>
      <c r="BTG45" s="344"/>
      <c r="BTH45" s="344"/>
      <c r="BTI45" s="344"/>
      <c r="BTJ45" s="344"/>
      <c r="BTK45" s="344"/>
      <c r="BTL45" s="344"/>
      <c r="BTM45" s="344"/>
      <c r="BTN45" s="344"/>
      <c r="BTO45" s="344"/>
      <c r="BTP45" s="344"/>
      <c r="BTQ45" s="344"/>
      <c r="BTR45" s="344"/>
      <c r="BTS45" s="344"/>
      <c r="BTT45" s="344"/>
      <c r="BTU45" s="344"/>
      <c r="BTV45" s="344"/>
      <c r="BTW45" s="344"/>
      <c r="BTX45" s="344"/>
      <c r="BTY45" s="344"/>
      <c r="BTZ45" s="344"/>
      <c r="BUA45" s="344"/>
      <c r="BUB45" s="344"/>
      <c r="BUC45" s="344"/>
      <c r="BUD45" s="344"/>
      <c r="BUE45" s="344"/>
      <c r="BUF45" s="344"/>
      <c r="BUG45" s="344"/>
      <c r="BUH45" s="344"/>
      <c r="BUI45" s="344"/>
      <c r="BUJ45" s="344"/>
      <c r="BUK45" s="344"/>
      <c r="BUL45" s="344"/>
      <c r="BUM45" s="344"/>
      <c r="BUN45" s="344"/>
      <c r="BUO45" s="344"/>
      <c r="BUP45" s="344"/>
      <c r="BUQ45" s="344"/>
      <c r="BUR45" s="344"/>
      <c r="BUS45" s="344"/>
      <c r="BUT45" s="344"/>
      <c r="BUU45" s="344"/>
      <c r="BUV45" s="344"/>
      <c r="BUW45" s="344"/>
      <c r="BUX45" s="344"/>
      <c r="BUY45" s="344"/>
      <c r="BUZ45" s="344"/>
      <c r="BVA45" s="344"/>
      <c r="BVB45" s="344"/>
      <c r="BVC45" s="344"/>
      <c r="BVD45" s="344"/>
      <c r="BVE45" s="344"/>
      <c r="BVF45" s="344"/>
      <c r="BVG45" s="344"/>
      <c r="BVH45" s="344"/>
      <c r="BVI45" s="344"/>
      <c r="BVJ45" s="344"/>
      <c r="BVK45" s="344"/>
      <c r="BVL45" s="344"/>
      <c r="BVM45" s="344"/>
      <c r="BVN45" s="344"/>
      <c r="BVO45" s="344"/>
      <c r="BVP45" s="344"/>
      <c r="BVQ45" s="344"/>
      <c r="BVR45" s="344"/>
      <c r="BVS45" s="344"/>
      <c r="BVT45" s="344"/>
      <c r="BVU45" s="344"/>
      <c r="BVV45" s="344"/>
      <c r="BVW45" s="344"/>
      <c r="BVX45" s="344"/>
      <c r="BVY45" s="344"/>
      <c r="BVZ45" s="344"/>
      <c r="BWA45" s="344"/>
      <c r="BWB45" s="344"/>
      <c r="BWC45" s="344"/>
      <c r="BWD45" s="344"/>
      <c r="BWE45" s="344"/>
      <c r="BWF45" s="344"/>
      <c r="BWG45" s="344"/>
      <c r="BWH45" s="344"/>
      <c r="BWI45" s="344"/>
      <c r="BWJ45" s="344"/>
      <c r="BWK45" s="344"/>
      <c r="BWL45" s="344"/>
      <c r="BWM45" s="344"/>
      <c r="BWN45" s="344"/>
      <c r="BWO45" s="344"/>
      <c r="BWP45" s="344"/>
      <c r="BWQ45" s="344"/>
      <c r="BWR45" s="344"/>
      <c r="BWS45" s="344"/>
      <c r="BWT45" s="344"/>
      <c r="BWU45" s="344"/>
      <c r="BWV45" s="344"/>
      <c r="BWW45" s="344"/>
      <c r="BWX45" s="344"/>
      <c r="BWY45" s="344"/>
      <c r="BWZ45" s="344"/>
      <c r="BXA45" s="344"/>
      <c r="BXB45" s="344"/>
      <c r="BXC45" s="344"/>
      <c r="BXD45" s="344"/>
      <c r="BXE45" s="344"/>
      <c r="BXF45" s="344"/>
      <c r="BXG45" s="344"/>
      <c r="BXH45" s="344"/>
      <c r="BXI45" s="344"/>
      <c r="BXJ45" s="344"/>
      <c r="BXK45" s="344"/>
      <c r="BXL45" s="344"/>
      <c r="BXM45" s="344"/>
      <c r="BXN45" s="344"/>
      <c r="BXO45" s="344"/>
      <c r="BXP45" s="344"/>
      <c r="BXQ45" s="344"/>
      <c r="BXR45" s="344"/>
      <c r="BXS45" s="344"/>
      <c r="BXT45" s="344"/>
      <c r="BXU45" s="344"/>
      <c r="BXV45" s="344"/>
      <c r="BXW45" s="344"/>
      <c r="BXX45" s="344"/>
      <c r="BXY45" s="344"/>
      <c r="BXZ45" s="344"/>
      <c r="BYA45" s="344"/>
      <c r="BYB45" s="344"/>
      <c r="BYC45" s="344"/>
      <c r="BYD45" s="344"/>
      <c r="BYE45" s="344"/>
      <c r="BYF45" s="344"/>
      <c r="BYG45" s="344"/>
      <c r="BYH45" s="344"/>
      <c r="BYI45" s="344"/>
      <c r="BYJ45" s="344"/>
      <c r="BYK45" s="344"/>
      <c r="BYL45" s="344"/>
      <c r="BYM45" s="344"/>
      <c r="BYN45" s="344"/>
      <c r="BYO45" s="344"/>
      <c r="BYP45" s="344"/>
      <c r="BYQ45" s="344"/>
      <c r="BYR45" s="344"/>
      <c r="BYS45" s="344"/>
      <c r="BYT45" s="344"/>
      <c r="BYU45" s="344"/>
      <c r="BYV45" s="344"/>
      <c r="BYW45" s="344"/>
      <c r="BYX45" s="344"/>
      <c r="BYY45" s="344"/>
      <c r="BYZ45" s="344"/>
      <c r="BZA45" s="344"/>
      <c r="BZB45" s="344"/>
      <c r="BZC45" s="344"/>
      <c r="BZD45" s="344"/>
      <c r="BZE45" s="344"/>
      <c r="BZF45" s="344"/>
      <c r="BZG45" s="344"/>
      <c r="BZH45" s="344"/>
      <c r="BZI45" s="344"/>
      <c r="BZJ45" s="344"/>
      <c r="BZK45" s="344"/>
      <c r="BZL45" s="344"/>
      <c r="BZM45" s="344"/>
      <c r="BZN45" s="344"/>
      <c r="BZO45" s="344"/>
      <c r="BZP45" s="344"/>
      <c r="BZQ45" s="344"/>
      <c r="BZR45" s="344"/>
      <c r="BZS45" s="344"/>
      <c r="BZT45" s="344"/>
      <c r="BZU45" s="344"/>
      <c r="BZV45" s="344"/>
      <c r="BZW45" s="344"/>
      <c r="BZX45" s="344"/>
      <c r="BZY45" s="344"/>
      <c r="BZZ45" s="344"/>
      <c r="CAA45" s="344"/>
      <c r="CAB45" s="344"/>
      <c r="CAC45" s="344"/>
      <c r="CAD45" s="344"/>
      <c r="CAE45" s="344"/>
      <c r="CAF45" s="344"/>
      <c r="CAG45" s="344"/>
      <c r="CAH45" s="344"/>
      <c r="CAI45" s="344"/>
      <c r="CAJ45" s="344"/>
      <c r="CAK45" s="344"/>
      <c r="CAL45" s="344"/>
      <c r="CAM45" s="344"/>
      <c r="CAN45" s="344"/>
      <c r="CAO45" s="344"/>
      <c r="CAP45" s="344"/>
      <c r="CAQ45" s="344"/>
      <c r="CAR45" s="344"/>
      <c r="CAS45" s="344"/>
      <c r="CAT45" s="344"/>
      <c r="CAU45" s="344"/>
      <c r="CAV45" s="344"/>
      <c r="CAW45" s="344"/>
      <c r="CAX45" s="344"/>
      <c r="CAY45" s="344"/>
      <c r="CAZ45" s="344"/>
      <c r="CBA45" s="344"/>
      <c r="CBB45" s="344"/>
      <c r="CBC45" s="344"/>
      <c r="CBD45" s="344"/>
      <c r="CBE45" s="344"/>
      <c r="CBF45" s="344"/>
      <c r="CBG45" s="344"/>
      <c r="CBH45" s="344"/>
      <c r="CBI45" s="344"/>
      <c r="CBJ45" s="344"/>
      <c r="CBK45" s="344"/>
      <c r="CBL45" s="344"/>
      <c r="CBM45" s="344"/>
      <c r="CBN45" s="344"/>
      <c r="CBO45" s="344"/>
      <c r="CBP45" s="344"/>
      <c r="CBQ45" s="344"/>
      <c r="CBR45" s="344"/>
      <c r="CBS45" s="344"/>
      <c r="CBT45" s="344"/>
      <c r="CBU45" s="344"/>
      <c r="CBV45" s="344"/>
      <c r="CBW45" s="344"/>
      <c r="CBX45" s="344"/>
      <c r="CBY45" s="344"/>
      <c r="CBZ45" s="344"/>
      <c r="CCA45" s="344"/>
      <c r="CCB45" s="344"/>
      <c r="CCC45" s="344"/>
      <c r="CCD45" s="344"/>
      <c r="CCE45" s="344"/>
      <c r="CCF45" s="344"/>
      <c r="CCG45" s="344"/>
      <c r="CCH45" s="344"/>
      <c r="CCI45" s="344"/>
      <c r="CCJ45" s="344"/>
      <c r="CCK45" s="344"/>
      <c r="CCL45" s="344"/>
      <c r="CCM45" s="344"/>
      <c r="CCN45" s="344"/>
      <c r="CCO45" s="344"/>
      <c r="CCP45" s="344"/>
      <c r="CCQ45" s="344"/>
      <c r="CCR45" s="344"/>
      <c r="CCS45" s="344"/>
      <c r="CCT45" s="344"/>
      <c r="CCU45" s="344"/>
      <c r="CCV45" s="344"/>
      <c r="CCW45" s="344"/>
      <c r="CCX45" s="344"/>
      <c r="CCY45" s="344"/>
      <c r="CCZ45" s="344"/>
      <c r="CDA45" s="344"/>
      <c r="CDB45" s="344"/>
      <c r="CDC45" s="344"/>
      <c r="CDD45" s="344"/>
      <c r="CDE45" s="344"/>
      <c r="CDF45" s="344"/>
      <c r="CDG45" s="344"/>
      <c r="CDH45" s="344"/>
      <c r="CDI45" s="344"/>
      <c r="CDJ45" s="344"/>
      <c r="CDK45" s="344"/>
      <c r="CDL45" s="344"/>
      <c r="CDM45" s="344"/>
      <c r="CDN45" s="344"/>
      <c r="CDO45" s="344"/>
      <c r="CDP45" s="344"/>
      <c r="CDQ45" s="344"/>
      <c r="CDR45" s="344"/>
      <c r="CDS45" s="344"/>
      <c r="CDT45" s="344"/>
      <c r="CDU45" s="344"/>
      <c r="CDV45" s="344"/>
      <c r="CDW45" s="344"/>
      <c r="CDX45" s="344"/>
      <c r="CDY45" s="344"/>
      <c r="CDZ45" s="344"/>
      <c r="CEA45" s="344"/>
      <c r="CEB45" s="344"/>
      <c r="CEC45" s="344"/>
      <c r="CED45" s="344"/>
      <c r="CEE45" s="344"/>
      <c r="CEF45" s="344"/>
      <c r="CEG45" s="344"/>
      <c r="CEH45" s="344"/>
      <c r="CEI45" s="344"/>
      <c r="CEJ45" s="344"/>
      <c r="CEK45" s="344"/>
      <c r="CEL45" s="344"/>
      <c r="CEM45" s="344"/>
      <c r="CEN45" s="344"/>
      <c r="CEO45" s="344"/>
      <c r="CEP45" s="344"/>
      <c r="CEQ45" s="344"/>
      <c r="CER45" s="344"/>
      <c r="CES45" s="344"/>
      <c r="CET45" s="344"/>
      <c r="CEU45" s="344"/>
      <c r="CEV45" s="344"/>
      <c r="CEW45" s="344"/>
      <c r="CEX45" s="344"/>
      <c r="CEY45" s="344"/>
      <c r="CEZ45" s="344"/>
      <c r="CFA45" s="344"/>
      <c r="CFB45" s="344"/>
      <c r="CFC45" s="344"/>
      <c r="CFD45" s="344"/>
      <c r="CFE45" s="344"/>
      <c r="CFF45" s="344"/>
      <c r="CFG45" s="344"/>
      <c r="CFH45" s="344"/>
      <c r="CFI45" s="344"/>
      <c r="CFJ45" s="344"/>
      <c r="CFK45" s="344"/>
      <c r="CFL45" s="344"/>
      <c r="CFM45" s="344"/>
      <c r="CFN45" s="344"/>
      <c r="CFO45" s="344"/>
      <c r="CFP45" s="344"/>
      <c r="CFQ45" s="344"/>
      <c r="CFR45" s="344"/>
      <c r="CFS45" s="344"/>
      <c r="CFT45" s="344"/>
      <c r="CFU45" s="344"/>
      <c r="CFV45" s="344"/>
      <c r="CFW45" s="344"/>
      <c r="CFX45" s="344"/>
      <c r="CFY45" s="344"/>
      <c r="CFZ45" s="344"/>
      <c r="CGA45" s="344"/>
      <c r="CGB45" s="344"/>
      <c r="CGC45" s="344"/>
      <c r="CGD45" s="344"/>
      <c r="CGE45" s="344"/>
      <c r="CGF45" s="344"/>
      <c r="CGG45" s="344"/>
      <c r="CGH45" s="344"/>
      <c r="CGI45" s="344"/>
      <c r="CGJ45" s="344"/>
      <c r="CGK45" s="344"/>
      <c r="CGL45" s="344"/>
      <c r="CGM45" s="344"/>
      <c r="CGN45" s="344"/>
      <c r="CGO45" s="344"/>
      <c r="CGP45" s="344"/>
      <c r="CGQ45" s="344"/>
      <c r="CGR45" s="344"/>
      <c r="CGS45" s="344"/>
      <c r="CGT45" s="344"/>
      <c r="CGU45" s="344"/>
      <c r="CGV45" s="344"/>
      <c r="CGW45" s="344"/>
      <c r="CGX45" s="344"/>
      <c r="CGY45" s="344"/>
      <c r="CGZ45" s="344"/>
      <c r="CHA45" s="344"/>
      <c r="CHB45" s="344"/>
      <c r="CHC45" s="344"/>
      <c r="CHD45" s="344"/>
      <c r="CHE45" s="344"/>
      <c r="CHF45" s="344"/>
      <c r="CHG45" s="344"/>
      <c r="CHH45" s="344"/>
      <c r="CHI45" s="344"/>
      <c r="CHJ45" s="344"/>
      <c r="CHK45" s="344"/>
      <c r="CHL45" s="344"/>
      <c r="CHM45" s="344"/>
      <c r="CHN45" s="344"/>
      <c r="CHO45" s="344"/>
      <c r="CHP45" s="344"/>
      <c r="CHQ45" s="344"/>
      <c r="CHR45" s="344"/>
      <c r="CHS45" s="344"/>
      <c r="CHT45" s="344"/>
      <c r="CHU45" s="344"/>
      <c r="CHV45" s="344"/>
      <c r="CHW45" s="344"/>
      <c r="CHX45" s="344"/>
      <c r="CHY45" s="344"/>
      <c r="CHZ45" s="344"/>
      <c r="CIA45" s="344"/>
      <c r="CIB45" s="344"/>
      <c r="CIC45" s="344"/>
      <c r="CID45" s="344"/>
      <c r="CIE45" s="344"/>
      <c r="CIF45" s="344"/>
      <c r="CIG45" s="344"/>
      <c r="CIH45" s="344"/>
      <c r="CII45" s="344"/>
      <c r="CIJ45" s="344"/>
      <c r="CIK45" s="344"/>
      <c r="CIL45" s="344"/>
      <c r="CIM45" s="344"/>
      <c r="CIN45" s="344"/>
      <c r="CIO45" s="344"/>
      <c r="CIP45" s="344"/>
      <c r="CIQ45" s="344"/>
      <c r="CIR45" s="344"/>
      <c r="CIS45" s="344"/>
      <c r="CIT45" s="344"/>
      <c r="CIU45" s="344"/>
      <c r="CIV45" s="344"/>
      <c r="CIW45" s="344"/>
      <c r="CIX45" s="344"/>
      <c r="CIY45" s="344"/>
      <c r="CIZ45" s="344"/>
      <c r="CJA45" s="344"/>
      <c r="CJB45" s="344"/>
      <c r="CJC45" s="344"/>
      <c r="CJD45" s="344"/>
      <c r="CJE45" s="344"/>
      <c r="CJF45" s="344"/>
      <c r="CJG45" s="344"/>
      <c r="CJH45" s="344"/>
      <c r="CJI45" s="344"/>
      <c r="CJJ45" s="344"/>
      <c r="CJK45" s="344"/>
      <c r="CJL45" s="344"/>
      <c r="CJM45" s="344"/>
      <c r="CJN45" s="344"/>
      <c r="CJO45" s="344"/>
      <c r="CJP45" s="344"/>
      <c r="CJQ45" s="344"/>
      <c r="CJR45" s="344"/>
      <c r="CJS45" s="344"/>
      <c r="CJT45" s="344"/>
      <c r="CJU45" s="344"/>
      <c r="CJV45" s="344"/>
      <c r="CJW45" s="344"/>
      <c r="CJX45" s="344"/>
      <c r="CJY45" s="344"/>
      <c r="CJZ45" s="344"/>
      <c r="CKA45" s="344"/>
      <c r="CKB45" s="344"/>
      <c r="CKC45" s="344"/>
      <c r="CKD45" s="344"/>
      <c r="CKE45" s="344"/>
      <c r="CKF45" s="344"/>
      <c r="CKG45" s="344"/>
      <c r="CKH45" s="344"/>
      <c r="CKI45" s="344"/>
      <c r="CKJ45" s="344"/>
      <c r="CKK45" s="344"/>
      <c r="CKL45" s="344"/>
      <c r="CKM45" s="344"/>
      <c r="CKN45" s="344"/>
      <c r="CKO45" s="344"/>
      <c r="CKP45" s="344"/>
      <c r="CKQ45" s="344"/>
      <c r="CKR45" s="344"/>
      <c r="CKS45" s="344"/>
      <c r="CKT45" s="344"/>
      <c r="CKU45" s="344"/>
      <c r="CKV45" s="344"/>
      <c r="CKW45" s="344"/>
      <c r="CKX45" s="344"/>
      <c r="CKY45" s="344"/>
      <c r="CKZ45" s="344"/>
      <c r="CLA45" s="344"/>
      <c r="CLB45" s="344"/>
      <c r="CLC45" s="344"/>
      <c r="CLD45" s="344"/>
      <c r="CLE45" s="344"/>
      <c r="CLF45" s="344"/>
      <c r="CLG45" s="344"/>
      <c r="CLH45" s="344"/>
      <c r="CLI45" s="344"/>
      <c r="CLJ45" s="344"/>
      <c r="CLK45" s="344"/>
      <c r="CLL45" s="344"/>
      <c r="CLM45" s="344"/>
      <c r="CLN45" s="344"/>
      <c r="CLO45" s="344"/>
      <c r="CLP45" s="344"/>
      <c r="CLQ45" s="344"/>
      <c r="CLR45" s="344"/>
      <c r="CLS45" s="344"/>
      <c r="CLT45" s="344"/>
      <c r="CLU45" s="344"/>
      <c r="CLV45" s="344"/>
      <c r="CLW45" s="344"/>
      <c r="CLX45" s="344"/>
      <c r="CLY45" s="344"/>
      <c r="CLZ45" s="344"/>
      <c r="CMA45" s="344"/>
      <c r="CMB45" s="344"/>
      <c r="CMC45" s="344"/>
      <c r="CMD45" s="344"/>
      <c r="CME45" s="344"/>
      <c r="CMF45" s="344"/>
      <c r="CMG45" s="344"/>
      <c r="CMH45" s="344"/>
      <c r="CMI45" s="344"/>
      <c r="CMJ45" s="344"/>
      <c r="CMK45" s="344"/>
      <c r="CML45" s="344"/>
      <c r="CMM45" s="344"/>
      <c r="CMN45" s="344"/>
      <c r="CMO45" s="344"/>
      <c r="CMP45" s="344"/>
      <c r="CMQ45" s="344"/>
      <c r="CMR45" s="344"/>
      <c r="CMS45" s="344"/>
      <c r="CMT45" s="344"/>
      <c r="CMU45" s="344"/>
      <c r="CMV45" s="344"/>
      <c r="CMW45" s="344"/>
      <c r="CMX45" s="344"/>
      <c r="CMY45" s="344"/>
      <c r="CMZ45" s="344"/>
      <c r="CNA45" s="344"/>
      <c r="CNB45" s="344"/>
      <c r="CNC45" s="344"/>
      <c r="CND45" s="344"/>
      <c r="CNE45" s="344"/>
      <c r="CNF45" s="344"/>
      <c r="CNG45" s="344"/>
      <c r="CNH45" s="344"/>
      <c r="CNI45" s="344"/>
      <c r="CNJ45" s="344"/>
      <c r="CNK45" s="344"/>
      <c r="CNL45" s="344"/>
      <c r="CNM45" s="344"/>
      <c r="CNN45" s="344"/>
      <c r="CNO45" s="344"/>
      <c r="CNP45" s="344"/>
      <c r="CNQ45" s="344"/>
      <c r="CNR45" s="344"/>
      <c r="CNS45" s="344"/>
      <c r="CNT45" s="344"/>
      <c r="CNU45" s="344"/>
      <c r="CNV45" s="344"/>
      <c r="CNW45" s="344"/>
      <c r="CNX45" s="344"/>
      <c r="CNY45" s="344"/>
      <c r="CNZ45" s="344"/>
      <c r="COA45" s="344"/>
      <c r="COB45" s="344"/>
      <c r="COC45" s="344"/>
      <c r="COD45" s="344"/>
      <c r="COE45" s="344"/>
      <c r="COF45" s="344"/>
      <c r="COG45" s="344"/>
      <c r="COH45" s="344"/>
      <c r="COI45" s="344"/>
      <c r="COJ45" s="344"/>
      <c r="COK45" s="344"/>
      <c r="COL45" s="344"/>
      <c r="COM45" s="344"/>
      <c r="CON45" s="344"/>
      <c r="COO45" s="344"/>
      <c r="COP45" s="344"/>
      <c r="COQ45" s="344"/>
      <c r="COR45" s="344"/>
      <c r="COS45" s="344"/>
      <c r="COT45" s="344"/>
      <c r="COU45" s="344"/>
      <c r="COV45" s="344"/>
      <c r="COW45" s="344"/>
      <c r="COX45" s="344"/>
      <c r="COY45" s="344"/>
      <c r="COZ45" s="344"/>
      <c r="CPA45" s="344"/>
      <c r="CPB45" s="344"/>
      <c r="CPC45" s="344"/>
      <c r="CPD45" s="344"/>
      <c r="CPE45" s="344"/>
      <c r="CPF45" s="344"/>
      <c r="CPG45" s="344"/>
      <c r="CPH45" s="344"/>
      <c r="CPI45" s="344"/>
      <c r="CPJ45" s="344"/>
      <c r="CPK45" s="344"/>
      <c r="CPL45" s="344"/>
      <c r="CPM45" s="344"/>
      <c r="CPN45" s="344"/>
      <c r="CPO45" s="344"/>
      <c r="CPP45" s="344"/>
      <c r="CPQ45" s="344"/>
      <c r="CPR45" s="344"/>
      <c r="CPS45" s="344"/>
      <c r="CPT45" s="344"/>
      <c r="CPU45" s="344"/>
      <c r="CPV45" s="344"/>
      <c r="CPW45" s="344"/>
      <c r="CPX45" s="344"/>
      <c r="CPY45" s="344"/>
      <c r="CPZ45" s="344"/>
      <c r="CQA45" s="344"/>
      <c r="CQB45" s="344"/>
      <c r="CQC45" s="344"/>
      <c r="CQD45" s="344"/>
      <c r="CQE45" s="344"/>
      <c r="CQF45" s="344"/>
      <c r="CQG45" s="344"/>
      <c r="CQH45" s="344"/>
      <c r="CQI45" s="344"/>
      <c r="CQJ45" s="344"/>
      <c r="CQK45" s="344"/>
      <c r="CQL45" s="344"/>
      <c r="CQM45" s="344"/>
      <c r="CQN45" s="344"/>
      <c r="CQO45" s="344"/>
      <c r="CQP45" s="344"/>
      <c r="CQQ45" s="344"/>
      <c r="CQR45" s="344"/>
      <c r="CQS45" s="344"/>
      <c r="CQT45" s="344"/>
      <c r="CQU45" s="344"/>
      <c r="CQV45" s="344"/>
      <c r="CQW45" s="344"/>
      <c r="CQX45" s="344"/>
      <c r="CQY45" s="344"/>
      <c r="CQZ45" s="344"/>
      <c r="CRA45" s="344"/>
      <c r="CRB45" s="344"/>
      <c r="CRC45" s="344"/>
      <c r="CRD45" s="344"/>
      <c r="CRE45" s="344"/>
      <c r="CRF45" s="344"/>
      <c r="CRG45" s="344"/>
      <c r="CRH45" s="344"/>
      <c r="CRI45" s="344"/>
      <c r="CRJ45" s="344"/>
      <c r="CRK45" s="344"/>
      <c r="CRL45" s="344"/>
      <c r="CRM45" s="344"/>
      <c r="CRN45" s="344"/>
      <c r="CRO45" s="344"/>
      <c r="CRP45" s="344"/>
      <c r="CRQ45" s="344"/>
      <c r="CRR45" s="344"/>
      <c r="CRS45" s="344"/>
      <c r="CRT45" s="344"/>
      <c r="CRU45" s="344"/>
      <c r="CRV45" s="344"/>
      <c r="CRW45" s="344"/>
      <c r="CRX45" s="344"/>
      <c r="CRY45" s="344"/>
      <c r="CRZ45" s="344"/>
      <c r="CSA45" s="344"/>
      <c r="CSB45" s="344"/>
      <c r="CSC45" s="344"/>
      <c r="CSD45" s="344"/>
      <c r="CSE45" s="344"/>
      <c r="CSF45" s="344"/>
      <c r="CSG45" s="344"/>
      <c r="CSH45" s="344"/>
      <c r="CSI45" s="344"/>
      <c r="CSJ45" s="344"/>
      <c r="CSK45" s="344"/>
      <c r="CSL45" s="344"/>
      <c r="CSM45" s="344"/>
      <c r="CSN45" s="344"/>
      <c r="CSO45" s="344"/>
      <c r="CSP45" s="344"/>
      <c r="CSQ45" s="344"/>
      <c r="CSR45" s="344"/>
      <c r="CSS45" s="344"/>
      <c r="CST45" s="344"/>
      <c r="CSU45" s="344"/>
      <c r="CSV45" s="344"/>
      <c r="CSW45" s="344"/>
      <c r="CSX45" s="344"/>
      <c r="CSY45" s="344"/>
      <c r="CSZ45" s="344"/>
      <c r="CTA45" s="344"/>
      <c r="CTB45" s="344"/>
      <c r="CTC45" s="344"/>
      <c r="CTD45" s="344"/>
      <c r="CTE45" s="344"/>
      <c r="CTF45" s="344"/>
      <c r="CTG45" s="344"/>
      <c r="CTH45" s="344"/>
      <c r="CTI45" s="344"/>
      <c r="CTJ45" s="344"/>
      <c r="CTK45" s="344"/>
      <c r="CTL45" s="344"/>
      <c r="CTM45" s="344"/>
      <c r="CTN45" s="344"/>
      <c r="CTO45" s="344"/>
      <c r="CTP45" s="344"/>
      <c r="CTQ45" s="344"/>
      <c r="CTR45" s="344"/>
      <c r="CTS45" s="344"/>
      <c r="CTT45" s="344"/>
      <c r="CTU45" s="344"/>
      <c r="CTV45" s="344"/>
      <c r="CTW45" s="344"/>
      <c r="CTX45" s="344"/>
      <c r="CTY45" s="344"/>
      <c r="CTZ45" s="344"/>
      <c r="CUA45" s="344"/>
      <c r="CUB45" s="344"/>
      <c r="CUC45" s="344"/>
      <c r="CUD45" s="344"/>
      <c r="CUE45" s="344"/>
      <c r="CUF45" s="344"/>
      <c r="CUG45" s="344"/>
      <c r="CUH45" s="344"/>
      <c r="CUI45" s="344"/>
      <c r="CUJ45" s="344"/>
      <c r="CUK45" s="344"/>
      <c r="CUL45" s="344"/>
      <c r="CUM45" s="344"/>
      <c r="CUN45" s="344"/>
      <c r="CUO45" s="344"/>
      <c r="CUP45" s="344"/>
      <c r="CUQ45" s="344"/>
      <c r="CUR45" s="344"/>
      <c r="CUS45" s="344"/>
      <c r="CUT45" s="344"/>
      <c r="CUU45" s="344"/>
      <c r="CUV45" s="344"/>
      <c r="CUW45" s="344"/>
      <c r="CUX45" s="344"/>
      <c r="CUY45" s="344"/>
      <c r="CUZ45" s="344"/>
      <c r="CVA45" s="344"/>
      <c r="CVB45" s="344"/>
      <c r="CVC45" s="344"/>
      <c r="CVD45" s="344"/>
      <c r="CVE45" s="344"/>
      <c r="CVF45" s="344"/>
      <c r="CVG45" s="344"/>
      <c r="CVH45" s="344"/>
      <c r="CVI45" s="344"/>
      <c r="CVJ45" s="344"/>
      <c r="CVK45" s="344"/>
      <c r="CVL45" s="344"/>
      <c r="CVM45" s="344"/>
      <c r="CVN45" s="344"/>
      <c r="CVO45" s="344"/>
      <c r="CVP45" s="344"/>
      <c r="CVQ45" s="344"/>
      <c r="CVR45" s="344"/>
      <c r="CVS45" s="344"/>
      <c r="CVT45" s="344"/>
      <c r="CVU45" s="344"/>
      <c r="CVV45" s="344"/>
      <c r="CVW45" s="344"/>
      <c r="CVX45" s="344"/>
      <c r="CVY45" s="344"/>
      <c r="CVZ45" s="344"/>
      <c r="CWA45" s="344"/>
      <c r="CWB45" s="344"/>
      <c r="CWC45" s="344"/>
      <c r="CWD45" s="344"/>
      <c r="CWE45" s="344"/>
      <c r="CWF45" s="344"/>
      <c r="CWG45" s="344"/>
      <c r="CWH45" s="344"/>
      <c r="CWI45" s="344"/>
      <c r="CWJ45" s="344"/>
      <c r="CWK45" s="344"/>
      <c r="CWL45" s="344"/>
      <c r="CWM45" s="344"/>
      <c r="CWN45" s="344"/>
      <c r="CWO45" s="344"/>
      <c r="CWP45" s="344"/>
      <c r="CWQ45" s="344"/>
      <c r="CWR45" s="344"/>
      <c r="CWS45" s="344"/>
      <c r="CWT45" s="344"/>
      <c r="CWU45" s="344"/>
      <c r="CWV45" s="344"/>
      <c r="CWW45" s="344"/>
      <c r="CWX45" s="344"/>
      <c r="CWY45" s="344"/>
      <c r="CWZ45" s="344"/>
      <c r="CXA45" s="344"/>
      <c r="CXB45" s="344"/>
      <c r="CXC45" s="344"/>
      <c r="CXD45" s="344"/>
      <c r="CXE45" s="344"/>
      <c r="CXF45" s="344"/>
      <c r="CXG45" s="344"/>
      <c r="CXH45" s="344"/>
      <c r="CXI45" s="344"/>
      <c r="CXJ45" s="344"/>
      <c r="CXK45" s="344"/>
      <c r="CXL45" s="344"/>
      <c r="CXM45" s="344"/>
      <c r="CXN45" s="344"/>
      <c r="CXO45" s="344"/>
      <c r="CXP45" s="344"/>
      <c r="CXQ45" s="344"/>
      <c r="CXR45" s="344"/>
      <c r="CXS45" s="344"/>
      <c r="CXT45" s="344"/>
      <c r="CXU45" s="344"/>
      <c r="CXV45" s="344"/>
      <c r="CXW45" s="344"/>
      <c r="CXX45" s="344"/>
      <c r="CXY45" s="344"/>
      <c r="CXZ45" s="344"/>
      <c r="CYA45" s="344"/>
      <c r="CYB45" s="344"/>
      <c r="CYC45" s="344"/>
      <c r="CYD45" s="344"/>
      <c r="CYE45" s="344"/>
      <c r="CYF45" s="344"/>
      <c r="CYG45" s="344"/>
      <c r="CYH45" s="344"/>
      <c r="CYI45" s="344"/>
      <c r="CYJ45" s="344"/>
      <c r="CYK45" s="344"/>
      <c r="CYL45" s="344"/>
      <c r="CYM45" s="344"/>
      <c r="CYN45" s="344"/>
      <c r="CYO45" s="344"/>
      <c r="CYP45" s="344"/>
      <c r="CYQ45" s="344"/>
      <c r="CYR45" s="344"/>
      <c r="CYS45" s="344"/>
      <c r="CYT45" s="344"/>
      <c r="CYU45" s="344"/>
      <c r="CYV45" s="344"/>
      <c r="CYW45" s="344"/>
      <c r="CYX45" s="344"/>
      <c r="CYY45" s="344"/>
      <c r="CYZ45" s="344"/>
      <c r="CZA45" s="344"/>
      <c r="CZB45" s="344"/>
      <c r="CZC45" s="344"/>
      <c r="CZD45" s="344"/>
      <c r="CZE45" s="344"/>
      <c r="CZF45" s="344"/>
      <c r="CZG45" s="344"/>
      <c r="CZH45" s="344"/>
      <c r="CZI45" s="344"/>
      <c r="CZJ45" s="344"/>
      <c r="CZK45" s="344"/>
      <c r="CZL45" s="344"/>
      <c r="CZM45" s="344"/>
      <c r="CZN45" s="344"/>
      <c r="CZO45" s="344"/>
      <c r="CZP45" s="344"/>
      <c r="CZQ45" s="344"/>
      <c r="CZR45" s="344"/>
      <c r="CZS45" s="344"/>
      <c r="CZT45" s="344"/>
      <c r="CZU45" s="344"/>
      <c r="CZV45" s="344"/>
      <c r="CZW45" s="344"/>
      <c r="CZX45" s="344"/>
      <c r="CZY45" s="344"/>
      <c r="CZZ45" s="344"/>
      <c r="DAA45" s="344"/>
      <c r="DAB45" s="344"/>
      <c r="DAC45" s="344"/>
      <c r="DAD45" s="344"/>
      <c r="DAE45" s="344"/>
      <c r="DAF45" s="344"/>
      <c r="DAG45" s="344"/>
      <c r="DAH45" s="344"/>
      <c r="DAI45" s="344"/>
      <c r="DAJ45" s="344"/>
      <c r="DAK45" s="344"/>
      <c r="DAL45" s="344"/>
      <c r="DAM45" s="344"/>
      <c r="DAN45" s="344"/>
      <c r="DAO45" s="344"/>
      <c r="DAP45" s="344"/>
      <c r="DAQ45" s="344"/>
      <c r="DAR45" s="344"/>
      <c r="DAS45" s="344"/>
      <c r="DAT45" s="344"/>
      <c r="DAU45" s="344"/>
      <c r="DAV45" s="344"/>
      <c r="DAW45" s="344"/>
      <c r="DAX45" s="344"/>
      <c r="DAY45" s="344"/>
      <c r="DAZ45" s="344"/>
      <c r="DBA45" s="344"/>
      <c r="DBB45" s="344"/>
      <c r="DBC45" s="344"/>
      <c r="DBD45" s="344"/>
      <c r="DBE45" s="344"/>
      <c r="DBF45" s="344"/>
      <c r="DBG45" s="344"/>
      <c r="DBH45" s="344"/>
      <c r="DBI45" s="344"/>
      <c r="DBJ45" s="344"/>
      <c r="DBK45" s="344"/>
      <c r="DBL45" s="344"/>
      <c r="DBM45" s="344"/>
      <c r="DBN45" s="344"/>
      <c r="DBO45" s="344"/>
      <c r="DBP45" s="344"/>
      <c r="DBQ45" s="344"/>
      <c r="DBR45" s="344"/>
      <c r="DBS45" s="344"/>
      <c r="DBT45" s="344"/>
      <c r="DBU45" s="344"/>
      <c r="DBV45" s="344"/>
      <c r="DBW45" s="344"/>
      <c r="DBX45" s="344"/>
      <c r="DBY45" s="344"/>
      <c r="DBZ45" s="344"/>
      <c r="DCA45" s="344"/>
      <c r="DCB45" s="344"/>
      <c r="DCC45" s="344"/>
      <c r="DCD45" s="344"/>
      <c r="DCE45" s="344"/>
      <c r="DCF45" s="344"/>
      <c r="DCG45" s="344"/>
      <c r="DCH45" s="344"/>
      <c r="DCI45" s="344"/>
      <c r="DCJ45" s="344"/>
      <c r="DCK45" s="344"/>
      <c r="DCL45" s="344"/>
      <c r="DCM45" s="344"/>
      <c r="DCN45" s="344"/>
      <c r="DCO45" s="344"/>
      <c r="DCP45" s="344"/>
      <c r="DCQ45" s="344"/>
      <c r="DCR45" s="344"/>
      <c r="DCS45" s="344"/>
      <c r="DCT45" s="344"/>
      <c r="DCU45" s="344"/>
      <c r="DCV45" s="344"/>
      <c r="DCW45" s="344"/>
      <c r="DCX45" s="344"/>
      <c r="DCY45" s="344"/>
      <c r="DCZ45" s="344"/>
      <c r="DDA45" s="344"/>
      <c r="DDB45" s="344"/>
      <c r="DDC45" s="344"/>
      <c r="DDD45" s="344"/>
      <c r="DDE45" s="344"/>
      <c r="DDF45" s="344"/>
      <c r="DDG45" s="344"/>
      <c r="DDH45" s="344"/>
      <c r="DDI45" s="344"/>
      <c r="DDJ45" s="344"/>
      <c r="DDK45" s="344"/>
      <c r="DDL45" s="344"/>
      <c r="DDM45" s="344"/>
      <c r="DDN45" s="344"/>
      <c r="DDO45" s="344"/>
      <c r="DDP45" s="344"/>
      <c r="DDQ45" s="344"/>
      <c r="DDR45" s="344"/>
      <c r="DDS45" s="344"/>
      <c r="DDT45" s="344"/>
      <c r="DDU45" s="344"/>
      <c r="DDV45" s="344"/>
      <c r="DDW45" s="344"/>
      <c r="DDX45" s="344"/>
      <c r="DDY45" s="344"/>
      <c r="DDZ45" s="344"/>
      <c r="DEA45" s="344"/>
      <c r="DEB45" s="344"/>
      <c r="DEC45" s="344"/>
      <c r="DED45" s="344"/>
      <c r="DEE45" s="344"/>
      <c r="DEF45" s="344"/>
      <c r="DEG45" s="344"/>
      <c r="DEH45" s="344"/>
      <c r="DEI45" s="344"/>
      <c r="DEJ45" s="344"/>
      <c r="DEK45" s="344"/>
      <c r="DEL45" s="344"/>
      <c r="DEM45" s="344"/>
      <c r="DEN45" s="344"/>
      <c r="DEO45" s="344"/>
      <c r="DEP45" s="344"/>
      <c r="DEQ45" s="344"/>
      <c r="DER45" s="344"/>
      <c r="DES45" s="344"/>
      <c r="DET45" s="344"/>
      <c r="DEU45" s="344"/>
      <c r="DEV45" s="344"/>
      <c r="DEW45" s="344"/>
      <c r="DEX45" s="344"/>
      <c r="DEY45" s="344"/>
      <c r="DEZ45" s="344"/>
      <c r="DFA45" s="344"/>
      <c r="DFB45" s="344"/>
      <c r="DFC45" s="344"/>
      <c r="DFD45" s="344"/>
      <c r="DFE45" s="344"/>
      <c r="DFF45" s="344"/>
      <c r="DFG45" s="344"/>
      <c r="DFH45" s="344"/>
      <c r="DFI45" s="344"/>
      <c r="DFJ45" s="344"/>
      <c r="DFK45" s="344"/>
      <c r="DFL45" s="344"/>
      <c r="DFM45" s="344"/>
      <c r="DFN45" s="344"/>
      <c r="DFO45" s="344"/>
      <c r="DFP45" s="344"/>
      <c r="DFQ45" s="344"/>
      <c r="DFR45" s="344"/>
      <c r="DFS45" s="344"/>
      <c r="DFT45" s="344"/>
      <c r="DFU45" s="344"/>
      <c r="DFV45" s="344"/>
      <c r="DFW45" s="344"/>
      <c r="DFX45" s="344"/>
      <c r="DFY45" s="344"/>
      <c r="DFZ45" s="344"/>
      <c r="DGA45" s="344"/>
      <c r="DGB45" s="344"/>
      <c r="DGC45" s="344"/>
      <c r="DGD45" s="344"/>
      <c r="DGE45" s="344"/>
      <c r="DGF45" s="344"/>
      <c r="DGG45" s="344"/>
      <c r="DGH45" s="344"/>
      <c r="DGI45" s="344"/>
      <c r="DGJ45" s="344"/>
      <c r="DGK45" s="344"/>
      <c r="DGL45" s="344"/>
      <c r="DGM45" s="344"/>
      <c r="DGN45" s="344"/>
      <c r="DGO45" s="344"/>
      <c r="DGP45" s="344"/>
      <c r="DGQ45" s="344"/>
      <c r="DGR45" s="344"/>
      <c r="DGS45" s="344"/>
      <c r="DGT45" s="344"/>
      <c r="DGU45" s="344"/>
      <c r="DGV45" s="344"/>
      <c r="DGW45" s="344"/>
      <c r="DGX45" s="344"/>
      <c r="DGY45" s="344"/>
      <c r="DGZ45" s="344"/>
      <c r="DHA45" s="344"/>
      <c r="DHB45" s="344"/>
      <c r="DHC45" s="344"/>
      <c r="DHD45" s="344"/>
      <c r="DHE45" s="344"/>
      <c r="DHF45" s="344"/>
      <c r="DHG45" s="344"/>
      <c r="DHH45" s="344"/>
      <c r="DHI45" s="344"/>
      <c r="DHJ45" s="344"/>
      <c r="DHK45" s="344"/>
      <c r="DHL45" s="344"/>
      <c r="DHM45" s="344"/>
      <c r="DHN45" s="344"/>
      <c r="DHO45" s="344"/>
      <c r="DHP45" s="344"/>
      <c r="DHQ45" s="344"/>
      <c r="DHR45" s="344"/>
      <c r="DHS45" s="344"/>
      <c r="DHT45" s="344"/>
      <c r="DHU45" s="344"/>
      <c r="DHV45" s="344"/>
      <c r="DHW45" s="344"/>
      <c r="DHX45" s="344"/>
      <c r="DHY45" s="344"/>
      <c r="DHZ45" s="344"/>
      <c r="DIA45" s="344"/>
      <c r="DIB45" s="344"/>
      <c r="DIC45" s="344"/>
      <c r="DID45" s="344"/>
      <c r="DIE45" s="344"/>
      <c r="DIF45" s="344"/>
      <c r="DIG45" s="344"/>
      <c r="DIH45" s="344"/>
      <c r="DII45" s="344"/>
      <c r="DIJ45" s="344"/>
      <c r="DIK45" s="344"/>
      <c r="DIL45" s="344"/>
      <c r="DIM45" s="344"/>
      <c r="DIN45" s="344"/>
      <c r="DIO45" s="344"/>
      <c r="DIP45" s="344"/>
      <c r="DIQ45" s="344"/>
      <c r="DIR45" s="344"/>
      <c r="DIS45" s="344"/>
      <c r="DIT45" s="344"/>
      <c r="DIU45" s="344"/>
      <c r="DIV45" s="344"/>
      <c r="DIW45" s="344"/>
      <c r="DIX45" s="344"/>
      <c r="DIY45" s="344"/>
      <c r="DIZ45" s="344"/>
      <c r="DJA45" s="344"/>
      <c r="DJB45" s="344"/>
      <c r="DJC45" s="344"/>
      <c r="DJD45" s="344"/>
      <c r="DJE45" s="344"/>
      <c r="DJF45" s="344"/>
      <c r="DJG45" s="344"/>
      <c r="DJH45" s="344"/>
      <c r="DJI45" s="344"/>
      <c r="DJJ45" s="344"/>
      <c r="DJK45" s="344"/>
      <c r="DJL45" s="344"/>
      <c r="DJM45" s="344"/>
      <c r="DJN45" s="344"/>
      <c r="DJO45" s="344"/>
      <c r="DJP45" s="344"/>
      <c r="DJQ45" s="344"/>
      <c r="DJR45" s="344"/>
      <c r="DJS45" s="344"/>
      <c r="DJT45" s="344"/>
      <c r="DJU45" s="344"/>
      <c r="DJV45" s="344"/>
      <c r="DJW45" s="344"/>
      <c r="DJX45" s="344"/>
      <c r="DJY45" s="344"/>
      <c r="DJZ45" s="344"/>
      <c r="DKA45" s="344"/>
      <c r="DKB45" s="344"/>
      <c r="DKC45" s="344"/>
      <c r="DKD45" s="344"/>
      <c r="DKE45" s="344"/>
      <c r="DKF45" s="344"/>
      <c r="DKG45" s="344"/>
      <c r="DKH45" s="344"/>
      <c r="DKI45" s="344"/>
      <c r="DKJ45" s="344"/>
      <c r="DKK45" s="344"/>
      <c r="DKL45" s="344"/>
      <c r="DKM45" s="344"/>
      <c r="DKN45" s="344"/>
      <c r="DKO45" s="344"/>
      <c r="DKP45" s="344"/>
      <c r="DKQ45" s="344"/>
      <c r="DKR45" s="344"/>
      <c r="DKS45" s="344"/>
      <c r="DKT45" s="344"/>
      <c r="DKU45" s="344"/>
      <c r="DKV45" s="344"/>
      <c r="DKW45" s="344"/>
      <c r="DKX45" s="344"/>
      <c r="DKY45" s="344"/>
      <c r="DKZ45" s="344"/>
      <c r="DLA45" s="344"/>
      <c r="DLB45" s="344"/>
      <c r="DLC45" s="344"/>
      <c r="DLD45" s="344"/>
      <c r="DLE45" s="344"/>
      <c r="DLF45" s="344"/>
      <c r="DLG45" s="344"/>
      <c r="DLH45" s="344"/>
      <c r="DLI45" s="344"/>
      <c r="DLJ45" s="344"/>
      <c r="DLK45" s="344"/>
      <c r="DLL45" s="344"/>
      <c r="DLM45" s="344"/>
      <c r="DLN45" s="344"/>
      <c r="DLO45" s="344"/>
      <c r="DLP45" s="344"/>
      <c r="DLQ45" s="344"/>
      <c r="DLR45" s="344"/>
      <c r="DLS45" s="344"/>
      <c r="DLT45" s="344"/>
      <c r="DLU45" s="344"/>
      <c r="DLV45" s="344"/>
      <c r="DLW45" s="344"/>
      <c r="DLX45" s="344"/>
      <c r="DLY45" s="344"/>
      <c r="DLZ45" s="344"/>
      <c r="DMA45" s="344"/>
      <c r="DMB45" s="344"/>
      <c r="DMC45" s="344"/>
      <c r="DMD45" s="344"/>
      <c r="DME45" s="344"/>
      <c r="DMF45" s="344"/>
      <c r="DMG45" s="344"/>
      <c r="DMH45" s="344"/>
      <c r="DMI45" s="344"/>
      <c r="DMJ45" s="344"/>
      <c r="DMK45" s="344"/>
      <c r="DML45" s="344"/>
      <c r="DMM45" s="344"/>
      <c r="DMN45" s="344"/>
      <c r="DMO45" s="344"/>
      <c r="DMP45" s="344"/>
      <c r="DMQ45" s="344"/>
      <c r="DMR45" s="344"/>
      <c r="DMS45" s="344"/>
      <c r="DMT45" s="344"/>
      <c r="DMU45" s="344"/>
      <c r="DMV45" s="344"/>
      <c r="DMW45" s="344"/>
      <c r="DMX45" s="344"/>
      <c r="DMY45" s="344"/>
      <c r="DMZ45" s="344"/>
      <c r="DNA45" s="344"/>
      <c r="DNB45" s="344"/>
      <c r="DNC45" s="344"/>
      <c r="DND45" s="344"/>
      <c r="DNE45" s="344"/>
      <c r="DNF45" s="344"/>
      <c r="DNG45" s="344"/>
      <c r="DNH45" s="344"/>
      <c r="DNI45" s="344"/>
      <c r="DNJ45" s="344"/>
      <c r="DNK45" s="344"/>
      <c r="DNL45" s="344"/>
      <c r="DNM45" s="344"/>
      <c r="DNN45" s="344"/>
      <c r="DNO45" s="344"/>
      <c r="DNP45" s="344"/>
      <c r="DNQ45" s="344"/>
      <c r="DNR45" s="344"/>
      <c r="DNS45" s="344"/>
      <c r="DNT45" s="344"/>
      <c r="DNU45" s="344"/>
      <c r="DNV45" s="344"/>
      <c r="DNW45" s="344"/>
      <c r="DNX45" s="344"/>
      <c r="DNY45" s="344"/>
      <c r="DNZ45" s="344"/>
      <c r="DOA45" s="344"/>
      <c r="DOB45" s="344"/>
      <c r="DOC45" s="344"/>
      <c r="DOD45" s="344"/>
      <c r="DOE45" s="344"/>
      <c r="DOF45" s="344"/>
      <c r="DOG45" s="344"/>
      <c r="DOH45" s="344"/>
      <c r="DOI45" s="344"/>
      <c r="DOJ45" s="344"/>
      <c r="DOK45" s="344"/>
      <c r="DOL45" s="344"/>
      <c r="DOM45" s="344"/>
      <c r="DON45" s="344"/>
      <c r="DOO45" s="344"/>
      <c r="DOP45" s="344"/>
      <c r="DOQ45" s="344"/>
      <c r="DOR45" s="344"/>
      <c r="DOS45" s="344"/>
      <c r="DOT45" s="344"/>
      <c r="DOU45" s="344"/>
      <c r="DOV45" s="344"/>
      <c r="DOW45" s="344"/>
      <c r="DOX45" s="344"/>
      <c r="DOY45" s="344"/>
      <c r="DOZ45" s="344"/>
      <c r="DPA45" s="344"/>
      <c r="DPB45" s="344"/>
      <c r="DPC45" s="344"/>
      <c r="DPD45" s="344"/>
      <c r="DPE45" s="344"/>
      <c r="DPF45" s="344"/>
      <c r="DPG45" s="344"/>
      <c r="DPH45" s="344"/>
      <c r="DPI45" s="344"/>
      <c r="DPJ45" s="344"/>
      <c r="DPK45" s="344"/>
      <c r="DPL45" s="344"/>
      <c r="DPM45" s="344"/>
      <c r="DPN45" s="344"/>
      <c r="DPO45" s="344"/>
      <c r="DPP45" s="344"/>
      <c r="DPQ45" s="344"/>
      <c r="DPR45" s="344"/>
      <c r="DPS45" s="344"/>
      <c r="DPT45" s="344"/>
      <c r="DPU45" s="344"/>
      <c r="DPV45" s="344"/>
      <c r="DPW45" s="344"/>
      <c r="DPX45" s="344"/>
      <c r="DPY45" s="344"/>
      <c r="DPZ45" s="344"/>
      <c r="DQA45" s="344"/>
      <c r="DQB45" s="344"/>
      <c r="DQC45" s="344"/>
      <c r="DQD45" s="344"/>
      <c r="DQE45" s="344"/>
      <c r="DQF45" s="344"/>
      <c r="DQG45" s="344"/>
      <c r="DQH45" s="344"/>
      <c r="DQI45" s="344"/>
      <c r="DQJ45" s="344"/>
      <c r="DQK45" s="344"/>
      <c r="DQL45" s="344"/>
      <c r="DQM45" s="344"/>
      <c r="DQN45" s="344"/>
      <c r="DQO45" s="344"/>
      <c r="DQP45" s="344"/>
      <c r="DQQ45" s="344"/>
      <c r="DQR45" s="344"/>
      <c r="DQS45" s="344"/>
      <c r="DQT45" s="344"/>
      <c r="DQU45" s="344"/>
      <c r="DQV45" s="344"/>
      <c r="DQW45" s="344"/>
      <c r="DQX45" s="344"/>
      <c r="DQY45" s="344"/>
      <c r="DQZ45" s="344"/>
      <c r="DRA45" s="344"/>
      <c r="DRB45" s="344"/>
      <c r="DRC45" s="344"/>
      <c r="DRD45" s="344"/>
      <c r="DRE45" s="344"/>
      <c r="DRF45" s="344"/>
      <c r="DRG45" s="344"/>
      <c r="DRH45" s="344"/>
      <c r="DRI45" s="344"/>
      <c r="DRJ45" s="344"/>
      <c r="DRK45" s="344"/>
      <c r="DRL45" s="344"/>
      <c r="DRM45" s="344"/>
      <c r="DRN45" s="344"/>
      <c r="DRO45" s="344"/>
      <c r="DRP45" s="344"/>
      <c r="DRQ45" s="344"/>
      <c r="DRR45" s="344"/>
      <c r="DRS45" s="344"/>
      <c r="DRT45" s="344"/>
      <c r="DRU45" s="344"/>
      <c r="DRV45" s="344"/>
      <c r="DRW45" s="344"/>
      <c r="DRX45" s="344"/>
      <c r="DRY45" s="344"/>
      <c r="DRZ45" s="344"/>
      <c r="DSA45" s="344"/>
      <c r="DSB45" s="344"/>
      <c r="DSC45" s="344"/>
      <c r="DSD45" s="344"/>
      <c r="DSE45" s="344"/>
      <c r="DSF45" s="344"/>
      <c r="DSG45" s="344"/>
      <c r="DSH45" s="344"/>
      <c r="DSI45" s="344"/>
      <c r="DSJ45" s="344"/>
      <c r="DSK45" s="344"/>
      <c r="DSL45" s="344"/>
      <c r="DSM45" s="344"/>
      <c r="DSN45" s="344"/>
      <c r="DSO45" s="344"/>
      <c r="DSP45" s="344"/>
      <c r="DSQ45" s="344"/>
      <c r="DSR45" s="344"/>
      <c r="DSS45" s="344"/>
      <c r="DST45" s="344"/>
      <c r="DSU45" s="344"/>
      <c r="DSV45" s="344"/>
      <c r="DSW45" s="344"/>
      <c r="DSX45" s="344"/>
      <c r="DSY45" s="344"/>
      <c r="DSZ45" s="344"/>
      <c r="DTA45" s="344"/>
      <c r="DTB45" s="344"/>
      <c r="DTC45" s="344"/>
      <c r="DTD45" s="344"/>
      <c r="DTE45" s="344"/>
      <c r="DTF45" s="344"/>
      <c r="DTG45" s="344"/>
      <c r="DTH45" s="344"/>
      <c r="DTI45" s="344"/>
      <c r="DTJ45" s="344"/>
      <c r="DTK45" s="344"/>
      <c r="DTL45" s="344"/>
      <c r="DTM45" s="344"/>
      <c r="DTN45" s="344"/>
      <c r="DTO45" s="344"/>
      <c r="DTP45" s="344"/>
      <c r="DTQ45" s="344"/>
      <c r="DTR45" s="344"/>
      <c r="DTS45" s="344"/>
      <c r="DTT45" s="344"/>
      <c r="DTU45" s="344"/>
      <c r="DTV45" s="344"/>
      <c r="DTW45" s="344"/>
      <c r="DTX45" s="344"/>
      <c r="DTY45" s="344"/>
      <c r="DTZ45" s="344"/>
      <c r="DUA45" s="344"/>
      <c r="DUB45" s="344"/>
      <c r="DUC45" s="344"/>
      <c r="DUD45" s="344"/>
      <c r="DUE45" s="344"/>
      <c r="DUF45" s="344"/>
      <c r="DUG45" s="344"/>
      <c r="DUH45" s="344"/>
      <c r="DUI45" s="344"/>
      <c r="DUJ45" s="344"/>
      <c r="DUK45" s="344"/>
      <c r="DUL45" s="344"/>
      <c r="DUM45" s="344"/>
      <c r="DUN45" s="344"/>
      <c r="DUO45" s="344"/>
      <c r="DUP45" s="344"/>
      <c r="DUQ45" s="344"/>
      <c r="DUR45" s="344"/>
      <c r="DUS45" s="344"/>
      <c r="DUT45" s="344"/>
      <c r="DUU45" s="344"/>
      <c r="DUV45" s="344"/>
      <c r="DUW45" s="344"/>
      <c r="DUX45" s="344"/>
      <c r="DUY45" s="344"/>
      <c r="DUZ45" s="344"/>
      <c r="DVA45" s="344"/>
      <c r="DVB45" s="344"/>
      <c r="DVC45" s="344"/>
      <c r="DVD45" s="344"/>
      <c r="DVE45" s="344"/>
      <c r="DVF45" s="344"/>
      <c r="DVG45" s="344"/>
      <c r="DVH45" s="344"/>
      <c r="DVI45" s="344"/>
      <c r="DVJ45" s="344"/>
      <c r="DVK45" s="344"/>
      <c r="DVL45" s="344"/>
      <c r="DVM45" s="344"/>
      <c r="DVN45" s="344"/>
      <c r="DVO45" s="344"/>
      <c r="DVP45" s="344"/>
      <c r="DVQ45" s="344"/>
      <c r="DVR45" s="344"/>
      <c r="DVS45" s="344"/>
      <c r="DVT45" s="344"/>
      <c r="DVU45" s="344"/>
      <c r="DVV45" s="344"/>
      <c r="DVW45" s="344"/>
      <c r="DVX45" s="344"/>
      <c r="DVY45" s="344"/>
      <c r="DVZ45" s="344"/>
      <c r="DWA45" s="344"/>
      <c r="DWB45" s="344"/>
      <c r="DWC45" s="344"/>
      <c r="DWD45" s="344"/>
      <c r="DWE45" s="344"/>
      <c r="DWF45" s="344"/>
      <c r="DWG45" s="344"/>
      <c r="DWH45" s="344"/>
      <c r="DWI45" s="344"/>
      <c r="DWJ45" s="344"/>
      <c r="DWK45" s="344"/>
      <c r="DWL45" s="344"/>
      <c r="DWM45" s="344"/>
      <c r="DWN45" s="344"/>
      <c r="DWO45" s="344"/>
      <c r="DWP45" s="344"/>
      <c r="DWQ45" s="344"/>
      <c r="DWR45" s="344"/>
      <c r="DWS45" s="344"/>
      <c r="DWT45" s="344"/>
      <c r="DWU45" s="344"/>
      <c r="DWV45" s="344"/>
      <c r="DWW45" s="344"/>
      <c r="DWX45" s="344"/>
      <c r="DWY45" s="344"/>
      <c r="DWZ45" s="344"/>
      <c r="DXA45" s="344"/>
      <c r="DXB45" s="344"/>
      <c r="DXC45" s="344"/>
      <c r="DXD45" s="344"/>
      <c r="DXE45" s="344"/>
      <c r="DXF45" s="344"/>
      <c r="DXG45" s="344"/>
      <c r="DXH45" s="344"/>
      <c r="DXI45" s="344"/>
      <c r="DXJ45" s="344"/>
      <c r="DXK45" s="344"/>
      <c r="DXL45" s="344"/>
      <c r="DXM45" s="344"/>
      <c r="DXN45" s="344"/>
      <c r="DXO45" s="344"/>
      <c r="DXP45" s="344"/>
      <c r="DXQ45" s="344"/>
      <c r="DXR45" s="344"/>
      <c r="DXS45" s="344"/>
      <c r="DXT45" s="344"/>
      <c r="DXU45" s="344"/>
      <c r="DXV45" s="344"/>
      <c r="DXW45" s="344"/>
      <c r="DXX45" s="344"/>
      <c r="DXY45" s="344"/>
      <c r="DXZ45" s="344"/>
      <c r="DYA45" s="344"/>
      <c r="DYB45" s="344"/>
      <c r="DYC45" s="344"/>
      <c r="DYD45" s="344"/>
      <c r="DYE45" s="344"/>
      <c r="DYF45" s="344"/>
      <c r="DYG45" s="344"/>
      <c r="DYH45" s="344"/>
      <c r="DYI45" s="344"/>
      <c r="DYJ45" s="344"/>
      <c r="DYK45" s="344"/>
      <c r="DYL45" s="344"/>
      <c r="DYM45" s="344"/>
      <c r="DYN45" s="344"/>
      <c r="DYO45" s="344"/>
      <c r="DYP45" s="344"/>
      <c r="DYQ45" s="344"/>
      <c r="DYR45" s="344"/>
      <c r="DYS45" s="344"/>
      <c r="DYT45" s="344"/>
      <c r="DYU45" s="344"/>
      <c r="DYV45" s="344"/>
      <c r="DYW45" s="344"/>
      <c r="DYX45" s="344"/>
      <c r="DYY45" s="344"/>
      <c r="DYZ45" s="344"/>
      <c r="DZA45" s="344"/>
      <c r="DZB45" s="344"/>
      <c r="DZC45" s="344"/>
      <c r="DZD45" s="344"/>
      <c r="DZE45" s="344"/>
      <c r="DZF45" s="344"/>
      <c r="DZG45" s="344"/>
      <c r="DZH45" s="344"/>
      <c r="DZI45" s="344"/>
      <c r="DZJ45" s="344"/>
      <c r="DZK45" s="344"/>
      <c r="DZL45" s="344"/>
      <c r="DZM45" s="344"/>
      <c r="DZN45" s="344"/>
      <c r="DZO45" s="344"/>
      <c r="DZP45" s="344"/>
      <c r="DZQ45" s="344"/>
      <c r="DZR45" s="344"/>
      <c r="DZS45" s="344"/>
      <c r="DZT45" s="344"/>
      <c r="DZU45" s="344"/>
      <c r="DZV45" s="344"/>
      <c r="DZW45" s="344"/>
      <c r="DZX45" s="344"/>
      <c r="DZY45" s="344"/>
      <c r="DZZ45" s="344"/>
      <c r="EAA45" s="344"/>
      <c r="EAB45" s="344"/>
      <c r="EAC45" s="344"/>
      <c r="EAD45" s="344"/>
      <c r="EAE45" s="344"/>
      <c r="EAF45" s="344"/>
      <c r="EAG45" s="344"/>
      <c r="EAH45" s="344"/>
      <c r="EAI45" s="344"/>
      <c r="EAJ45" s="344"/>
      <c r="EAK45" s="344"/>
      <c r="EAL45" s="344"/>
      <c r="EAM45" s="344"/>
      <c r="EAN45" s="344"/>
      <c r="EAO45" s="344"/>
      <c r="EAP45" s="344"/>
      <c r="EAQ45" s="344"/>
      <c r="EAR45" s="344"/>
      <c r="EAS45" s="344"/>
      <c r="EAT45" s="344"/>
      <c r="EAU45" s="344"/>
      <c r="EAV45" s="344"/>
      <c r="EAW45" s="344"/>
      <c r="EAX45" s="344"/>
      <c r="EAY45" s="344"/>
      <c r="EAZ45" s="344"/>
      <c r="EBA45" s="344"/>
      <c r="EBB45" s="344"/>
      <c r="EBC45" s="344"/>
      <c r="EBD45" s="344"/>
      <c r="EBE45" s="344"/>
      <c r="EBF45" s="344"/>
      <c r="EBG45" s="344"/>
      <c r="EBH45" s="344"/>
      <c r="EBI45" s="344"/>
      <c r="EBJ45" s="344"/>
      <c r="EBK45" s="344"/>
      <c r="EBL45" s="344"/>
      <c r="EBM45" s="344"/>
      <c r="EBN45" s="344"/>
      <c r="EBO45" s="344"/>
      <c r="EBP45" s="344"/>
      <c r="EBQ45" s="344"/>
      <c r="EBR45" s="344"/>
      <c r="EBS45" s="344"/>
      <c r="EBT45" s="344"/>
      <c r="EBU45" s="344"/>
      <c r="EBV45" s="344"/>
      <c r="EBW45" s="344"/>
      <c r="EBX45" s="344"/>
      <c r="EBY45" s="344"/>
      <c r="EBZ45" s="344"/>
      <c r="ECA45" s="344"/>
      <c r="ECB45" s="344"/>
      <c r="ECC45" s="344"/>
      <c r="ECD45" s="344"/>
      <c r="ECE45" s="344"/>
      <c r="ECF45" s="344"/>
      <c r="ECG45" s="344"/>
      <c r="ECH45" s="344"/>
      <c r="ECI45" s="344"/>
      <c r="ECJ45" s="344"/>
      <c r="ECK45" s="344"/>
      <c r="ECL45" s="344"/>
      <c r="ECM45" s="344"/>
      <c r="ECN45" s="344"/>
      <c r="ECO45" s="344"/>
      <c r="ECP45" s="344"/>
      <c r="ECQ45" s="344"/>
      <c r="ECR45" s="344"/>
      <c r="ECS45" s="344"/>
      <c r="ECT45" s="344"/>
      <c r="ECU45" s="344"/>
      <c r="ECV45" s="344"/>
      <c r="ECW45" s="344"/>
      <c r="ECX45" s="344"/>
      <c r="ECY45" s="344"/>
      <c r="ECZ45" s="344"/>
      <c r="EDA45" s="344"/>
      <c r="EDB45" s="344"/>
      <c r="EDC45" s="344"/>
      <c r="EDD45" s="344"/>
      <c r="EDE45" s="344"/>
      <c r="EDF45" s="344"/>
      <c r="EDG45" s="344"/>
      <c r="EDH45" s="344"/>
      <c r="EDI45" s="344"/>
      <c r="EDJ45" s="344"/>
      <c r="EDK45" s="344"/>
      <c r="EDL45" s="344"/>
      <c r="EDM45" s="344"/>
      <c r="EDN45" s="344"/>
      <c r="EDO45" s="344"/>
      <c r="EDP45" s="344"/>
      <c r="EDQ45" s="344"/>
      <c r="EDR45" s="344"/>
      <c r="EDS45" s="344"/>
      <c r="EDT45" s="344"/>
      <c r="EDU45" s="344"/>
      <c r="EDV45" s="344"/>
      <c r="EDW45" s="344"/>
      <c r="EDX45" s="344"/>
      <c r="EDY45" s="344"/>
      <c r="EDZ45" s="344"/>
      <c r="EEA45" s="344"/>
      <c r="EEB45" s="344"/>
      <c r="EEC45" s="344"/>
      <c r="EED45" s="344"/>
      <c r="EEE45" s="344"/>
      <c r="EEF45" s="344"/>
      <c r="EEG45" s="344"/>
      <c r="EEH45" s="344"/>
      <c r="EEI45" s="344"/>
      <c r="EEJ45" s="344"/>
      <c r="EEK45" s="344"/>
      <c r="EEL45" s="344"/>
      <c r="EEM45" s="344"/>
      <c r="EEN45" s="344"/>
      <c r="EEO45" s="344"/>
      <c r="EEP45" s="344"/>
      <c r="EEQ45" s="344"/>
      <c r="EER45" s="344"/>
      <c r="EES45" s="344"/>
      <c r="EET45" s="344"/>
      <c r="EEU45" s="344"/>
      <c r="EEV45" s="344"/>
      <c r="EEW45" s="344"/>
      <c r="EEX45" s="344"/>
      <c r="EEY45" s="344"/>
      <c r="EEZ45" s="344"/>
      <c r="EFA45" s="344"/>
      <c r="EFB45" s="344"/>
      <c r="EFC45" s="344"/>
      <c r="EFD45" s="344"/>
      <c r="EFE45" s="344"/>
      <c r="EFF45" s="344"/>
      <c r="EFG45" s="344"/>
      <c r="EFH45" s="344"/>
      <c r="EFI45" s="344"/>
      <c r="EFJ45" s="344"/>
      <c r="EFK45" s="344"/>
      <c r="EFL45" s="344"/>
      <c r="EFM45" s="344"/>
      <c r="EFN45" s="344"/>
      <c r="EFO45" s="344"/>
      <c r="EFP45" s="344"/>
      <c r="EFQ45" s="344"/>
      <c r="EFR45" s="344"/>
      <c r="EFS45" s="344"/>
      <c r="EFT45" s="344"/>
      <c r="EFU45" s="344"/>
      <c r="EFV45" s="344"/>
      <c r="EFW45" s="344"/>
      <c r="EFX45" s="344"/>
      <c r="EFY45" s="344"/>
      <c r="EFZ45" s="344"/>
      <c r="EGA45" s="344"/>
      <c r="EGB45" s="344"/>
      <c r="EGC45" s="344"/>
      <c r="EGD45" s="344"/>
      <c r="EGE45" s="344"/>
      <c r="EGF45" s="344"/>
      <c r="EGG45" s="344"/>
      <c r="EGH45" s="344"/>
      <c r="EGI45" s="344"/>
      <c r="EGJ45" s="344"/>
      <c r="EGK45" s="344"/>
      <c r="EGL45" s="344"/>
      <c r="EGM45" s="344"/>
      <c r="EGN45" s="344"/>
      <c r="EGO45" s="344"/>
      <c r="EGP45" s="344"/>
      <c r="EGQ45" s="344"/>
      <c r="EGR45" s="344"/>
      <c r="EGS45" s="344"/>
      <c r="EGT45" s="344"/>
      <c r="EGU45" s="344"/>
      <c r="EGV45" s="344"/>
      <c r="EGW45" s="344"/>
      <c r="EGX45" s="344"/>
      <c r="EGY45" s="344"/>
      <c r="EGZ45" s="344"/>
      <c r="EHA45" s="344"/>
      <c r="EHB45" s="344"/>
      <c r="EHC45" s="344"/>
      <c r="EHD45" s="344"/>
      <c r="EHE45" s="344"/>
      <c r="EHF45" s="344"/>
      <c r="EHG45" s="344"/>
      <c r="EHH45" s="344"/>
      <c r="EHI45" s="344"/>
      <c r="EHJ45" s="344"/>
      <c r="EHK45" s="344"/>
      <c r="EHL45" s="344"/>
      <c r="EHM45" s="344"/>
      <c r="EHN45" s="344"/>
      <c r="EHO45" s="344"/>
      <c r="EHP45" s="344"/>
      <c r="EHQ45" s="344"/>
      <c r="EHR45" s="344"/>
      <c r="EHS45" s="344"/>
      <c r="EHT45" s="344"/>
      <c r="EHU45" s="344"/>
      <c r="EHV45" s="344"/>
      <c r="EHW45" s="344"/>
      <c r="EHX45" s="344"/>
      <c r="EHY45" s="344"/>
      <c r="EHZ45" s="344"/>
      <c r="EIA45" s="344"/>
      <c r="EIB45" s="344"/>
      <c r="EIC45" s="344"/>
      <c r="EID45" s="344"/>
      <c r="EIE45" s="344"/>
      <c r="EIF45" s="344"/>
      <c r="EIG45" s="344"/>
      <c r="EIH45" s="344"/>
      <c r="EII45" s="344"/>
      <c r="EIJ45" s="344"/>
      <c r="EIK45" s="344"/>
      <c r="EIL45" s="344"/>
      <c r="EIM45" s="344"/>
      <c r="EIN45" s="344"/>
      <c r="EIO45" s="344"/>
      <c r="EIP45" s="344"/>
      <c r="EIQ45" s="344"/>
      <c r="EIR45" s="344"/>
      <c r="EIS45" s="344"/>
      <c r="EIT45" s="344"/>
      <c r="EIU45" s="344"/>
      <c r="EIV45" s="344"/>
      <c r="EIW45" s="344"/>
      <c r="EIX45" s="344"/>
      <c r="EIY45" s="344"/>
      <c r="EIZ45" s="344"/>
      <c r="EJA45" s="344"/>
      <c r="EJB45" s="344"/>
      <c r="EJC45" s="344"/>
      <c r="EJD45" s="344"/>
      <c r="EJE45" s="344"/>
      <c r="EJF45" s="344"/>
      <c r="EJG45" s="344"/>
      <c r="EJH45" s="344"/>
      <c r="EJI45" s="344"/>
      <c r="EJJ45" s="344"/>
      <c r="EJK45" s="344"/>
      <c r="EJL45" s="344"/>
      <c r="EJM45" s="344"/>
      <c r="EJN45" s="344"/>
      <c r="EJO45" s="344"/>
      <c r="EJP45" s="344"/>
      <c r="EJQ45" s="344"/>
      <c r="EJR45" s="344"/>
      <c r="EJS45" s="344"/>
      <c r="EJT45" s="344"/>
      <c r="EJU45" s="344"/>
      <c r="EJV45" s="344"/>
      <c r="EJW45" s="344"/>
      <c r="EJX45" s="344"/>
      <c r="EJY45" s="344"/>
      <c r="EJZ45" s="344"/>
      <c r="EKA45" s="344"/>
      <c r="EKB45" s="344"/>
      <c r="EKC45" s="344"/>
      <c r="EKD45" s="344"/>
      <c r="EKE45" s="344"/>
      <c r="EKF45" s="344"/>
      <c r="EKG45" s="344"/>
      <c r="EKH45" s="344"/>
      <c r="EKI45" s="344"/>
      <c r="EKJ45" s="344"/>
      <c r="EKK45" s="344"/>
      <c r="EKL45" s="344"/>
      <c r="EKM45" s="344"/>
      <c r="EKN45" s="344"/>
      <c r="EKO45" s="344"/>
      <c r="EKP45" s="344"/>
      <c r="EKQ45" s="344"/>
      <c r="EKR45" s="344"/>
      <c r="EKS45" s="344"/>
      <c r="EKT45" s="344"/>
      <c r="EKU45" s="344"/>
      <c r="EKV45" s="344"/>
      <c r="EKW45" s="344"/>
      <c r="EKX45" s="344"/>
      <c r="EKY45" s="344"/>
      <c r="EKZ45" s="344"/>
      <c r="ELA45" s="344"/>
      <c r="ELB45" s="344"/>
      <c r="ELC45" s="344"/>
      <c r="ELD45" s="344"/>
      <c r="ELE45" s="344"/>
      <c r="ELF45" s="344"/>
      <c r="ELG45" s="344"/>
      <c r="ELH45" s="344"/>
      <c r="ELI45" s="344"/>
      <c r="ELJ45" s="344"/>
      <c r="ELK45" s="344"/>
      <c r="ELL45" s="344"/>
      <c r="ELM45" s="344"/>
      <c r="ELN45" s="344"/>
      <c r="ELO45" s="344"/>
      <c r="ELP45" s="344"/>
      <c r="ELQ45" s="344"/>
      <c r="ELR45" s="344"/>
      <c r="ELS45" s="344"/>
      <c r="ELT45" s="344"/>
      <c r="ELU45" s="344"/>
      <c r="ELV45" s="344"/>
      <c r="ELW45" s="344"/>
      <c r="ELX45" s="344"/>
      <c r="ELY45" s="344"/>
      <c r="ELZ45" s="344"/>
      <c r="EMA45" s="344"/>
      <c r="EMB45" s="344"/>
      <c r="EMC45" s="344"/>
      <c r="EMD45" s="344"/>
      <c r="EME45" s="344"/>
      <c r="EMF45" s="344"/>
      <c r="EMG45" s="344"/>
      <c r="EMH45" s="344"/>
      <c r="EMI45" s="344"/>
      <c r="EMJ45" s="344"/>
      <c r="EMK45" s="344"/>
      <c r="EML45" s="344"/>
      <c r="EMM45" s="344"/>
      <c r="EMN45" s="344"/>
      <c r="EMO45" s="344"/>
      <c r="EMP45" s="344"/>
      <c r="EMQ45" s="344"/>
      <c r="EMR45" s="344"/>
      <c r="EMS45" s="344"/>
      <c r="EMT45" s="344"/>
      <c r="EMU45" s="344"/>
      <c r="EMV45" s="344"/>
      <c r="EMW45" s="344"/>
      <c r="EMX45" s="344"/>
      <c r="EMY45" s="344"/>
      <c r="EMZ45" s="344"/>
      <c r="ENA45" s="344"/>
      <c r="ENB45" s="344"/>
      <c r="ENC45" s="344"/>
      <c r="END45" s="344"/>
      <c r="ENE45" s="344"/>
      <c r="ENF45" s="344"/>
      <c r="ENG45" s="344"/>
      <c r="ENH45" s="344"/>
      <c r="ENI45" s="344"/>
      <c r="ENJ45" s="344"/>
      <c r="ENK45" s="344"/>
      <c r="ENL45" s="344"/>
      <c r="ENM45" s="344"/>
      <c r="ENN45" s="344"/>
      <c r="ENO45" s="344"/>
      <c r="ENP45" s="344"/>
      <c r="ENQ45" s="344"/>
      <c r="ENR45" s="344"/>
      <c r="ENS45" s="344"/>
      <c r="ENT45" s="344"/>
      <c r="ENU45" s="344"/>
      <c r="ENV45" s="344"/>
      <c r="ENW45" s="344"/>
      <c r="ENX45" s="344"/>
      <c r="ENY45" s="344"/>
      <c r="ENZ45" s="344"/>
      <c r="EOA45" s="344"/>
      <c r="EOB45" s="344"/>
      <c r="EOC45" s="344"/>
      <c r="EOD45" s="344"/>
      <c r="EOE45" s="344"/>
      <c r="EOF45" s="344"/>
      <c r="EOG45" s="344"/>
      <c r="EOH45" s="344"/>
      <c r="EOI45" s="344"/>
      <c r="EOJ45" s="344"/>
      <c r="EOK45" s="344"/>
      <c r="EOL45" s="344"/>
      <c r="EOM45" s="344"/>
      <c r="EON45" s="344"/>
      <c r="EOO45" s="344"/>
      <c r="EOP45" s="344"/>
      <c r="EOQ45" s="344"/>
      <c r="EOR45" s="344"/>
      <c r="EOS45" s="344"/>
      <c r="EOT45" s="344"/>
      <c r="EOU45" s="344"/>
      <c r="EOV45" s="344"/>
      <c r="EOW45" s="344"/>
      <c r="EOX45" s="344"/>
      <c r="EOY45" s="344"/>
      <c r="EOZ45" s="344"/>
      <c r="EPA45" s="344"/>
      <c r="EPB45" s="344"/>
      <c r="EPC45" s="344"/>
      <c r="EPD45" s="344"/>
      <c r="EPE45" s="344"/>
      <c r="EPF45" s="344"/>
      <c r="EPG45" s="344"/>
      <c r="EPH45" s="344"/>
      <c r="EPI45" s="344"/>
      <c r="EPJ45" s="344"/>
      <c r="EPK45" s="344"/>
      <c r="EPL45" s="344"/>
      <c r="EPM45" s="344"/>
      <c r="EPN45" s="344"/>
      <c r="EPO45" s="344"/>
      <c r="EPP45" s="344"/>
      <c r="EPQ45" s="344"/>
      <c r="EPR45" s="344"/>
      <c r="EPS45" s="344"/>
      <c r="EPT45" s="344"/>
      <c r="EPU45" s="344"/>
      <c r="EPV45" s="344"/>
      <c r="EPW45" s="344"/>
      <c r="EPX45" s="344"/>
      <c r="EPY45" s="344"/>
      <c r="EPZ45" s="344"/>
      <c r="EQA45" s="344"/>
      <c r="EQB45" s="344"/>
      <c r="EQC45" s="344"/>
      <c r="EQD45" s="344"/>
      <c r="EQE45" s="344"/>
      <c r="EQF45" s="344"/>
      <c r="EQG45" s="344"/>
      <c r="EQH45" s="344"/>
      <c r="EQI45" s="344"/>
      <c r="EQJ45" s="344"/>
      <c r="EQK45" s="344"/>
      <c r="EQL45" s="344"/>
      <c r="EQM45" s="344"/>
      <c r="EQN45" s="344"/>
      <c r="EQO45" s="344"/>
      <c r="EQP45" s="344"/>
      <c r="EQQ45" s="344"/>
      <c r="EQR45" s="344"/>
      <c r="EQS45" s="344"/>
      <c r="EQT45" s="344"/>
      <c r="EQU45" s="344"/>
      <c r="EQV45" s="344"/>
      <c r="EQW45" s="344"/>
      <c r="EQX45" s="344"/>
      <c r="EQY45" s="344"/>
      <c r="EQZ45" s="344"/>
      <c r="ERA45" s="344"/>
      <c r="ERB45" s="344"/>
      <c r="ERC45" s="344"/>
      <c r="ERD45" s="344"/>
      <c r="ERE45" s="344"/>
      <c r="ERF45" s="344"/>
      <c r="ERG45" s="344"/>
      <c r="ERH45" s="344"/>
      <c r="ERI45" s="344"/>
      <c r="ERJ45" s="344"/>
      <c r="ERK45" s="344"/>
      <c r="ERL45" s="344"/>
      <c r="ERM45" s="344"/>
      <c r="ERN45" s="344"/>
      <c r="ERO45" s="344"/>
      <c r="ERP45" s="344"/>
      <c r="ERQ45" s="344"/>
      <c r="ERR45" s="344"/>
      <c r="ERS45" s="344"/>
      <c r="ERT45" s="344"/>
      <c r="ERU45" s="344"/>
      <c r="ERV45" s="344"/>
      <c r="ERW45" s="344"/>
      <c r="ERX45" s="344"/>
      <c r="ERY45" s="344"/>
      <c r="ERZ45" s="344"/>
      <c r="ESA45" s="344"/>
      <c r="ESB45" s="344"/>
      <c r="ESC45" s="344"/>
      <c r="ESD45" s="344"/>
      <c r="ESE45" s="344"/>
      <c r="ESF45" s="344"/>
      <c r="ESG45" s="344"/>
      <c r="ESH45" s="344"/>
      <c r="ESI45" s="344"/>
      <c r="ESJ45" s="344"/>
      <c r="ESK45" s="344"/>
      <c r="ESL45" s="344"/>
      <c r="ESM45" s="344"/>
      <c r="ESN45" s="344"/>
      <c r="ESO45" s="344"/>
      <c r="ESP45" s="344"/>
      <c r="ESQ45" s="344"/>
      <c r="ESR45" s="344"/>
      <c r="ESS45" s="344"/>
      <c r="EST45" s="344"/>
      <c r="ESU45" s="344"/>
      <c r="ESV45" s="344"/>
      <c r="ESW45" s="344"/>
      <c r="ESX45" s="344"/>
      <c r="ESY45" s="344"/>
      <c r="ESZ45" s="344"/>
      <c r="ETA45" s="344"/>
      <c r="ETB45" s="344"/>
      <c r="ETC45" s="344"/>
      <c r="ETD45" s="344"/>
      <c r="ETE45" s="344"/>
      <c r="ETF45" s="344"/>
      <c r="ETG45" s="344"/>
      <c r="ETH45" s="344"/>
      <c r="ETI45" s="344"/>
      <c r="ETJ45" s="344"/>
      <c r="ETK45" s="344"/>
      <c r="ETL45" s="344"/>
      <c r="ETM45" s="344"/>
      <c r="ETN45" s="344"/>
      <c r="ETO45" s="344"/>
      <c r="ETP45" s="344"/>
      <c r="ETQ45" s="344"/>
      <c r="ETR45" s="344"/>
      <c r="ETS45" s="344"/>
      <c r="ETT45" s="344"/>
      <c r="ETU45" s="344"/>
      <c r="ETV45" s="344"/>
      <c r="ETW45" s="344"/>
      <c r="ETX45" s="344"/>
      <c r="ETY45" s="344"/>
      <c r="ETZ45" s="344"/>
      <c r="EUA45" s="344"/>
      <c r="EUB45" s="344"/>
      <c r="EUC45" s="344"/>
      <c r="EUD45" s="344"/>
      <c r="EUE45" s="344"/>
      <c r="EUF45" s="344"/>
      <c r="EUG45" s="344"/>
      <c r="EUH45" s="344"/>
      <c r="EUI45" s="344"/>
      <c r="EUJ45" s="344"/>
      <c r="EUK45" s="344"/>
      <c r="EUL45" s="344"/>
      <c r="EUM45" s="344"/>
      <c r="EUN45" s="344"/>
      <c r="EUO45" s="344"/>
      <c r="EUP45" s="344"/>
      <c r="EUQ45" s="344"/>
      <c r="EUR45" s="344"/>
      <c r="EUS45" s="344"/>
      <c r="EUT45" s="344"/>
      <c r="EUU45" s="344"/>
      <c r="EUV45" s="344"/>
      <c r="EUW45" s="344"/>
      <c r="EUX45" s="344"/>
      <c r="EUY45" s="344"/>
      <c r="EUZ45" s="344"/>
      <c r="EVA45" s="344"/>
      <c r="EVB45" s="344"/>
      <c r="EVC45" s="344"/>
      <c r="EVD45" s="344"/>
      <c r="EVE45" s="344"/>
      <c r="EVF45" s="344"/>
      <c r="EVG45" s="344"/>
      <c r="EVH45" s="344"/>
      <c r="EVI45" s="344"/>
      <c r="EVJ45" s="344"/>
      <c r="EVK45" s="344"/>
      <c r="EVL45" s="344"/>
      <c r="EVM45" s="344"/>
      <c r="EVN45" s="344"/>
      <c r="EVO45" s="344"/>
      <c r="EVP45" s="344"/>
      <c r="EVQ45" s="344"/>
      <c r="EVR45" s="344"/>
      <c r="EVS45" s="344"/>
      <c r="EVT45" s="344"/>
      <c r="EVU45" s="344"/>
      <c r="EVV45" s="344"/>
      <c r="EVW45" s="344"/>
      <c r="EVX45" s="344"/>
      <c r="EVY45" s="344"/>
      <c r="EVZ45" s="344"/>
      <c r="EWA45" s="344"/>
      <c r="EWB45" s="344"/>
      <c r="EWC45" s="344"/>
      <c r="EWD45" s="344"/>
      <c r="EWE45" s="344"/>
      <c r="EWF45" s="344"/>
      <c r="EWG45" s="344"/>
      <c r="EWH45" s="344"/>
      <c r="EWI45" s="344"/>
      <c r="EWJ45" s="344"/>
      <c r="EWK45" s="344"/>
      <c r="EWL45" s="344"/>
      <c r="EWM45" s="344"/>
      <c r="EWN45" s="344"/>
      <c r="EWO45" s="344"/>
      <c r="EWP45" s="344"/>
      <c r="EWQ45" s="344"/>
      <c r="EWR45" s="344"/>
      <c r="EWS45" s="344"/>
      <c r="EWT45" s="344"/>
      <c r="EWU45" s="344"/>
      <c r="EWV45" s="344"/>
      <c r="EWW45" s="344"/>
      <c r="EWX45" s="344"/>
      <c r="EWY45" s="344"/>
      <c r="EWZ45" s="344"/>
      <c r="EXA45" s="344"/>
      <c r="EXB45" s="344"/>
      <c r="EXC45" s="344"/>
      <c r="EXD45" s="344"/>
      <c r="EXE45" s="344"/>
      <c r="EXF45" s="344"/>
      <c r="EXG45" s="344"/>
      <c r="EXH45" s="344"/>
      <c r="EXI45" s="344"/>
      <c r="EXJ45" s="344"/>
      <c r="EXK45" s="344"/>
      <c r="EXL45" s="344"/>
      <c r="EXM45" s="344"/>
      <c r="EXN45" s="344"/>
      <c r="EXO45" s="344"/>
      <c r="EXP45" s="344"/>
      <c r="EXQ45" s="344"/>
      <c r="EXR45" s="344"/>
      <c r="EXS45" s="344"/>
      <c r="EXT45" s="344"/>
      <c r="EXU45" s="344"/>
      <c r="EXV45" s="344"/>
      <c r="EXW45" s="344"/>
      <c r="EXX45" s="344"/>
      <c r="EXY45" s="344"/>
      <c r="EXZ45" s="344"/>
      <c r="EYA45" s="344"/>
      <c r="EYB45" s="344"/>
      <c r="EYC45" s="344"/>
      <c r="EYD45" s="344"/>
      <c r="EYE45" s="344"/>
      <c r="EYF45" s="344"/>
      <c r="EYG45" s="344"/>
      <c r="EYH45" s="344"/>
      <c r="EYI45" s="344"/>
      <c r="EYJ45" s="344"/>
      <c r="EYK45" s="344"/>
      <c r="EYL45" s="344"/>
      <c r="EYM45" s="344"/>
      <c r="EYN45" s="344"/>
      <c r="EYO45" s="344"/>
      <c r="EYP45" s="344"/>
      <c r="EYQ45" s="344"/>
      <c r="EYR45" s="344"/>
      <c r="EYS45" s="344"/>
      <c r="EYT45" s="344"/>
      <c r="EYU45" s="344"/>
      <c r="EYV45" s="344"/>
      <c r="EYW45" s="344"/>
      <c r="EYX45" s="344"/>
      <c r="EYY45" s="344"/>
      <c r="EYZ45" s="344"/>
      <c r="EZA45" s="344"/>
      <c r="EZB45" s="344"/>
      <c r="EZC45" s="344"/>
      <c r="EZD45" s="344"/>
      <c r="EZE45" s="344"/>
      <c r="EZF45" s="344"/>
      <c r="EZG45" s="344"/>
      <c r="EZH45" s="344"/>
      <c r="EZI45" s="344"/>
      <c r="EZJ45" s="344"/>
      <c r="EZK45" s="344"/>
      <c r="EZL45" s="344"/>
      <c r="EZM45" s="344"/>
      <c r="EZN45" s="344"/>
      <c r="EZO45" s="344"/>
      <c r="EZP45" s="344"/>
      <c r="EZQ45" s="344"/>
      <c r="EZR45" s="344"/>
      <c r="EZS45" s="344"/>
      <c r="EZT45" s="344"/>
      <c r="EZU45" s="344"/>
      <c r="EZV45" s="344"/>
      <c r="EZW45" s="344"/>
      <c r="EZX45" s="344"/>
      <c r="EZY45" s="344"/>
      <c r="EZZ45" s="344"/>
      <c r="FAA45" s="344"/>
      <c r="FAB45" s="344"/>
      <c r="FAC45" s="344"/>
      <c r="FAD45" s="344"/>
      <c r="FAE45" s="344"/>
      <c r="FAF45" s="344"/>
      <c r="FAG45" s="344"/>
      <c r="FAH45" s="344"/>
      <c r="FAI45" s="344"/>
      <c r="FAJ45" s="344"/>
      <c r="FAK45" s="344"/>
      <c r="FAL45" s="344"/>
      <c r="FAM45" s="344"/>
      <c r="FAN45" s="344"/>
      <c r="FAO45" s="344"/>
      <c r="FAP45" s="344"/>
      <c r="FAQ45" s="344"/>
      <c r="FAR45" s="344"/>
      <c r="FAS45" s="344"/>
      <c r="FAT45" s="344"/>
      <c r="FAU45" s="344"/>
      <c r="FAV45" s="344"/>
      <c r="FAW45" s="344"/>
      <c r="FAX45" s="344"/>
      <c r="FAY45" s="344"/>
      <c r="FAZ45" s="344"/>
      <c r="FBA45" s="344"/>
      <c r="FBB45" s="344"/>
      <c r="FBC45" s="344"/>
      <c r="FBD45" s="344"/>
      <c r="FBE45" s="344"/>
      <c r="FBF45" s="344"/>
      <c r="FBG45" s="344"/>
      <c r="FBH45" s="344"/>
      <c r="FBI45" s="344"/>
      <c r="FBJ45" s="344"/>
      <c r="FBK45" s="344"/>
      <c r="FBL45" s="344"/>
      <c r="FBM45" s="344"/>
      <c r="FBN45" s="344"/>
      <c r="FBO45" s="344"/>
      <c r="FBP45" s="344"/>
      <c r="FBQ45" s="344"/>
      <c r="FBR45" s="344"/>
      <c r="FBS45" s="344"/>
      <c r="FBT45" s="344"/>
      <c r="FBU45" s="344"/>
      <c r="FBV45" s="344"/>
      <c r="FBW45" s="344"/>
      <c r="FBX45" s="344"/>
      <c r="FBY45" s="344"/>
      <c r="FBZ45" s="344"/>
      <c r="FCA45" s="344"/>
      <c r="FCB45" s="344"/>
      <c r="FCC45" s="344"/>
      <c r="FCD45" s="344"/>
      <c r="FCE45" s="344"/>
      <c r="FCF45" s="344"/>
      <c r="FCG45" s="344"/>
      <c r="FCH45" s="344"/>
      <c r="FCI45" s="344"/>
      <c r="FCJ45" s="344"/>
      <c r="FCK45" s="344"/>
      <c r="FCL45" s="344"/>
      <c r="FCM45" s="344"/>
      <c r="FCN45" s="344"/>
      <c r="FCO45" s="344"/>
      <c r="FCP45" s="344"/>
      <c r="FCQ45" s="344"/>
      <c r="FCR45" s="344"/>
      <c r="FCS45" s="344"/>
      <c r="FCT45" s="344"/>
      <c r="FCU45" s="344"/>
      <c r="FCV45" s="344"/>
      <c r="FCW45" s="344"/>
      <c r="FCX45" s="344"/>
      <c r="FCY45" s="344"/>
      <c r="FCZ45" s="344"/>
      <c r="FDA45" s="344"/>
      <c r="FDB45" s="344"/>
      <c r="FDC45" s="344"/>
      <c r="FDD45" s="344"/>
      <c r="FDE45" s="344"/>
      <c r="FDF45" s="344"/>
      <c r="FDG45" s="344"/>
      <c r="FDH45" s="344"/>
      <c r="FDI45" s="344"/>
      <c r="FDJ45" s="344"/>
      <c r="FDK45" s="344"/>
      <c r="FDL45" s="344"/>
      <c r="FDM45" s="344"/>
      <c r="FDN45" s="344"/>
      <c r="FDO45" s="344"/>
      <c r="FDP45" s="344"/>
      <c r="FDQ45" s="344"/>
      <c r="FDR45" s="344"/>
      <c r="FDS45" s="344"/>
      <c r="FDT45" s="344"/>
      <c r="FDU45" s="344"/>
      <c r="FDV45" s="344"/>
      <c r="FDW45" s="344"/>
      <c r="FDX45" s="344"/>
      <c r="FDY45" s="344"/>
      <c r="FDZ45" s="344"/>
      <c r="FEA45" s="344"/>
      <c r="FEB45" s="344"/>
      <c r="FEC45" s="344"/>
      <c r="FED45" s="344"/>
      <c r="FEE45" s="344"/>
      <c r="FEF45" s="344"/>
      <c r="FEG45" s="344"/>
      <c r="FEH45" s="344"/>
      <c r="FEI45" s="344"/>
      <c r="FEJ45" s="344"/>
      <c r="FEK45" s="344"/>
      <c r="FEL45" s="344"/>
      <c r="FEM45" s="344"/>
      <c r="FEN45" s="344"/>
      <c r="FEO45" s="344"/>
      <c r="FEP45" s="344"/>
      <c r="FEQ45" s="344"/>
      <c r="FER45" s="344"/>
      <c r="FES45" s="344"/>
      <c r="FET45" s="344"/>
      <c r="FEU45" s="344"/>
      <c r="FEV45" s="344"/>
      <c r="FEW45" s="344"/>
      <c r="FEX45" s="344"/>
      <c r="FEY45" s="344"/>
      <c r="FEZ45" s="344"/>
      <c r="FFA45" s="344"/>
      <c r="FFB45" s="344"/>
      <c r="FFC45" s="344"/>
      <c r="FFD45" s="344"/>
      <c r="FFE45" s="344"/>
      <c r="FFF45" s="344"/>
      <c r="FFG45" s="344"/>
      <c r="FFH45" s="344"/>
      <c r="FFI45" s="344"/>
      <c r="FFJ45" s="344"/>
      <c r="FFK45" s="344"/>
      <c r="FFL45" s="344"/>
      <c r="FFM45" s="344"/>
      <c r="FFN45" s="344"/>
      <c r="FFO45" s="344"/>
      <c r="FFP45" s="344"/>
      <c r="FFQ45" s="344"/>
      <c r="FFR45" s="344"/>
      <c r="FFS45" s="344"/>
      <c r="FFT45" s="344"/>
      <c r="FFU45" s="344"/>
      <c r="FFV45" s="344"/>
      <c r="FFW45" s="344"/>
      <c r="FFX45" s="344"/>
      <c r="FFY45" s="344"/>
      <c r="FFZ45" s="344"/>
      <c r="FGA45" s="344"/>
      <c r="FGB45" s="344"/>
      <c r="FGC45" s="344"/>
      <c r="FGD45" s="344"/>
      <c r="FGE45" s="344"/>
      <c r="FGF45" s="344"/>
      <c r="FGG45" s="344"/>
      <c r="FGH45" s="344"/>
      <c r="FGI45" s="344"/>
      <c r="FGJ45" s="344"/>
      <c r="FGK45" s="344"/>
      <c r="FGL45" s="344"/>
      <c r="FGM45" s="344"/>
      <c r="FGN45" s="344"/>
      <c r="FGO45" s="344"/>
      <c r="FGP45" s="344"/>
      <c r="FGQ45" s="344"/>
      <c r="FGR45" s="344"/>
      <c r="FGS45" s="344"/>
      <c r="FGT45" s="344"/>
      <c r="FGU45" s="344"/>
      <c r="FGV45" s="344"/>
      <c r="FGW45" s="344"/>
      <c r="FGX45" s="344"/>
      <c r="FGY45" s="344"/>
      <c r="FGZ45" s="344"/>
      <c r="FHA45" s="344"/>
      <c r="FHB45" s="344"/>
      <c r="FHC45" s="344"/>
      <c r="FHD45" s="344"/>
      <c r="FHE45" s="344"/>
      <c r="FHF45" s="344"/>
      <c r="FHG45" s="344"/>
      <c r="FHH45" s="344"/>
      <c r="FHI45" s="344"/>
      <c r="FHJ45" s="344"/>
      <c r="FHK45" s="344"/>
      <c r="FHL45" s="344"/>
      <c r="FHM45" s="344"/>
      <c r="FHN45" s="344"/>
      <c r="FHO45" s="344"/>
      <c r="FHP45" s="344"/>
      <c r="FHQ45" s="344"/>
      <c r="FHR45" s="344"/>
      <c r="FHS45" s="344"/>
      <c r="FHT45" s="344"/>
      <c r="FHU45" s="344"/>
      <c r="FHV45" s="344"/>
      <c r="FHW45" s="344"/>
      <c r="FHX45" s="344"/>
      <c r="FHY45" s="344"/>
      <c r="FHZ45" s="344"/>
      <c r="FIA45" s="344"/>
      <c r="FIB45" s="344"/>
      <c r="FIC45" s="344"/>
      <c r="FID45" s="344"/>
      <c r="FIE45" s="344"/>
      <c r="FIF45" s="344"/>
      <c r="FIG45" s="344"/>
      <c r="FIH45" s="344"/>
      <c r="FII45" s="344"/>
      <c r="FIJ45" s="344"/>
      <c r="FIK45" s="344"/>
      <c r="FIL45" s="344"/>
      <c r="FIM45" s="344"/>
      <c r="FIN45" s="344"/>
      <c r="FIO45" s="344"/>
      <c r="FIP45" s="344"/>
      <c r="FIQ45" s="344"/>
      <c r="FIR45" s="344"/>
      <c r="FIS45" s="344"/>
      <c r="FIT45" s="344"/>
      <c r="FIU45" s="344"/>
      <c r="FIV45" s="344"/>
      <c r="FIW45" s="344"/>
      <c r="FIX45" s="344"/>
      <c r="FIY45" s="344"/>
      <c r="FIZ45" s="344"/>
      <c r="FJA45" s="344"/>
      <c r="FJB45" s="344"/>
      <c r="FJC45" s="344"/>
      <c r="FJD45" s="344"/>
      <c r="FJE45" s="344"/>
      <c r="FJF45" s="344"/>
      <c r="FJG45" s="344"/>
      <c r="FJH45" s="344"/>
      <c r="FJI45" s="344"/>
      <c r="FJJ45" s="344"/>
      <c r="FJK45" s="344"/>
      <c r="FJL45" s="344"/>
      <c r="FJM45" s="344"/>
      <c r="FJN45" s="344"/>
      <c r="FJO45" s="344"/>
      <c r="FJP45" s="344"/>
      <c r="FJQ45" s="344"/>
      <c r="FJR45" s="344"/>
      <c r="FJS45" s="344"/>
      <c r="FJT45" s="344"/>
      <c r="FJU45" s="344"/>
      <c r="FJV45" s="344"/>
      <c r="FJW45" s="344"/>
      <c r="FJX45" s="344"/>
      <c r="FJY45" s="344"/>
      <c r="FJZ45" s="344"/>
      <c r="FKA45" s="344"/>
      <c r="FKB45" s="344"/>
      <c r="FKC45" s="344"/>
      <c r="FKD45" s="344"/>
      <c r="FKE45" s="344"/>
      <c r="FKF45" s="344"/>
      <c r="FKG45" s="344"/>
      <c r="FKH45" s="344"/>
      <c r="FKI45" s="344"/>
      <c r="FKJ45" s="344"/>
      <c r="FKK45" s="344"/>
      <c r="FKL45" s="344"/>
      <c r="FKM45" s="344"/>
      <c r="FKN45" s="344"/>
      <c r="FKO45" s="344"/>
      <c r="FKP45" s="344"/>
      <c r="FKQ45" s="344"/>
      <c r="FKR45" s="344"/>
      <c r="FKS45" s="344"/>
      <c r="FKT45" s="344"/>
      <c r="FKU45" s="344"/>
      <c r="FKV45" s="344"/>
      <c r="FKW45" s="344"/>
      <c r="FKX45" s="344"/>
      <c r="FKY45" s="344"/>
      <c r="FKZ45" s="344"/>
      <c r="FLA45" s="344"/>
      <c r="FLB45" s="344"/>
      <c r="FLC45" s="344"/>
      <c r="FLD45" s="344"/>
      <c r="FLE45" s="344"/>
      <c r="FLF45" s="344"/>
      <c r="FLG45" s="344"/>
      <c r="FLH45" s="344"/>
      <c r="FLI45" s="344"/>
      <c r="FLJ45" s="344"/>
      <c r="FLK45" s="344"/>
      <c r="FLL45" s="344"/>
      <c r="FLM45" s="344"/>
      <c r="FLN45" s="344"/>
      <c r="FLO45" s="344"/>
      <c r="FLP45" s="344"/>
      <c r="FLQ45" s="344"/>
      <c r="FLR45" s="344"/>
      <c r="FLS45" s="344"/>
      <c r="FLT45" s="344"/>
      <c r="FLU45" s="344"/>
      <c r="FLV45" s="344"/>
      <c r="FLW45" s="344"/>
      <c r="FLX45" s="344"/>
      <c r="FLY45" s="344"/>
      <c r="FLZ45" s="344"/>
      <c r="FMA45" s="344"/>
      <c r="FMB45" s="344"/>
      <c r="FMC45" s="344"/>
      <c r="FMD45" s="344"/>
      <c r="FME45" s="344"/>
      <c r="FMF45" s="344"/>
      <c r="FMG45" s="344"/>
      <c r="FMH45" s="344"/>
      <c r="FMI45" s="344"/>
      <c r="FMJ45" s="344"/>
      <c r="FMK45" s="344"/>
      <c r="FML45" s="344"/>
      <c r="FMM45" s="344"/>
      <c r="FMN45" s="344"/>
      <c r="FMO45" s="344"/>
      <c r="FMP45" s="344"/>
      <c r="FMQ45" s="344"/>
      <c r="FMR45" s="344"/>
      <c r="FMS45" s="344"/>
      <c r="FMT45" s="344"/>
      <c r="FMU45" s="344"/>
      <c r="FMV45" s="344"/>
      <c r="FMW45" s="344"/>
      <c r="FMX45" s="344"/>
      <c r="FMY45" s="344"/>
      <c r="FMZ45" s="344"/>
      <c r="FNA45" s="344"/>
      <c r="FNB45" s="344"/>
      <c r="FNC45" s="344"/>
      <c r="FND45" s="344"/>
      <c r="FNE45" s="344"/>
      <c r="FNF45" s="344"/>
      <c r="FNG45" s="344"/>
      <c r="FNH45" s="344"/>
      <c r="FNI45" s="344"/>
      <c r="FNJ45" s="344"/>
      <c r="FNK45" s="344"/>
      <c r="FNL45" s="344"/>
      <c r="FNM45" s="344"/>
      <c r="FNN45" s="344"/>
      <c r="FNO45" s="344"/>
      <c r="FNP45" s="344"/>
      <c r="FNQ45" s="344"/>
      <c r="FNR45" s="344"/>
      <c r="FNS45" s="344"/>
      <c r="FNT45" s="344"/>
      <c r="FNU45" s="344"/>
      <c r="FNV45" s="344"/>
      <c r="FNW45" s="344"/>
      <c r="FNX45" s="344"/>
      <c r="FNY45" s="344"/>
      <c r="FNZ45" s="344"/>
      <c r="FOA45" s="344"/>
      <c r="FOB45" s="344"/>
      <c r="FOC45" s="344"/>
      <c r="FOD45" s="344"/>
      <c r="FOE45" s="344"/>
      <c r="FOF45" s="344"/>
      <c r="FOG45" s="344"/>
      <c r="FOH45" s="344"/>
      <c r="FOI45" s="344"/>
      <c r="FOJ45" s="344"/>
      <c r="FOK45" s="344"/>
      <c r="FOL45" s="344"/>
      <c r="FOM45" s="344"/>
      <c r="FON45" s="344"/>
      <c r="FOO45" s="344"/>
      <c r="FOP45" s="344"/>
      <c r="FOQ45" s="344"/>
      <c r="FOR45" s="344"/>
      <c r="FOS45" s="344"/>
      <c r="FOT45" s="344"/>
      <c r="FOU45" s="344"/>
      <c r="FOV45" s="344"/>
      <c r="FOW45" s="344"/>
      <c r="FOX45" s="344"/>
      <c r="FOY45" s="344"/>
      <c r="FOZ45" s="344"/>
      <c r="FPA45" s="344"/>
      <c r="FPB45" s="344"/>
      <c r="FPC45" s="344"/>
      <c r="FPD45" s="344"/>
      <c r="FPE45" s="344"/>
      <c r="FPF45" s="344"/>
      <c r="FPG45" s="344"/>
      <c r="FPH45" s="344"/>
      <c r="FPI45" s="344"/>
      <c r="FPJ45" s="344"/>
      <c r="FPK45" s="344"/>
      <c r="FPL45" s="344"/>
      <c r="FPM45" s="344"/>
      <c r="FPN45" s="344"/>
      <c r="FPO45" s="344"/>
      <c r="FPP45" s="344"/>
      <c r="FPQ45" s="344"/>
      <c r="FPR45" s="344"/>
      <c r="FPS45" s="344"/>
      <c r="FPT45" s="344"/>
      <c r="FPU45" s="344"/>
      <c r="FPV45" s="344"/>
      <c r="FPW45" s="344"/>
      <c r="FPX45" s="344"/>
      <c r="FPY45" s="344"/>
      <c r="FPZ45" s="344"/>
      <c r="FQA45" s="344"/>
      <c r="FQB45" s="344"/>
      <c r="FQC45" s="344"/>
      <c r="FQD45" s="344"/>
      <c r="FQE45" s="344"/>
      <c r="FQF45" s="344"/>
      <c r="FQG45" s="344"/>
      <c r="FQH45" s="344"/>
      <c r="FQI45" s="344"/>
      <c r="FQJ45" s="344"/>
      <c r="FQK45" s="344"/>
      <c r="FQL45" s="344"/>
      <c r="FQM45" s="344"/>
      <c r="FQN45" s="344"/>
      <c r="FQO45" s="344"/>
      <c r="FQP45" s="344"/>
      <c r="FQQ45" s="344"/>
      <c r="FQR45" s="344"/>
      <c r="FQS45" s="344"/>
      <c r="FQT45" s="344"/>
      <c r="FQU45" s="344"/>
      <c r="FQV45" s="344"/>
      <c r="FQW45" s="344"/>
      <c r="FQX45" s="344"/>
      <c r="FQY45" s="344"/>
      <c r="FQZ45" s="344"/>
      <c r="FRA45" s="344"/>
      <c r="FRB45" s="344"/>
      <c r="FRC45" s="344"/>
      <c r="FRD45" s="344"/>
      <c r="FRE45" s="344"/>
      <c r="FRF45" s="344"/>
      <c r="FRG45" s="344"/>
      <c r="FRH45" s="344"/>
      <c r="FRI45" s="344"/>
      <c r="FRJ45" s="344"/>
      <c r="FRK45" s="344"/>
      <c r="FRL45" s="344"/>
      <c r="FRM45" s="344"/>
      <c r="FRN45" s="344"/>
      <c r="FRO45" s="344"/>
      <c r="FRP45" s="344"/>
      <c r="FRQ45" s="344"/>
      <c r="FRR45" s="344"/>
      <c r="FRS45" s="344"/>
      <c r="FRT45" s="344"/>
      <c r="FRU45" s="344"/>
      <c r="FRV45" s="344"/>
      <c r="FRW45" s="344"/>
      <c r="FRX45" s="344"/>
      <c r="FRY45" s="344"/>
      <c r="FRZ45" s="344"/>
      <c r="FSA45" s="344"/>
      <c r="FSB45" s="344"/>
      <c r="FSC45" s="344"/>
      <c r="FSD45" s="344"/>
      <c r="FSE45" s="344"/>
      <c r="FSF45" s="344"/>
      <c r="FSG45" s="344"/>
      <c r="FSH45" s="344"/>
      <c r="FSI45" s="344"/>
      <c r="FSJ45" s="344"/>
      <c r="FSK45" s="344"/>
      <c r="FSL45" s="344"/>
      <c r="FSM45" s="344"/>
      <c r="FSN45" s="344"/>
      <c r="FSO45" s="344"/>
      <c r="FSP45" s="344"/>
      <c r="FSQ45" s="344"/>
      <c r="FSR45" s="344"/>
      <c r="FSS45" s="344"/>
      <c r="FST45" s="344"/>
      <c r="FSU45" s="344"/>
      <c r="FSV45" s="344"/>
      <c r="FSW45" s="344"/>
      <c r="FSX45" s="344"/>
      <c r="FSY45" s="344"/>
      <c r="FSZ45" s="344"/>
      <c r="FTA45" s="344"/>
      <c r="FTB45" s="344"/>
      <c r="FTC45" s="344"/>
      <c r="FTD45" s="344"/>
      <c r="FTE45" s="344"/>
      <c r="FTF45" s="344"/>
      <c r="FTG45" s="344"/>
      <c r="FTH45" s="344"/>
      <c r="FTI45" s="344"/>
      <c r="FTJ45" s="344"/>
      <c r="FTK45" s="344"/>
      <c r="FTL45" s="344"/>
      <c r="FTM45" s="344"/>
      <c r="FTN45" s="344"/>
      <c r="FTO45" s="344"/>
      <c r="FTP45" s="344"/>
      <c r="FTQ45" s="344"/>
      <c r="FTR45" s="344"/>
      <c r="FTS45" s="344"/>
      <c r="FTT45" s="344"/>
      <c r="FTU45" s="344"/>
      <c r="FTV45" s="344"/>
      <c r="FTW45" s="344"/>
      <c r="FTX45" s="344"/>
      <c r="FTY45" s="344"/>
      <c r="FTZ45" s="344"/>
      <c r="FUA45" s="344"/>
      <c r="FUB45" s="344"/>
      <c r="FUC45" s="344"/>
      <c r="FUD45" s="344"/>
      <c r="FUE45" s="344"/>
      <c r="FUF45" s="344"/>
      <c r="FUG45" s="344"/>
      <c r="FUH45" s="344"/>
      <c r="FUI45" s="344"/>
      <c r="FUJ45" s="344"/>
      <c r="FUK45" s="344"/>
      <c r="FUL45" s="344"/>
      <c r="FUM45" s="344"/>
      <c r="FUN45" s="344"/>
      <c r="FUO45" s="344"/>
      <c r="FUP45" s="344"/>
      <c r="FUQ45" s="344"/>
      <c r="FUR45" s="344"/>
      <c r="FUS45" s="344"/>
      <c r="FUT45" s="344"/>
      <c r="FUU45" s="344"/>
      <c r="FUV45" s="344"/>
      <c r="FUW45" s="344"/>
      <c r="FUX45" s="344"/>
      <c r="FUY45" s="344"/>
      <c r="FUZ45" s="344"/>
      <c r="FVA45" s="344"/>
      <c r="FVB45" s="344"/>
      <c r="FVC45" s="344"/>
      <c r="FVD45" s="344"/>
      <c r="FVE45" s="344"/>
      <c r="FVF45" s="344"/>
      <c r="FVG45" s="344"/>
      <c r="FVH45" s="344"/>
      <c r="FVI45" s="344"/>
      <c r="FVJ45" s="344"/>
      <c r="FVK45" s="344"/>
      <c r="FVL45" s="344"/>
      <c r="FVM45" s="344"/>
      <c r="FVN45" s="344"/>
      <c r="FVO45" s="344"/>
      <c r="FVP45" s="344"/>
      <c r="FVQ45" s="344"/>
      <c r="FVR45" s="344"/>
      <c r="FVS45" s="344"/>
      <c r="FVT45" s="344"/>
      <c r="FVU45" s="344"/>
      <c r="FVV45" s="344"/>
      <c r="FVW45" s="344"/>
      <c r="FVX45" s="344"/>
      <c r="FVY45" s="344"/>
      <c r="FVZ45" s="344"/>
      <c r="FWA45" s="344"/>
      <c r="FWB45" s="344"/>
      <c r="FWC45" s="344"/>
      <c r="FWD45" s="344"/>
      <c r="FWE45" s="344"/>
      <c r="FWF45" s="344"/>
      <c r="FWG45" s="344"/>
      <c r="FWH45" s="344"/>
      <c r="FWI45" s="344"/>
      <c r="FWJ45" s="344"/>
      <c r="FWK45" s="344"/>
      <c r="FWL45" s="344"/>
      <c r="FWM45" s="344"/>
      <c r="FWN45" s="344"/>
      <c r="FWO45" s="344"/>
      <c r="FWP45" s="344"/>
      <c r="FWQ45" s="344"/>
      <c r="FWR45" s="344"/>
      <c r="FWS45" s="344"/>
      <c r="FWT45" s="344"/>
      <c r="FWU45" s="344"/>
      <c r="FWV45" s="344"/>
      <c r="FWW45" s="344"/>
      <c r="FWX45" s="344"/>
      <c r="FWY45" s="344"/>
      <c r="FWZ45" s="344"/>
      <c r="FXA45" s="344"/>
      <c r="FXB45" s="344"/>
      <c r="FXC45" s="344"/>
      <c r="FXD45" s="344"/>
      <c r="FXE45" s="344"/>
      <c r="FXF45" s="344"/>
      <c r="FXG45" s="344"/>
      <c r="FXH45" s="344"/>
      <c r="FXI45" s="344"/>
      <c r="FXJ45" s="344"/>
      <c r="FXK45" s="344"/>
      <c r="FXL45" s="344"/>
      <c r="FXM45" s="344"/>
      <c r="FXN45" s="344"/>
      <c r="FXO45" s="344"/>
      <c r="FXP45" s="344"/>
      <c r="FXQ45" s="344"/>
      <c r="FXR45" s="344"/>
      <c r="FXS45" s="344"/>
      <c r="FXT45" s="344"/>
      <c r="FXU45" s="344"/>
      <c r="FXV45" s="344"/>
      <c r="FXW45" s="344"/>
      <c r="FXX45" s="344"/>
      <c r="FXY45" s="344"/>
      <c r="FXZ45" s="344"/>
      <c r="FYA45" s="344"/>
      <c r="FYB45" s="344"/>
      <c r="FYC45" s="344"/>
      <c r="FYD45" s="344"/>
      <c r="FYE45" s="344"/>
      <c r="FYF45" s="344"/>
      <c r="FYG45" s="344"/>
      <c r="FYH45" s="344"/>
      <c r="FYI45" s="344"/>
      <c r="FYJ45" s="344"/>
      <c r="FYK45" s="344"/>
      <c r="FYL45" s="344"/>
      <c r="FYM45" s="344"/>
      <c r="FYN45" s="344"/>
      <c r="FYO45" s="344"/>
      <c r="FYP45" s="344"/>
      <c r="FYQ45" s="344"/>
      <c r="FYR45" s="344"/>
      <c r="FYS45" s="344"/>
      <c r="FYT45" s="344"/>
      <c r="FYU45" s="344"/>
      <c r="FYV45" s="344"/>
      <c r="FYW45" s="344"/>
      <c r="FYX45" s="344"/>
      <c r="FYY45" s="344"/>
      <c r="FYZ45" s="344"/>
      <c r="FZA45" s="344"/>
      <c r="FZB45" s="344"/>
      <c r="FZC45" s="344"/>
      <c r="FZD45" s="344"/>
      <c r="FZE45" s="344"/>
      <c r="FZF45" s="344"/>
      <c r="FZG45" s="344"/>
      <c r="FZH45" s="344"/>
      <c r="FZI45" s="344"/>
      <c r="FZJ45" s="344"/>
      <c r="FZK45" s="344"/>
      <c r="FZL45" s="344"/>
      <c r="FZM45" s="344"/>
      <c r="FZN45" s="344"/>
      <c r="FZO45" s="344"/>
      <c r="FZP45" s="344"/>
      <c r="FZQ45" s="344"/>
      <c r="FZR45" s="344"/>
      <c r="FZS45" s="344"/>
      <c r="FZT45" s="344"/>
      <c r="FZU45" s="344"/>
      <c r="FZV45" s="344"/>
      <c r="FZW45" s="344"/>
      <c r="FZX45" s="344"/>
      <c r="FZY45" s="344"/>
      <c r="FZZ45" s="344"/>
      <c r="GAA45" s="344"/>
      <c r="GAB45" s="344"/>
      <c r="GAC45" s="344"/>
      <c r="GAD45" s="344"/>
      <c r="GAE45" s="344"/>
      <c r="GAF45" s="344"/>
      <c r="GAG45" s="344"/>
      <c r="GAH45" s="344"/>
      <c r="GAI45" s="344"/>
      <c r="GAJ45" s="344"/>
      <c r="GAK45" s="344"/>
      <c r="GAL45" s="344"/>
      <c r="GAM45" s="344"/>
      <c r="GAN45" s="344"/>
      <c r="GAO45" s="344"/>
      <c r="GAP45" s="344"/>
      <c r="GAQ45" s="344"/>
      <c r="GAR45" s="344"/>
      <c r="GAS45" s="344"/>
      <c r="GAT45" s="344"/>
      <c r="GAU45" s="344"/>
      <c r="GAV45" s="344"/>
      <c r="GAW45" s="344"/>
      <c r="GAX45" s="344"/>
      <c r="GAY45" s="344"/>
      <c r="GAZ45" s="344"/>
      <c r="GBA45" s="344"/>
      <c r="GBB45" s="344"/>
      <c r="GBC45" s="344"/>
      <c r="GBD45" s="344"/>
      <c r="GBE45" s="344"/>
      <c r="GBF45" s="344"/>
      <c r="GBG45" s="344"/>
      <c r="GBH45" s="344"/>
      <c r="GBI45" s="344"/>
      <c r="GBJ45" s="344"/>
      <c r="GBK45" s="344"/>
      <c r="GBL45" s="344"/>
      <c r="GBM45" s="344"/>
      <c r="GBN45" s="344"/>
      <c r="GBO45" s="344"/>
      <c r="GBP45" s="344"/>
      <c r="GBQ45" s="344"/>
      <c r="GBR45" s="344"/>
      <c r="GBS45" s="344"/>
      <c r="GBT45" s="344"/>
      <c r="GBU45" s="344"/>
      <c r="GBV45" s="344"/>
      <c r="GBW45" s="344"/>
      <c r="GBX45" s="344"/>
      <c r="GBY45" s="344"/>
      <c r="GBZ45" s="344"/>
      <c r="GCA45" s="344"/>
      <c r="GCB45" s="344"/>
      <c r="GCC45" s="344"/>
      <c r="GCD45" s="344"/>
      <c r="GCE45" s="344"/>
      <c r="GCF45" s="344"/>
      <c r="GCG45" s="344"/>
      <c r="GCH45" s="344"/>
      <c r="GCI45" s="344"/>
      <c r="GCJ45" s="344"/>
      <c r="GCK45" s="344"/>
      <c r="GCL45" s="344"/>
      <c r="GCM45" s="344"/>
      <c r="GCN45" s="344"/>
      <c r="GCO45" s="344"/>
      <c r="GCP45" s="344"/>
      <c r="GCQ45" s="344"/>
      <c r="GCR45" s="344"/>
      <c r="GCS45" s="344"/>
      <c r="GCT45" s="344"/>
      <c r="GCU45" s="344"/>
      <c r="GCV45" s="344"/>
      <c r="GCW45" s="344"/>
      <c r="GCX45" s="344"/>
      <c r="GCY45" s="344"/>
      <c r="GCZ45" s="344"/>
      <c r="GDA45" s="344"/>
      <c r="GDB45" s="344"/>
      <c r="GDC45" s="344"/>
      <c r="GDD45" s="344"/>
      <c r="GDE45" s="344"/>
      <c r="GDF45" s="344"/>
      <c r="GDG45" s="344"/>
      <c r="GDH45" s="344"/>
      <c r="GDI45" s="344"/>
      <c r="GDJ45" s="344"/>
      <c r="GDK45" s="344"/>
      <c r="GDL45" s="344"/>
      <c r="GDM45" s="344"/>
      <c r="GDN45" s="344"/>
      <c r="GDO45" s="344"/>
      <c r="GDP45" s="344"/>
      <c r="GDQ45" s="344"/>
      <c r="GDR45" s="344"/>
      <c r="GDS45" s="344"/>
      <c r="GDT45" s="344"/>
      <c r="GDU45" s="344"/>
      <c r="GDV45" s="344"/>
      <c r="GDW45" s="344"/>
      <c r="GDX45" s="344"/>
      <c r="GDY45" s="344"/>
      <c r="GDZ45" s="344"/>
      <c r="GEA45" s="344"/>
      <c r="GEB45" s="344"/>
      <c r="GEC45" s="344"/>
      <c r="GED45" s="344"/>
      <c r="GEE45" s="344"/>
      <c r="GEF45" s="344"/>
      <c r="GEG45" s="344"/>
      <c r="GEH45" s="344"/>
      <c r="GEI45" s="344"/>
      <c r="GEJ45" s="344"/>
      <c r="GEK45" s="344"/>
      <c r="GEL45" s="344"/>
      <c r="GEM45" s="344"/>
      <c r="GEN45" s="344"/>
      <c r="GEO45" s="344"/>
      <c r="GEP45" s="344"/>
      <c r="GEQ45" s="344"/>
      <c r="GER45" s="344"/>
      <c r="GES45" s="344"/>
      <c r="GET45" s="344"/>
      <c r="GEU45" s="344"/>
      <c r="GEV45" s="344"/>
      <c r="GEW45" s="344"/>
      <c r="GEX45" s="344"/>
      <c r="GEY45" s="344"/>
      <c r="GEZ45" s="344"/>
      <c r="GFA45" s="344"/>
      <c r="GFB45" s="344"/>
      <c r="GFC45" s="344"/>
      <c r="GFD45" s="344"/>
      <c r="GFE45" s="344"/>
      <c r="GFF45" s="344"/>
      <c r="GFG45" s="344"/>
      <c r="GFH45" s="344"/>
      <c r="GFI45" s="344"/>
      <c r="GFJ45" s="344"/>
      <c r="GFK45" s="344"/>
      <c r="GFL45" s="344"/>
      <c r="GFM45" s="344"/>
      <c r="GFN45" s="344"/>
      <c r="GFO45" s="344"/>
      <c r="GFP45" s="344"/>
      <c r="GFQ45" s="344"/>
      <c r="GFR45" s="344"/>
      <c r="GFS45" s="344"/>
      <c r="GFT45" s="344"/>
      <c r="GFU45" s="344"/>
      <c r="GFV45" s="344"/>
      <c r="GFW45" s="344"/>
      <c r="GFX45" s="344"/>
      <c r="GFY45" s="344"/>
      <c r="GFZ45" s="344"/>
      <c r="GGA45" s="344"/>
      <c r="GGB45" s="344"/>
      <c r="GGC45" s="344"/>
      <c r="GGD45" s="344"/>
      <c r="GGE45" s="344"/>
      <c r="GGF45" s="344"/>
      <c r="GGG45" s="344"/>
      <c r="GGH45" s="344"/>
      <c r="GGI45" s="344"/>
      <c r="GGJ45" s="344"/>
      <c r="GGK45" s="344"/>
      <c r="GGL45" s="344"/>
      <c r="GGM45" s="344"/>
      <c r="GGN45" s="344"/>
      <c r="GGO45" s="344"/>
      <c r="GGP45" s="344"/>
      <c r="GGQ45" s="344"/>
      <c r="GGR45" s="344"/>
      <c r="GGS45" s="344"/>
      <c r="GGT45" s="344"/>
      <c r="GGU45" s="344"/>
      <c r="GGV45" s="344"/>
      <c r="GGW45" s="344"/>
      <c r="GGX45" s="344"/>
      <c r="GGY45" s="344"/>
      <c r="GGZ45" s="344"/>
      <c r="GHA45" s="344"/>
      <c r="GHB45" s="344"/>
      <c r="GHC45" s="344"/>
      <c r="GHD45" s="344"/>
      <c r="GHE45" s="344"/>
      <c r="GHF45" s="344"/>
      <c r="GHG45" s="344"/>
      <c r="GHH45" s="344"/>
      <c r="GHI45" s="344"/>
      <c r="GHJ45" s="344"/>
      <c r="GHK45" s="344"/>
      <c r="GHL45" s="344"/>
      <c r="GHM45" s="344"/>
      <c r="GHN45" s="344"/>
      <c r="GHO45" s="344"/>
      <c r="GHP45" s="344"/>
      <c r="GHQ45" s="344"/>
      <c r="GHR45" s="344"/>
      <c r="GHS45" s="344"/>
      <c r="GHT45" s="344"/>
      <c r="GHU45" s="344"/>
      <c r="GHV45" s="344"/>
      <c r="GHW45" s="344"/>
      <c r="GHX45" s="344"/>
      <c r="GHY45" s="344"/>
      <c r="GHZ45" s="344"/>
      <c r="GIA45" s="344"/>
      <c r="GIB45" s="344"/>
      <c r="GIC45" s="344"/>
      <c r="GID45" s="344"/>
      <c r="GIE45" s="344"/>
      <c r="GIF45" s="344"/>
      <c r="GIG45" s="344"/>
      <c r="GIH45" s="344"/>
      <c r="GII45" s="344"/>
      <c r="GIJ45" s="344"/>
      <c r="GIK45" s="344"/>
      <c r="GIL45" s="344"/>
      <c r="GIM45" s="344"/>
      <c r="GIN45" s="344"/>
      <c r="GIO45" s="344"/>
      <c r="GIP45" s="344"/>
      <c r="GIQ45" s="344"/>
      <c r="GIR45" s="344"/>
      <c r="GIS45" s="344"/>
      <c r="GIT45" s="344"/>
      <c r="GIU45" s="344"/>
      <c r="GIV45" s="344"/>
      <c r="GIW45" s="344"/>
      <c r="GIX45" s="344"/>
      <c r="GIY45" s="344"/>
      <c r="GIZ45" s="344"/>
      <c r="GJA45" s="344"/>
      <c r="GJB45" s="344"/>
      <c r="GJC45" s="344"/>
      <c r="GJD45" s="344"/>
      <c r="GJE45" s="344"/>
      <c r="GJF45" s="344"/>
      <c r="GJG45" s="344"/>
      <c r="GJH45" s="344"/>
      <c r="GJI45" s="344"/>
      <c r="GJJ45" s="344"/>
      <c r="GJK45" s="344"/>
      <c r="GJL45" s="344"/>
      <c r="GJM45" s="344"/>
      <c r="GJN45" s="344"/>
      <c r="GJO45" s="344"/>
      <c r="GJP45" s="344"/>
      <c r="GJQ45" s="344"/>
      <c r="GJR45" s="344"/>
      <c r="GJS45" s="344"/>
      <c r="GJT45" s="344"/>
      <c r="GJU45" s="344"/>
      <c r="GJV45" s="344"/>
      <c r="GJW45" s="344"/>
      <c r="GJX45" s="344"/>
      <c r="GJY45" s="344"/>
      <c r="GJZ45" s="344"/>
      <c r="GKA45" s="344"/>
      <c r="GKB45" s="344"/>
      <c r="GKC45" s="344"/>
      <c r="GKD45" s="344"/>
      <c r="GKE45" s="344"/>
      <c r="GKF45" s="344"/>
      <c r="GKG45" s="344"/>
      <c r="GKH45" s="344"/>
      <c r="GKI45" s="344"/>
      <c r="GKJ45" s="344"/>
      <c r="GKK45" s="344"/>
      <c r="GKL45" s="344"/>
      <c r="GKM45" s="344"/>
      <c r="GKN45" s="344"/>
      <c r="GKO45" s="344"/>
      <c r="GKP45" s="344"/>
      <c r="GKQ45" s="344"/>
      <c r="GKR45" s="344"/>
      <c r="GKS45" s="344"/>
      <c r="GKT45" s="344"/>
      <c r="GKU45" s="344"/>
      <c r="GKV45" s="344"/>
      <c r="GKW45" s="344"/>
      <c r="GKX45" s="344"/>
      <c r="GKY45" s="344"/>
      <c r="GKZ45" s="344"/>
      <c r="GLA45" s="344"/>
      <c r="GLB45" s="344"/>
      <c r="GLC45" s="344"/>
      <c r="GLD45" s="344"/>
      <c r="GLE45" s="344"/>
      <c r="GLF45" s="344"/>
      <c r="GLG45" s="344"/>
      <c r="GLH45" s="344"/>
      <c r="GLI45" s="344"/>
      <c r="GLJ45" s="344"/>
      <c r="GLK45" s="344"/>
      <c r="GLL45" s="344"/>
      <c r="GLM45" s="344"/>
      <c r="GLN45" s="344"/>
      <c r="GLO45" s="344"/>
      <c r="GLP45" s="344"/>
      <c r="GLQ45" s="344"/>
      <c r="GLR45" s="344"/>
      <c r="GLS45" s="344"/>
      <c r="GLT45" s="344"/>
      <c r="GLU45" s="344"/>
      <c r="GLV45" s="344"/>
      <c r="GLW45" s="344"/>
      <c r="GLX45" s="344"/>
      <c r="GLY45" s="344"/>
      <c r="GLZ45" s="344"/>
      <c r="GMA45" s="344"/>
      <c r="GMB45" s="344"/>
      <c r="GMC45" s="344"/>
      <c r="GMD45" s="344"/>
      <c r="GME45" s="344"/>
      <c r="GMF45" s="344"/>
      <c r="GMG45" s="344"/>
      <c r="GMH45" s="344"/>
      <c r="GMI45" s="344"/>
      <c r="GMJ45" s="344"/>
      <c r="GMK45" s="344"/>
      <c r="GML45" s="344"/>
      <c r="GMM45" s="344"/>
      <c r="GMN45" s="344"/>
      <c r="GMO45" s="344"/>
      <c r="GMP45" s="344"/>
      <c r="GMQ45" s="344"/>
      <c r="GMR45" s="344"/>
      <c r="GMS45" s="344"/>
      <c r="GMT45" s="344"/>
      <c r="GMU45" s="344"/>
      <c r="GMV45" s="344"/>
      <c r="GMW45" s="344"/>
      <c r="GMX45" s="344"/>
      <c r="GMY45" s="344"/>
      <c r="GMZ45" s="344"/>
      <c r="GNA45" s="344"/>
      <c r="GNB45" s="344"/>
      <c r="GNC45" s="344"/>
      <c r="GND45" s="344"/>
      <c r="GNE45" s="344"/>
      <c r="GNF45" s="344"/>
      <c r="GNG45" s="344"/>
      <c r="GNH45" s="344"/>
      <c r="GNI45" s="344"/>
      <c r="GNJ45" s="344"/>
      <c r="GNK45" s="344"/>
      <c r="GNL45" s="344"/>
      <c r="GNM45" s="344"/>
      <c r="GNN45" s="344"/>
      <c r="GNO45" s="344"/>
      <c r="GNP45" s="344"/>
      <c r="GNQ45" s="344"/>
      <c r="GNR45" s="344"/>
      <c r="GNS45" s="344"/>
      <c r="GNT45" s="344"/>
      <c r="GNU45" s="344"/>
      <c r="GNV45" s="344"/>
      <c r="GNW45" s="344"/>
      <c r="GNX45" s="344"/>
      <c r="GNY45" s="344"/>
      <c r="GNZ45" s="344"/>
      <c r="GOA45" s="344"/>
      <c r="GOB45" s="344"/>
      <c r="GOC45" s="344"/>
      <c r="GOD45" s="344"/>
      <c r="GOE45" s="344"/>
      <c r="GOF45" s="344"/>
      <c r="GOG45" s="344"/>
      <c r="GOH45" s="344"/>
      <c r="GOI45" s="344"/>
      <c r="GOJ45" s="344"/>
      <c r="GOK45" s="344"/>
      <c r="GOL45" s="344"/>
      <c r="GOM45" s="344"/>
      <c r="GON45" s="344"/>
      <c r="GOO45" s="344"/>
      <c r="GOP45" s="344"/>
      <c r="GOQ45" s="344"/>
      <c r="GOR45" s="344"/>
      <c r="GOS45" s="344"/>
      <c r="GOT45" s="344"/>
      <c r="GOU45" s="344"/>
      <c r="GOV45" s="344"/>
      <c r="GOW45" s="344"/>
      <c r="GOX45" s="344"/>
      <c r="GOY45" s="344"/>
      <c r="GOZ45" s="344"/>
      <c r="GPA45" s="344"/>
      <c r="GPB45" s="344"/>
      <c r="GPC45" s="344"/>
      <c r="GPD45" s="344"/>
      <c r="GPE45" s="344"/>
      <c r="GPF45" s="344"/>
      <c r="GPG45" s="344"/>
      <c r="GPH45" s="344"/>
      <c r="GPI45" s="344"/>
      <c r="GPJ45" s="344"/>
      <c r="GPK45" s="344"/>
      <c r="GPL45" s="344"/>
      <c r="GPM45" s="344"/>
      <c r="GPN45" s="344"/>
      <c r="GPO45" s="344"/>
      <c r="GPP45" s="344"/>
      <c r="GPQ45" s="344"/>
      <c r="GPR45" s="344"/>
      <c r="GPS45" s="344"/>
      <c r="GPT45" s="344"/>
      <c r="GPU45" s="344"/>
      <c r="GPV45" s="344"/>
      <c r="GPW45" s="344"/>
      <c r="GPX45" s="344"/>
      <c r="GPY45" s="344"/>
      <c r="GPZ45" s="344"/>
      <c r="GQA45" s="344"/>
      <c r="GQB45" s="344"/>
      <c r="GQC45" s="344"/>
      <c r="GQD45" s="344"/>
      <c r="GQE45" s="344"/>
      <c r="GQF45" s="344"/>
      <c r="GQG45" s="344"/>
      <c r="GQH45" s="344"/>
      <c r="GQI45" s="344"/>
      <c r="GQJ45" s="344"/>
      <c r="GQK45" s="344"/>
      <c r="GQL45" s="344"/>
      <c r="GQM45" s="344"/>
      <c r="GQN45" s="344"/>
      <c r="GQO45" s="344"/>
      <c r="GQP45" s="344"/>
      <c r="GQQ45" s="344"/>
      <c r="GQR45" s="344"/>
      <c r="GQS45" s="344"/>
      <c r="GQT45" s="344"/>
      <c r="GQU45" s="344"/>
      <c r="GQV45" s="344"/>
      <c r="GQW45" s="344"/>
      <c r="GQX45" s="344"/>
      <c r="GQY45" s="344"/>
      <c r="GQZ45" s="344"/>
      <c r="GRA45" s="344"/>
      <c r="GRB45" s="344"/>
      <c r="GRC45" s="344"/>
      <c r="GRD45" s="344"/>
      <c r="GRE45" s="344"/>
      <c r="GRF45" s="344"/>
      <c r="GRG45" s="344"/>
      <c r="GRH45" s="344"/>
      <c r="GRI45" s="344"/>
      <c r="GRJ45" s="344"/>
      <c r="GRK45" s="344"/>
      <c r="GRL45" s="344"/>
      <c r="GRM45" s="344"/>
      <c r="GRN45" s="344"/>
      <c r="GRO45" s="344"/>
      <c r="GRP45" s="344"/>
      <c r="GRQ45" s="344"/>
      <c r="GRR45" s="344"/>
      <c r="GRS45" s="344"/>
      <c r="GRT45" s="344"/>
      <c r="GRU45" s="344"/>
      <c r="GRV45" s="344"/>
      <c r="GRW45" s="344"/>
      <c r="GRX45" s="344"/>
      <c r="GRY45" s="344"/>
      <c r="GRZ45" s="344"/>
      <c r="GSA45" s="344"/>
      <c r="GSB45" s="344"/>
      <c r="GSC45" s="344"/>
      <c r="GSD45" s="344"/>
      <c r="GSE45" s="344"/>
      <c r="GSF45" s="344"/>
      <c r="GSG45" s="344"/>
      <c r="GSH45" s="344"/>
      <c r="GSI45" s="344"/>
      <c r="GSJ45" s="344"/>
      <c r="GSK45" s="344"/>
      <c r="GSL45" s="344"/>
      <c r="GSM45" s="344"/>
      <c r="GSN45" s="344"/>
      <c r="GSO45" s="344"/>
      <c r="GSP45" s="344"/>
      <c r="GSQ45" s="344"/>
      <c r="GSR45" s="344"/>
      <c r="GSS45" s="344"/>
      <c r="GST45" s="344"/>
      <c r="GSU45" s="344"/>
      <c r="GSV45" s="344"/>
      <c r="GSW45" s="344"/>
      <c r="GSX45" s="344"/>
      <c r="GSY45" s="344"/>
      <c r="GSZ45" s="344"/>
      <c r="GTA45" s="344"/>
      <c r="GTB45" s="344"/>
      <c r="GTC45" s="344"/>
      <c r="GTD45" s="344"/>
      <c r="GTE45" s="344"/>
      <c r="GTF45" s="344"/>
      <c r="GTG45" s="344"/>
      <c r="GTH45" s="344"/>
      <c r="GTI45" s="344"/>
      <c r="GTJ45" s="344"/>
      <c r="GTK45" s="344"/>
      <c r="GTL45" s="344"/>
      <c r="GTM45" s="344"/>
      <c r="GTN45" s="344"/>
      <c r="GTO45" s="344"/>
      <c r="GTP45" s="344"/>
      <c r="GTQ45" s="344"/>
      <c r="GTR45" s="344"/>
      <c r="GTS45" s="344"/>
      <c r="GTT45" s="344"/>
      <c r="GTU45" s="344"/>
      <c r="GTV45" s="344"/>
      <c r="GTW45" s="344"/>
      <c r="GTX45" s="344"/>
      <c r="GTY45" s="344"/>
      <c r="GTZ45" s="344"/>
      <c r="GUA45" s="344"/>
      <c r="GUB45" s="344"/>
      <c r="GUC45" s="344"/>
      <c r="GUD45" s="344"/>
      <c r="GUE45" s="344"/>
      <c r="GUF45" s="344"/>
      <c r="GUG45" s="344"/>
      <c r="GUH45" s="344"/>
      <c r="GUI45" s="344"/>
      <c r="GUJ45" s="344"/>
      <c r="GUK45" s="344"/>
      <c r="GUL45" s="344"/>
      <c r="GUM45" s="344"/>
      <c r="GUN45" s="344"/>
      <c r="GUO45" s="344"/>
      <c r="GUP45" s="344"/>
      <c r="GUQ45" s="344"/>
      <c r="GUR45" s="344"/>
      <c r="GUS45" s="344"/>
      <c r="GUT45" s="344"/>
      <c r="GUU45" s="344"/>
      <c r="GUV45" s="344"/>
      <c r="GUW45" s="344"/>
      <c r="GUX45" s="344"/>
      <c r="GUY45" s="344"/>
      <c r="GUZ45" s="344"/>
      <c r="GVA45" s="344"/>
      <c r="GVB45" s="344"/>
      <c r="GVC45" s="344"/>
      <c r="GVD45" s="344"/>
      <c r="GVE45" s="344"/>
      <c r="GVF45" s="344"/>
      <c r="GVG45" s="344"/>
      <c r="GVH45" s="344"/>
      <c r="GVI45" s="344"/>
      <c r="GVJ45" s="344"/>
      <c r="GVK45" s="344"/>
      <c r="GVL45" s="344"/>
      <c r="GVM45" s="344"/>
      <c r="GVN45" s="344"/>
      <c r="GVO45" s="344"/>
      <c r="GVP45" s="344"/>
      <c r="GVQ45" s="344"/>
      <c r="GVR45" s="344"/>
      <c r="GVS45" s="344"/>
      <c r="GVT45" s="344"/>
      <c r="GVU45" s="344"/>
      <c r="GVV45" s="344"/>
      <c r="GVW45" s="344"/>
      <c r="GVX45" s="344"/>
      <c r="GVY45" s="344"/>
      <c r="GVZ45" s="344"/>
      <c r="GWA45" s="344"/>
      <c r="GWB45" s="344"/>
      <c r="GWC45" s="344"/>
      <c r="GWD45" s="344"/>
      <c r="GWE45" s="344"/>
      <c r="GWF45" s="344"/>
      <c r="GWG45" s="344"/>
      <c r="GWH45" s="344"/>
      <c r="GWI45" s="344"/>
      <c r="GWJ45" s="344"/>
      <c r="GWK45" s="344"/>
      <c r="GWL45" s="344"/>
      <c r="GWM45" s="344"/>
      <c r="GWN45" s="344"/>
      <c r="GWO45" s="344"/>
      <c r="GWP45" s="344"/>
      <c r="GWQ45" s="344"/>
      <c r="GWR45" s="344"/>
      <c r="GWS45" s="344"/>
      <c r="GWT45" s="344"/>
      <c r="GWU45" s="344"/>
      <c r="GWV45" s="344"/>
      <c r="GWW45" s="344"/>
      <c r="GWX45" s="344"/>
      <c r="GWY45" s="344"/>
      <c r="GWZ45" s="344"/>
      <c r="GXA45" s="344"/>
      <c r="GXB45" s="344"/>
      <c r="GXC45" s="344"/>
      <c r="GXD45" s="344"/>
      <c r="GXE45" s="344"/>
      <c r="GXF45" s="344"/>
      <c r="GXG45" s="344"/>
      <c r="GXH45" s="344"/>
      <c r="GXI45" s="344"/>
      <c r="GXJ45" s="344"/>
      <c r="GXK45" s="344"/>
      <c r="GXL45" s="344"/>
      <c r="GXM45" s="344"/>
      <c r="GXN45" s="344"/>
      <c r="GXO45" s="344"/>
      <c r="GXP45" s="344"/>
      <c r="GXQ45" s="344"/>
      <c r="GXR45" s="344"/>
      <c r="GXS45" s="344"/>
      <c r="GXT45" s="344"/>
      <c r="GXU45" s="344"/>
      <c r="GXV45" s="344"/>
      <c r="GXW45" s="344"/>
      <c r="GXX45" s="344"/>
      <c r="GXY45" s="344"/>
      <c r="GXZ45" s="344"/>
      <c r="GYA45" s="344"/>
      <c r="GYB45" s="344"/>
      <c r="GYC45" s="344"/>
      <c r="GYD45" s="344"/>
      <c r="GYE45" s="344"/>
      <c r="GYF45" s="344"/>
      <c r="GYG45" s="344"/>
      <c r="GYH45" s="344"/>
      <c r="GYI45" s="344"/>
      <c r="GYJ45" s="344"/>
      <c r="GYK45" s="344"/>
      <c r="GYL45" s="344"/>
      <c r="GYM45" s="344"/>
      <c r="GYN45" s="344"/>
      <c r="GYO45" s="344"/>
      <c r="GYP45" s="344"/>
      <c r="GYQ45" s="344"/>
      <c r="GYR45" s="344"/>
      <c r="GYS45" s="344"/>
      <c r="GYT45" s="344"/>
      <c r="GYU45" s="344"/>
      <c r="GYV45" s="344"/>
      <c r="GYW45" s="344"/>
      <c r="GYX45" s="344"/>
      <c r="GYY45" s="344"/>
      <c r="GYZ45" s="344"/>
      <c r="GZA45" s="344"/>
      <c r="GZB45" s="344"/>
      <c r="GZC45" s="344"/>
      <c r="GZD45" s="344"/>
      <c r="GZE45" s="344"/>
      <c r="GZF45" s="344"/>
      <c r="GZG45" s="344"/>
      <c r="GZH45" s="344"/>
      <c r="GZI45" s="344"/>
      <c r="GZJ45" s="344"/>
      <c r="GZK45" s="344"/>
      <c r="GZL45" s="344"/>
      <c r="GZM45" s="344"/>
      <c r="GZN45" s="344"/>
      <c r="GZO45" s="344"/>
      <c r="GZP45" s="344"/>
      <c r="GZQ45" s="344"/>
      <c r="GZR45" s="344"/>
      <c r="GZS45" s="344"/>
      <c r="GZT45" s="344"/>
      <c r="GZU45" s="344"/>
      <c r="GZV45" s="344"/>
      <c r="GZW45" s="344"/>
      <c r="GZX45" s="344"/>
      <c r="GZY45" s="344"/>
      <c r="GZZ45" s="344"/>
      <c r="HAA45" s="344"/>
      <c r="HAB45" s="344"/>
      <c r="HAC45" s="344"/>
      <c r="HAD45" s="344"/>
      <c r="HAE45" s="344"/>
      <c r="HAF45" s="344"/>
      <c r="HAG45" s="344"/>
      <c r="HAH45" s="344"/>
      <c r="HAI45" s="344"/>
      <c r="HAJ45" s="344"/>
      <c r="HAK45" s="344"/>
      <c r="HAL45" s="344"/>
      <c r="HAM45" s="344"/>
      <c r="HAN45" s="344"/>
      <c r="HAO45" s="344"/>
      <c r="HAP45" s="344"/>
      <c r="HAQ45" s="344"/>
      <c r="HAR45" s="344"/>
      <c r="HAS45" s="344"/>
      <c r="HAT45" s="344"/>
      <c r="HAU45" s="344"/>
      <c r="HAV45" s="344"/>
      <c r="HAW45" s="344"/>
      <c r="HAX45" s="344"/>
      <c r="HAY45" s="344"/>
      <c r="HAZ45" s="344"/>
      <c r="HBA45" s="344"/>
      <c r="HBB45" s="344"/>
      <c r="HBC45" s="344"/>
      <c r="HBD45" s="344"/>
      <c r="HBE45" s="344"/>
      <c r="HBF45" s="344"/>
      <c r="HBG45" s="344"/>
      <c r="HBH45" s="344"/>
      <c r="HBI45" s="344"/>
      <c r="HBJ45" s="344"/>
      <c r="HBK45" s="344"/>
      <c r="HBL45" s="344"/>
      <c r="HBM45" s="344"/>
      <c r="HBN45" s="344"/>
      <c r="HBO45" s="344"/>
      <c r="HBP45" s="344"/>
      <c r="HBQ45" s="344"/>
      <c r="HBR45" s="344"/>
      <c r="HBS45" s="344"/>
      <c r="HBT45" s="344"/>
      <c r="HBU45" s="344"/>
      <c r="HBV45" s="344"/>
      <c r="HBW45" s="344"/>
      <c r="HBX45" s="344"/>
      <c r="HBY45" s="344"/>
      <c r="HBZ45" s="344"/>
      <c r="HCA45" s="344"/>
      <c r="HCB45" s="344"/>
      <c r="HCC45" s="344"/>
      <c r="HCD45" s="344"/>
      <c r="HCE45" s="344"/>
      <c r="HCF45" s="344"/>
      <c r="HCG45" s="344"/>
      <c r="HCH45" s="344"/>
      <c r="HCI45" s="344"/>
      <c r="HCJ45" s="344"/>
      <c r="HCK45" s="344"/>
      <c r="HCL45" s="344"/>
      <c r="HCM45" s="344"/>
      <c r="HCN45" s="344"/>
      <c r="HCO45" s="344"/>
      <c r="HCP45" s="344"/>
      <c r="HCQ45" s="344"/>
      <c r="HCR45" s="344"/>
      <c r="HCS45" s="344"/>
      <c r="HCT45" s="344"/>
      <c r="HCU45" s="344"/>
      <c r="HCV45" s="344"/>
      <c r="HCW45" s="344"/>
      <c r="HCX45" s="344"/>
      <c r="HCY45" s="344"/>
      <c r="HCZ45" s="344"/>
      <c r="HDA45" s="344"/>
      <c r="HDB45" s="344"/>
      <c r="HDC45" s="344"/>
      <c r="HDD45" s="344"/>
      <c r="HDE45" s="344"/>
      <c r="HDF45" s="344"/>
      <c r="HDG45" s="344"/>
      <c r="HDH45" s="344"/>
      <c r="HDI45" s="344"/>
      <c r="HDJ45" s="344"/>
      <c r="HDK45" s="344"/>
      <c r="HDL45" s="344"/>
      <c r="HDM45" s="344"/>
      <c r="HDN45" s="344"/>
      <c r="HDO45" s="344"/>
      <c r="HDP45" s="344"/>
      <c r="HDQ45" s="344"/>
      <c r="HDR45" s="344"/>
      <c r="HDS45" s="344"/>
      <c r="HDT45" s="344"/>
      <c r="HDU45" s="344"/>
      <c r="HDV45" s="344"/>
      <c r="HDW45" s="344"/>
      <c r="HDX45" s="344"/>
      <c r="HDY45" s="344"/>
      <c r="HDZ45" s="344"/>
      <c r="HEA45" s="344"/>
      <c r="HEB45" s="344"/>
      <c r="HEC45" s="344"/>
      <c r="HED45" s="344"/>
      <c r="HEE45" s="344"/>
      <c r="HEF45" s="344"/>
      <c r="HEG45" s="344"/>
      <c r="HEH45" s="344"/>
      <c r="HEI45" s="344"/>
      <c r="HEJ45" s="344"/>
      <c r="HEK45" s="344"/>
      <c r="HEL45" s="344"/>
      <c r="HEM45" s="344"/>
      <c r="HEN45" s="344"/>
      <c r="HEO45" s="344"/>
      <c r="HEP45" s="344"/>
      <c r="HEQ45" s="344"/>
      <c r="HER45" s="344"/>
      <c r="HES45" s="344"/>
      <c r="HET45" s="344"/>
      <c r="HEU45" s="344"/>
      <c r="HEV45" s="344"/>
      <c r="HEW45" s="344"/>
      <c r="HEX45" s="344"/>
      <c r="HEY45" s="344"/>
      <c r="HEZ45" s="344"/>
      <c r="HFA45" s="344"/>
      <c r="HFB45" s="344"/>
      <c r="HFC45" s="344"/>
      <c r="HFD45" s="344"/>
      <c r="HFE45" s="344"/>
      <c r="HFF45" s="344"/>
      <c r="HFG45" s="344"/>
      <c r="HFH45" s="344"/>
      <c r="HFI45" s="344"/>
      <c r="HFJ45" s="344"/>
      <c r="HFK45" s="344"/>
      <c r="HFL45" s="344"/>
      <c r="HFM45" s="344"/>
      <c r="HFN45" s="344"/>
      <c r="HFO45" s="344"/>
      <c r="HFP45" s="344"/>
      <c r="HFQ45" s="344"/>
      <c r="HFR45" s="344"/>
      <c r="HFS45" s="344"/>
      <c r="HFT45" s="344"/>
      <c r="HFU45" s="344"/>
      <c r="HFV45" s="344"/>
      <c r="HFW45" s="344"/>
      <c r="HFX45" s="344"/>
      <c r="HFY45" s="344"/>
      <c r="HFZ45" s="344"/>
      <c r="HGA45" s="344"/>
      <c r="HGB45" s="344"/>
      <c r="HGC45" s="344"/>
      <c r="HGD45" s="344"/>
      <c r="HGE45" s="344"/>
      <c r="HGF45" s="344"/>
      <c r="HGG45" s="344"/>
      <c r="HGH45" s="344"/>
      <c r="HGI45" s="344"/>
      <c r="HGJ45" s="344"/>
      <c r="HGK45" s="344"/>
      <c r="HGL45" s="344"/>
      <c r="HGM45" s="344"/>
      <c r="HGN45" s="344"/>
      <c r="HGO45" s="344"/>
      <c r="HGP45" s="344"/>
      <c r="HGQ45" s="344"/>
      <c r="HGR45" s="344"/>
      <c r="HGS45" s="344"/>
      <c r="HGT45" s="344"/>
      <c r="HGU45" s="344"/>
      <c r="HGV45" s="344"/>
      <c r="HGW45" s="344"/>
      <c r="HGX45" s="344"/>
      <c r="HGY45" s="344"/>
      <c r="HGZ45" s="344"/>
      <c r="HHA45" s="344"/>
      <c r="HHB45" s="344"/>
      <c r="HHC45" s="344"/>
      <c r="HHD45" s="344"/>
      <c r="HHE45" s="344"/>
      <c r="HHF45" s="344"/>
      <c r="HHG45" s="344"/>
      <c r="HHH45" s="344"/>
      <c r="HHI45" s="344"/>
      <c r="HHJ45" s="344"/>
      <c r="HHK45" s="344"/>
      <c r="HHL45" s="344"/>
      <c r="HHM45" s="344"/>
      <c r="HHN45" s="344"/>
      <c r="HHO45" s="344"/>
      <c r="HHP45" s="344"/>
      <c r="HHQ45" s="344"/>
      <c r="HHR45" s="344"/>
      <c r="HHS45" s="344"/>
      <c r="HHT45" s="344"/>
      <c r="HHU45" s="344"/>
      <c r="HHV45" s="344"/>
      <c r="HHW45" s="344"/>
      <c r="HHX45" s="344"/>
      <c r="HHY45" s="344"/>
      <c r="HHZ45" s="344"/>
      <c r="HIA45" s="344"/>
      <c r="HIB45" s="344"/>
      <c r="HIC45" s="344"/>
      <c r="HID45" s="344"/>
      <c r="HIE45" s="344"/>
      <c r="HIF45" s="344"/>
      <c r="HIG45" s="344"/>
      <c r="HIH45" s="344"/>
      <c r="HII45" s="344"/>
      <c r="HIJ45" s="344"/>
      <c r="HIK45" s="344"/>
      <c r="HIL45" s="344"/>
      <c r="HIM45" s="344"/>
      <c r="HIN45" s="344"/>
      <c r="HIO45" s="344"/>
      <c r="HIP45" s="344"/>
      <c r="HIQ45" s="344"/>
      <c r="HIR45" s="344"/>
      <c r="HIS45" s="344"/>
      <c r="HIT45" s="344"/>
      <c r="HIU45" s="344"/>
      <c r="HIV45" s="344"/>
      <c r="HIW45" s="344"/>
      <c r="HIX45" s="344"/>
      <c r="HIY45" s="344"/>
      <c r="HIZ45" s="344"/>
      <c r="HJA45" s="344"/>
      <c r="HJB45" s="344"/>
      <c r="HJC45" s="344"/>
      <c r="HJD45" s="344"/>
      <c r="HJE45" s="344"/>
      <c r="HJF45" s="344"/>
      <c r="HJG45" s="344"/>
      <c r="HJH45" s="344"/>
      <c r="HJI45" s="344"/>
      <c r="HJJ45" s="344"/>
      <c r="HJK45" s="344"/>
      <c r="HJL45" s="344"/>
      <c r="HJM45" s="344"/>
      <c r="HJN45" s="344"/>
      <c r="HJO45" s="344"/>
      <c r="HJP45" s="344"/>
      <c r="HJQ45" s="344"/>
      <c r="HJR45" s="344"/>
      <c r="HJS45" s="344"/>
      <c r="HJT45" s="344"/>
      <c r="HJU45" s="344"/>
      <c r="HJV45" s="344"/>
      <c r="HJW45" s="344"/>
      <c r="HJX45" s="344"/>
      <c r="HJY45" s="344"/>
      <c r="HJZ45" s="344"/>
      <c r="HKA45" s="344"/>
      <c r="HKB45" s="344"/>
      <c r="HKC45" s="344"/>
      <c r="HKD45" s="344"/>
      <c r="HKE45" s="344"/>
      <c r="HKF45" s="344"/>
      <c r="HKG45" s="344"/>
      <c r="HKH45" s="344"/>
      <c r="HKI45" s="344"/>
      <c r="HKJ45" s="344"/>
      <c r="HKK45" s="344"/>
      <c r="HKL45" s="344"/>
      <c r="HKM45" s="344"/>
      <c r="HKN45" s="344"/>
      <c r="HKO45" s="344"/>
      <c r="HKP45" s="344"/>
      <c r="HKQ45" s="344"/>
      <c r="HKR45" s="344"/>
      <c r="HKS45" s="344"/>
      <c r="HKT45" s="344"/>
      <c r="HKU45" s="344"/>
      <c r="HKV45" s="344"/>
      <c r="HKW45" s="344"/>
      <c r="HKX45" s="344"/>
      <c r="HKY45" s="344"/>
      <c r="HKZ45" s="344"/>
      <c r="HLA45" s="344"/>
      <c r="HLB45" s="344"/>
      <c r="HLC45" s="344"/>
      <c r="HLD45" s="344"/>
      <c r="HLE45" s="344"/>
      <c r="HLF45" s="344"/>
      <c r="HLG45" s="344"/>
      <c r="HLH45" s="344"/>
      <c r="HLI45" s="344"/>
      <c r="HLJ45" s="344"/>
      <c r="HLK45" s="344"/>
      <c r="HLL45" s="344"/>
      <c r="HLM45" s="344"/>
      <c r="HLN45" s="344"/>
      <c r="HLO45" s="344"/>
      <c r="HLP45" s="344"/>
      <c r="HLQ45" s="344"/>
      <c r="HLR45" s="344"/>
      <c r="HLS45" s="344"/>
      <c r="HLT45" s="344"/>
      <c r="HLU45" s="344"/>
      <c r="HLV45" s="344"/>
      <c r="HLW45" s="344"/>
      <c r="HLX45" s="344"/>
      <c r="HLY45" s="344"/>
      <c r="HLZ45" s="344"/>
      <c r="HMA45" s="344"/>
      <c r="HMB45" s="344"/>
      <c r="HMC45" s="344"/>
      <c r="HMD45" s="344"/>
      <c r="HME45" s="344"/>
      <c r="HMF45" s="344"/>
      <c r="HMG45" s="344"/>
      <c r="HMH45" s="344"/>
      <c r="HMI45" s="344"/>
      <c r="HMJ45" s="344"/>
      <c r="HMK45" s="344"/>
      <c r="HML45" s="344"/>
      <c r="HMM45" s="344"/>
      <c r="HMN45" s="344"/>
      <c r="HMO45" s="344"/>
      <c r="HMP45" s="344"/>
      <c r="HMQ45" s="344"/>
      <c r="HMR45" s="344"/>
      <c r="HMS45" s="344"/>
      <c r="HMT45" s="344"/>
      <c r="HMU45" s="344"/>
      <c r="HMV45" s="344"/>
      <c r="HMW45" s="344"/>
      <c r="HMX45" s="344"/>
      <c r="HMY45" s="344"/>
      <c r="HMZ45" s="344"/>
      <c r="HNA45" s="344"/>
      <c r="HNB45" s="344"/>
      <c r="HNC45" s="344"/>
      <c r="HND45" s="344"/>
      <c r="HNE45" s="344"/>
      <c r="HNF45" s="344"/>
      <c r="HNG45" s="344"/>
      <c r="HNH45" s="344"/>
      <c r="HNI45" s="344"/>
      <c r="HNJ45" s="344"/>
      <c r="HNK45" s="344"/>
      <c r="HNL45" s="344"/>
      <c r="HNM45" s="344"/>
      <c r="HNN45" s="344"/>
      <c r="HNO45" s="344"/>
      <c r="HNP45" s="344"/>
      <c r="HNQ45" s="344"/>
      <c r="HNR45" s="344"/>
      <c r="HNS45" s="344"/>
      <c r="HNT45" s="344"/>
      <c r="HNU45" s="344"/>
      <c r="HNV45" s="344"/>
      <c r="HNW45" s="344"/>
      <c r="HNX45" s="344"/>
      <c r="HNY45" s="344"/>
      <c r="HNZ45" s="344"/>
      <c r="HOA45" s="344"/>
      <c r="HOB45" s="344"/>
      <c r="HOC45" s="344"/>
      <c r="HOD45" s="344"/>
      <c r="HOE45" s="344"/>
      <c r="HOF45" s="344"/>
      <c r="HOG45" s="344"/>
      <c r="HOH45" s="344"/>
      <c r="HOI45" s="344"/>
      <c r="HOJ45" s="344"/>
      <c r="HOK45" s="344"/>
      <c r="HOL45" s="344"/>
      <c r="HOM45" s="344"/>
      <c r="HON45" s="344"/>
      <c r="HOO45" s="344"/>
      <c r="HOP45" s="344"/>
      <c r="HOQ45" s="344"/>
      <c r="HOR45" s="344"/>
      <c r="HOS45" s="344"/>
      <c r="HOT45" s="344"/>
      <c r="HOU45" s="344"/>
      <c r="HOV45" s="344"/>
      <c r="HOW45" s="344"/>
      <c r="HOX45" s="344"/>
      <c r="HOY45" s="344"/>
      <c r="HOZ45" s="344"/>
      <c r="HPA45" s="344"/>
      <c r="HPB45" s="344"/>
      <c r="HPC45" s="344"/>
      <c r="HPD45" s="344"/>
      <c r="HPE45" s="344"/>
      <c r="HPF45" s="344"/>
      <c r="HPG45" s="344"/>
      <c r="HPH45" s="344"/>
      <c r="HPI45" s="344"/>
      <c r="HPJ45" s="344"/>
      <c r="HPK45" s="344"/>
      <c r="HPL45" s="344"/>
      <c r="HPM45" s="344"/>
      <c r="HPN45" s="344"/>
      <c r="HPO45" s="344"/>
      <c r="HPP45" s="344"/>
      <c r="HPQ45" s="344"/>
      <c r="HPR45" s="344"/>
      <c r="HPS45" s="344"/>
      <c r="HPT45" s="344"/>
      <c r="HPU45" s="344"/>
      <c r="HPV45" s="344"/>
      <c r="HPW45" s="344"/>
      <c r="HPX45" s="344"/>
      <c r="HPY45" s="344"/>
      <c r="HPZ45" s="344"/>
      <c r="HQA45" s="344"/>
      <c r="HQB45" s="344"/>
      <c r="HQC45" s="344"/>
      <c r="HQD45" s="344"/>
      <c r="HQE45" s="344"/>
      <c r="HQF45" s="344"/>
      <c r="HQG45" s="344"/>
      <c r="HQH45" s="344"/>
      <c r="HQI45" s="344"/>
      <c r="HQJ45" s="344"/>
      <c r="HQK45" s="344"/>
      <c r="HQL45" s="344"/>
      <c r="HQM45" s="344"/>
      <c r="HQN45" s="344"/>
      <c r="HQO45" s="344"/>
      <c r="HQP45" s="344"/>
      <c r="HQQ45" s="344"/>
      <c r="HQR45" s="344"/>
      <c r="HQS45" s="344"/>
      <c r="HQT45" s="344"/>
      <c r="HQU45" s="344"/>
      <c r="HQV45" s="344"/>
      <c r="HQW45" s="344"/>
      <c r="HQX45" s="344"/>
      <c r="HQY45" s="344"/>
      <c r="HQZ45" s="344"/>
      <c r="HRA45" s="344"/>
      <c r="HRB45" s="344"/>
      <c r="HRC45" s="344"/>
      <c r="HRD45" s="344"/>
      <c r="HRE45" s="344"/>
      <c r="HRF45" s="344"/>
      <c r="HRG45" s="344"/>
      <c r="HRH45" s="344"/>
      <c r="HRI45" s="344"/>
      <c r="HRJ45" s="344"/>
      <c r="HRK45" s="344"/>
      <c r="HRL45" s="344"/>
      <c r="HRM45" s="344"/>
      <c r="HRN45" s="344"/>
      <c r="HRO45" s="344"/>
      <c r="HRP45" s="344"/>
      <c r="HRQ45" s="344"/>
      <c r="HRR45" s="344"/>
      <c r="HRS45" s="344"/>
      <c r="HRT45" s="344"/>
      <c r="HRU45" s="344"/>
      <c r="HRV45" s="344"/>
      <c r="HRW45" s="344"/>
      <c r="HRX45" s="344"/>
      <c r="HRY45" s="344"/>
      <c r="HRZ45" s="344"/>
      <c r="HSA45" s="344"/>
      <c r="HSB45" s="344"/>
      <c r="HSC45" s="344"/>
      <c r="HSD45" s="344"/>
      <c r="HSE45" s="344"/>
      <c r="HSF45" s="344"/>
      <c r="HSG45" s="344"/>
      <c r="HSH45" s="344"/>
      <c r="HSI45" s="344"/>
      <c r="HSJ45" s="344"/>
      <c r="HSK45" s="344"/>
      <c r="HSL45" s="344"/>
      <c r="HSM45" s="344"/>
      <c r="HSN45" s="344"/>
      <c r="HSO45" s="344"/>
      <c r="HSP45" s="344"/>
      <c r="HSQ45" s="344"/>
      <c r="HSR45" s="344"/>
      <c r="HSS45" s="344"/>
      <c r="HST45" s="344"/>
      <c r="HSU45" s="344"/>
      <c r="HSV45" s="344"/>
      <c r="HSW45" s="344"/>
      <c r="HSX45" s="344"/>
      <c r="HSY45" s="344"/>
      <c r="HSZ45" s="344"/>
      <c r="HTA45" s="344"/>
      <c r="HTB45" s="344"/>
      <c r="HTC45" s="344"/>
      <c r="HTD45" s="344"/>
      <c r="HTE45" s="344"/>
      <c r="HTF45" s="344"/>
      <c r="HTG45" s="344"/>
      <c r="HTH45" s="344"/>
      <c r="HTI45" s="344"/>
      <c r="HTJ45" s="344"/>
      <c r="HTK45" s="344"/>
      <c r="HTL45" s="344"/>
      <c r="HTM45" s="344"/>
      <c r="HTN45" s="344"/>
      <c r="HTO45" s="344"/>
      <c r="HTP45" s="344"/>
      <c r="HTQ45" s="344"/>
      <c r="HTR45" s="344"/>
      <c r="HTS45" s="344"/>
      <c r="HTT45" s="344"/>
      <c r="HTU45" s="344"/>
      <c r="HTV45" s="344"/>
      <c r="HTW45" s="344"/>
      <c r="HTX45" s="344"/>
      <c r="HTY45" s="344"/>
      <c r="HTZ45" s="344"/>
      <c r="HUA45" s="344"/>
      <c r="HUB45" s="344"/>
      <c r="HUC45" s="344"/>
      <c r="HUD45" s="344"/>
      <c r="HUE45" s="344"/>
      <c r="HUF45" s="344"/>
      <c r="HUG45" s="344"/>
      <c r="HUH45" s="344"/>
      <c r="HUI45" s="344"/>
      <c r="HUJ45" s="344"/>
      <c r="HUK45" s="344"/>
      <c r="HUL45" s="344"/>
      <c r="HUM45" s="344"/>
      <c r="HUN45" s="344"/>
      <c r="HUO45" s="344"/>
      <c r="HUP45" s="344"/>
      <c r="HUQ45" s="344"/>
      <c r="HUR45" s="344"/>
      <c r="HUS45" s="344"/>
      <c r="HUT45" s="344"/>
      <c r="HUU45" s="344"/>
      <c r="HUV45" s="344"/>
      <c r="HUW45" s="344"/>
      <c r="HUX45" s="344"/>
      <c r="HUY45" s="344"/>
      <c r="HUZ45" s="344"/>
      <c r="HVA45" s="344"/>
      <c r="HVB45" s="344"/>
      <c r="HVC45" s="344"/>
      <c r="HVD45" s="344"/>
      <c r="HVE45" s="344"/>
      <c r="HVF45" s="344"/>
      <c r="HVG45" s="344"/>
      <c r="HVH45" s="344"/>
      <c r="HVI45" s="344"/>
      <c r="HVJ45" s="344"/>
      <c r="HVK45" s="344"/>
      <c r="HVL45" s="344"/>
      <c r="HVM45" s="344"/>
      <c r="HVN45" s="344"/>
      <c r="HVO45" s="344"/>
      <c r="HVP45" s="344"/>
      <c r="HVQ45" s="344"/>
      <c r="HVR45" s="344"/>
      <c r="HVS45" s="344"/>
      <c r="HVT45" s="344"/>
      <c r="HVU45" s="344"/>
      <c r="HVV45" s="344"/>
      <c r="HVW45" s="344"/>
      <c r="HVX45" s="344"/>
      <c r="HVY45" s="344"/>
      <c r="HVZ45" s="344"/>
      <c r="HWA45" s="344"/>
      <c r="HWB45" s="344"/>
      <c r="HWC45" s="344"/>
      <c r="HWD45" s="344"/>
      <c r="HWE45" s="344"/>
      <c r="HWF45" s="344"/>
      <c r="HWG45" s="344"/>
      <c r="HWH45" s="344"/>
      <c r="HWI45" s="344"/>
      <c r="HWJ45" s="344"/>
      <c r="HWK45" s="344"/>
      <c r="HWL45" s="344"/>
      <c r="HWM45" s="344"/>
      <c r="HWN45" s="344"/>
      <c r="HWO45" s="344"/>
      <c r="HWP45" s="344"/>
      <c r="HWQ45" s="344"/>
      <c r="HWR45" s="344"/>
      <c r="HWS45" s="344"/>
      <c r="HWT45" s="344"/>
      <c r="HWU45" s="344"/>
      <c r="HWV45" s="344"/>
      <c r="HWW45" s="344"/>
      <c r="HWX45" s="344"/>
      <c r="HWY45" s="344"/>
      <c r="HWZ45" s="344"/>
      <c r="HXA45" s="344"/>
      <c r="HXB45" s="344"/>
      <c r="HXC45" s="344"/>
      <c r="HXD45" s="344"/>
      <c r="HXE45" s="344"/>
      <c r="HXF45" s="344"/>
      <c r="HXG45" s="344"/>
      <c r="HXH45" s="344"/>
      <c r="HXI45" s="344"/>
      <c r="HXJ45" s="344"/>
      <c r="HXK45" s="344"/>
      <c r="HXL45" s="344"/>
      <c r="HXM45" s="344"/>
      <c r="HXN45" s="344"/>
      <c r="HXO45" s="344"/>
      <c r="HXP45" s="344"/>
      <c r="HXQ45" s="344"/>
      <c r="HXR45" s="344"/>
      <c r="HXS45" s="344"/>
      <c r="HXT45" s="344"/>
      <c r="HXU45" s="344"/>
      <c r="HXV45" s="344"/>
      <c r="HXW45" s="344"/>
      <c r="HXX45" s="344"/>
      <c r="HXY45" s="344"/>
      <c r="HXZ45" s="344"/>
      <c r="HYA45" s="344"/>
      <c r="HYB45" s="344"/>
      <c r="HYC45" s="344"/>
      <c r="HYD45" s="344"/>
      <c r="HYE45" s="344"/>
      <c r="HYF45" s="344"/>
      <c r="HYG45" s="344"/>
      <c r="HYH45" s="344"/>
      <c r="HYI45" s="344"/>
      <c r="HYJ45" s="344"/>
      <c r="HYK45" s="344"/>
      <c r="HYL45" s="344"/>
      <c r="HYM45" s="344"/>
      <c r="HYN45" s="344"/>
      <c r="HYO45" s="344"/>
      <c r="HYP45" s="344"/>
      <c r="HYQ45" s="344"/>
      <c r="HYR45" s="344"/>
      <c r="HYS45" s="344"/>
      <c r="HYT45" s="344"/>
      <c r="HYU45" s="344"/>
      <c r="HYV45" s="344"/>
      <c r="HYW45" s="344"/>
      <c r="HYX45" s="344"/>
      <c r="HYY45" s="344"/>
      <c r="HYZ45" s="344"/>
      <c r="HZA45" s="344"/>
      <c r="HZB45" s="344"/>
      <c r="HZC45" s="344"/>
      <c r="HZD45" s="344"/>
      <c r="HZE45" s="344"/>
      <c r="HZF45" s="344"/>
      <c r="HZG45" s="344"/>
      <c r="HZH45" s="344"/>
      <c r="HZI45" s="344"/>
      <c r="HZJ45" s="344"/>
      <c r="HZK45" s="344"/>
      <c r="HZL45" s="344"/>
      <c r="HZM45" s="344"/>
      <c r="HZN45" s="344"/>
      <c r="HZO45" s="344"/>
      <c r="HZP45" s="344"/>
      <c r="HZQ45" s="344"/>
      <c r="HZR45" s="344"/>
      <c r="HZS45" s="344"/>
      <c r="HZT45" s="344"/>
      <c r="HZU45" s="344"/>
      <c r="HZV45" s="344"/>
      <c r="HZW45" s="344"/>
      <c r="HZX45" s="344"/>
      <c r="HZY45" s="344"/>
      <c r="HZZ45" s="344"/>
      <c r="IAA45" s="344"/>
      <c r="IAB45" s="344"/>
      <c r="IAC45" s="344"/>
      <c r="IAD45" s="344"/>
      <c r="IAE45" s="344"/>
      <c r="IAF45" s="344"/>
      <c r="IAG45" s="344"/>
      <c r="IAH45" s="344"/>
      <c r="IAI45" s="344"/>
      <c r="IAJ45" s="344"/>
      <c r="IAK45" s="344"/>
      <c r="IAL45" s="344"/>
      <c r="IAM45" s="344"/>
      <c r="IAN45" s="344"/>
      <c r="IAO45" s="344"/>
      <c r="IAP45" s="344"/>
      <c r="IAQ45" s="344"/>
      <c r="IAR45" s="344"/>
      <c r="IAS45" s="344"/>
      <c r="IAT45" s="344"/>
      <c r="IAU45" s="344"/>
      <c r="IAV45" s="344"/>
      <c r="IAW45" s="344"/>
      <c r="IAX45" s="344"/>
      <c r="IAY45" s="344"/>
      <c r="IAZ45" s="344"/>
      <c r="IBA45" s="344"/>
      <c r="IBB45" s="344"/>
      <c r="IBC45" s="344"/>
      <c r="IBD45" s="344"/>
      <c r="IBE45" s="344"/>
      <c r="IBF45" s="344"/>
      <c r="IBG45" s="344"/>
      <c r="IBH45" s="344"/>
      <c r="IBI45" s="344"/>
      <c r="IBJ45" s="344"/>
      <c r="IBK45" s="344"/>
      <c r="IBL45" s="344"/>
      <c r="IBM45" s="344"/>
      <c r="IBN45" s="344"/>
      <c r="IBO45" s="344"/>
      <c r="IBP45" s="344"/>
      <c r="IBQ45" s="344"/>
      <c r="IBR45" s="344"/>
      <c r="IBS45" s="344"/>
      <c r="IBT45" s="344"/>
      <c r="IBU45" s="344"/>
      <c r="IBV45" s="344"/>
      <c r="IBW45" s="344"/>
      <c r="IBX45" s="344"/>
      <c r="IBY45" s="344"/>
      <c r="IBZ45" s="344"/>
      <c r="ICA45" s="344"/>
      <c r="ICB45" s="344"/>
      <c r="ICC45" s="344"/>
      <c r="ICD45" s="344"/>
      <c r="ICE45" s="344"/>
      <c r="ICF45" s="344"/>
      <c r="ICG45" s="344"/>
      <c r="ICH45" s="344"/>
      <c r="ICI45" s="344"/>
      <c r="ICJ45" s="344"/>
      <c r="ICK45" s="344"/>
      <c r="ICL45" s="344"/>
      <c r="ICM45" s="344"/>
      <c r="ICN45" s="344"/>
      <c r="ICO45" s="344"/>
      <c r="ICP45" s="344"/>
      <c r="ICQ45" s="344"/>
      <c r="ICR45" s="344"/>
      <c r="ICS45" s="344"/>
      <c r="ICT45" s="344"/>
      <c r="ICU45" s="344"/>
      <c r="ICV45" s="344"/>
      <c r="ICW45" s="344"/>
      <c r="ICX45" s="344"/>
      <c r="ICY45" s="344"/>
      <c r="ICZ45" s="344"/>
      <c r="IDA45" s="344"/>
      <c r="IDB45" s="344"/>
      <c r="IDC45" s="344"/>
      <c r="IDD45" s="344"/>
      <c r="IDE45" s="344"/>
      <c r="IDF45" s="344"/>
      <c r="IDG45" s="344"/>
      <c r="IDH45" s="344"/>
      <c r="IDI45" s="344"/>
      <c r="IDJ45" s="344"/>
      <c r="IDK45" s="344"/>
      <c r="IDL45" s="344"/>
      <c r="IDM45" s="344"/>
      <c r="IDN45" s="344"/>
      <c r="IDO45" s="344"/>
      <c r="IDP45" s="344"/>
      <c r="IDQ45" s="344"/>
      <c r="IDR45" s="344"/>
      <c r="IDS45" s="344"/>
      <c r="IDT45" s="344"/>
      <c r="IDU45" s="344"/>
      <c r="IDV45" s="344"/>
      <c r="IDW45" s="344"/>
      <c r="IDX45" s="344"/>
      <c r="IDY45" s="344"/>
      <c r="IDZ45" s="344"/>
      <c r="IEA45" s="344"/>
      <c r="IEB45" s="344"/>
      <c r="IEC45" s="344"/>
      <c r="IED45" s="344"/>
      <c r="IEE45" s="344"/>
      <c r="IEF45" s="344"/>
      <c r="IEG45" s="344"/>
      <c r="IEH45" s="344"/>
      <c r="IEI45" s="344"/>
      <c r="IEJ45" s="344"/>
      <c r="IEK45" s="344"/>
      <c r="IEL45" s="344"/>
      <c r="IEM45" s="344"/>
      <c r="IEN45" s="344"/>
      <c r="IEO45" s="344"/>
      <c r="IEP45" s="344"/>
      <c r="IEQ45" s="344"/>
      <c r="IER45" s="344"/>
      <c r="IES45" s="344"/>
      <c r="IET45" s="344"/>
      <c r="IEU45" s="344"/>
      <c r="IEV45" s="344"/>
      <c r="IEW45" s="344"/>
      <c r="IEX45" s="344"/>
      <c r="IEY45" s="344"/>
      <c r="IEZ45" s="344"/>
      <c r="IFA45" s="344"/>
      <c r="IFB45" s="344"/>
      <c r="IFC45" s="344"/>
      <c r="IFD45" s="344"/>
      <c r="IFE45" s="344"/>
      <c r="IFF45" s="344"/>
      <c r="IFG45" s="344"/>
      <c r="IFH45" s="344"/>
      <c r="IFI45" s="344"/>
      <c r="IFJ45" s="344"/>
      <c r="IFK45" s="344"/>
      <c r="IFL45" s="344"/>
      <c r="IFM45" s="344"/>
      <c r="IFN45" s="344"/>
      <c r="IFO45" s="344"/>
      <c r="IFP45" s="344"/>
      <c r="IFQ45" s="344"/>
      <c r="IFR45" s="344"/>
      <c r="IFS45" s="344"/>
      <c r="IFT45" s="344"/>
      <c r="IFU45" s="344"/>
      <c r="IFV45" s="344"/>
      <c r="IFW45" s="344"/>
      <c r="IFX45" s="344"/>
      <c r="IFY45" s="344"/>
      <c r="IFZ45" s="344"/>
      <c r="IGA45" s="344"/>
      <c r="IGB45" s="344"/>
      <c r="IGC45" s="344"/>
      <c r="IGD45" s="344"/>
      <c r="IGE45" s="344"/>
      <c r="IGF45" s="344"/>
      <c r="IGG45" s="344"/>
      <c r="IGH45" s="344"/>
      <c r="IGI45" s="344"/>
      <c r="IGJ45" s="344"/>
      <c r="IGK45" s="344"/>
      <c r="IGL45" s="344"/>
      <c r="IGM45" s="344"/>
      <c r="IGN45" s="344"/>
      <c r="IGO45" s="344"/>
      <c r="IGP45" s="344"/>
      <c r="IGQ45" s="344"/>
      <c r="IGR45" s="344"/>
      <c r="IGS45" s="344"/>
      <c r="IGT45" s="344"/>
      <c r="IGU45" s="344"/>
      <c r="IGV45" s="344"/>
      <c r="IGW45" s="344"/>
      <c r="IGX45" s="344"/>
      <c r="IGY45" s="344"/>
      <c r="IGZ45" s="344"/>
      <c r="IHA45" s="344"/>
      <c r="IHB45" s="344"/>
      <c r="IHC45" s="344"/>
      <c r="IHD45" s="344"/>
      <c r="IHE45" s="344"/>
      <c r="IHF45" s="344"/>
      <c r="IHG45" s="344"/>
      <c r="IHH45" s="344"/>
      <c r="IHI45" s="344"/>
      <c r="IHJ45" s="344"/>
      <c r="IHK45" s="344"/>
      <c r="IHL45" s="344"/>
      <c r="IHM45" s="344"/>
      <c r="IHN45" s="344"/>
      <c r="IHO45" s="344"/>
      <c r="IHP45" s="344"/>
      <c r="IHQ45" s="344"/>
      <c r="IHR45" s="344"/>
      <c r="IHS45" s="344"/>
      <c r="IHT45" s="344"/>
      <c r="IHU45" s="344"/>
      <c r="IHV45" s="344"/>
      <c r="IHW45" s="344"/>
      <c r="IHX45" s="344"/>
      <c r="IHY45" s="344"/>
      <c r="IHZ45" s="344"/>
      <c r="IIA45" s="344"/>
      <c r="IIB45" s="344"/>
      <c r="IIC45" s="344"/>
      <c r="IID45" s="344"/>
      <c r="IIE45" s="344"/>
      <c r="IIF45" s="344"/>
      <c r="IIG45" s="344"/>
      <c r="IIH45" s="344"/>
      <c r="III45" s="344"/>
      <c r="IIJ45" s="344"/>
      <c r="IIK45" s="344"/>
      <c r="IIL45" s="344"/>
      <c r="IIM45" s="344"/>
      <c r="IIN45" s="344"/>
      <c r="IIO45" s="344"/>
      <c r="IIP45" s="344"/>
      <c r="IIQ45" s="344"/>
      <c r="IIR45" s="344"/>
      <c r="IIS45" s="344"/>
      <c r="IIT45" s="344"/>
      <c r="IIU45" s="344"/>
      <c r="IIV45" s="344"/>
      <c r="IIW45" s="344"/>
      <c r="IIX45" s="344"/>
      <c r="IIY45" s="344"/>
      <c r="IIZ45" s="344"/>
      <c r="IJA45" s="344"/>
      <c r="IJB45" s="344"/>
      <c r="IJC45" s="344"/>
      <c r="IJD45" s="344"/>
      <c r="IJE45" s="344"/>
      <c r="IJF45" s="344"/>
      <c r="IJG45" s="344"/>
      <c r="IJH45" s="344"/>
      <c r="IJI45" s="344"/>
      <c r="IJJ45" s="344"/>
      <c r="IJK45" s="344"/>
      <c r="IJL45" s="344"/>
      <c r="IJM45" s="344"/>
      <c r="IJN45" s="344"/>
      <c r="IJO45" s="344"/>
      <c r="IJP45" s="344"/>
      <c r="IJQ45" s="344"/>
      <c r="IJR45" s="344"/>
      <c r="IJS45" s="344"/>
      <c r="IJT45" s="344"/>
      <c r="IJU45" s="344"/>
      <c r="IJV45" s="344"/>
      <c r="IJW45" s="344"/>
      <c r="IJX45" s="344"/>
      <c r="IJY45" s="344"/>
      <c r="IJZ45" s="344"/>
      <c r="IKA45" s="344"/>
      <c r="IKB45" s="344"/>
      <c r="IKC45" s="344"/>
      <c r="IKD45" s="344"/>
      <c r="IKE45" s="344"/>
      <c r="IKF45" s="344"/>
      <c r="IKG45" s="344"/>
      <c r="IKH45" s="344"/>
      <c r="IKI45" s="344"/>
      <c r="IKJ45" s="344"/>
      <c r="IKK45" s="344"/>
      <c r="IKL45" s="344"/>
      <c r="IKM45" s="344"/>
      <c r="IKN45" s="344"/>
      <c r="IKO45" s="344"/>
      <c r="IKP45" s="344"/>
      <c r="IKQ45" s="344"/>
      <c r="IKR45" s="344"/>
      <c r="IKS45" s="344"/>
      <c r="IKT45" s="344"/>
      <c r="IKU45" s="344"/>
      <c r="IKV45" s="344"/>
      <c r="IKW45" s="344"/>
      <c r="IKX45" s="344"/>
      <c r="IKY45" s="344"/>
      <c r="IKZ45" s="344"/>
      <c r="ILA45" s="344"/>
      <c r="ILB45" s="344"/>
      <c r="ILC45" s="344"/>
      <c r="ILD45" s="344"/>
      <c r="ILE45" s="344"/>
      <c r="ILF45" s="344"/>
      <c r="ILG45" s="344"/>
      <c r="ILH45" s="344"/>
      <c r="ILI45" s="344"/>
      <c r="ILJ45" s="344"/>
      <c r="ILK45" s="344"/>
      <c r="ILL45" s="344"/>
      <c r="ILM45" s="344"/>
      <c r="ILN45" s="344"/>
      <c r="ILO45" s="344"/>
      <c r="ILP45" s="344"/>
      <c r="ILQ45" s="344"/>
      <c r="ILR45" s="344"/>
      <c r="ILS45" s="344"/>
      <c r="ILT45" s="344"/>
      <c r="ILU45" s="344"/>
      <c r="ILV45" s="344"/>
      <c r="ILW45" s="344"/>
      <c r="ILX45" s="344"/>
      <c r="ILY45" s="344"/>
      <c r="ILZ45" s="344"/>
      <c r="IMA45" s="344"/>
      <c r="IMB45" s="344"/>
      <c r="IMC45" s="344"/>
      <c r="IMD45" s="344"/>
      <c r="IME45" s="344"/>
      <c r="IMF45" s="344"/>
      <c r="IMG45" s="344"/>
      <c r="IMH45" s="344"/>
      <c r="IMI45" s="344"/>
      <c r="IMJ45" s="344"/>
      <c r="IMK45" s="344"/>
      <c r="IML45" s="344"/>
      <c r="IMM45" s="344"/>
      <c r="IMN45" s="344"/>
      <c r="IMO45" s="344"/>
      <c r="IMP45" s="344"/>
      <c r="IMQ45" s="344"/>
      <c r="IMR45" s="344"/>
      <c r="IMS45" s="344"/>
      <c r="IMT45" s="344"/>
      <c r="IMU45" s="344"/>
      <c r="IMV45" s="344"/>
      <c r="IMW45" s="344"/>
      <c r="IMX45" s="344"/>
      <c r="IMY45" s="344"/>
      <c r="IMZ45" s="344"/>
      <c r="INA45" s="344"/>
      <c r="INB45" s="344"/>
      <c r="INC45" s="344"/>
      <c r="IND45" s="344"/>
      <c r="INE45" s="344"/>
      <c r="INF45" s="344"/>
      <c r="ING45" s="344"/>
      <c r="INH45" s="344"/>
      <c r="INI45" s="344"/>
      <c r="INJ45" s="344"/>
      <c r="INK45" s="344"/>
      <c r="INL45" s="344"/>
      <c r="INM45" s="344"/>
      <c r="INN45" s="344"/>
      <c r="INO45" s="344"/>
      <c r="INP45" s="344"/>
      <c r="INQ45" s="344"/>
      <c r="INR45" s="344"/>
      <c r="INS45" s="344"/>
      <c r="INT45" s="344"/>
      <c r="INU45" s="344"/>
      <c r="INV45" s="344"/>
      <c r="INW45" s="344"/>
      <c r="INX45" s="344"/>
      <c r="INY45" s="344"/>
      <c r="INZ45" s="344"/>
      <c r="IOA45" s="344"/>
      <c r="IOB45" s="344"/>
      <c r="IOC45" s="344"/>
      <c r="IOD45" s="344"/>
      <c r="IOE45" s="344"/>
      <c r="IOF45" s="344"/>
      <c r="IOG45" s="344"/>
      <c r="IOH45" s="344"/>
      <c r="IOI45" s="344"/>
      <c r="IOJ45" s="344"/>
      <c r="IOK45" s="344"/>
      <c r="IOL45" s="344"/>
      <c r="IOM45" s="344"/>
      <c r="ION45" s="344"/>
      <c r="IOO45" s="344"/>
      <c r="IOP45" s="344"/>
      <c r="IOQ45" s="344"/>
      <c r="IOR45" s="344"/>
      <c r="IOS45" s="344"/>
      <c r="IOT45" s="344"/>
      <c r="IOU45" s="344"/>
      <c r="IOV45" s="344"/>
      <c r="IOW45" s="344"/>
      <c r="IOX45" s="344"/>
      <c r="IOY45" s="344"/>
      <c r="IOZ45" s="344"/>
      <c r="IPA45" s="344"/>
      <c r="IPB45" s="344"/>
      <c r="IPC45" s="344"/>
      <c r="IPD45" s="344"/>
      <c r="IPE45" s="344"/>
      <c r="IPF45" s="344"/>
      <c r="IPG45" s="344"/>
      <c r="IPH45" s="344"/>
      <c r="IPI45" s="344"/>
      <c r="IPJ45" s="344"/>
      <c r="IPK45" s="344"/>
      <c r="IPL45" s="344"/>
      <c r="IPM45" s="344"/>
      <c r="IPN45" s="344"/>
      <c r="IPO45" s="344"/>
      <c r="IPP45" s="344"/>
      <c r="IPQ45" s="344"/>
      <c r="IPR45" s="344"/>
      <c r="IPS45" s="344"/>
      <c r="IPT45" s="344"/>
      <c r="IPU45" s="344"/>
      <c r="IPV45" s="344"/>
      <c r="IPW45" s="344"/>
      <c r="IPX45" s="344"/>
      <c r="IPY45" s="344"/>
      <c r="IPZ45" s="344"/>
      <c r="IQA45" s="344"/>
      <c r="IQB45" s="344"/>
      <c r="IQC45" s="344"/>
      <c r="IQD45" s="344"/>
      <c r="IQE45" s="344"/>
      <c r="IQF45" s="344"/>
      <c r="IQG45" s="344"/>
      <c r="IQH45" s="344"/>
      <c r="IQI45" s="344"/>
      <c r="IQJ45" s="344"/>
      <c r="IQK45" s="344"/>
      <c r="IQL45" s="344"/>
      <c r="IQM45" s="344"/>
      <c r="IQN45" s="344"/>
      <c r="IQO45" s="344"/>
      <c r="IQP45" s="344"/>
      <c r="IQQ45" s="344"/>
      <c r="IQR45" s="344"/>
      <c r="IQS45" s="344"/>
      <c r="IQT45" s="344"/>
      <c r="IQU45" s="344"/>
      <c r="IQV45" s="344"/>
      <c r="IQW45" s="344"/>
      <c r="IQX45" s="344"/>
      <c r="IQY45" s="344"/>
      <c r="IQZ45" s="344"/>
      <c r="IRA45" s="344"/>
      <c r="IRB45" s="344"/>
      <c r="IRC45" s="344"/>
      <c r="IRD45" s="344"/>
      <c r="IRE45" s="344"/>
      <c r="IRF45" s="344"/>
      <c r="IRG45" s="344"/>
      <c r="IRH45" s="344"/>
      <c r="IRI45" s="344"/>
      <c r="IRJ45" s="344"/>
      <c r="IRK45" s="344"/>
      <c r="IRL45" s="344"/>
      <c r="IRM45" s="344"/>
      <c r="IRN45" s="344"/>
      <c r="IRO45" s="344"/>
      <c r="IRP45" s="344"/>
      <c r="IRQ45" s="344"/>
      <c r="IRR45" s="344"/>
      <c r="IRS45" s="344"/>
      <c r="IRT45" s="344"/>
      <c r="IRU45" s="344"/>
      <c r="IRV45" s="344"/>
      <c r="IRW45" s="344"/>
      <c r="IRX45" s="344"/>
      <c r="IRY45" s="344"/>
      <c r="IRZ45" s="344"/>
      <c r="ISA45" s="344"/>
      <c r="ISB45" s="344"/>
      <c r="ISC45" s="344"/>
      <c r="ISD45" s="344"/>
      <c r="ISE45" s="344"/>
      <c r="ISF45" s="344"/>
      <c r="ISG45" s="344"/>
      <c r="ISH45" s="344"/>
      <c r="ISI45" s="344"/>
      <c r="ISJ45" s="344"/>
      <c r="ISK45" s="344"/>
      <c r="ISL45" s="344"/>
      <c r="ISM45" s="344"/>
      <c r="ISN45" s="344"/>
      <c r="ISO45" s="344"/>
      <c r="ISP45" s="344"/>
      <c r="ISQ45" s="344"/>
      <c r="ISR45" s="344"/>
      <c r="ISS45" s="344"/>
      <c r="IST45" s="344"/>
      <c r="ISU45" s="344"/>
      <c r="ISV45" s="344"/>
      <c r="ISW45" s="344"/>
      <c r="ISX45" s="344"/>
      <c r="ISY45" s="344"/>
      <c r="ISZ45" s="344"/>
      <c r="ITA45" s="344"/>
      <c r="ITB45" s="344"/>
      <c r="ITC45" s="344"/>
      <c r="ITD45" s="344"/>
      <c r="ITE45" s="344"/>
      <c r="ITF45" s="344"/>
      <c r="ITG45" s="344"/>
      <c r="ITH45" s="344"/>
      <c r="ITI45" s="344"/>
      <c r="ITJ45" s="344"/>
      <c r="ITK45" s="344"/>
      <c r="ITL45" s="344"/>
      <c r="ITM45" s="344"/>
      <c r="ITN45" s="344"/>
      <c r="ITO45" s="344"/>
      <c r="ITP45" s="344"/>
      <c r="ITQ45" s="344"/>
      <c r="ITR45" s="344"/>
      <c r="ITS45" s="344"/>
      <c r="ITT45" s="344"/>
      <c r="ITU45" s="344"/>
      <c r="ITV45" s="344"/>
      <c r="ITW45" s="344"/>
      <c r="ITX45" s="344"/>
      <c r="ITY45" s="344"/>
      <c r="ITZ45" s="344"/>
      <c r="IUA45" s="344"/>
      <c r="IUB45" s="344"/>
      <c r="IUC45" s="344"/>
      <c r="IUD45" s="344"/>
      <c r="IUE45" s="344"/>
      <c r="IUF45" s="344"/>
      <c r="IUG45" s="344"/>
      <c r="IUH45" s="344"/>
      <c r="IUI45" s="344"/>
      <c r="IUJ45" s="344"/>
      <c r="IUK45" s="344"/>
      <c r="IUL45" s="344"/>
      <c r="IUM45" s="344"/>
      <c r="IUN45" s="344"/>
      <c r="IUO45" s="344"/>
      <c r="IUP45" s="344"/>
      <c r="IUQ45" s="344"/>
      <c r="IUR45" s="344"/>
      <c r="IUS45" s="344"/>
      <c r="IUT45" s="344"/>
      <c r="IUU45" s="344"/>
      <c r="IUV45" s="344"/>
      <c r="IUW45" s="344"/>
      <c r="IUX45" s="344"/>
      <c r="IUY45" s="344"/>
      <c r="IUZ45" s="344"/>
      <c r="IVA45" s="344"/>
      <c r="IVB45" s="344"/>
      <c r="IVC45" s="344"/>
      <c r="IVD45" s="344"/>
      <c r="IVE45" s="344"/>
      <c r="IVF45" s="344"/>
      <c r="IVG45" s="344"/>
      <c r="IVH45" s="344"/>
      <c r="IVI45" s="344"/>
      <c r="IVJ45" s="344"/>
      <c r="IVK45" s="344"/>
      <c r="IVL45" s="344"/>
      <c r="IVM45" s="344"/>
      <c r="IVN45" s="344"/>
      <c r="IVO45" s="344"/>
      <c r="IVP45" s="344"/>
      <c r="IVQ45" s="344"/>
      <c r="IVR45" s="344"/>
      <c r="IVS45" s="344"/>
      <c r="IVT45" s="344"/>
      <c r="IVU45" s="344"/>
      <c r="IVV45" s="344"/>
      <c r="IVW45" s="344"/>
      <c r="IVX45" s="344"/>
      <c r="IVY45" s="344"/>
      <c r="IVZ45" s="344"/>
      <c r="IWA45" s="344"/>
      <c r="IWB45" s="344"/>
      <c r="IWC45" s="344"/>
      <c r="IWD45" s="344"/>
      <c r="IWE45" s="344"/>
      <c r="IWF45" s="344"/>
      <c r="IWG45" s="344"/>
      <c r="IWH45" s="344"/>
      <c r="IWI45" s="344"/>
      <c r="IWJ45" s="344"/>
      <c r="IWK45" s="344"/>
      <c r="IWL45" s="344"/>
      <c r="IWM45" s="344"/>
      <c r="IWN45" s="344"/>
      <c r="IWO45" s="344"/>
      <c r="IWP45" s="344"/>
      <c r="IWQ45" s="344"/>
      <c r="IWR45" s="344"/>
      <c r="IWS45" s="344"/>
      <c r="IWT45" s="344"/>
      <c r="IWU45" s="344"/>
      <c r="IWV45" s="344"/>
      <c r="IWW45" s="344"/>
      <c r="IWX45" s="344"/>
      <c r="IWY45" s="344"/>
      <c r="IWZ45" s="344"/>
      <c r="IXA45" s="344"/>
      <c r="IXB45" s="344"/>
      <c r="IXC45" s="344"/>
      <c r="IXD45" s="344"/>
      <c r="IXE45" s="344"/>
      <c r="IXF45" s="344"/>
      <c r="IXG45" s="344"/>
      <c r="IXH45" s="344"/>
      <c r="IXI45" s="344"/>
      <c r="IXJ45" s="344"/>
      <c r="IXK45" s="344"/>
      <c r="IXL45" s="344"/>
      <c r="IXM45" s="344"/>
      <c r="IXN45" s="344"/>
      <c r="IXO45" s="344"/>
      <c r="IXP45" s="344"/>
      <c r="IXQ45" s="344"/>
      <c r="IXR45" s="344"/>
      <c r="IXS45" s="344"/>
      <c r="IXT45" s="344"/>
      <c r="IXU45" s="344"/>
      <c r="IXV45" s="344"/>
      <c r="IXW45" s="344"/>
      <c r="IXX45" s="344"/>
      <c r="IXY45" s="344"/>
      <c r="IXZ45" s="344"/>
      <c r="IYA45" s="344"/>
      <c r="IYB45" s="344"/>
      <c r="IYC45" s="344"/>
      <c r="IYD45" s="344"/>
      <c r="IYE45" s="344"/>
      <c r="IYF45" s="344"/>
      <c r="IYG45" s="344"/>
      <c r="IYH45" s="344"/>
      <c r="IYI45" s="344"/>
      <c r="IYJ45" s="344"/>
      <c r="IYK45" s="344"/>
      <c r="IYL45" s="344"/>
      <c r="IYM45" s="344"/>
      <c r="IYN45" s="344"/>
      <c r="IYO45" s="344"/>
      <c r="IYP45" s="344"/>
      <c r="IYQ45" s="344"/>
      <c r="IYR45" s="344"/>
      <c r="IYS45" s="344"/>
      <c r="IYT45" s="344"/>
      <c r="IYU45" s="344"/>
      <c r="IYV45" s="344"/>
      <c r="IYW45" s="344"/>
      <c r="IYX45" s="344"/>
      <c r="IYY45" s="344"/>
      <c r="IYZ45" s="344"/>
      <c r="IZA45" s="344"/>
      <c r="IZB45" s="344"/>
      <c r="IZC45" s="344"/>
      <c r="IZD45" s="344"/>
      <c r="IZE45" s="344"/>
      <c r="IZF45" s="344"/>
      <c r="IZG45" s="344"/>
      <c r="IZH45" s="344"/>
      <c r="IZI45" s="344"/>
      <c r="IZJ45" s="344"/>
      <c r="IZK45" s="344"/>
      <c r="IZL45" s="344"/>
      <c r="IZM45" s="344"/>
      <c r="IZN45" s="344"/>
      <c r="IZO45" s="344"/>
      <c r="IZP45" s="344"/>
      <c r="IZQ45" s="344"/>
      <c r="IZR45" s="344"/>
      <c r="IZS45" s="344"/>
      <c r="IZT45" s="344"/>
      <c r="IZU45" s="344"/>
      <c r="IZV45" s="344"/>
      <c r="IZW45" s="344"/>
      <c r="IZX45" s="344"/>
      <c r="IZY45" s="344"/>
      <c r="IZZ45" s="344"/>
      <c r="JAA45" s="344"/>
      <c r="JAB45" s="344"/>
      <c r="JAC45" s="344"/>
      <c r="JAD45" s="344"/>
      <c r="JAE45" s="344"/>
      <c r="JAF45" s="344"/>
      <c r="JAG45" s="344"/>
      <c r="JAH45" s="344"/>
      <c r="JAI45" s="344"/>
      <c r="JAJ45" s="344"/>
      <c r="JAK45" s="344"/>
      <c r="JAL45" s="344"/>
      <c r="JAM45" s="344"/>
      <c r="JAN45" s="344"/>
      <c r="JAO45" s="344"/>
      <c r="JAP45" s="344"/>
      <c r="JAQ45" s="344"/>
      <c r="JAR45" s="344"/>
      <c r="JAS45" s="344"/>
      <c r="JAT45" s="344"/>
      <c r="JAU45" s="344"/>
      <c r="JAV45" s="344"/>
      <c r="JAW45" s="344"/>
      <c r="JAX45" s="344"/>
      <c r="JAY45" s="344"/>
      <c r="JAZ45" s="344"/>
      <c r="JBA45" s="344"/>
      <c r="JBB45" s="344"/>
      <c r="JBC45" s="344"/>
      <c r="JBD45" s="344"/>
      <c r="JBE45" s="344"/>
      <c r="JBF45" s="344"/>
      <c r="JBG45" s="344"/>
      <c r="JBH45" s="344"/>
      <c r="JBI45" s="344"/>
      <c r="JBJ45" s="344"/>
      <c r="JBK45" s="344"/>
      <c r="JBL45" s="344"/>
      <c r="JBM45" s="344"/>
      <c r="JBN45" s="344"/>
      <c r="JBO45" s="344"/>
      <c r="JBP45" s="344"/>
      <c r="JBQ45" s="344"/>
      <c r="JBR45" s="344"/>
      <c r="JBS45" s="344"/>
      <c r="JBT45" s="344"/>
      <c r="JBU45" s="344"/>
      <c r="JBV45" s="344"/>
      <c r="JBW45" s="344"/>
      <c r="JBX45" s="344"/>
      <c r="JBY45" s="344"/>
      <c r="JBZ45" s="344"/>
      <c r="JCA45" s="344"/>
      <c r="JCB45" s="344"/>
      <c r="JCC45" s="344"/>
      <c r="JCD45" s="344"/>
      <c r="JCE45" s="344"/>
      <c r="JCF45" s="344"/>
      <c r="JCG45" s="344"/>
      <c r="JCH45" s="344"/>
      <c r="JCI45" s="344"/>
      <c r="JCJ45" s="344"/>
      <c r="JCK45" s="344"/>
      <c r="JCL45" s="344"/>
      <c r="JCM45" s="344"/>
      <c r="JCN45" s="344"/>
      <c r="JCO45" s="344"/>
      <c r="JCP45" s="344"/>
      <c r="JCQ45" s="344"/>
      <c r="JCR45" s="344"/>
      <c r="JCS45" s="344"/>
      <c r="JCT45" s="344"/>
      <c r="JCU45" s="344"/>
      <c r="JCV45" s="344"/>
      <c r="JCW45" s="344"/>
      <c r="JCX45" s="344"/>
      <c r="JCY45" s="344"/>
      <c r="JCZ45" s="344"/>
      <c r="JDA45" s="344"/>
      <c r="JDB45" s="344"/>
      <c r="JDC45" s="344"/>
      <c r="JDD45" s="344"/>
      <c r="JDE45" s="344"/>
      <c r="JDF45" s="344"/>
      <c r="JDG45" s="344"/>
      <c r="JDH45" s="344"/>
      <c r="JDI45" s="344"/>
      <c r="JDJ45" s="344"/>
      <c r="JDK45" s="344"/>
      <c r="JDL45" s="344"/>
      <c r="JDM45" s="344"/>
      <c r="JDN45" s="344"/>
      <c r="JDO45" s="344"/>
      <c r="JDP45" s="344"/>
      <c r="JDQ45" s="344"/>
      <c r="JDR45" s="344"/>
      <c r="JDS45" s="344"/>
      <c r="JDT45" s="344"/>
      <c r="JDU45" s="344"/>
      <c r="JDV45" s="344"/>
      <c r="JDW45" s="344"/>
      <c r="JDX45" s="344"/>
      <c r="JDY45" s="344"/>
      <c r="JDZ45" s="344"/>
      <c r="JEA45" s="344"/>
      <c r="JEB45" s="344"/>
      <c r="JEC45" s="344"/>
      <c r="JED45" s="344"/>
      <c r="JEE45" s="344"/>
      <c r="JEF45" s="344"/>
      <c r="JEG45" s="344"/>
      <c r="JEH45" s="344"/>
      <c r="JEI45" s="344"/>
      <c r="JEJ45" s="344"/>
      <c r="JEK45" s="344"/>
      <c r="JEL45" s="344"/>
      <c r="JEM45" s="344"/>
      <c r="JEN45" s="344"/>
      <c r="JEO45" s="344"/>
      <c r="JEP45" s="344"/>
      <c r="JEQ45" s="344"/>
      <c r="JER45" s="344"/>
      <c r="JES45" s="344"/>
      <c r="JET45" s="344"/>
      <c r="JEU45" s="344"/>
      <c r="JEV45" s="344"/>
      <c r="JEW45" s="344"/>
      <c r="JEX45" s="344"/>
      <c r="JEY45" s="344"/>
      <c r="JEZ45" s="344"/>
      <c r="JFA45" s="344"/>
      <c r="JFB45" s="344"/>
      <c r="JFC45" s="344"/>
      <c r="JFD45" s="344"/>
      <c r="JFE45" s="344"/>
      <c r="JFF45" s="344"/>
      <c r="JFG45" s="344"/>
      <c r="JFH45" s="344"/>
      <c r="JFI45" s="344"/>
      <c r="JFJ45" s="344"/>
      <c r="JFK45" s="344"/>
      <c r="JFL45" s="344"/>
      <c r="JFM45" s="344"/>
      <c r="JFN45" s="344"/>
      <c r="JFO45" s="344"/>
      <c r="JFP45" s="344"/>
      <c r="JFQ45" s="344"/>
      <c r="JFR45" s="344"/>
      <c r="JFS45" s="344"/>
      <c r="JFT45" s="344"/>
      <c r="JFU45" s="344"/>
      <c r="JFV45" s="344"/>
      <c r="JFW45" s="344"/>
      <c r="JFX45" s="344"/>
      <c r="JFY45" s="344"/>
      <c r="JFZ45" s="344"/>
      <c r="JGA45" s="344"/>
      <c r="JGB45" s="344"/>
      <c r="JGC45" s="344"/>
      <c r="JGD45" s="344"/>
      <c r="JGE45" s="344"/>
      <c r="JGF45" s="344"/>
      <c r="JGG45" s="344"/>
      <c r="JGH45" s="344"/>
      <c r="JGI45" s="344"/>
      <c r="JGJ45" s="344"/>
      <c r="JGK45" s="344"/>
      <c r="JGL45" s="344"/>
      <c r="JGM45" s="344"/>
      <c r="JGN45" s="344"/>
      <c r="JGO45" s="344"/>
      <c r="JGP45" s="344"/>
      <c r="JGQ45" s="344"/>
      <c r="JGR45" s="344"/>
      <c r="JGS45" s="344"/>
      <c r="JGT45" s="344"/>
      <c r="JGU45" s="344"/>
      <c r="JGV45" s="344"/>
      <c r="JGW45" s="344"/>
      <c r="JGX45" s="344"/>
      <c r="JGY45" s="344"/>
      <c r="JGZ45" s="344"/>
      <c r="JHA45" s="344"/>
      <c r="JHB45" s="344"/>
      <c r="JHC45" s="344"/>
      <c r="JHD45" s="344"/>
      <c r="JHE45" s="344"/>
      <c r="JHF45" s="344"/>
      <c r="JHG45" s="344"/>
      <c r="JHH45" s="344"/>
      <c r="JHI45" s="344"/>
      <c r="JHJ45" s="344"/>
      <c r="JHK45" s="344"/>
      <c r="JHL45" s="344"/>
      <c r="JHM45" s="344"/>
      <c r="JHN45" s="344"/>
      <c r="JHO45" s="344"/>
      <c r="JHP45" s="344"/>
      <c r="JHQ45" s="344"/>
      <c r="JHR45" s="344"/>
      <c r="JHS45" s="344"/>
      <c r="JHT45" s="344"/>
      <c r="JHU45" s="344"/>
      <c r="JHV45" s="344"/>
      <c r="JHW45" s="344"/>
      <c r="JHX45" s="344"/>
      <c r="JHY45" s="344"/>
      <c r="JHZ45" s="344"/>
      <c r="JIA45" s="344"/>
      <c r="JIB45" s="344"/>
      <c r="JIC45" s="344"/>
      <c r="JID45" s="344"/>
      <c r="JIE45" s="344"/>
      <c r="JIF45" s="344"/>
      <c r="JIG45" s="344"/>
      <c r="JIH45" s="344"/>
      <c r="JII45" s="344"/>
      <c r="JIJ45" s="344"/>
      <c r="JIK45" s="344"/>
      <c r="JIL45" s="344"/>
      <c r="JIM45" s="344"/>
      <c r="JIN45" s="344"/>
      <c r="JIO45" s="344"/>
      <c r="JIP45" s="344"/>
      <c r="JIQ45" s="344"/>
      <c r="JIR45" s="344"/>
      <c r="JIS45" s="344"/>
      <c r="JIT45" s="344"/>
      <c r="JIU45" s="344"/>
      <c r="JIV45" s="344"/>
      <c r="JIW45" s="344"/>
      <c r="JIX45" s="344"/>
      <c r="JIY45" s="344"/>
      <c r="JIZ45" s="344"/>
      <c r="JJA45" s="344"/>
      <c r="JJB45" s="344"/>
      <c r="JJC45" s="344"/>
      <c r="JJD45" s="344"/>
      <c r="JJE45" s="344"/>
      <c r="JJF45" s="344"/>
      <c r="JJG45" s="344"/>
      <c r="JJH45" s="344"/>
      <c r="JJI45" s="344"/>
      <c r="JJJ45" s="344"/>
      <c r="JJK45" s="344"/>
      <c r="JJL45" s="344"/>
      <c r="JJM45" s="344"/>
      <c r="JJN45" s="344"/>
      <c r="JJO45" s="344"/>
      <c r="JJP45" s="344"/>
      <c r="JJQ45" s="344"/>
      <c r="JJR45" s="344"/>
      <c r="JJS45" s="344"/>
      <c r="JJT45" s="344"/>
      <c r="JJU45" s="344"/>
      <c r="JJV45" s="344"/>
      <c r="JJW45" s="344"/>
      <c r="JJX45" s="344"/>
      <c r="JJY45" s="344"/>
      <c r="JJZ45" s="344"/>
      <c r="JKA45" s="344"/>
      <c r="JKB45" s="344"/>
      <c r="JKC45" s="344"/>
      <c r="JKD45" s="344"/>
      <c r="JKE45" s="344"/>
      <c r="JKF45" s="344"/>
      <c r="JKG45" s="344"/>
      <c r="JKH45" s="344"/>
      <c r="JKI45" s="344"/>
      <c r="JKJ45" s="344"/>
      <c r="JKK45" s="344"/>
      <c r="JKL45" s="344"/>
      <c r="JKM45" s="344"/>
      <c r="JKN45" s="344"/>
      <c r="JKO45" s="344"/>
      <c r="JKP45" s="344"/>
      <c r="JKQ45" s="344"/>
      <c r="JKR45" s="344"/>
      <c r="JKS45" s="344"/>
      <c r="JKT45" s="344"/>
      <c r="JKU45" s="344"/>
      <c r="JKV45" s="344"/>
      <c r="JKW45" s="344"/>
      <c r="JKX45" s="344"/>
      <c r="JKY45" s="344"/>
      <c r="JKZ45" s="344"/>
      <c r="JLA45" s="344"/>
      <c r="JLB45" s="344"/>
      <c r="JLC45" s="344"/>
      <c r="JLD45" s="344"/>
      <c r="JLE45" s="344"/>
      <c r="JLF45" s="344"/>
      <c r="JLG45" s="344"/>
      <c r="JLH45" s="344"/>
      <c r="JLI45" s="344"/>
      <c r="JLJ45" s="344"/>
      <c r="JLK45" s="344"/>
      <c r="JLL45" s="344"/>
      <c r="JLM45" s="344"/>
      <c r="JLN45" s="344"/>
      <c r="JLO45" s="344"/>
      <c r="JLP45" s="344"/>
      <c r="JLQ45" s="344"/>
      <c r="JLR45" s="344"/>
      <c r="JLS45" s="344"/>
      <c r="JLT45" s="344"/>
      <c r="JLU45" s="344"/>
      <c r="JLV45" s="344"/>
      <c r="JLW45" s="344"/>
      <c r="JLX45" s="344"/>
      <c r="JLY45" s="344"/>
      <c r="JLZ45" s="344"/>
      <c r="JMA45" s="344"/>
      <c r="JMB45" s="344"/>
      <c r="JMC45" s="344"/>
      <c r="JMD45" s="344"/>
      <c r="JME45" s="344"/>
      <c r="JMF45" s="344"/>
      <c r="JMG45" s="344"/>
      <c r="JMH45" s="344"/>
      <c r="JMI45" s="344"/>
      <c r="JMJ45" s="344"/>
      <c r="JMK45" s="344"/>
      <c r="JML45" s="344"/>
      <c r="JMM45" s="344"/>
      <c r="JMN45" s="344"/>
      <c r="JMO45" s="344"/>
      <c r="JMP45" s="344"/>
      <c r="JMQ45" s="344"/>
      <c r="JMR45" s="344"/>
      <c r="JMS45" s="344"/>
      <c r="JMT45" s="344"/>
      <c r="JMU45" s="344"/>
      <c r="JMV45" s="344"/>
      <c r="JMW45" s="344"/>
      <c r="JMX45" s="344"/>
      <c r="JMY45" s="344"/>
      <c r="JMZ45" s="344"/>
      <c r="JNA45" s="344"/>
      <c r="JNB45" s="344"/>
      <c r="JNC45" s="344"/>
      <c r="JND45" s="344"/>
      <c r="JNE45" s="344"/>
      <c r="JNF45" s="344"/>
      <c r="JNG45" s="344"/>
      <c r="JNH45" s="344"/>
      <c r="JNI45" s="344"/>
      <c r="JNJ45" s="344"/>
      <c r="JNK45" s="344"/>
      <c r="JNL45" s="344"/>
      <c r="JNM45" s="344"/>
      <c r="JNN45" s="344"/>
      <c r="JNO45" s="344"/>
      <c r="JNP45" s="344"/>
      <c r="JNQ45" s="344"/>
      <c r="JNR45" s="344"/>
      <c r="JNS45" s="344"/>
      <c r="JNT45" s="344"/>
      <c r="JNU45" s="344"/>
      <c r="JNV45" s="344"/>
      <c r="JNW45" s="344"/>
      <c r="JNX45" s="344"/>
      <c r="JNY45" s="344"/>
      <c r="JNZ45" s="344"/>
      <c r="JOA45" s="344"/>
      <c r="JOB45" s="344"/>
      <c r="JOC45" s="344"/>
      <c r="JOD45" s="344"/>
      <c r="JOE45" s="344"/>
      <c r="JOF45" s="344"/>
      <c r="JOG45" s="344"/>
      <c r="JOH45" s="344"/>
      <c r="JOI45" s="344"/>
      <c r="JOJ45" s="344"/>
      <c r="JOK45" s="344"/>
      <c r="JOL45" s="344"/>
      <c r="JOM45" s="344"/>
      <c r="JON45" s="344"/>
      <c r="JOO45" s="344"/>
      <c r="JOP45" s="344"/>
      <c r="JOQ45" s="344"/>
      <c r="JOR45" s="344"/>
      <c r="JOS45" s="344"/>
      <c r="JOT45" s="344"/>
      <c r="JOU45" s="344"/>
      <c r="JOV45" s="344"/>
      <c r="JOW45" s="344"/>
      <c r="JOX45" s="344"/>
      <c r="JOY45" s="344"/>
      <c r="JOZ45" s="344"/>
      <c r="JPA45" s="344"/>
      <c r="JPB45" s="344"/>
      <c r="JPC45" s="344"/>
      <c r="JPD45" s="344"/>
      <c r="JPE45" s="344"/>
      <c r="JPF45" s="344"/>
      <c r="JPG45" s="344"/>
      <c r="JPH45" s="344"/>
      <c r="JPI45" s="344"/>
      <c r="JPJ45" s="344"/>
      <c r="JPK45" s="344"/>
      <c r="JPL45" s="344"/>
      <c r="JPM45" s="344"/>
      <c r="JPN45" s="344"/>
      <c r="JPO45" s="344"/>
      <c r="JPP45" s="344"/>
      <c r="JPQ45" s="344"/>
      <c r="JPR45" s="344"/>
      <c r="JPS45" s="344"/>
      <c r="JPT45" s="344"/>
      <c r="JPU45" s="344"/>
      <c r="JPV45" s="344"/>
      <c r="JPW45" s="344"/>
      <c r="JPX45" s="344"/>
      <c r="JPY45" s="344"/>
      <c r="JPZ45" s="344"/>
      <c r="JQA45" s="344"/>
      <c r="JQB45" s="344"/>
      <c r="JQC45" s="344"/>
      <c r="JQD45" s="344"/>
      <c r="JQE45" s="344"/>
      <c r="JQF45" s="344"/>
      <c r="JQG45" s="344"/>
      <c r="JQH45" s="344"/>
      <c r="JQI45" s="344"/>
      <c r="JQJ45" s="344"/>
      <c r="JQK45" s="344"/>
      <c r="JQL45" s="344"/>
      <c r="JQM45" s="344"/>
      <c r="JQN45" s="344"/>
      <c r="JQO45" s="344"/>
      <c r="JQP45" s="344"/>
      <c r="JQQ45" s="344"/>
      <c r="JQR45" s="344"/>
      <c r="JQS45" s="344"/>
      <c r="JQT45" s="344"/>
      <c r="JQU45" s="344"/>
      <c r="JQV45" s="344"/>
      <c r="JQW45" s="344"/>
      <c r="JQX45" s="344"/>
      <c r="JQY45" s="344"/>
      <c r="JQZ45" s="344"/>
      <c r="JRA45" s="344"/>
      <c r="JRB45" s="344"/>
      <c r="JRC45" s="344"/>
      <c r="JRD45" s="344"/>
      <c r="JRE45" s="344"/>
      <c r="JRF45" s="344"/>
      <c r="JRG45" s="344"/>
      <c r="JRH45" s="344"/>
      <c r="JRI45" s="344"/>
      <c r="JRJ45" s="344"/>
      <c r="JRK45" s="344"/>
      <c r="JRL45" s="344"/>
      <c r="JRM45" s="344"/>
      <c r="JRN45" s="344"/>
      <c r="JRO45" s="344"/>
      <c r="JRP45" s="344"/>
      <c r="JRQ45" s="344"/>
      <c r="JRR45" s="344"/>
      <c r="JRS45" s="344"/>
      <c r="JRT45" s="344"/>
      <c r="JRU45" s="344"/>
      <c r="JRV45" s="344"/>
      <c r="JRW45" s="344"/>
      <c r="JRX45" s="344"/>
      <c r="JRY45" s="344"/>
      <c r="JRZ45" s="344"/>
      <c r="JSA45" s="344"/>
      <c r="JSB45" s="344"/>
      <c r="JSC45" s="344"/>
      <c r="JSD45" s="344"/>
      <c r="JSE45" s="344"/>
      <c r="JSF45" s="344"/>
      <c r="JSG45" s="344"/>
      <c r="JSH45" s="344"/>
      <c r="JSI45" s="344"/>
      <c r="JSJ45" s="344"/>
      <c r="JSK45" s="344"/>
      <c r="JSL45" s="344"/>
      <c r="JSM45" s="344"/>
      <c r="JSN45" s="344"/>
      <c r="JSO45" s="344"/>
      <c r="JSP45" s="344"/>
      <c r="JSQ45" s="344"/>
      <c r="JSR45" s="344"/>
      <c r="JSS45" s="344"/>
      <c r="JST45" s="344"/>
      <c r="JSU45" s="344"/>
      <c r="JSV45" s="344"/>
      <c r="JSW45" s="344"/>
      <c r="JSX45" s="344"/>
      <c r="JSY45" s="344"/>
      <c r="JSZ45" s="344"/>
      <c r="JTA45" s="344"/>
      <c r="JTB45" s="344"/>
      <c r="JTC45" s="344"/>
      <c r="JTD45" s="344"/>
      <c r="JTE45" s="344"/>
      <c r="JTF45" s="344"/>
      <c r="JTG45" s="344"/>
      <c r="JTH45" s="344"/>
      <c r="JTI45" s="344"/>
      <c r="JTJ45" s="344"/>
      <c r="JTK45" s="344"/>
      <c r="JTL45" s="344"/>
      <c r="JTM45" s="344"/>
      <c r="JTN45" s="344"/>
      <c r="JTO45" s="344"/>
      <c r="JTP45" s="344"/>
      <c r="JTQ45" s="344"/>
      <c r="JTR45" s="344"/>
      <c r="JTS45" s="344"/>
      <c r="JTT45" s="344"/>
      <c r="JTU45" s="344"/>
      <c r="JTV45" s="344"/>
      <c r="JTW45" s="344"/>
      <c r="JTX45" s="344"/>
      <c r="JTY45" s="344"/>
      <c r="JTZ45" s="344"/>
      <c r="JUA45" s="344"/>
      <c r="JUB45" s="344"/>
      <c r="JUC45" s="344"/>
      <c r="JUD45" s="344"/>
      <c r="JUE45" s="344"/>
      <c r="JUF45" s="344"/>
      <c r="JUG45" s="344"/>
      <c r="JUH45" s="344"/>
      <c r="JUI45" s="344"/>
      <c r="JUJ45" s="344"/>
      <c r="JUK45" s="344"/>
      <c r="JUL45" s="344"/>
      <c r="JUM45" s="344"/>
      <c r="JUN45" s="344"/>
      <c r="JUO45" s="344"/>
      <c r="JUP45" s="344"/>
      <c r="JUQ45" s="344"/>
      <c r="JUR45" s="344"/>
      <c r="JUS45" s="344"/>
      <c r="JUT45" s="344"/>
      <c r="JUU45" s="344"/>
      <c r="JUV45" s="344"/>
      <c r="JUW45" s="344"/>
      <c r="JUX45" s="344"/>
      <c r="JUY45" s="344"/>
      <c r="JUZ45" s="344"/>
      <c r="JVA45" s="344"/>
      <c r="JVB45" s="344"/>
      <c r="JVC45" s="344"/>
      <c r="JVD45" s="344"/>
      <c r="JVE45" s="344"/>
      <c r="JVF45" s="344"/>
      <c r="JVG45" s="344"/>
      <c r="JVH45" s="344"/>
      <c r="JVI45" s="344"/>
      <c r="JVJ45" s="344"/>
      <c r="JVK45" s="344"/>
      <c r="JVL45" s="344"/>
      <c r="JVM45" s="344"/>
      <c r="JVN45" s="344"/>
      <c r="JVO45" s="344"/>
      <c r="JVP45" s="344"/>
      <c r="JVQ45" s="344"/>
      <c r="JVR45" s="344"/>
      <c r="JVS45" s="344"/>
      <c r="JVT45" s="344"/>
      <c r="JVU45" s="344"/>
      <c r="JVV45" s="344"/>
      <c r="JVW45" s="344"/>
      <c r="JVX45" s="344"/>
      <c r="JVY45" s="344"/>
      <c r="JVZ45" s="344"/>
      <c r="JWA45" s="344"/>
      <c r="JWB45" s="344"/>
      <c r="JWC45" s="344"/>
      <c r="JWD45" s="344"/>
      <c r="JWE45" s="344"/>
      <c r="JWF45" s="344"/>
      <c r="JWG45" s="344"/>
      <c r="JWH45" s="344"/>
      <c r="JWI45" s="344"/>
      <c r="JWJ45" s="344"/>
      <c r="JWK45" s="344"/>
      <c r="JWL45" s="344"/>
      <c r="JWM45" s="344"/>
      <c r="JWN45" s="344"/>
      <c r="JWO45" s="344"/>
      <c r="JWP45" s="344"/>
      <c r="JWQ45" s="344"/>
      <c r="JWR45" s="344"/>
      <c r="JWS45" s="344"/>
      <c r="JWT45" s="344"/>
      <c r="JWU45" s="344"/>
      <c r="JWV45" s="344"/>
      <c r="JWW45" s="344"/>
      <c r="JWX45" s="344"/>
      <c r="JWY45" s="344"/>
      <c r="JWZ45" s="344"/>
      <c r="JXA45" s="344"/>
      <c r="JXB45" s="344"/>
      <c r="JXC45" s="344"/>
      <c r="JXD45" s="344"/>
      <c r="JXE45" s="344"/>
      <c r="JXF45" s="344"/>
      <c r="JXG45" s="344"/>
      <c r="JXH45" s="344"/>
      <c r="JXI45" s="344"/>
      <c r="JXJ45" s="344"/>
      <c r="JXK45" s="344"/>
      <c r="JXL45" s="344"/>
      <c r="JXM45" s="344"/>
      <c r="JXN45" s="344"/>
      <c r="JXO45" s="344"/>
      <c r="JXP45" s="344"/>
      <c r="JXQ45" s="344"/>
      <c r="JXR45" s="344"/>
      <c r="JXS45" s="344"/>
      <c r="JXT45" s="344"/>
      <c r="JXU45" s="344"/>
      <c r="JXV45" s="344"/>
      <c r="JXW45" s="344"/>
      <c r="JXX45" s="344"/>
      <c r="JXY45" s="344"/>
      <c r="JXZ45" s="344"/>
      <c r="JYA45" s="344"/>
      <c r="JYB45" s="344"/>
      <c r="JYC45" s="344"/>
      <c r="JYD45" s="344"/>
      <c r="JYE45" s="344"/>
      <c r="JYF45" s="344"/>
      <c r="JYG45" s="344"/>
      <c r="JYH45" s="344"/>
      <c r="JYI45" s="344"/>
      <c r="JYJ45" s="344"/>
      <c r="JYK45" s="344"/>
      <c r="JYL45" s="344"/>
      <c r="JYM45" s="344"/>
      <c r="JYN45" s="344"/>
      <c r="JYO45" s="344"/>
      <c r="JYP45" s="344"/>
      <c r="JYQ45" s="344"/>
      <c r="JYR45" s="344"/>
      <c r="JYS45" s="344"/>
      <c r="JYT45" s="344"/>
      <c r="JYU45" s="344"/>
      <c r="JYV45" s="344"/>
      <c r="JYW45" s="344"/>
      <c r="JYX45" s="344"/>
      <c r="JYY45" s="344"/>
      <c r="JYZ45" s="344"/>
      <c r="JZA45" s="344"/>
      <c r="JZB45" s="344"/>
      <c r="JZC45" s="344"/>
      <c r="JZD45" s="344"/>
      <c r="JZE45" s="344"/>
      <c r="JZF45" s="344"/>
      <c r="JZG45" s="344"/>
      <c r="JZH45" s="344"/>
      <c r="JZI45" s="344"/>
      <c r="JZJ45" s="344"/>
      <c r="JZK45" s="344"/>
      <c r="JZL45" s="344"/>
      <c r="JZM45" s="344"/>
      <c r="JZN45" s="344"/>
      <c r="JZO45" s="344"/>
      <c r="JZP45" s="344"/>
      <c r="JZQ45" s="344"/>
      <c r="JZR45" s="344"/>
      <c r="JZS45" s="344"/>
      <c r="JZT45" s="344"/>
      <c r="JZU45" s="344"/>
      <c r="JZV45" s="344"/>
      <c r="JZW45" s="344"/>
      <c r="JZX45" s="344"/>
      <c r="JZY45" s="344"/>
      <c r="JZZ45" s="344"/>
      <c r="KAA45" s="344"/>
      <c r="KAB45" s="344"/>
      <c r="KAC45" s="344"/>
      <c r="KAD45" s="344"/>
      <c r="KAE45" s="344"/>
      <c r="KAF45" s="344"/>
      <c r="KAG45" s="344"/>
      <c r="KAH45" s="344"/>
      <c r="KAI45" s="344"/>
      <c r="KAJ45" s="344"/>
      <c r="KAK45" s="344"/>
      <c r="KAL45" s="344"/>
      <c r="KAM45" s="344"/>
      <c r="KAN45" s="344"/>
      <c r="KAO45" s="344"/>
      <c r="KAP45" s="344"/>
      <c r="KAQ45" s="344"/>
      <c r="KAR45" s="344"/>
      <c r="KAS45" s="344"/>
      <c r="KAT45" s="344"/>
      <c r="KAU45" s="344"/>
      <c r="KAV45" s="344"/>
      <c r="KAW45" s="344"/>
      <c r="KAX45" s="344"/>
      <c r="KAY45" s="344"/>
      <c r="KAZ45" s="344"/>
      <c r="KBA45" s="344"/>
      <c r="KBB45" s="344"/>
      <c r="KBC45" s="344"/>
      <c r="KBD45" s="344"/>
      <c r="KBE45" s="344"/>
      <c r="KBF45" s="344"/>
      <c r="KBG45" s="344"/>
      <c r="KBH45" s="344"/>
      <c r="KBI45" s="344"/>
      <c r="KBJ45" s="344"/>
      <c r="KBK45" s="344"/>
      <c r="KBL45" s="344"/>
      <c r="KBM45" s="344"/>
      <c r="KBN45" s="344"/>
      <c r="KBO45" s="344"/>
      <c r="KBP45" s="344"/>
      <c r="KBQ45" s="344"/>
      <c r="KBR45" s="344"/>
      <c r="KBS45" s="344"/>
      <c r="KBT45" s="344"/>
      <c r="KBU45" s="344"/>
      <c r="KBV45" s="344"/>
      <c r="KBW45" s="344"/>
      <c r="KBX45" s="344"/>
      <c r="KBY45" s="344"/>
      <c r="KBZ45" s="344"/>
      <c r="KCA45" s="344"/>
      <c r="KCB45" s="344"/>
      <c r="KCC45" s="344"/>
      <c r="KCD45" s="344"/>
      <c r="KCE45" s="344"/>
      <c r="KCF45" s="344"/>
      <c r="KCG45" s="344"/>
      <c r="KCH45" s="344"/>
      <c r="KCI45" s="344"/>
      <c r="KCJ45" s="344"/>
      <c r="KCK45" s="344"/>
      <c r="KCL45" s="344"/>
      <c r="KCM45" s="344"/>
      <c r="KCN45" s="344"/>
      <c r="KCO45" s="344"/>
      <c r="KCP45" s="344"/>
      <c r="KCQ45" s="344"/>
      <c r="KCR45" s="344"/>
      <c r="KCS45" s="344"/>
      <c r="KCT45" s="344"/>
      <c r="KCU45" s="344"/>
      <c r="KCV45" s="344"/>
      <c r="KCW45" s="344"/>
      <c r="KCX45" s="344"/>
      <c r="KCY45" s="344"/>
      <c r="KCZ45" s="344"/>
      <c r="KDA45" s="344"/>
      <c r="KDB45" s="344"/>
      <c r="KDC45" s="344"/>
      <c r="KDD45" s="344"/>
      <c r="KDE45" s="344"/>
      <c r="KDF45" s="344"/>
      <c r="KDG45" s="344"/>
      <c r="KDH45" s="344"/>
      <c r="KDI45" s="344"/>
      <c r="KDJ45" s="344"/>
      <c r="KDK45" s="344"/>
      <c r="KDL45" s="344"/>
      <c r="KDM45" s="344"/>
      <c r="KDN45" s="344"/>
      <c r="KDO45" s="344"/>
      <c r="KDP45" s="344"/>
      <c r="KDQ45" s="344"/>
      <c r="KDR45" s="344"/>
      <c r="KDS45" s="344"/>
      <c r="KDT45" s="344"/>
      <c r="KDU45" s="344"/>
      <c r="KDV45" s="344"/>
      <c r="KDW45" s="344"/>
      <c r="KDX45" s="344"/>
      <c r="KDY45" s="344"/>
      <c r="KDZ45" s="344"/>
      <c r="KEA45" s="344"/>
      <c r="KEB45" s="344"/>
      <c r="KEC45" s="344"/>
      <c r="KED45" s="344"/>
      <c r="KEE45" s="344"/>
      <c r="KEF45" s="344"/>
      <c r="KEG45" s="344"/>
      <c r="KEH45" s="344"/>
      <c r="KEI45" s="344"/>
      <c r="KEJ45" s="344"/>
      <c r="KEK45" s="344"/>
      <c r="KEL45" s="344"/>
      <c r="KEM45" s="344"/>
      <c r="KEN45" s="344"/>
      <c r="KEO45" s="344"/>
      <c r="KEP45" s="344"/>
      <c r="KEQ45" s="344"/>
      <c r="KER45" s="344"/>
      <c r="KES45" s="344"/>
      <c r="KET45" s="344"/>
      <c r="KEU45" s="344"/>
      <c r="KEV45" s="344"/>
      <c r="KEW45" s="344"/>
      <c r="KEX45" s="344"/>
      <c r="KEY45" s="344"/>
      <c r="KEZ45" s="344"/>
      <c r="KFA45" s="344"/>
      <c r="KFB45" s="344"/>
      <c r="KFC45" s="344"/>
      <c r="KFD45" s="344"/>
      <c r="KFE45" s="344"/>
      <c r="KFF45" s="344"/>
      <c r="KFG45" s="344"/>
      <c r="KFH45" s="344"/>
      <c r="KFI45" s="344"/>
      <c r="KFJ45" s="344"/>
      <c r="KFK45" s="344"/>
      <c r="KFL45" s="344"/>
      <c r="KFM45" s="344"/>
      <c r="KFN45" s="344"/>
      <c r="KFO45" s="344"/>
      <c r="KFP45" s="344"/>
      <c r="KFQ45" s="344"/>
      <c r="KFR45" s="344"/>
      <c r="KFS45" s="344"/>
      <c r="KFT45" s="344"/>
      <c r="KFU45" s="344"/>
      <c r="KFV45" s="344"/>
      <c r="KFW45" s="344"/>
      <c r="KFX45" s="344"/>
      <c r="KFY45" s="344"/>
      <c r="KFZ45" s="344"/>
      <c r="KGA45" s="344"/>
      <c r="KGB45" s="344"/>
      <c r="KGC45" s="344"/>
      <c r="KGD45" s="344"/>
      <c r="KGE45" s="344"/>
      <c r="KGF45" s="344"/>
      <c r="KGG45" s="344"/>
      <c r="KGH45" s="344"/>
      <c r="KGI45" s="344"/>
      <c r="KGJ45" s="344"/>
      <c r="KGK45" s="344"/>
      <c r="KGL45" s="344"/>
      <c r="KGM45" s="344"/>
      <c r="KGN45" s="344"/>
      <c r="KGO45" s="344"/>
      <c r="KGP45" s="344"/>
      <c r="KGQ45" s="344"/>
      <c r="KGR45" s="344"/>
      <c r="KGS45" s="344"/>
      <c r="KGT45" s="344"/>
      <c r="KGU45" s="344"/>
      <c r="KGV45" s="344"/>
      <c r="KGW45" s="344"/>
      <c r="KGX45" s="344"/>
      <c r="KGY45" s="344"/>
      <c r="KGZ45" s="344"/>
      <c r="KHA45" s="344"/>
      <c r="KHB45" s="344"/>
      <c r="KHC45" s="344"/>
      <c r="KHD45" s="344"/>
      <c r="KHE45" s="344"/>
      <c r="KHF45" s="344"/>
      <c r="KHG45" s="344"/>
      <c r="KHH45" s="344"/>
      <c r="KHI45" s="344"/>
      <c r="KHJ45" s="344"/>
      <c r="KHK45" s="344"/>
      <c r="KHL45" s="344"/>
      <c r="KHM45" s="344"/>
      <c r="KHN45" s="344"/>
      <c r="KHO45" s="344"/>
      <c r="KHP45" s="344"/>
      <c r="KHQ45" s="344"/>
      <c r="KHR45" s="344"/>
      <c r="KHS45" s="344"/>
      <c r="KHT45" s="344"/>
      <c r="KHU45" s="344"/>
      <c r="KHV45" s="344"/>
      <c r="KHW45" s="344"/>
      <c r="KHX45" s="344"/>
      <c r="KHY45" s="344"/>
      <c r="KHZ45" s="344"/>
      <c r="KIA45" s="344"/>
      <c r="KIB45" s="344"/>
      <c r="KIC45" s="344"/>
      <c r="KID45" s="344"/>
      <c r="KIE45" s="344"/>
      <c r="KIF45" s="344"/>
      <c r="KIG45" s="344"/>
      <c r="KIH45" s="344"/>
      <c r="KII45" s="344"/>
      <c r="KIJ45" s="344"/>
      <c r="KIK45" s="344"/>
      <c r="KIL45" s="344"/>
      <c r="KIM45" s="344"/>
      <c r="KIN45" s="344"/>
      <c r="KIO45" s="344"/>
      <c r="KIP45" s="344"/>
      <c r="KIQ45" s="344"/>
      <c r="KIR45" s="344"/>
      <c r="KIS45" s="344"/>
      <c r="KIT45" s="344"/>
      <c r="KIU45" s="344"/>
      <c r="KIV45" s="344"/>
      <c r="KIW45" s="344"/>
      <c r="KIX45" s="344"/>
      <c r="KIY45" s="344"/>
      <c r="KIZ45" s="344"/>
      <c r="KJA45" s="344"/>
      <c r="KJB45" s="344"/>
      <c r="KJC45" s="344"/>
      <c r="KJD45" s="344"/>
      <c r="KJE45" s="344"/>
      <c r="KJF45" s="344"/>
      <c r="KJG45" s="344"/>
      <c r="KJH45" s="344"/>
      <c r="KJI45" s="344"/>
      <c r="KJJ45" s="344"/>
      <c r="KJK45" s="344"/>
      <c r="KJL45" s="344"/>
      <c r="KJM45" s="344"/>
      <c r="KJN45" s="344"/>
      <c r="KJO45" s="344"/>
      <c r="KJP45" s="344"/>
      <c r="KJQ45" s="344"/>
      <c r="KJR45" s="344"/>
      <c r="KJS45" s="344"/>
      <c r="KJT45" s="344"/>
      <c r="KJU45" s="344"/>
      <c r="KJV45" s="344"/>
      <c r="KJW45" s="344"/>
      <c r="KJX45" s="344"/>
      <c r="KJY45" s="344"/>
      <c r="KJZ45" s="344"/>
      <c r="KKA45" s="344"/>
      <c r="KKB45" s="344"/>
      <c r="KKC45" s="344"/>
      <c r="KKD45" s="344"/>
      <c r="KKE45" s="344"/>
      <c r="KKF45" s="344"/>
      <c r="KKG45" s="344"/>
      <c r="KKH45" s="344"/>
      <c r="KKI45" s="344"/>
      <c r="KKJ45" s="344"/>
      <c r="KKK45" s="344"/>
      <c r="KKL45" s="344"/>
      <c r="KKM45" s="344"/>
      <c r="KKN45" s="344"/>
      <c r="KKO45" s="344"/>
      <c r="KKP45" s="344"/>
      <c r="KKQ45" s="344"/>
      <c r="KKR45" s="344"/>
      <c r="KKS45" s="344"/>
      <c r="KKT45" s="344"/>
      <c r="KKU45" s="344"/>
      <c r="KKV45" s="344"/>
      <c r="KKW45" s="344"/>
      <c r="KKX45" s="344"/>
      <c r="KKY45" s="344"/>
      <c r="KKZ45" s="344"/>
      <c r="KLA45" s="344"/>
      <c r="KLB45" s="344"/>
      <c r="KLC45" s="344"/>
      <c r="KLD45" s="344"/>
      <c r="KLE45" s="344"/>
      <c r="KLF45" s="344"/>
      <c r="KLG45" s="344"/>
      <c r="KLH45" s="344"/>
      <c r="KLI45" s="344"/>
      <c r="KLJ45" s="344"/>
      <c r="KLK45" s="344"/>
      <c r="KLL45" s="344"/>
      <c r="KLM45" s="344"/>
      <c r="KLN45" s="344"/>
      <c r="KLO45" s="344"/>
      <c r="KLP45" s="344"/>
      <c r="KLQ45" s="344"/>
      <c r="KLR45" s="344"/>
      <c r="KLS45" s="344"/>
      <c r="KLT45" s="344"/>
      <c r="KLU45" s="344"/>
      <c r="KLV45" s="344"/>
      <c r="KLW45" s="344"/>
      <c r="KLX45" s="344"/>
      <c r="KLY45" s="344"/>
      <c r="KLZ45" s="344"/>
      <c r="KMA45" s="344"/>
      <c r="KMB45" s="344"/>
      <c r="KMC45" s="344"/>
      <c r="KMD45" s="344"/>
      <c r="KME45" s="344"/>
      <c r="KMF45" s="344"/>
      <c r="KMG45" s="344"/>
      <c r="KMH45" s="344"/>
      <c r="KMI45" s="344"/>
      <c r="KMJ45" s="344"/>
      <c r="KMK45" s="344"/>
      <c r="KML45" s="344"/>
      <c r="KMM45" s="344"/>
      <c r="KMN45" s="344"/>
      <c r="KMO45" s="344"/>
      <c r="KMP45" s="344"/>
      <c r="KMQ45" s="344"/>
      <c r="KMR45" s="344"/>
      <c r="KMS45" s="344"/>
      <c r="KMT45" s="344"/>
      <c r="KMU45" s="344"/>
      <c r="KMV45" s="344"/>
      <c r="KMW45" s="344"/>
      <c r="KMX45" s="344"/>
      <c r="KMY45" s="344"/>
      <c r="KMZ45" s="344"/>
      <c r="KNA45" s="344"/>
      <c r="KNB45" s="344"/>
      <c r="KNC45" s="344"/>
      <c r="KND45" s="344"/>
      <c r="KNE45" s="344"/>
      <c r="KNF45" s="344"/>
      <c r="KNG45" s="344"/>
      <c r="KNH45" s="344"/>
      <c r="KNI45" s="344"/>
      <c r="KNJ45" s="344"/>
      <c r="KNK45" s="344"/>
      <c r="KNL45" s="344"/>
      <c r="KNM45" s="344"/>
      <c r="KNN45" s="344"/>
      <c r="KNO45" s="344"/>
      <c r="KNP45" s="344"/>
      <c r="KNQ45" s="344"/>
      <c r="KNR45" s="344"/>
      <c r="KNS45" s="344"/>
      <c r="KNT45" s="344"/>
      <c r="KNU45" s="344"/>
      <c r="KNV45" s="344"/>
      <c r="KNW45" s="344"/>
      <c r="KNX45" s="344"/>
      <c r="KNY45" s="344"/>
      <c r="KNZ45" s="344"/>
      <c r="KOA45" s="344"/>
      <c r="KOB45" s="344"/>
      <c r="KOC45" s="344"/>
      <c r="KOD45" s="344"/>
      <c r="KOE45" s="344"/>
      <c r="KOF45" s="344"/>
      <c r="KOG45" s="344"/>
      <c r="KOH45" s="344"/>
      <c r="KOI45" s="344"/>
      <c r="KOJ45" s="344"/>
      <c r="KOK45" s="344"/>
      <c r="KOL45" s="344"/>
      <c r="KOM45" s="344"/>
      <c r="KON45" s="344"/>
      <c r="KOO45" s="344"/>
      <c r="KOP45" s="344"/>
      <c r="KOQ45" s="344"/>
      <c r="KOR45" s="344"/>
      <c r="KOS45" s="344"/>
      <c r="KOT45" s="344"/>
      <c r="KOU45" s="344"/>
      <c r="KOV45" s="344"/>
      <c r="KOW45" s="344"/>
      <c r="KOX45" s="344"/>
      <c r="KOY45" s="344"/>
      <c r="KOZ45" s="344"/>
      <c r="KPA45" s="344"/>
      <c r="KPB45" s="344"/>
      <c r="KPC45" s="344"/>
      <c r="KPD45" s="344"/>
      <c r="KPE45" s="344"/>
      <c r="KPF45" s="344"/>
      <c r="KPG45" s="344"/>
      <c r="KPH45" s="344"/>
      <c r="KPI45" s="344"/>
      <c r="KPJ45" s="344"/>
      <c r="KPK45" s="344"/>
      <c r="KPL45" s="344"/>
      <c r="KPM45" s="344"/>
      <c r="KPN45" s="344"/>
      <c r="KPO45" s="344"/>
      <c r="KPP45" s="344"/>
      <c r="KPQ45" s="344"/>
      <c r="KPR45" s="344"/>
      <c r="KPS45" s="344"/>
      <c r="KPT45" s="344"/>
      <c r="KPU45" s="344"/>
      <c r="KPV45" s="344"/>
      <c r="KPW45" s="344"/>
      <c r="KPX45" s="344"/>
      <c r="KPY45" s="344"/>
      <c r="KPZ45" s="344"/>
      <c r="KQA45" s="344"/>
      <c r="KQB45" s="344"/>
      <c r="KQC45" s="344"/>
      <c r="KQD45" s="344"/>
      <c r="KQE45" s="344"/>
      <c r="KQF45" s="344"/>
      <c r="KQG45" s="344"/>
      <c r="KQH45" s="344"/>
      <c r="KQI45" s="344"/>
      <c r="KQJ45" s="344"/>
      <c r="KQK45" s="344"/>
      <c r="KQL45" s="344"/>
      <c r="KQM45" s="344"/>
      <c r="KQN45" s="344"/>
      <c r="KQO45" s="344"/>
      <c r="KQP45" s="344"/>
      <c r="KQQ45" s="344"/>
      <c r="KQR45" s="344"/>
      <c r="KQS45" s="344"/>
      <c r="KQT45" s="344"/>
      <c r="KQU45" s="344"/>
      <c r="KQV45" s="344"/>
      <c r="KQW45" s="344"/>
      <c r="KQX45" s="344"/>
      <c r="KQY45" s="344"/>
      <c r="KQZ45" s="344"/>
      <c r="KRA45" s="344"/>
      <c r="KRB45" s="344"/>
      <c r="KRC45" s="344"/>
      <c r="KRD45" s="344"/>
      <c r="KRE45" s="344"/>
      <c r="KRF45" s="344"/>
      <c r="KRG45" s="344"/>
      <c r="KRH45" s="344"/>
      <c r="KRI45" s="344"/>
      <c r="KRJ45" s="344"/>
      <c r="KRK45" s="344"/>
      <c r="KRL45" s="344"/>
      <c r="KRM45" s="344"/>
      <c r="KRN45" s="344"/>
      <c r="KRO45" s="344"/>
      <c r="KRP45" s="344"/>
      <c r="KRQ45" s="344"/>
      <c r="KRR45" s="344"/>
      <c r="KRS45" s="344"/>
      <c r="KRT45" s="344"/>
      <c r="KRU45" s="344"/>
      <c r="KRV45" s="344"/>
      <c r="KRW45" s="344"/>
      <c r="KRX45" s="344"/>
      <c r="KRY45" s="344"/>
      <c r="KRZ45" s="344"/>
      <c r="KSA45" s="344"/>
      <c r="KSB45" s="344"/>
      <c r="KSC45" s="344"/>
      <c r="KSD45" s="344"/>
      <c r="KSE45" s="344"/>
      <c r="KSF45" s="344"/>
      <c r="KSG45" s="344"/>
      <c r="KSH45" s="344"/>
      <c r="KSI45" s="344"/>
      <c r="KSJ45" s="344"/>
      <c r="KSK45" s="344"/>
      <c r="KSL45" s="344"/>
      <c r="KSM45" s="344"/>
      <c r="KSN45" s="344"/>
      <c r="KSO45" s="344"/>
      <c r="KSP45" s="344"/>
      <c r="KSQ45" s="344"/>
      <c r="KSR45" s="344"/>
      <c r="KSS45" s="344"/>
      <c r="KST45" s="344"/>
      <c r="KSU45" s="344"/>
      <c r="KSV45" s="344"/>
      <c r="KSW45" s="344"/>
      <c r="KSX45" s="344"/>
      <c r="KSY45" s="344"/>
      <c r="KSZ45" s="344"/>
      <c r="KTA45" s="344"/>
      <c r="KTB45" s="344"/>
      <c r="KTC45" s="344"/>
      <c r="KTD45" s="344"/>
      <c r="KTE45" s="344"/>
      <c r="KTF45" s="344"/>
      <c r="KTG45" s="344"/>
      <c r="KTH45" s="344"/>
      <c r="KTI45" s="344"/>
      <c r="KTJ45" s="344"/>
      <c r="KTK45" s="344"/>
      <c r="KTL45" s="344"/>
      <c r="KTM45" s="344"/>
      <c r="KTN45" s="344"/>
      <c r="KTO45" s="344"/>
      <c r="KTP45" s="344"/>
      <c r="KTQ45" s="344"/>
      <c r="KTR45" s="344"/>
      <c r="KTS45" s="344"/>
      <c r="KTT45" s="344"/>
      <c r="KTU45" s="344"/>
      <c r="KTV45" s="344"/>
      <c r="KTW45" s="344"/>
      <c r="KTX45" s="344"/>
      <c r="KTY45" s="344"/>
      <c r="KTZ45" s="344"/>
      <c r="KUA45" s="344"/>
      <c r="KUB45" s="344"/>
      <c r="KUC45" s="344"/>
      <c r="KUD45" s="344"/>
      <c r="KUE45" s="344"/>
      <c r="KUF45" s="344"/>
      <c r="KUG45" s="344"/>
      <c r="KUH45" s="344"/>
      <c r="KUI45" s="344"/>
      <c r="KUJ45" s="344"/>
      <c r="KUK45" s="344"/>
      <c r="KUL45" s="344"/>
      <c r="KUM45" s="344"/>
      <c r="KUN45" s="344"/>
      <c r="KUO45" s="344"/>
      <c r="KUP45" s="344"/>
      <c r="KUQ45" s="344"/>
      <c r="KUR45" s="344"/>
      <c r="KUS45" s="344"/>
      <c r="KUT45" s="344"/>
      <c r="KUU45" s="344"/>
      <c r="KUV45" s="344"/>
      <c r="KUW45" s="344"/>
      <c r="KUX45" s="344"/>
      <c r="KUY45" s="344"/>
      <c r="KUZ45" s="344"/>
      <c r="KVA45" s="344"/>
      <c r="KVB45" s="344"/>
      <c r="KVC45" s="344"/>
      <c r="KVD45" s="344"/>
      <c r="KVE45" s="344"/>
      <c r="KVF45" s="344"/>
      <c r="KVG45" s="344"/>
      <c r="KVH45" s="344"/>
      <c r="KVI45" s="344"/>
      <c r="KVJ45" s="344"/>
      <c r="KVK45" s="344"/>
      <c r="KVL45" s="344"/>
      <c r="KVM45" s="344"/>
      <c r="KVN45" s="344"/>
      <c r="KVO45" s="344"/>
      <c r="KVP45" s="344"/>
      <c r="KVQ45" s="344"/>
      <c r="KVR45" s="344"/>
      <c r="KVS45" s="344"/>
      <c r="KVT45" s="344"/>
      <c r="KVU45" s="344"/>
      <c r="KVV45" s="344"/>
      <c r="KVW45" s="344"/>
      <c r="KVX45" s="344"/>
      <c r="KVY45" s="344"/>
      <c r="KVZ45" s="344"/>
      <c r="KWA45" s="344"/>
      <c r="KWB45" s="344"/>
      <c r="KWC45" s="344"/>
      <c r="KWD45" s="344"/>
      <c r="KWE45" s="344"/>
      <c r="KWF45" s="344"/>
      <c r="KWG45" s="344"/>
      <c r="KWH45" s="344"/>
      <c r="KWI45" s="344"/>
      <c r="KWJ45" s="344"/>
      <c r="KWK45" s="344"/>
      <c r="KWL45" s="344"/>
      <c r="KWM45" s="344"/>
      <c r="KWN45" s="344"/>
      <c r="KWO45" s="344"/>
      <c r="KWP45" s="344"/>
      <c r="KWQ45" s="344"/>
      <c r="KWR45" s="344"/>
      <c r="KWS45" s="344"/>
      <c r="KWT45" s="344"/>
      <c r="KWU45" s="344"/>
      <c r="KWV45" s="344"/>
      <c r="KWW45" s="344"/>
      <c r="KWX45" s="344"/>
      <c r="KWY45" s="344"/>
      <c r="KWZ45" s="344"/>
      <c r="KXA45" s="344"/>
      <c r="KXB45" s="344"/>
      <c r="KXC45" s="344"/>
      <c r="KXD45" s="344"/>
      <c r="KXE45" s="344"/>
      <c r="KXF45" s="344"/>
      <c r="KXG45" s="344"/>
      <c r="KXH45" s="344"/>
      <c r="KXI45" s="344"/>
      <c r="KXJ45" s="344"/>
      <c r="KXK45" s="344"/>
      <c r="KXL45" s="344"/>
      <c r="KXM45" s="344"/>
      <c r="KXN45" s="344"/>
      <c r="KXO45" s="344"/>
      <c r="KXP45" s="344"/>
      <c r="KXQ45" s="344"/>
      <c r="KXR45" s="344"/>
      <c r="KXS45" s="344"/>
      <c r="KXT45" s="344"/>
      <c r="KXU45" s="344"/>
      <c r="KXV45" s="344"/>
      <c r="KXW45" s="344"/>
      <c r="KXX45" s="344"/>
      <c r="KXY45" s="344"/>
      <c r="KXZ45" s="344"/>
      <c r="KYA45" s="344"/>
      <c r="KYB45" s="344"/>
      <c r="KYC45" s="344"/>
      <c r="KYD45" s="344"/>
      <c r="KYE45" s="344"/>
      <c r="KYF45" s="344"/>
      <c r="KYG45" s="344"/>
      <c r="KYH45" s="344"/>
      <c r="KYI45" s="344"/>
      <c r="KYJ45" s="344"/>
      <c r="KYK45" s="344"/>
      <c r="KYL45" s="344"/>
      <c r="KYM45" s="344"/>
      <c r="KYN45" s="344"/>
      <c r="KYO45" s="344"/>
      <c r="KYP45" s="344"/>
      <c r="KYQ45" s="344"/>
      <c r="KYR45" s="344"/>
      <c r="KYS45" s="344"/>
      <c r="KYT45" s="344"/>
      <c r="KYU45" s="344"/>
      <c r="KYV45" s="344"/>
      <c r="KYW45" s="344"/>
      <c r="KYX45" s="344"/>
      <c r="KYY45" s="344"/>
      <c r="KYZ45" s="344"/>
      <c r="KZA45" s="344"/>
      <c r="KZB45" s="344"/>
      <c r="KZC45" s="344"/>
      <c r="KZD45" s="344"/>
      <c r="KZE45" s="344"/>
      <c r="KZF45" s="344"/>
      <c r="KZG45" s="344"/>
      <c r="KZH45" s="344"/>
      <c r="KZI45" s="344"/>
      <c r="KZJ45" s="344"/>
      <c r="KZK45" s="344"/>
      <c r="KZL45" s="344"/>
      <c r="KZM45" s="344"/>
      <c r="KZN45" s="344"/>
      <c r="KZO45" s="344"/>
      <c r="KZP45" s="344"/>
      <c r="KZQ45" s="344"/>
      <c r="KZR45" s="344"/>
      <c r="KZS45" s="344"/>
      <c r="KZT45" s="344"/>
      <c r="KZU45" s="344"/>
      <c r="KZV45" s="344"/>
      <c r="KZW45" s="344"/>
      <c r="KZX45" s="344"/>
      <c r="KZY45" s="344"/>
      <c r="KZZ45" s="344"/>
      <c r="LAA45" s="344"/>
      <c r="LAB45" s="344"/>
      <c r="LAC45" s="344"/>
      <c r="LAD45" s="344"/>
      <c r="LAE45" s="344"/>
      <c r="LAF45" s="344"/>
      <c r="LAG45" s="344"/>
      <c r="LAH45" s="344"/>
      <c r="LAI45" s="344"/>
      <c r="LAJ45" s="344"/>
      <c r="LAK45" s="344"/>
      <c r="LAL45" s="344"/>
      <c r="LAM45" s="344"/>
      <c r="LAN45" s="344"/>
      <c r="LAO45" s="344"/>
      <c r="LAP45" s="344"/>
      <c r="LAQ45" s="344"/>
      <c r="LAR45" s="344"/>
      <c r="LAS45" s="344"/>
      <c r="LAT45" s="344"/>
      <c r="LAU45" s="344"/>
      <c r="LAV45" s="344"/>
      <c r="LAW45" s="344"/>
      <c r="LAX45" s="344"/>
      <c r="LAY45" s="344"/>
      <c r="LAZ45" s="344"/>
      <c r="LBA45" s="344"/>
      <c r="LBB45" s="344"/>
      <c r="LBC45" s="344"/>
      <c r="LBD45" s="344"/>
      <c r="LBE45" s="344"/>
      <c r="LBF45" s="344"/>
      <c r="LBG45" s="344"/>
      <c r="LBH45" s="344"/>
      <c r="LBI45" s="344"/>
      <c r="LBJ45" s="344"/>
      <c r="LBK45" s="344"/>
      <c r="LBL45" s="344"/>
      <c r="LBM45" s="344"/>
      <c r="LBN45" s="344"/>
      <c r="LBO45" s="344"/>
      <c r="LBP45" s="344"/>
      <c r="LBQ45" s="344"/>
      <c r="LBR45" s="344"/>
      <c r="LBS45" s="344"/>
      <c r="LBT45" s="344"/>
      <c r="LBU45" s="344"/>
      <c r="LBV45" s="344"/>
      <c r="LBW45" s="344"/>
      <c r="LBX45" s="344"/>
      <c r="LBY45" s="344"/>
      <c r="LBZ45" s="344"/>
      <c r="LCA45" s="344"/>
      <c r="LCB45" s="344"/>
      <c r="LCC45" s="344"/>
      <c r="LCD45" s="344"/>
      <c r="LCE45" s="344"/>
      <c r="LCF45" s="344"/>
      <c r="LCG45" s="344"/>
      <c r="LCH45" s="344"/>
      <c r="LCI45" s="344"/>
      <c r="LCJ45" s="344"/>
      <c r="LCK45" s="344"/>
      <c r="LCL45" s="344"/>
      <c r="LCM45" s="344"/>
      <c r="LCN45" s="344"/>
      <c r="LCO45" s="344"/>
      <c r="LCP45" s="344"/>
      <c r="LCQ45" s="344"/>
      <c r="LCR45" s="344"/>
      <c r="LCS45" s="344"/>
      <c r="LCT45" s="344"/>
      <c r="LCU45" s="344"/>
      <c r="LCV45" s="344"/>
      <c r="LCW45" s="344"/>
      <c r="LCX45" s="344"/>
      <c r="LCY45" s="344"/>
      <c r="LCZ45" s="344"/>
      <c r="LDA45" s="344"/>
      <c r="LDB45" s="344"/>
      <c r="LDC45" s="344"/>
      <c r="LDD45" s="344"/>
      <c r="LDE45" s="344"/>
      <c r="LDF45" s="344"/>
      <c r="LDG45" s="344"/>
      <c r="LDH45" s="344"/>
      <c r="LDI45" s="344"/>
      <c r="LDJ45" s="344"/>
      <c r="LDK45" s="344"/>
      <c r="LDL45" s="344"/>
      <c r="LDM45" s="344"/>
      <c r="LDN45" s="344"/>
      <c r="LDO45" s="344"/>
      <c r="LDP45" s="344"/>
      <c r="LDQ45" s="344"/>
      <c r="LDR45" s="344"/>
      <c r="LDS45" s="344"/>
      <c r="LDT45" s="344"/>
      <c r="LDU45" s="344"/>
      <c r="LDV45" s="344"/>
      <c r="LDW45" s="344"/>
      <c r="LDX45" s="344"/>
      <c r="LDY45" s="344"/>
      <c r="LDZ45" s="344"/>
      <c r="LEA45" s="344"/>
      <c r="LEB45" s="344"/>
      <c r="LEC45" s="344"/>
      <c r="LED45" s="344"/>
      <c r="LEE45" s="344"/>
      <c r="LEF45" s="344"/>
      <c r="LEG45" s="344"/>
      <c r="LEH45" s="344"/>
      <c r="LEI45" s="344"/>
      <c r="LEJ45" s="344"/>
      <c r="LEK45" s="344"/>
      <c r="LEL45" s="344"/>
      <c r="LEM45" s="344"/>
      <c r="LEN45" s="344"/>
      <c r="LEO45" s="344"/>
      <c r="LEP45" s="344"/>
      <c r="LEQ45" s="344"/>
      <c r="LER45" s="344"/>
      <c r="LES45" s="344"/>
      <c r="LET45" s="344"/>
      <c r="LEU45" s="344"/>
      <c r="LEV45" s="344"/>
      <c r="LEW45" s="344"/>
      <c r="LEX45" s="344"/>
      <c r="LEY45" s="344"/>
      <c r="LEZ45" s="344"/>
      <c r="LFA45" s="344"/>
      <c r="LFB45" s="344"/>
      <c r="LFC45" s="344"/>
      <c r="LFD45" s="344"/>
      <c r="LFE45" s="344"/>
      <c r="LFF45" s="344"/>
      <c r="LFG45" s="344"/>
      <c r="LFH45" s="344"/>
      <c r="LFI45" s="344"/>
      <c r="LFJ45" s="344"/>
      <c r="LFK45" s="344"/>
      <c r="LFL45" s="344"/>
      <c r="LFM45" s="344"/>
      <c r="LFN45" s="344"/>
      <c r="LFO45" s="344"/>
      <c r="LFP45" s="344"/>
      <c r="LFQ45" s="344"/>
      <c r="LFR45" s="344"/>
      <c r="LFS45" s="344"/>
      <c r="LFT45" s="344"/>
      <c r="LFU45" s="344"/>
      <c r="LFV45" s="344"/>
      <c r="LFW45" s="344"/>
      <c r="LFX45" s="344"/>
      <c r="LFY45" s="344"/>
      <c r="LFZ45" s="344"/>
      <c r="LGA45" s="344"/>
      <c r="LGB45" s="344"/>
      <c r="LGC45" s="344"/>
      <c r="LGD45" s="344"/>
      <c r="LGE45" s="344"/>
      <c r="LGF45" s="344"/>
      <c r="LGG45" s="344"/>
      <c r="LGH45" s="344"/>
      <c r="LGI45" s="344"/>
      <c r="LGJ45" s="344"/>
      <c r="LGK45" s="344"/>
      <c r="LGL45" s="344"/>
      <c r="LGM45" s="344"/>
      <c r="LGN45" s="344"/>
      <c r="LGO45" s="344"/>
      <c r="LGP45" s="344"/>
      <c r="LGQ45" s="344"/>
      <c r="LGR45" s="344"/>
      <c r="LGS45" s="344"/>
      <c r="LGT45" s="344"/>
      <c r="LGU45" s="344"/>
      <c r="LGV45" s="344"/>
      <c r="LGW45" s="344"/>
      <c r="LGX45" s="344"/>
      <c r="LGY45" s="344"/>
      <c r="LGZ45" s="344"/>
      <c r="LHA45" s="344"/>
      <c r="LHB45" s="344"/>
      <c r="LHC45" s="344"/>
      <c r="LHD45" s="344"/>
      <c r="LHE45" s="344"/>
      <c r="LHF45" s="344"/>
      <c r="LHG45" s="344"/>
      <c r="LHH45" s="344"/>
      <c r="LHI45" s="344"/>
      <c r="LHJ45" s="344"/>
      <c r="LHK45" s="344"/>
      <c r="LHL45" s="344"/>
      <c r="LHM45" s="344"/>
      <c r="LHN45" s="344"/>
      <c r="LHO45" s="344"/>
      <c r="LHP45" s="344"/>
      <c r="LHQ45" s="344"/>
      <c r="LHR45" s="344"/>
      <c r="LHS45" s="344"/>
      <c r="LHT45" s="344"/>
      <c r="LHU45" s="344"/>
      <c r="LHV45" s="344"/>
      <c r="LHW45" s="344"/>
      <c r="LHX45" s="344"/>
      <c r="LHY45" s="344"/>
      <c r="LHZ45" s="344"/>
      <c r="LIA45" s="344"/>
      <c r="LIB45" s="344"/>
      <c r="LIC45" s="344"/>
      <c r="LID45" s="344"/>
      <c r="LIE45" s="344"/>
      <c r="LIF45" s="344"/>
      <c r="LIG45" s="344"/>
      <c r="LIH45" s="344"/>
      <c r="LII45" s="344"/>
      <c r="LIJ45" s="344"/>
      <c r="LIK45" s="344"/>
      <c r="LIL45" s="344"/>
      <c r="LIM45" s="344"/>
      <c r="LIN45" s="344"/>
      <c r="LIO45" s="344"/>
      <c r="LIP45" s="344"/>
      <c r="LIQ45" s="344"/>
      <c r="LIR45" s="344"/>
      <c r="LIS45" s="344"/>
      <c r="LIT45" s="344"/>
      <c r="LIU45" s="344"/>
      <c r="LIV45" s="344"/>
      <c r="LIW45" s="344"/>
      <c r="LIX45" s="344"/>
      <c r="LIY45" s="344"/>
      <c r="LIZ45" s="344"/>
      <c r="LJA45" s="344"/>
      <c r="LJB45" s="344"/>
      <c r="LJC45" s="344"/>
      <c r="LJD45" s="344"/>
      <c r="LJE45" s="344"/>
      <c r="LJF45" s="344"/>
      <c r="LJG45" s="344"/>
      <c r="LJH45" s="344"/>
      <c r="LJI45" s="344"/>
      <c r="LJJ45" s="344"/>
      <c r="LJK45" s="344"/>
      <c r="LJL45" s="344"/>
      <c r="LJM45" s="344"/>
      <c r="LJN45" s="344"/>
      <c r="LJO45" s="344"/>
      <c r="LJP45" s="344"/>
      <c r="LJQ45" s="344"/>
      <c r="LJR45" s="344"/>
      <c r="LJS45" s="344"/>
      <c r="LJT45" s="344"/>
      <c r="LJU45" s="344"/>
      <c r="LJV45" s="344"/>
      <c r="LJW45" s="344"/>
      <c r="LJX45" s="344"/>
      <c r="LJY45" s="344"/>
      <c r="LJZ45" s="344"/>
      <c r="LKA45" s="344"/>
      <c r="LKB45" s="344"/>
      <c r="LKC45" s="344"/>
      <c r="LKD45" s="344"/>
      <c r="LKE45" s="344"/>
      <c r="LKF45" s="344"/>
      <c r="LKG45" s="344"/>
      <c r="LKH45" s="344"/>
      <c r="LKI45" s="344"/>
      <c r="LKJ45" s="344"/>
      <c r="LKK45" s="344"/>
      <c r="LKL45" s="344"/>
      <c r="LKM45" s="344"/>
      <c r="LKN45" s="344"/>
      <c r="LKO45" s="344"/>
      <c r="LKP45" s="344"/>
      <c r="LKQ45" s="344"/>
      <c r="LKR45" s="344"/>
      <c r="LKS45" s="344"/>
      <c r="LKT45" s="344"/>
      <c r="LKU45" s="344"/>
      <c r="LKV45" s="344"/>
      <c r="LKW45" s="344"/>
      <c r="LKX45" s="344"/>
      <c r="LKY45" s="344"/>
      <c r="LKZ45" s="344"/>
      <c r="LLA45" s="344"/>
      <c r="LLB45" s="344"/>
      <c r="LLC45" s="344"/>
      <c r="LLD45" s="344"/>
      <c r="LLE45" s="344"/>
      <c r="LLF45" s="344"/>
      <c r="LLG45" s="344"/>
      <c r="LLH45" s="344"/>
      <c r="LLI45" s="344"/>
      <c r="LLJ45" s="344"/>
      <c r="LLK45" s="344"/>
      <c r="LLL45" s="344"/>
      <c r="LLM45" s="344"/>
      <c r="LLN45" s="344"/>
      <c r="LLO45" s="344"/>
      <c r="LLP45" s="344"/>
      <c r="LLQ45" s="344"/>
      <c r="LLR45" s="344"/>
      <c r="LLS45" s="344"/>
      <c r="LLT45" s="344"/>
      <c r="LLU45" s="344"/>
      <c r="LLV45" s="344"/>
      <c r="LLW45" s="344"/>
      <c r="LLX45" s="344"/>
      <c r="LLY45" s="344"/>
      <c r="LLZ45" s="344"/>
      <c r="LMA45" s="344"/>
      <c r="LMB45" s="344"/>
      <c r="LMC45" s="344"/>
      <c r="LMD45" s="344"/>
      <c r="LME45" s="344"/>
      <c r="LMF45" s="344"/>
      <c r="LMG45" s="344"/>
      <c r="LMH45" s="344"/>
      <c r="LMI45" s="344"/>
      <c r="LMJ45" s="344"/>
      <c r="LMK45" s="344"/>
      <c r="LML45" s="344"/>
      <c r="LMM45" s="344"/>
      <c r="LMN45" s="344"/>
      <c r="LMO45" s="344"/>
      <c r="LMP45" s="344"/>
      <c r="LMQ45" s="344"/>
      <c r="LMR45" s="344"/>
      <c r="LMS45" s="344"/>
      <c r="LMT45" s="344"/>
      <c r="LMU45" s="344"/>
      <c r="LMV45" s="344"/>
      <c r="LMW45" s="344"/>
      <c r="LMX45" s="344"/>
      <c r="LMY45" s="344"/>
      <c r="LMZ45" s="344"/>
      <c r="LNA45" s="344"/>
      <c r="LNB45" s="344"/>
      <c r="LNC45" s="344"/>
      <c r="LND45" s="344"/>
      <c r="LNE45" s="344"/>
      <c r="LNF45" s="344"/>
      <c r="LNG45" s="344"/>
      <c r="LNH45" s="344"/>
      <c r="LNI45" s="344"/>
      <c r="LNJ45" s="344"/>
      <c r="LNK45" s="344"/>
      <c r="LNL45" s="344"/>
      <c r="LNM45" s="344"/>
      <c r="LNN45" s="344"/>
      <c r="LNO45" s="344"/>
      <c r="LNP45" s="344"/>
      <c r="LNQ45" s="344"/>
      <c r="LNR45" s="344"/>
      <c r="LNS45" s="344"/>
      <c r="LNT45" s="344"/>
      <c r="LNU45" s="344"/>
      <c r="LNV45" s="344"/>
      <c r="LNW45" s="344"/>
      <c r="LNX45" s="344"/>
      <c r="LNY45" s="344"/>
      <c r="LNZ45" s="344"/>
      <c r="LOA45" s="344"/>
      <c r="LOB45" s="344"/>
      <c r="LOC45" s="344"/>
      <c r="LOD45" s="344"/>
      <c r="LOE45" s="344"/>
      <c r="LOF45" s="344"/>
      <c r="LOG45" s="344"/>
      <c r="LOH45" s="344"/>
      <c r="LOI45" s="344"/>
      <c r="LOJ45" s="344"/>
      <c r="LOK45" s="344"/>
      <c r="LOL45" s="344"/>
      <c r="LOM45" s="344"/>
      <c r="LON45" s="344"/>
      <c r="LOO45" s="344"/>
      <c r="LOP45" s="344"/>
      <c r="LOQ45" s="344"/>
      <c r="LOR45" s="344"/>
      <c r="LOS45" s="344"/>
      <c r="LOT45" s="344"/>
      <c r="LOU45" s="344"/>
      <c r="LOV45" s="344"/>
      <c r="LOW45" s="344"/>
      <c r="LOX45" s="344"/>
      <c r="LOY45" s="344"/>
      <c r="LOZ45" s="344"/>
      <c r="LPA45" s="344"/>
      <c r="LPB45" s="344"/>
      <c r="LPC45" s="344"/>
      <c r="LPD45" s="344"/>
      <c r="LPE45" s="344"/>
      <c r="LPF45" s="344"/>
      <c r="LPG45" s="344"/>
      <c r="LPH45" s="344"/>
      <c r="LPI45" s="344"/>
      <c r="LPJ45" s="344"/>
      <c r="LPK45" s="344"/>
      <c r="LPL45" s="344"/>
      <c r="LPM45" s="344"/>
      <c r="LPN45" s="344"/>
      <c r="LPO45" s="344"/>
      <c r="LPP45" s="344"/>
      <c r="LPQ45" s="344"/>
      <c r="LPR45" s="344"/>
      <c r="LPS45" s="344"/>
      <c r="LPT45" s="344"/>
      <c r="LPU45" s="344"/>
      <c r="LPV45" s="344"/>
      <c r="LPW45" s="344"/>
      <c r="LPX45" s="344"/>
      <c r="LPY45" s="344"/>
      <c r="LPZ45" s="344"/>
      <c r="LQA45" s="344"/>
      <c r="LQB45" s="344"/>
      <c r="LQC45" s="344"/>
      <c r="LQD45" s="344"/>
      <c r="LQE45" s="344"/>
      <c r="LQF45" s="344"/>
      <c r="LQG45" s="344"/>
      <c r="LQH45" s="344"/>
      <c r="LQI45" s="344"/>
      <c r="LQJ45" s="344"/>
      <c r="LQK45" s="344"/>
      <c r="LQL45" s="344"/>
      <c r="LQM45" s="344"/>
      <c r="LQN45" s="344"/>
      <c r="LQO45" s="344"/>
      <c r="LQP45" s="344"/>
      <c r="LQQ45" s="344"/>
      <c r="LQR45" s="344"/>
      <c r="LQS45" s="344"/>
      <c r="LQT45" s="344"/>
      <c r="LQU45" s="344"/>
      <c r="LQV45" s="344"/>
      <c r="LQW45" s="344"/>
      <c r="LQX45" s="344"/>
      <c r="LQY45" s="344"/>
      <c r="LQZ45" s="344"/>
      <c r="LRA45" s="344"/>
      <c r="LRB45" s="344"/>
      <c r="LRC45" s="344"/>
      <c r="LRD45" s="344"/>
      <c r="LRE45" s="344"/>
      <c r="LRF45" s="344"/>
      <c r="LRG45" s="344"/>
      <c r="LRH45" s="344"/>
      <c r="LRI45" s="344"/>
      <c r="LRJ45" s="344"/>
      <c r="LRK45" s="344"/>
      <c r="LRL45" s="344"/>
      <c r="LRM45" s="344"/>
      <c r="LRN45" s="344"/>
      <c r="LRO45" s="344"/>
      <c r="LRP45" s="344"/>
      <c r="LRQ45" s="344"/>
      <c r="LRR45" s="344"/>
      <c r="LRS45" s="344"/>
      <c r="LRT45" s="344"/>
      <c r="LRU45" s="344"/>
      <c r="LRV45" s="344"/>
      <c r="LRW45" s="344"/>
      <c r="LRX45" s="344"/>
      <c r="LRY45" s="344"/>
      <c r="LRZ45" s="344"/>
      <c r="LSA45" s="344"/>
      <c r="LSB45" s="344"/>
      <c r="LSC45" s="344"/>
      <c r="LSD45" s="344"/>
      <c r="LSE45" s="344"/>
      <c r="LSF45" s="344"/>
      <c r="LSG45" s="344"/>
      <c r="LSH45" s="344"/>
      <c r="LSI45" s="344"/>
      <c r="LSJ45" s="344"/>
      <c r="LSK45" s="344"/>
      <c r="LSL45" s="344"/>
      <c r="LSM45" s="344"/>
      <c r="LSN45" s="344"/>
      <c r="LSO45" s="344"/>
      <c r="LSP45" s="344"/>
      <c r="LSQ45" s="344"/>
      <c r="LSR45" s="344"/>
      <c r="LSS45" s="344"/>
      <c r="LST45" s="344"/>
      <c r="LSU45" s="344"/>
      <c r="LSV45" s="344"/>
      <c r="LSW45" s="344"/>
      <c r="LSX45" s="344"/>
      <c r="LSY45" s="344"/>
      <c r="LSZ45" s="344"/>
      <c r="LTA45" s="344"/>
      <c r="LTB45" s="344"/>
      <c r="LTC45" s="344"/>
      <c r="LTD45" s="344"/>
      <c r="LTE45" s="344"/>
      <c r="LTF45" s="344"/>
      <c r="LTG45" s="344"/>
      <c r="LTH45" s="344"/>
      <c r="LTI45" s="344"/>
      <c r="LTJ45" s="344"/>
      <c r="LTK45" s="344"/>
      <c r="LTL45" s="344"/>
      <c r="LTM45" s="344"/>
      <c r="LTN45" s="344"/>
      <c r="LTO45" s="344"/>
      <c r="LTP45" s="344"/>
      <c r="LTQ45" s="344"/>
      <c r="LTR45" s="344"/>
      <c r="LTS45" s="344"/>
      <c r="LTT45" s="344"/>
      <c r="LTU45" s="344"/>
      <c r="LTV45" s="344"/>
      <c r="LTW45" s="344"/>
      <c r="LTX45" s="344"/>
      <c r="LTY45" s="344"/>
      <c r="LTZ45" s="344"/>
      <c r="LUA45" s="344"/>
      <c r="LUB45" s="344"/>
      <c r="LUC45" s="344"/>
      <c r="LUD45" s="344"/>
      <c r="LUE45" s="344"/>
      <c r="LUF45" s="344"/>
      <c r="LUG45" s="344"/>
      <c r="LUH45" s="344"/>
      <c r="LUI45" s="344"/>
      <c r="LUJ45" s="344"/>
      <c r="LUK45" s="344"/>
      <c r="LUL45" s="344"/>
      <c r="LUM45" s="344"/>
      <c r="LUN45" s="344"/>
      <c r="LUO45" s="344"/>
      <c r="LUP45" s="344"/>
      <c r="LUQ45" s="344"/>
      <c r="LUR45" s="344"/>
      <c r="LUS45" s="344"/>
      <c r="LUT45" s="344"/>
      <c r="LUU45" s="344"/>
      <c r="LUV45" s="344"/>
      <c r="LUW45" s="344"/>
      <c r="LUX45" s="344"/>
      <c r="LUY45" s="344"/>
      <c r="LUZ45" s="344"/>
      <c r="LVA45" s="344"/>
      <c r="LVB45" s="344"/>
      <c r="LVC45" s="344"/>
      <c r="LVD45" s="344"/>
      <c r="LVE45" s="344"/>
      <c r="LVF45" s="344"/>
      <c r="LVG45" s="344"/>
      <c r="LVH45" s="344"/>
      <c r="LVI45" s="344"/>
      <c r="LVJ45" s="344"/>
      <c r="LVK45" s="344"/>
      <c r="LVL45" s="344"/>
      <c r="LVM45" s="344"/>
      <c r="LVN45" s="344"/>
      <c r="LVO45" s="344"/>
      <c r="LVP45" s="344"/>
      <c r="LVQ45" s="344"/>
      <c r="LVR45" s="344"/>
      <c r="LVS45" s="344"/>
      <c r="LVT45" s="344"/>
      <c r="LVU45" s="344"/>
      <c r="LVV45" s="344"/>
      <c r="LVW45" s="344"/>
      <c r="LVX45" s="344"/>
      <c r="LVY45" s="344"/>
      <c r="LVZ45" s="344"/>
      <c r="LWA45" s="344"/>
      <c r="LWB45" s="344"/>
      <c r="LWC45" s="344"/>
      <c r="LWD45" s="344"/>
      <c r="LWE45" s="344"/>
      <c r="LWF45" s="344"/>
      <c r="LWG45" s="344"/>
      <c r="LWH45" s="344"/>
      <c r="LWI45" s="344"/>
      <c r="LWJ45" s="344"/>
      <c r="LWK45" s="344"/>
      <c r="LWL45" s="344"/>
      <c r="LWM45" s="344"/>
      <c r="LWN45" s="344"/>
      <c r="LWO45" s="344"/>
      <c r="LWP45" s="344"/>
      <c r="LWQ45" s="344"/>
      <c r="LWR45" s="344"/>
      <c r="LWS45" s="344"/>
      <c r="LWT45" s="344"/>
      <c r="LWU45" s="344"/>
      <c r="LWV45" s="344"/>
      <c r="LWW45" s="344"/>
      <c r="LWX45" s="344"/>
      <c r="LWY45" s="344"/>
      <c r="LWZ45" s="344"/>
      <c r="LXA45" s="344"/>
      <c r="LXB45" s="344"/>
      <c r="LXC45" s="344"/>
      <c r="LXD45" s="344"/>
      <c r="LXE45" s="344"/>
      <c r="LXF45" s="344"/>
      <c r="LXG45" s="344"/>
      <c r="LXH45" s="344"/>
      <c r="LXI45" s="344"/>
      <c r="LXJ45" s="344"/>
      <c r="LXK45" s="344"/>
      <c r="LXL45" s="344"/>
      <c r="LXM45" s="344"/>
      <c r="LXN45" s="344"/>
      <c r="LXO45" s="344"/>
      <c r="LXP45" s="344"/>
      <c r="LXQ45" s="344"/>
      <c r="LXR45" s="344"/>
      <c r="LXS45" s="344"/>
      <c r="LXT45" s="344"/>
      <c r="LXU45" s="344"/>
      <c r="LXV45" s="344"/>
      <c r="LXW45" s="344"/>
      <c r="LXX45" s="344"/>
      <c r="LXY45" s="344"/>
      <c r="LXZ45" s="344"/>
      <c r="LYA45" s="344"/>
      <c r="LYB45" s="344"/>
      <c r="LYC45" s="344"/>
      <c r="LYD45" s="344"/>
      <c r="LYE45" s="344"/>
      <c r="LYF45" s="344"/>
      <c r="LYG45" s="344"/>
      <c r="LYH45" s="344"/>
      <c r="LYI45" s="344"/>
      <c r="LYJ45" s="344"/>
      <c r="LYK45" s="344"/>
      <c r="LYL45" s="344"/>
      <c r="LYM45" s="344"/>
      <c r="LYN45" s="344"/>
      <c r="LYO45" s="344"/>
      <c r="LYP45" s="344"/>
      <c r="LYQ45" s="344"/>
      <c r="LYR45" s="344"/>
      <c r="LYS45" s="344"/>
      <c r="LYT45" s="344"/>
      <c r="LYU45" s="344"/>
      <c r="LYV45" s="344"/>
      <c r="LYW45" s="344"/>
      <c r="LYX45" s="344"/>
      <c r="LYY45" s="344"/>
      <c r="LYZ45" s="344"/>
      <c r="LZA45" s="344"/>
      <c r="LZB45" s="344"/>
      <c r="LZC45" s="344"/>
      <c r="LZD45" s="344"/>
      <c r="LZE45" s="344"/>
      <c r="LZF45" s="344"/>
      <c r="LZG45" s="344"/>
      <c r="LZH45" s="344"/>
      <c r="LZI45" s="344"/>
      <c r="LZJ45" s="344"/>
      <c r="LZK45" s="344"/>
      <c r="LZL45" s="344"/>
      <c r="LZM45" s="344"/>
      <c r="LZN45" s="344"/>
      <c r="LZO45" s="344"/>
      <c r="LZP45" s="344"/>
      <c r="LZQ45" s="344"/>
      <c r="LZR45" s="344"/>
      <c r="LZS45" s="344"/>
      <c r="LZT45" s="344"/>
      <c r="LZU45" s="344"/>
      <c r="LZV45" s="344"/>
      <c r="LZW45" s="344"/>
      <c r="LZX45" s="344"/>
      <c r="LZY45" s="344"/>
      <c r="LZZ45" s="344"/>
      <c r="MAA45" s="344"/>
      <c r="MAB45" s="344"/>
      <c r="MAC45" s="344"/>
      <c r="MAD45" s="344"/>
      <c r="MAE45" s="344"/>
      <c r="MAF45" s="344"/>
      <c r="MAG45" s="344"/>
      <c r="MAH45" s="344"/>
      <c r="MAI45" s="344"/>
      <c r="MAJ45" s="344"/>
      <c r="MAK45" s="344"/>
      <c r="MAL45" s="344"/>
      <c r="MAM45" s="344"/>
      <c r="MAN45" s="344"/>
      <c r="MAO45" s="344"/>
      <c r="MAP45" s="344"/>
      <c r="MAQ45" s="344"/>
      <c r="MAR45" s="344"/>
      <c r="MAS45" s="344"/>
      <c r="MAT45" s="344"/>
      <c r="MAU45" s="344"/>
      <c r="MAV45" s="344"/>
      <c r="MAW45" s="344"/>
      <c r="MAX45" s="344"/>
      <c r="MAY45" s="344"/>
      <c r="MAZ45" s="344"/>
      <c r="MBA45" s="344"/>
      <c r="MBB45" s="344"/>
      <c r="MBC45" s="344"/>
      <c r="MBD45" s="344"/>
      <c r="MBE45" s="344"/>
      <c r="MBF45" s="344"/>
      <c r="MBG45" s="344"/>
      <c r="MBH45" s="344"/>
      <c r="MBI45" s="344"/>
      <c r="MBJ45" s="344"/>
      <c r="MBK45" s="344"/>
      <c r="MBL45" s="344"/>
      <c r="MBM45" s="344"/>
      <c r="MBN45" s="344"/>
      <c r="MBO45" s="344"/>
      <c r="MBP45" s="344"/>
      <c r="MBQ45" s="344"/>
      <c r="MBR45" s="344"/>
      <c r="MBS45" s="344"/>
      <c r="MBT45" s="344"/>
      <c r="MBU45" s="344"/>
      <c r="MBV45" s="344"/>
      <c r="MBW45" s="344"/>
      <c r="MBX45" s="344"/>
      <c r="MBY45" s="344"/>
      <c r="MBZ45" s="344"/>
      <c r="MCA45" s="344"/>
      <c r="MCB45" s="344"/>
      <c r="MCC45" s="344"/>
      <c r="MCD45" s="344"/>
      <c r="MCE45" s="344"/>
      <c r="MCF45" s="344"/>
      <c r="MCG45" s="344"/>
      <c r="MCH45" s="344"/>
      <c r="MCI45" s="344"/>
      <c r="MCJ45" s="344"/>
      <c r="MCK45" s="344"/>
      <c r="MCL45" s="344"/>
      <c r="MCM45" s="344"/>
      <c r="MCN45" s="344"/>
      <c r="MCO45" s="344"/>
      <c r="MCP45" s="344"/>
      <c r="MCQ45" s="344"/>
      <c r="MCR45" s="344"/>
      <c r="MCS45" s="344"/>
      <c r="MCT45" s="344"/>
      <c r="MCU45" s="344"/>
      <c r="MCV45" s="344"/>
      <c r="MCW45" s="344"/>
      <c r="MCX45" s="344"/>
      <c r="MCY45" s="344"/>
      <c r="MCZ45" s="344"/>
      <c r="MDA45" s="344"/>
      <c r="MDB45" s="344"/>
      <c r="MDC45" s="344"/>
      <c r="MDD45" s="344"/>
      <c r="MDE45" s="344"/>
      <c r="MDF45" s="344"/>
      <c r="MDG45" s="344"/>
      <c r="MDH45" s="344"/>
      <c r="MDI45" s="344"/>
      <c r="MDJ45" s="344"/>
      <c r="MDK45" s="344"/>
      <c r="MDL45" s="344"/>
      <c r="MDM45" s="344"/>
      <c r="MDN45" s="344"/>
      <c r="MDO45" s="344"/>
      <c r="MDP45" s="344"/>
      <c r="MDQ45" s="344"/>
      <c r="MDR45" s="344"/>
      <c r="MDS45" s="344"/>
      <c r="MDT45" s="344"/>
      <c r="MDU45" s="344"/>
      <c r="MDV45" s="344"/>
      <c r="MDW45" s="344"/>
      <c r="MDX45" s="344"/>
      <c r="MDY45" s="344"/>
      <c r="MDZ45" s="344"/>
      <c r="MEA45" s="344"/>
      <c r="MEB45" s="344"/>
      <c r="MEC45" s="344"/>
      <c r="MED45" s="344"/>
      <c r="MEE45" s="344"/>
      <c r="MEF45" s="344"/>
      <c r="MEG45" s="344"/>
      <c r="MEH45" s="344"/>
      <c r="MEI45" s="344"/>
      <c r="MEJ45" s="344"/>
      <c r="MEK45" s="344"/>
      <c r="MEL45" s="344"/>
      <c r="MEM45" s="344"/>
      <c r="MEN45" s="344"/>
      <c r="MEO45" s="344"/>
      <c r="MEP45" s="344"/>
      <c r="MEQ45" s="344"/>
      <c r="MER45" s="344"/>
      <c r="MES45" s="344"/>
      <c r="MET45" s="344"/>
      <c r="MEU45" s="344"/>
      <c r="MEV45" s="344"/>
      <c r="MEW45" s="344"/>
      <c r="MEX45" s="344"/>
      <c r="MEY45" s="344"/>
      <c r="MEZ45" s="344"/>
      <c r="MFA45" s="344"/>
      <c r="MFB45" s="344"/>
      <c r="MFC45" s="344"/>
      <c r="MFD45" s="344"/>
      <c r="MFE45" s="344"/>
      <c r="MFF45" s="344"/>
      <c r="MFG45" s="344"/>
      <c r="MFH45" s="344"/>
      <c r="MFI45" s="344"/>
      <c r="MFJ45" s="344"/>
      <c r="MFK45" s="344"/>
      <c r="MFL45" s="344"/>
      <c r="MFM45" s="344"/>
      <c r="MFN45" s="344"/>
      <c r="MFO45" s="344"/>
      <c r="MFP45" s="344"/>
      <c r="MFQ45" s="344"/>
      <c r="MFR45" s="344"/>
      <c r="MFS45" s="344"/>
      <c r="MFT45" s="344"/>
      <c r="MFU45" s="344"/>
      <c r="MFV45" s="344"/>
      <c r="MFW45" s="344"/>
      <c r="MFX45" s="344"/>
      <c r="MFY45" s="344"/>
      <c r="MFZ45" s="344"/>
      <c r="MGA45" s="344"/>
      <c r="MGB45" s="344"/>
      <c r="MGC45" s="344"/>
      <c r="MGD45" s="344"/>
      <c r="MGE45" s="344"/>
      <c r="MGF45" s="344"/>
      <c r="MGG45" s="344"/>
      <c r="MGH45" s="344"/>
      <c r="MGI45" s="344"/>
      <c r="MGJ45" s="344"/>
      <c r="MGK45" s="344"/>
      <c r="MGL45" s="344"/>
      <c r="MGM45" s="344"/>
      <c r="MGN45" s="344"/>
      <c r="MGO45" s="344"/>
      <c r="MGP45" s="344"/>
      <c r="MGQ45" s="344"/>
      <c r="MGR45" s="344"/>
      <c r="MGS45" s="344"/>
      <c r="MGT45" s="344"/>
      <c r="MGU45" s="344"/>
      <c r="MGV45" s="344"/>
      <c r="MGW45" s="344"/>
      <c r="MGX45" s="344"/>
      <c r="MGY45" s="344"/>
      <c r="MGZ45" s="344"/>
      <c r="MHA45" s="344"/>
      <c r="MHB45" s="344"/>
      <c r="MHC45" s="344"/>
      <c r="MHD45" s="344"/>
      <c r="MHE45" s="344"/>
      <c r="MHF45" s="344"/>
      <c r="MHG45" s="344"/>
      <c r="MHH45" s="344"/>
      <c r="MHI45" s="344"/>
      <c r="MHJ45" s="344"/>
      <c r="MHK45" s="344"/>
      <c r="MHL45" s="344"/>
      <c r="MHM45" s="344"/>
      <c r="MHN45" s="344"/>
      <c r="MHO45" s="344"/>
      <c r="MHP45" s="344"/>
      <c r="MHQ45" s="344"/>
      <c r="MHR45" s="344"/>
      <c r="MHS45" s="344"/>
      <c r="MHT45" s="344"/>
      <c r="MHU45" s="344"/>
      <c r="MHV45" s="344"/>
      <c r="MHW45" s="344"/>
      <c r="MHX45" s="344"/>
      <c r="MHY45" s="344"/>
      <c r="MHZ45" s="344"/>
      <c r="MIA45" s="344"/>
      <c r="MIB45" s="344"/>
      <c r="MIC45" s="344"/>
      <c r="MID45" s="344"/>
      <c r="MIE45" s="344"/>
      <c r="MIF45" s="344"/>
      <c r="MIG45" s="344"/>
      <c r="MIH45" s="344"/>
      <c r="MII45" s="344"/>
      <c r="MIJ45" s="344"/>
      <c r="MIK45" s="344"/>
      <c r="MIL45" s="344"/>
      <c r="MIM45" s="344"/>
      <c r="MIN45" s="344"/>
      <c r="MIO45" s="344"/>
      <c r="MIP45" s="344"/>
      <c r="MIQ45" s="344"/>
      <c r="MIR45" s="344"/>
      <c r="MIS45" s="344"/>
      <c r="MIT45" s="344"/>
      <c r="MIU45" s="344"/>
      <c r="MIV45" s="344"/>
      <c r="MIW45" s="344"/>
      <c r="MIX45" s="344"/>
      <c r="MIY45" s="344"/>
      <c r="MIZ45" s="344"/>
      <c r="MJA45" s="344"/>
      <c r="MJB45" s="344"/>
      <c r="MJC45" s="344"/>
      <c r="MJD45" s="344"/>
      <c r="MJE45" s="344"/>
      <c r="MJF45" s="344"/>
      <c r="MJG45" s="344"/>
      <c r="MJH45" s="344"/>
      <c r="MJI45" s="344"/>
      <c r="MJJ45" s="344"/>
      <c r="MJK45" s="344"/>
      <c r="MJL45" s="344"/>
      <c r="MJM45" s="344"/>
      <c r="MJN45" s="344"/>
      <c r="MJO45" s="344"/>
      <c r="MJP45" s="344"/>
      <c r="MJQ45" s="344"/>
      <c r="MJR45" s="344"/>
      <c r="MJS45" s="344"/>
      <c r="MJT45" s="344"/>
      <c r="MJU45" s="344"/>
      <c r="MJV45" s="344"/>
      <c r="MJW45" s="344"/>
      <c r="MJX45" s="344"/>
      <c r="MJY45" s="344"/>
      <c r="MJZ45" s="344"/>
      <c r="MKA45" s="344"/>
      <c r="MKB45" s="344"/>
      <c r="MKC45" s="344"/>
      <c r="MKD45" s="344"/>
      <c r="MKE45" s="344"/>
      <c r="MKF45" s="344"/>
      <c r="MKG45" s="344"/>
      <c r="MKH45" s="344"/>
      <c r="MKI45" s="344"/>
      <c r="MKJ45" s="344"/>
      <c r="MKK45" s="344"/>
      <c r="MKL45" s="344"/>
      <c r="MKM45" s="344"/>
      <c r="MKN45" s="344"/>
      <c r="MKO45" s="344"/>
      <c r="MKP45" s="344"/>
      <c r="MKQ45" s="344"/>
      <c r="MKR45" s="344"/>
      <c r="MKS45" s="344"/>
      <c r="MKT45" s="344"/>
      <c r="MKU45" s="344"/>
      <c r="MKV45" s="344"/>
      <c r="MKW45" s="344"/>
      <c r="MKX45" s="344"/>
      <c r="MKY45" s="344"/>
      <c r="MKZ45" s="344"/>
      <c r="MLA45" s="344"/>
      <c r="MLB45" s="344"/>
      <c r="MLC45" s="344"/>
      <c r="MLD45" s="344"/>
      <c r="MLE45" s="344"/>
      <c r="MLF45" s="344"/>
      <c r="MLG45" s="344"/>
      <c r="MLH45" s="344"/>
      <c r="MLI45" s="344"/>
      <c r="MLJ45" s="344"/>
      <c r="MLK45" s="344"/>
      <c r="MLL45" s="344"/>
      <c r="MLM45" s="344"/>
      <c r="MLN45" s="344"/>
      <c r="MLO45" s="344"/>
      <c r="MLP45" s="344"/>
      <c r="MLQ45" s="344"/>
      <c r="MLR45" s="344"/>
      <c r="MLS45" s="344"/>
      <c r="MLT45" s="344"/>
      <c r="MLU45" s="344"/>
      <c r="MLV45" s="344"/>
      <c r="MLW45" s="344"/>
      <c r="MLX45" s="344"/>
      <c r="MLY45" s="344"/>
      <c r="MLZ45" s="344"/>
      <c r="MMA45" s="344"/>
      <c r="MMB45" s="344"/>
      <c r="MMC45" s="344"/>
      <c r="MMD45" s="344"/>
      <c r="MME45" s="344"/>
      <c r="MMF45" s="344"/>
      <c r="MMG45" s="344"/>
      <c r="MMH45" s="344"/>
      <c r="MMI45" s="344"/>
      <c r="MMJ45" s="344"/>
      <c r="MMK45" s="344"/>
      <c r="MML45" s="344"/>
      <c r="MMM45" s="344"/>
      <c r="MMN45" s="344"/>
      <c r="MMO45" s="344"/>
      <c r="MMP45" s="344"/>
      <c r="MMQ45" s="344"/>
      <c r="MMR45" s="344"/>
      <c r="MMS45" s="344"/>
      <c r="MMT45" s="344"/>
      <c r="MMU45" s="344"/>
      <c r="MMV45" s="344"/>
      <c r="MMW45" s="344"/>
      <c r="MMX45" s="344"/>
      <c r="MMY45" s="344"/>
      <c r="MMZ45" s="344"/>
      <c r="MNA45" s="344"/>
      <c r="MNB45" s="344"/>
      <c r="MNC45" s="344"/>
      <c r="MND45" s="344"/>
      <c r="MNE45" s="344"/>
      <c r="MNF45" s="344"/>
      <c r="MNG45" s="344"/>
      <c r="MNH45" s="344"/>
      <c r="MNI45" s="344"/>
      <c r="MNJ45" s="344"/>
      <c r="MNK45" s="344"/>
      <c r="MNL45" s="344"/>
      <c r="MNM45" s="344"/>
      <c r="MNN45" s="344"/>
      <c r="MNO45" s="344"/>
      <c r="MNP45" s="344"/>
      <c r="MNQ45" s="344"/>
      <c r="MNR45" s="344"/>
      <c r="MNS45" s="344"/>
      <c r="MNT45" s="344"/>
      <c r="MNU45" s="344"/>
      <c r="MNV45" s="344"/>
      <c r="MNW45" s="344"/>
      <c r="MNX45" s="344"/>
      <c r="MNY45" s="344"/>
      <c r="MNZ45" s="344"/>
      <c r="MOA45" s="344"/>
      <c r="MOB45" s="344"/>
      <c r="MOC45" s="344"/>
      <c r="MOD45" s="344"/>
      <c r="MOE45" s="344"/>
      <c r="MOF45" s="344"/>
      <c r="MOG45" s="344"/>
      <c r="MOH45" s="344"/>
      <c r="MOI45" s="344"/>
      <c r="MOJ45" s="344"/>
      <c r="MOK45" s="344"/>
      <c r="MOL45" s="344"/>
      <c r="MOM45" s="344"/>
      <c r="MON45" s="344"/>
      <c r="MOO45" s="344"/>
      <c r="MOP45" s="344"/>
      <c r="MOQ45" s="344"/>
      <c r="MOR45" s="344"/>
      <c r="MOS45" s="344"/>
      <c r="MOT45" s="344"/>
      <c r="MOU45" s="344"/>
      <c r="MOV45" s="344"/>
      <c r="MOW45" s="344"/>
      <c r="MOX45" s="344"/>
      <c r="MOY45" s="344"/>
      <c r="MOZ45" s="344"/>
      <c r="MPA45" s="344"/>
      <c r="MPB45" s="344"/>
      <c r="MPC45" s="344"/>
      <c r="MPD45" s="344"/>
      <c r="MPE45" s="344"/>
      <c r="MPF45" s="344"/>
      <c r="MPG45" s="344"/>
      <c r="MPH45" s="344"/>
      <c r="MPI45" s="344"/>
      <c r="MPJ45" s="344"/>
      <c r="MPK45" s="344"/>
      <c r="MPL45" s="344"/>
      <c r="MPM45" s="344"/>
      <c r="MPN45" s="344"/>
      <c r="MPO45" s="344"/>
      <c r="MPP45" s="344"/>
      <c r="MPQ45" s="344"/>
      <c r="MPR45" s="344"/>
      <c r="MPS45" s="344"/>
      <c r="MPT45" s="344"/>
      <c r="MPU45" s="344"/>
      <c r="MPV45" s="344"/>
      <c r="MPW45" s="344"/>
      <c r="MPX45" s="344"/>
      <c r="MPY45" s="344"/>
      <c r="MPZ45" s="344"/>
      <c r="MQA45" s="344"/>
      <c r="MQB45" s="344"/>
      <c r="MQC45" s="344"/>
      <c r="MQD45" s="344"/>
      <c r="MQE45" s="344"/>
      <c r="MQF45" s="344"/>
      <c r="MQG45" s="344"/>
      <c r="MQH45" s="344"/>
      <c r="MQI45" s="344"/>
      <c r="MQJ45" s="344"/>
      <c r="MQK45" s="344"/>
      <c r="MQL45" s="344"/>
      <c r="MQM45" s="344"/>
      <c r="MQN45" s="344"/>
      <c r="MQO45" s="344"/>
      <c r="MQP45" s="344"/>
      <c r="MQQ45" s="344"/>
      <c r="MQR45" s="344"/>
      <c r="MQS45" s="344"/>
      <c r="MQT45" s="344"/>
      <c r="MQU45" s="344"/>
      <c r="MQV45" s="344"/>
      <c r="MQW45" s="344"/>
      <c r="MQX45" s="344"/>
      <c r="MQY45" s="344"/>
      <c r="MQZ45" s="344"/>
      <c r="MRA45" s="344"/>
      <c r="MRB45" s="344"/>
      <c r="MRC45" s="344"/>
      <c r="MRD45" s="344"/>
      <c r="MRE45" s="344"/>
      <c r="MRF45" s="344"/>
      <c r="MRG45" s="344"/>
      <c r="MRH45" s="344"/>
      <c r="MRI45" s="344"/>
      <c r="MRJ45" s="344"/>
      <c r="MRK45" s="344"/>
      <c r="MRL45" s="344"/>
      <c r="MRM45" s="344"/>
      <c r="MRN45" s="344"/>
      <c r="MRO45" s="344"/>
      <c r="MRP45" s="344"/>
      <c r="MRQ45" s="344"/>
      <c r="MRR45" s="344"/>
      <c r="MRS45" s="344"/>
      <c r="MRT45" s="344"/>
      <c r="MRU45" s="344"/>
      <c r="MRV45" s="344"/>
      <c r="MRW45" s="344"/>
      <c r="MRX45" s="344"/>
      <c r="MRY45" s="344"/>
      <c r="MRZ45" s="344"/>
      <c r="MSA45" s="344"/>
      <c r="MSB45" s="344"/>
      <c r="MSC45" s="344"/>
      <c r="MSD45" s="344"/>
      <c r="MSE45" s="344"/>
      <c r="MSF45" s="344"/>
      <c r="MSG45" s="344"/>
      <c r="MSH45" s="344"/>
      <c r="MSI45" s="344"/>
      <c r="MSJ45" s="344"/>
      <c r="MSK45" s="344"/>
      <c r="MSL45" s="344"/>
      <c r="MSM45" s="344"/>
      <c r="MSN45" s="344"/>
      <c r="MSO45" s="344"/>
      <c r="MSP45" s="344"/>
      <c r="MSQ45" s="344"/>
      <c r="MSR45" s="344"/>
      <c r="MSS45" s="344"/>
      <c r="MST45" s="344"/>
      <c r="MSU45" s="344"/>
      <c r="MSV45" s="344"/>
      <c r="MSW45" s="344"/>
      <c r="MSX45" s="344"/>
      <c r="MSY45" s="344"/>
      <c r="MSZ45" s="344"/>
      <c r="MTA45" s="344"/>
      <c r="MTB45" s="344"/>
      <c r="MTC45" s="344"/>
      <c r="MTD45" s="344"/>
      <c r="MTE45" s="344"/>
      <c r="MTF45" s="344"/>
      <c r="MTG45" s="344"/>
      <c r="MTH45" s="344"/>
      <c r="MTI45" s="344"/>
      <c r="MTJ45" s="344"/>
      <c r="MTK45" s="344"/>
      <c r="MTL45" s="344"/>
      <c r="MTM45" s="344"/>
      <c r="MTN45" s="344"/>
      <c r="MTO45" s="344"/>
      <c r="MTP45" s="344"/>
      <c r="MTQ45" s="344"/>
      <c r="MTR45" s="344"/>
      <c r="MTS45" s="344"/>
      <c r="MTT45" s="344"/>
      <c r="MTU45" s="344"/>
      <c r="MTV45" s="344"/>
      <c r="MTW45" s="344"/>
      <c r="MTX45" s="344"/>
      <c r="MTY45" s="344"/>
      <c r="MTZ45" s="344"/>
      <c r="MUA45" s="344"/>
      <c r="MUB45" s="344"/>
      <c r="MUC45" s="344"/>
      <c r="MUD45" s="344"/>
      <c r="MUE45" s="344"/>
      <c r="MUF45" s="344"/>
      <c r="MUG45" s="344"/>
      <c r="MUH45" s="344"/>
      <c r="MUI45" s="344"/>
      <c r="MUJ45" s="344"/>
      <c r="MUK45" s="344"/>
      <c r="MUL45" s="344"/>
      <c r="MUM45" s="344"/>
      <c r="MUN45" s="344"/>
      <c r="MUO45" s="344"/>
      <c r="MUP45" s="344"/>
      <c r="MUQ45" s="344"/>
      <c r="MUR45" s="344"/>
      <c r="MUS45" s="344"/>
      <c r="MUT45" s="344"/>
      <c r="MUU45" s="344"/>
      <c r="MUV45" s="344"/>
      <c r="MUW45" s="344"/>
      <c r="MUX45" s="344"/>
      <c r="MUY45" s="344"/>
      <c r="MUZ45" s="344"/>
      <c r="MVA45" s="344"/>
      <c r="MVB45" s="344"/>
      <c r="MVC45" s="344"/>
      <c r="MVD45" s="344"/>
      <c r="MVE45" s="344"/>
      <c r="MVF45" s="344"/>
      <c r="MVG45" s="344"/>
      <c r="MVH45" s="344"/>
      <c r="MVI45" s="344"/>
      <c r="MVJ45" s="344"/>
      <c r="MVK45" s="344"/>
      <c r="MVL45" s="344"/>
      <c r="MVM45" s="344"/>
      <c r="MVN45" s="344"/>
      <c r="MVO45" s="344"/>
      <c r="MVP45" s="344"/>
      <c r="MVQ45" s="344"/>
      <c r="MVR45" s="344"/>
      <c r="MVS45" s="344"/>
      <c r="MVT45" s="344"/>
      <c r="MVU45" s="344"/>
      <c r="MVV45" s="344"/>
      <c r="MVW45" s="344"/>
      <c r="MVX45" s="344"/>
      <c r="MVY45" s="344"/>
      <c r="MVZ45" s="344"/>
      <c r="MWA45" s="344"/>
      <c r="MWB45" s="344"/>
      <c r="MWC45" s="344"/>
      <c r="MWD45" s="344"/>
      <c r="MWE45" s="344"/>
      <c r="MWF45" s="344"/>
      <c r="MWG45" s="344"/>
      <c r="MWH45" s="344"/>
      <c r="MWI45" s="344"/>
      <c r="MWJ45" s="344"/>
      <c r="MWK45" s="344"/>
      <c r="MWL45" s="344"/>
      <c r="MWM45" s="344"/>
      <c r="MWN45" s="344"/>
      <c r="MWO45" s="344"/>
      <c r="MWP45" s="344"/>
      <c r="MWQ45" s="344"/>
      <c r="MWR45" s="344"/>
      <c r="MWS45" s="344"/>
      <c r="MWT45" s="344"/>
      <c r="MWU45" s="344"/>
      <c r="MWV45" s="344"/>
      <c r="MWW45" s="344"/>
      <c r="MWX45" s="344"/>
      <c r="MWY45" s="344"/>
      <c r="MWZ45" s="344"/>
      <c r="MXA45" s="344"/>
      <c r="MXB45" s="344"/>
      <c r="MXC45" s="344"/>
      <c r="MXD45" s="344"/>
      <c r="MXE45" s="344"/>
      <c r="MXF45" s="344"/>
      <c r="MXG45" s="344"/>
      <c r="MXH45" s="344"/>
      <c r="MXI45" s="344"/>
      <c r="MXJ45" s="344"/>
      <c r="MXK45" s="344"/>
      <c r="MXL45" s="344"/>
      <c r="MXM45" s="344"/>
      <c r="MXN45" s="344"/>
      <c r="MXO45" s="344"/>
      <c r="MXP45" s="344"/>
      <c r="MXQ45" s="344"/>
      <c r="MXR45" s="344"/>
      <c r="MXS45" s="344"/>
      <c r="MXT45" s="344"/>
      <c r="MXU45" s="344"/>
      <c r="MXV45" s="344"/>
      <c r="MXW45" s="344"/>
      <c r="MXX45" s="344"/>
      <c r="MXY45" s="344"/>
      <c r="MXZ45" s="344"/>
      <c r="MYA45" s="344"/>
      <c r="MYB45" s="344"/>
      <c r="MYC45" s="344"/>
      <c r="MYD45" s="344"/>
      <c r="MYE45" s="344"/>
      <c r="MYF45" s="344"/>
      <c r="MYG45" s="344"/>
      <c r="MYH45" s="344"/>
      <c r="MYI45" s="344"/>
      <c r="MYJ45" s="344"/>
      <c r="MYK45" s="344"/>
      <c r="MYL45" s="344"/>
      <c r="MYM45" s="344"/>
      <c r="MYN45" s="344"/>
      <c r="MYO45" s="344"/>
      <c r="MYP45" s="344"/>
      <c r="MYQ45" s="344"/>
      <c r="MYR45" s="344"/>
      <c r="MYS45" s="344"/>
      <c r="MYT45" s="344"/>
      <c r="MYU45" s="344"/>
      <c r="MYV45" s="344"/>
      <c r="MYW45" s="344"/>
      <c r="MYX45" s="344"/>
      <c r="MYY45" s="344"/>
      <c r="MYZ45" s="344"/>
      <c r="MZA45" s="344"/>
      <c r="MZB45" s="344"/>
      <c r="MZC45" s="344"/>
      <c r="MZD45" s="344"/>
      <c r="MZE45" s="344"/>
      <c r="MZF45" s="344"/>
      <c r="MZG45" s="344"/>
      <c r="MZH45" s="344"/>
      <c r="MZI45" s="344"/>
      <c r="MZJ45" s="344"/>
      <c r="MZK45" s="344"/>
      <c r="MZL45" s="344"/>
      <c r="MZM45" s="344"/>
      <c r="MZN45" s="344"/>
      <c r="MZO45" s="344"/>
      <c r="MZP45" s="344"/>
      <c r="MZQ45" s="344"/>
      <c r="MZR45" s="344"/>
      <c r="MZS45" s="344"/>
      <c r="MZT45" s="344"/>
      <c r="MZU45" s="344"/>
      <c r="MZV45" s="344"/>
      <c r="MZW45" s="344"/>
      <c r="MZX45" s="344"/>
      <c r="MZY45" s="344"/>
      <c r="MZZ45" s="344"/>
      <c r="NAA45" s="344"/>
      <c r="NAB45" s="344"/>
      <c r="NAC45" s="344"/>
      <c r="NAD45" s="344"/>
      <c r="NAE45" s="344"/>
      <c r="NAF45" s="344"/>
      <c r="NAG45" s="344"/>
      <c r="NAH45" s="344"/>
      <c r="NAI45" s="344"/>
      <c r="NAJ45" s="344"/>
      <c r="NAK45" s="344"/>
      <c r="NAL45" s="344"/>
      <c r="NAM45" s="344"/>
      <c r="NAN45" s="344"/>
      <c r="NAO45" s="344"/>
      <c r="NAP45" s="344"/>
      <c r="NAQ45" s="344"/>
      <c r="NAR45" s="344"/>
      <c r="NAS45" s="344"/>
      <c r="NAT45" s="344"/>
      <c r="NAU45" s="344"/>
      <c r="NAV45" s="344"/>
      <c r="NAW45" s="344"/>
      <c r="NAX45" s="344"/>
      <c r="NAY45" s="344"/>
      <c r="NAZ45" s="344"/>
      <c r="NBA45" s="344"/>
      <c r="NBB45" s="344"/>
      <c r="NBC45" s="344"/>
      <c r="NBD45" s="344"/>
      <c r="NBE45" s="344"/>
      <c r="NBF45" s="344"/>
      <c r="NBG45" s="344"/>
      <c r="NBH45" s="344"/>
      <c r="NBI45" s="344"/>
      <c r="NBJ45" s="344"/>
      <c r="NBK45" s="344"/>
      <c r="NBL45" s="344"/>
      <c r="NBM45" s="344"/>
      <c r="NBN45" s="344"/>
      <c r="NBO45" s="344"/>
      <c r="NBP45" s="344"/>
      <c r="NBQ45" s="344"/>
      <c r="NBR45" s="344"/>
      <c r="NBS45" s="344"/>
      <c r="NBT45" s="344"/>
      <c r="NBU45" s="344"/>
      <c r="NBV45" s="344"/>
      <c r="NBW45" s="344"/>
      <c r="NBX45" s="344"/>
      <c r="NBY45" s="344"/>
      <c r="NBZ45" s="344"/>
      <c r="NCA45" s="344"/>
      <c r="NCB45" s="344"/>
      <c r="NCC45" s="344"/>
      <c r="NCD45" s="344"/>
      <c r="NCE45" s="344"/>
      <c r="NCF45" s="344"/>
      <c r="NCG45" s="344"/>
      <c r="NCH45" s="344"/>
      <c r="NCI45" s="344"/>
      <c r="NCJ45" s="344"/>
      <c r="NCK45" s="344"/>
      <c r="NCL45" s="344"/>
      <c r="NCM45" s="344"/>
      <c r="NCN45" s="344"/>
      <c r="NCO45" s="344"/>
      <c r="NCP45" s="344"/>
      <c r="NCQ45" s="344"/>
      <c r="NCR45" s="344"/>
      <c r="NCS45" s="344"/>
      <c r="NCT45" s="344"/>
      <c r="NCU45" s="344"/>
      <c r="NCV45" s="344"/>
      <c r="NCW45" s="344"/>
      <c r="NCX45" s="344"/>
      <c r="NCY45" s="344"/>
      <c r="NCZ45" s="344"/>
      <c r="NDA45" s="344"/>
      <c r="NDB45" s="344"/>
      <c r="NDC45" s="344"/>
      <c r="NDD45" s="344"/>
      <c r="NDE45" s="344"/>
      <c r="NDF45" s="344"/>
      <c r="NDG45" s="344"/>
      <c r="NDH45" s="344"/>
      <c r="NDI45" s="344"/>
      <c r="NDJ45" s="344"/>
      <c r="NDK45" s="344"/>
      <c r="NDL45" s="344"/>
      <c r="NDM45" s="344"/>
      <c r="NDN45" s="344"/>
      <c r="NDO45" s="344"/>
      <c r="NDP45" s="344"/>
      <c r="NDQ45" s="344"/>
      <c r="NDR45" s="344"/>
      <c r="NDS45" s="344"/>
      <c r="NDT45" s="344"/>
      <c r="NDU45" s="344"/>
      <c r="NDV45" s="344"/>
      <c r="NDW45" s="344"/>
      <c r="NDX45" s="344"/>
      <c r="NDY45" s="344"/>
      <c r="NDZ45" s="344"/>
      <c r="NEA45" s="344"/>
      <c r="NEB45" s="344"/>
      <c r="NEC45" s="344"/>
      <c r="NED45" s="344"/>
      <c r="NEE45" s="344"/>
      <c r="NEF45" s="344"/>
      <c r="NEG45" s="344"/>
      <c r="NEH45" s="344"/>
      <c r="NEI45" s="344"/>
      <c r="NEJ45" s="344"/>
      <c r="NEK45" s="344"/>
      <c r="NEL45" s="344"/>
      <c r="NEM45" s="344"/>
      <c r="NEN45" s="344"/>
      <c r="NEO45" s="344"/>
      <c r="NEP45" s="344"/>
      <c r="NEQ45" s="344"/>
      <c r="NER45" s="344"/>
      <c r="NES45" s="344"/>
      <c r="NET45" s="344"/>
      <c r="NEU45" s="344"/>
      <c r="NEV45" s="344"/>
      <c r="NEW45" s="344"/>
      <c r="NEX45" s="344"/>
      <c r="NEY45" s="344"/>
      <c r="NEZ45" s="344"/>
      <c r="NFA45" s="344"/>
      <c r="NFB45" s="344"/>
      <c r="NFC45" s="344"/>
      <c r="NFD45" s="344"/>
      <c r="NFE45" s="344"/>
      <c r="NFF45" s="344"/>
      <c r="NFG45" s="344"/>
      <c r="NFH45" s="344"/>
      <c r="NFI45" s="344"/>
      <c r="NFJ45" s="344"/>
      <c r="NFK45" s="344"/>
      <c r="NFL45" s="344"/>
      <c r="NFM45" s="344"/>
      <c r="NFN45" s="344"/>
      <c r="NFO45" s="344"/>
      <c r="NFP45" s="344"/>
      <c r="NFQ45" s="344"/>
      <c r="NFR45" s="344"/>
      <c r="NFS45" s="344"/>
      <c r="NFT45" s="344"/>
      <c r="NFU45" s="344"/>
      <c r="NFV45" s="344"/>
      <c r="NFW45" s="344"/>
      <c r="NFX45" s="344"/>
      <c r="NFY45" s="344"/>
      <c r="NFZ45" s="344"/>
      <c r="NGA45" s="344"/>
      <c r="NGB45" s="344"/>
      <c r="NGC45" s="344"/>
      <c r="NGD45" s="344"/>
      <c r="NGE45" s="344"/>
      <c r="NGF45" s="344"/>
      <c r="NGG45" s="344"/>
      <c r="NGH45" s="344"/>
      <c r="NGI45" s="344"/>
      <c r="NGJ45" s="344"/>
      <c r="NGK45" s="344"/>
      <c r="NGL45" s="344"/>
      <c r="NGM45" s="344"/>
      <c r="NGN45" s="344"/>
      <c r="NGO45" s="344"/>
      <c r="NGP45" s="344"/>
      <c r="NGQ45" s="344"/>
      <c r="NGR45" s="344"/>
      <c r="NGS45" s="344"/>
      <c r="NGT45" s="344"/>
      <c r="NGU45" s="344"/>
      <c r="NGV45" s="344"/>
      <c r="NGW45" s="344"/>
      <c r="NGX45" s="344"/>
      <c r="NGY45" s="344"/>
      <c r="NGZ45" s="344"/>
      <c r="NHA45" s="344"/>
      <c r="NHB45" s="344"/>
      <c r="NHC45" s="344"/>
      <c r="NHD45" s="344"/>
      <c r="NHE45" s="344"/>
      <c r="NHF45" s="344"/>
      <c r="NHG45" s="344"/>
      <c r="NHH45" s="344"/>
      <c r="NHI45" s="344"/>
      <c r="NHJ45" s="344"/>
      <c r="NHK45" s="344"/>
      <c r="NHL45" s="344"/>
      <c r="NHM45" s="344"/>
      <c r="NHN45" s="344"/>
      <c r="NHO45" s="344"/>
      <c r="NHP45" s="344"/>
      <c r="NHQ45" s="344"/>
      <c r="NHR45" s="344"/>
      <c r="NHS45" s="344"/>
      <c r="NHT45" s="344"/>
      <c r="NHU45" s="344"/>
      <c r="NHV45" s="344"/>
      <c r="NHW45" s="344"/>
      <c r="NHX45" s="344"/>
      <c r="NHY45" s="344"/>
      <c r="NHZ45" s="344"/>
      <c r="NIA45" s="344"/>
      <c r="NIB45" s="344"/>
      <c r="NIC45" s="344"/>
      <c r="NID45" s="344"/>
      <c r="NIE45" s="344"/>
      <c r="NIF45" s="344"/>
      <c r="NIG45" s="344"/>
      <c r="NIH45" s="344"/>
      <c r="NII45" s="344"/>
      <c r="NIJ45" s="344"/>
      <c r="NIK45" s="344"/>
      <c r="NIL45" s="344"/>
      <c r="NIM45" s="344"/>
      <c r="NIN45" s="344"/>
      <c r="NIO45" s="344"/>
      <c r="NIP45" s="344"/>
      <c r="NIQ45" s="344"/>
      <c r="NIR45" s="344"/>
      <c r="NIS45" s="344"/>
      <c r="NIT45" s="344"/>
      <c r="NIU45" s="344"/>
      <c r="NIV45" s="344"/>
      <c r="NIW45" s="344"/>
      <c r="NIX45" s="344"/>
      <c r="NIY45" s="344"/>
      <c r="NIZ45" s="344"/>
      <c r="NJA45" s="344"/>
      <c r="NJB45" s="344"/>
      <c r="NJC45" s="344"/>
      <c r="NJD45" s="344"/>
      <c r="NJE45" s="344"/>
      <c r="NJF45" s="344"/>
      <c r="NJG45" s="344"/>
      <c r="NJH45" s="344"/>
      <c r="NJI45" s="344"/>
      <c r="NJJ45" s="344"/>
      <c r="NJK45" s="344"/>
      <c r="NJL45" s="344"/>
      <c r="NJM45" s="344"/>
      <c r="NJN45" s="344"/>
      <c r="NJO45" s="344"/>
      <c r="NJP45" s="344"/>
      <c r="NJQ45" s="344"/>
      <c r="NJR45" s="344"/>
      <c r="NJS45" s="344"/>
      <c r="NJT45" s="344"/>
      <c r="NJU45" s="344"/>
      <c r="NJV45" s="344"/>
      <c r="NJW45" s="344"/>
      <c r="NJX45" s="344"/>
      <c r="NJY45" s="344"/>
      <c r="NJZ45" s="344"/>
      <c r="NKA45" s="344"/>
      <c r="NKB45" s="344"/>
      <c r="NKC45" s="344"/>
      <c r="NKD45" s="344"/>
      <c r="NKE45" s="344"/>
      <c r="NKF45" s="344"/>
      <c r="NKG45" s="344"/>
      <c r="NKH45" s="344"/>
      <c r="NKI45" s="344"/>
      <c r="NKJ45" s="344"/>
      <c r="NKK45" s="344"/>
      <c r="NKL45" s="344"/>
      <c r="NKM45" s="344"/>
      <c r="NKN45" s="344"/>
      <c r="NKO45" s="344"/>
      <c r="NKP45" s="344"/>
      <c r="NKQ45" s="344"/>
      <c r="NKR45" s="344"/>
      <c r="NKS45" s="344"/>
      <c r="NKT45" s="344"/>
      <c r="NKU45" s="344"/>
      <c r="NKV45" s="344"/>
      <c r="NKW45" s="344"/>
      <c r="NKX45" s="344"/>
      <c r="NKY45" s="344"/>
      <c r="NKZ45" s="344"/>
      <c r="NLA45" s="344"/>
      <c r="NLB45" s="344"/>
      <c r="NLC45" s="344"/>
      <c r="NLD45" s="344"/>
      <c r="NLE45" s="344"/>
      <c r="NLF45" s="344"/>
      <c r="NLG45" s="344"/>
      <c r="NLH45" s="344"/>
      <c r="NLI45" s="344"/>
      <c r="NLJ45" s="344"/>
      <c r="NLK45" s="344"/>
      <c r="NLL45" s="344"/>
      <c r="NLM45" s="344"/>
      <c r="NLN45" s="344"/>
      <c r="NLO45" s="344"/>
      <c r="NLP45" s="344"/>
      <c r="NLQ45" s="344"/>
      <c r="NLR45" s="344"/>
      <c r="NLS45" s="344"/>
      <c r="NLT45" s="344"/>
      <c r="NLU45" s="344"/>
      <c r="NLV45" s="344"/>
      <c r="NLW45" s="344"/>
      <c r="NLX45" s="344"/>
      <c r="NLY45" s="344"/>
      <c r="NLZ45" s="344"/>
      <c r="NMA45" s="344"/>
      <c r="NMB45" s="344"/>
      <c r="NMC45" s="344"/>
      <c r="NMD45" s="344"/>
      <c r="NME45" s="344"/>
      <c r="NMF45" s="344"/>
      <c r="NMG45" s="344"/>
      <c r="NMH45" s="344"/>
      <c r="NMI45" s="344"/>
      <c r="NMJ45" s="344"/>
      <c r="NMK45" s="344"/>
      <c r="NML45" s="344"/>
      <c r="NMM45" s="344"/>
      <c r="NMN45" s="344"/>
      <c r="NMO45" s="344"/>
      <c r="NMP45" s="344"/>
      <c r="NMQ45" s="344"/>
      <c r="NMR45" s="344"/>
      <c r="NMS45" s="344"/>
      <c r="NMT45" s="344"/>
      <c r="NMU45" s="344"/>
      <c r="NMV45" s="344"/>
      <c r="NMW45" s="344"/>
      <c r="NMX45" s="344"/>
      <c r="NMY45" s="344"/>
      <c r="NMZ45" s="344"/>
      <c r="NNA45" s="344"/>
      <c r="NNB45" s="344"/>
      <c r="NNC45" s="344"/>
      <c r="NND45" s="344"/>
      <c r="NNE45" s="344"/>
      <c r="NNF45" s="344"/>
      <c r="NNG45" s="344"/>
      <c r="NNH45" s="344"/>
      <c r="NNI45" s="344"/>
      <c r="NNJ45" s="344"/>
      <c r="NNK45" s="344"/>
      <c r="NNL45" s="344"/>
      <c r="NNM45" s="344"/>
      <c r="NNN45" s="344"/>
      <c r="NNO45" s="344"/>
      <c r="NNP45" s="344"/>
      <c r="NNQ45" s="344"/>
      <c r="NNR45" s="344"/>
      <c r="NNS45" s="344"/>
      <c r="NNT45" s="344"/>
      <c r="NNU45" s="344"/>
      <c r="NNV45" s="344"/>
      <c r="NNW45" s="344"/>
      <c r="NNX45" s="344"/>
      <c r="NNY45" s="344"/>
      <c r="NNZ45" s="344"/>
      <c r="NOA45" s="344"/>
      <c r="NOB45" s="344"/>
      <c r="NOC45" s="344"/>
      <c r="NOD45" s="344"/>
      <c r="NOE45" s="344"/>
      <c r="NOF45" s="344"/>
      <c r="NOG45" s="344"/>
      <c r="NOH45" s="344"/>
      <c r="NOI45" s="344"/>
      <c r="NOJ45" s="344"/>
      <c r="NOK45" s="344"/>
      <c r="NOL45" s="344"/>
      <c r="NOM45" s="344"/>
      <c r="NON45" s="344"/>
      <c r="NOO45" s="344"/>
      <c r="NOP45" s="344"/>
      <c r="NOQ45" s="344"/>
      <c r="NOR45" s="344"/>
      <c r="NOS45" s="344"/>
      <c r="NOT45" s="344"/>
      <c r="NOU45" s="344"/>
      <c r="NOV45" s="344"/>
      <c r="NOW45" s="344"/>
      <c r="NOX45" s="344"/>
      <c r="NOY45" s="344"/>
      <c r="NOZ45" s="344"/>
      <c r="NPA45" s="344"/>
      <c r="NPB45" s="344"/>
      <c r="NPC45" s="344"/>
      <c r="NPD45" s="344"/>
      <c r="NPE45" s="344"/>
      <c r="NPF45" s="344"/>
      <c r="NPG45" s="344"/>
      <c r="NPH45" s="344"/>
      <c r="NPI45" s="344"/>
      <c r="NPJ45" s="344"/>
      <c r="NPK45" s="344"/>
      <c r="NPL45" s="344"/>
      <c r="NPM45" s="344"/>
      <c r="NPN45" s="344"/>
      <c r="NPO45" s="344"/>
      <c r="NPP45" s="344"/>
      <c r="NPQ45" s="344"/>
      <c r="NPR45" s="344"/>
      <c r="NPS45" s="344"/>
      <c r="NPT45" s="344"/>
      <c r="NPU45" s="344"/>
      <c r="NPV45" s="344"/>
      <c r="NPW45" s="344"/>
      <c r="NPX45" s="344"/>
      <c r="NPY45" s="344"/>
      <c r="NPZ45" s="344"/>
      <c r="NQA45" s="344"/>
      <c r="NQB45" s="344"/>
      <c r="NQC45" s="344"/>
      <c r="NQD45" s="344"/>
      <c r="NQE45" s="344"/>
      <c r="NQF45" s="344"/>
      <c r="NQG45" s="344"/>
      <c r="NQH45" s="344"/>
      <c r="NQI45" s="344"/>
      <c r="NQJ45" s="344"/>
      <c r="NQK45" s="344"/>
      <c r="NQL45" s="344"/>
      <c r="NQM45" s="344"/>
      <c r="NQN45" s="344"/>
      <c r="NQO45" s="344"/>
      <c r="NQP45" s="344"/>
      <c r="NQQ45" s="344"/>
      <c r="NQR45" s="344"/>
      <c r="NQS45" s="344"/>
      <c r="NQT45" s="344"/>
      <c r="NQU45" s="344"/>
      <c r="NQV45" s="344"/>
      <c r="NQW45" s="344"/>
      <c r="NQX45" s="344"/>
      <c r="NQY45" s="344"/>
      <c r="NQZ45" s="344"/>
      <c r="NRA45" s="344"/>
      <c r="NRB45" s="344"/>
      <c r="NRC45" s="344"/>
      <c r="NRD45" s="344"/>
      <c r="NRE45" s="344"/>
      <c r="NRF45" s="344"/>
      <c r="NRG45" s="344"/>
      <c r="NRH45" s="344"/>
      <c r="NRI45" s="344"/>
      <c r="NRJ45" s="344"/>
      <c r="NRK45" s="344"/>
      <c r="NRL45" s="344"/>
      <c r="NRM45" s="344"/>
      <c r="NRN45" s="344"/>
      <c r="NRO45" s="344"/>
      <c r="NRP45" s="344"/>
      <c r="NRQ45" s="344"/>
      <c r="NRR45" s="344"/>
      <c r="NRS45" s="344"/>
      <c r="NRT45" s="344"/>
      <c r="NRU45" s="344"/>
      <c r="NRV45" s="344"/>
      <c r="NRW45" s="344"/>
      <c r="NRX45" s="344"/>
      <c r="NRY45" s="344"/>
      <c r="NRZ45" s="344"/>
      <c r="NSA45" s="344"/>
      <c r="NSB45" s="344"/>
      <c r="NSC45" s="344"/>
      <c r="NSD45" s="344"/>
      <c r="NSE45" s="344"/>
      <c r="NSF45" s="344"/>
      <c r="NSG45" s="344"/>
      <c r="NSH45" s="344"/>
      <c r="NSI45" s="344"/>
      <c r="NSJ45" s="344"/>
      <c r="NSK45" s="344"/>
      <c r="NSL45" s="344"/>
      <c r="NSM45" s="344"/>
      <c r="NSN45" s="344"/>
      <c r="NSO45" s="344"/>
      <c r="NSP45" s="344"/>
      <c r="NSQ45" s="344"/>
      <c r="NSR45" s="344"/>
      <c r="NSS45" s="344"/>
      <c r="NST45" s="344"/>
      <c r="NSU45" s="344"/>
      <c r="NSV45" s="344"/>
      <c r="NSW45" s="344"/>
      <c r="NSX45" s="344"/>
      <c r="NSY45" s="344"/>
      <c r="NSZ45" s="344"/>
      <c r="NTA45" s="344"/>
      <c r="NTB45" s="344"/>
      <c r="NTC45" s="344"/>
      <c r="NTD45" s="344"/>
      <c r="NTE45" s="344"/>
      <c r="NTF45" s="344"/>
      <c r="NTG45" s="344"/>
      <c r="NTH45" s="344"/>
      <c r="NTI45" s="344"/>
      <c r="NTJ45" s="344"/>
      <c r="NTK45" s="344"/>
      <c r="NTL45" s="344"/>
      <c r="NTM45" s="344"/>
      <c r="NTN45" s="344"/>
      <c r="NTO45" s="344"/>
      <c r="NTP45" s="344"/>
      <c r="NTQ45" s="344"/>
      <c r="NTR45" s="344"/>
      <c r="NTS45" s="344"/>
      <c r="NTT45" s="344"/>
      <c r="NTU45" s="344"/>
      <c r="NTV45" s="344"/>
      <c r="NTW45" s="344"/>
      <c r="NTX45" s="344"/>
      <c r="NTY45" s="344"/>
      <c r="NTZ45" s="344"/>
      <c r="NUA45" s="344"/>
      <c r="NUB45" s="344"/>
      <c r="NUC45" s="344"/>
      <c r="NUD45" s="344"/>
      <c r="NUE45" s="344"/>
      <c r="NUF45" s="344"/>
      <c r="NUG45" s="344"/>
      <c r="NUH45" s="344"/>
      <c r="NUI45" s="344"/>
      <c r="NUJ45" s="344"/>
      <c r="NUK45" s="344"/>
      <c r="NUL45" s="344"/>
      <c r="NUM45" s="344"/>
      <c r="NUN45" s="344"/>
      <c r="NUO45" s="344"/>
      <c r="NUP45" s="344"/>
      <c r="NUQ45" s="344"/>
      <c r="NUR45" s="344"/>
      <c r="NUS45" s="344"/>
      <c r="NUT45" s="344"/>
      <c r="NUU45" s="344"/>
      <c r="NUV45" s="344"/>
      <c r="NUW45" s="344"/>
      <c r="NUX45" s="344"/>
      <c r="NUY45" s="344"/>
      <c r="NUZ45" s="344"/>
      <c r="NVA45" s="344"/>
      <c r="NVB45" s="344"/>
      <c r="NVC45" s="344"/>
      <c r="NVD45" s="344"/>
      <c r="NVE45" s="344"/>
      <c r="NVF45" s="344"/>
      <c r="NVG45" s="344"/>
      <c r="NVH45" s="344"/>
      <c r="NVI45" s="344"/>
      <c r="NVJ45" s="344"/>
      <c r="NVK45" s="344"/>
      <c r="NVL45" s="344"/>
      <c r="NVM45" s="344"/>
      <c r="NVN45" s="344"/>
      <c r="NVO45" s="344"/>
      <c r="NVP45" s="344"/>
      <c r="NVQ45" s="344"/>
      <c r="NVR45" s="344"/>
      <c r="NVS45" s="344"/>
      <c r="NVT45" s="344"/>
      <c r="NVU45" s="344"/>
      <c r="NVV45" s="344"/>
      <c r="NVW45" s="344"/>
      <c r="NVX45" s="344"/>
      <c r="NVY45" s="344"/>
      <c r="NVZ45" s="344"/>
      <c r="NWA45" s="344"/>
      <c r="NWB45" s="344"/>
      <c r="NWC45" s="344"/>
      <c r="NWD45" s="344"/>
      <c r="NWE45" s="344"/>
      <c r="NWF45" s="344"/>
      <c r="NWG45" s="344"/>
      <c r="NWH45" s="344"/>
      <c r="NWI45" s="344"/>
      <c r="NWJ45" s="344"/>
      <c r="NWK45" s="344"/>
      <c r="NWL45" s="344"/>
      <c r="NWM45" s="344"/>
      <c r="NWN45" s="344"/>
      <c r="NWO45" s="344"/>
      <c r="NWP45" s="344"/>
      <c r="NWQ45" s="344"/>
      <c r="NWR45" s="344"/>
      <c r="NWS45" s="344"/>
      <c r="NWT45" s="344"/>
      <c r="NWU45" s="344"/>
      <c r="NWV45" s="344"/>
      <c r="NWW45" s="344"/>
      <c r="NWX45" s="344"/>
      <c r="NWY45" s="344"/>
      <c r="NWZ45" s="344"/>
      <c r="NXA45" s="344"/>
      <c r="NXB45" s="344"/>
      <c r="NXC45" s="344"/>
      <c r="NXD45" s="344"/>
      <c r="NXE45" s="344"/>
      <c r="NXF45" s="344"/>
      <c r="NXG45" s="344"/>
      <c r="NXH45" s="344"/>
      <c r="NXI45" s="344"/>
      <c r="NXJ45" s="344"/>
      <c r="NXK45" s="344"/>
      <c r="NXL45" s="344"/>
      <c r="NXM45" s="344"/>
      <c r="NXN45" s="344"/>
      <c r="NXO45" s="344"/>
      <c r="NXP45" s="344"/>
      <c r="NXQ45" s="344"/>
      <c r="NXR45" s="344"/>
      <c r="NXS45" s="344"/>
      <c r="NXT45" s="344"/>
      <c r="NXU45" s="344"/>
      <c r="NXV45" s="344"/>
      <c r="NXW45" s="344"/>
      <c r="NXX45" s="344"/>
      <c r="NXY45" s="344"/>
      <c r="NXZ45" s="344"/>
      <c r="NYA45" s="344"/>
      <c r="NYB45" s="344"/>
      <c r="NYC45" s="344"/>
      <c r="NYD45" s="344"/>
      <c r="NYE45" s="344"/>
      <c r="NYF45" s="344"/>
      <c r="NYG45" s="344"/>
      <c r="NYH45" s="344"/>
      <c r="NYI45" s="344"/>
      <c r="NYJ45" s="344"/>
      <c r="NYK45" s="344"/>
      <c r="NYL45" s="344"/>
      <c r="NYM45" s="344"/>
      <c r="NYN45" s="344"/>
      <c r="NYO45" s="344"/>
      <c r="NYP45" s="344"/>
      <c r="NYQ45" s="344"/>
      <c r="NYR45" s="344"/>
      <c r="NYS45" s="344"/>
      <c r="NYT45" s="344"/>
      <c r="NYU45" s="344"/>
      <c r="NYV45" s="344"/>
      <c r="NYW45" s="344"/>
      <c r="NYX45" s="344"/>
      <c r="NYY45" s="344"/>
      <c r="NYZ45" s="344"/>
      <c r="NZA45" s="344"/>
      <c r="NZB45" s="344"/>
      <c r="NZC45" s="344"/>
      <c r="NZD45" s="344"/>
      <c r="NZE45" s="344"/>
      <c r="NZF45" s="344"/>
      <c r="NZG45" s="344"/>
      <c r="NZH45" s="344"/>
      <c r="NZI45" s="344"/>
      <c r="NZJ45" s="344"/>
      <c r="NZK45" s="344"/>
      <c r="NZL45" s="344"/>
      <c r="NZM45" s="344"/>
      <c r="NZN45" s="344"/>
      <c r="NZO45" s="344"/>
      <c r="NZP45" s="344"/>
      <c r="NZQ45" s="344"/>
      <c r="NZR45" s="344"/>
      <c r="NZS45" s="344"/>
      <c r="NZT45" s="344"/>
      <c r="NZU45" s="344"/>
      <c r="NZV45" s="344"/>
      <c r="NZW45" s="344"/>
      <c r="NZX45" s="344"/>
      <c r="NZY45" s="344"/>
      <c r="NZZ45" s="344"/>
      <c r="OAA45" s="344"/>
      <c r="OAB45" s="344"/>
      <c r="OAC45" s="344"/>
      <c r="OAD45" s="344"/>
      <c r="OAE45" s="344"/>
      <c r="OAF45" s="344"/>
      <c r="OAG45" s="344"/>
      <c r="OAH45" s="344"/>
      <c r="OAI45" s="344"/>
      <c r="OAJ45" s="344"/>
      <c r="OAK45" s="344"/>
      <c r="OAL45" s="344"/>
      <c r="OAM45" s="344"/>
      <c r="OAN45" s="344"/>
      <c r="OAO45" s="344"/>
      <c r="OAP45" s="344"/>
      <c r="OAQ45" s="344"/>
      <c r="OAR45" s="344"/>
      <c r="OAS45" s="344"/>
      <c r="OAT45" s="344"/>
      <c r="OAU45" s="344"/>
      <c r="OAV45" s="344"/>
      <c r="OAW45" s="344"/>
      <c r="OAX45" s="344"/>
      <c r="OAY45" s="344"/>
      <c r="OAZ45" s="344"/>
      <c r="OBA45" s="344"/>
      <c r="OBB45" s="344"/>
      <c r="OBC45" s="344"/>
      <c r="OBD45" s="344"/>
      <c r="OBE45" s="344"/>
      <c r="OBF45" s="344"/>
      <c r="OBG45" s="344"/>
      <c r="OBH45" s="344"/>
      <c r="OBI45" s="344"/>
      <c r="OBJ45" s="344"/>
      <c r="OBK45" s="344"/>
      <c r="OBL45" s="344"/>
      <c r="OBM45" s="344"/>
      <c r="OBN45" s="344"/>
      <c r="OBO45" s="344"/>
      <c r="OBP45" s="344"/>
      <c r="OBQ45" s="344"/>
      <c r="OBR45" s="344"/>
      <c r="OBS45" s="344"/>
      <c r="OBT45" s="344"/>
      <c r="OBU45" s="344"/>
      <c r="OBV45" s="344"/>
      <c r="OBW45" s="344"/>
      <c r="OBX45" s="344"/>
      <c r="OBY45" s="344"/>
      <c r="OBZ45" s="344"/>
      <c r="OCA45" s="344"/>
      <c r="OCB45" s="344"/>
      <c r="OCC45" s="344"/>
      <c r="OCD45" s="344"/>
      <c r="OCE45" s="344"/>
      <c r="OCF45" s="344"/>
      <c r="OCG45" s="344"/>
      <c r="OCH45" s="344"/>
      <c r="OCI45" s="344"/>
      <c r="OCJ45" s="344"/>
      <c r="OCK45" s="344"/>
      <c r="OCL45" s="344"/>
      <c r="OCM45" s="344"/>
      <c r="OCN45" s="344"/>
      <c r="OCO45" s="344"/>
      <c r="OCP45" s="344"/>
      <c r="OCQ45" s="344"/>
      <c r="OCR45" s="344"/>
      <c r="OCS45" s="344"/>
      <c r="OCT45" s="344"/>
      <c r="OCU45" s="344"/>
      <c r="OCV45" s="344"/>
      <c r="OCW45" s="344"/>
      <c r="OCX45" s="344"/>
      <c r="OCY45" s="344"/>
      <c r="OCZ45" s="344"/>
      <c r="ODA45" s="344"/>
      <c r="ODB45" s="344"/>
      <c r="ODC45" s="344"/>
      <c r="ODD45" s="344"/>
      <c r="ODE45" s="344"/>
      <c r="ODF45" s="344"/>
      <c r="ODG45" s="344"/>
      <c r="ODH45" s="344"/>
      <c r="ODI45" s="344"/>
      <c r="ODJ45" s="344"/>
      <c r="ODK45" s="344"/>
      <c r="ODL45" s="344"/>
      <c r="ODM45" s="344"/>
      <c r="ODN45" s="344"/>
      <c r="ODO45" s="344"/>
      <c r="ODP45" s="344"/>
      <c r="ODQ45" s="344"/>
      <c r="ODR45" s="344"/>
      <c r="ODS45" s="344"/>
      <c r="ODT45" s="344"/>
      <c r="ODU45" s="344"/>
      <c r="ODV45" s="344"/>
      <c r="ODW45" s="344"/>
      <c r="ODX45" s="344"/>
      <c r="ODY45" s="344"/>
      <c r="ODZ45" s="344"/>
      <c r="OEA45" s="344"/>
      <c r="OEB45" s="344"/>
      <c r="OEC45" s="344"/>
      <c r="OED45" s="344"/>
      <c r="OEE45" s="344"/>
      <c r="OEF45" s="344"/>
      <c r="OEG45" s="344"/>
      <c r="OEH45" s="344"/>
      <c r="OEI45" s="344"/>
      <c r="OEJ45" s="344"/>
      <c r="OEK45" s="344"/>
      <c r="OEL45" s="344"/>
      <c r="OEM45" s="344"/>
      <c r="OEN45" s="344"/>
      <c r="OEO45" s="344"/>
      <c r="OEP45" s="344"/>
      <c r="OEQ45" s="344"/>
      <c r="OER45" s="344"/>
      <c r="OES45" s="344"/>
      <c r="OET45" s="344"/>
      <c r="OEU45" s="344"/>
      <c r="OEV45" s="344"/>
      <c r="OEW45" s="344"/>
      <c r="OEX45" s="344"/>
      <c r="OEY45" s="344"/>
      <c r="OEZ45" s="344"/>
      <c r="OFA45" s="344"/>
      <c r="OFB45" s="344"/>
      <c r="OFC45" s="344"/>
      <c r="OFD45" s="344"/>
      <c r="OFE45" s="344"/>
      <c r="OFF45" s="344"/>
      <c r="OFG45" s="344"/>
      <c r="OFH45" s="344"/>
      <c r="OFI45" s="344"/>
      <c r="OFJ45" s="344"/>
      <c r="OFK45" s="344"/>
      <c r="OFL45" s="344"/>
      <c r="OFM45" s="344"/>
      <c r="OFN45" s="344"/>
      <c r="OFO45" s="344"/>
      <c r="OFP45" s="344"/>
      <c r="OFQ45" s="344"/>
      <c r="OFR45" s="344"/>
      <c r="OFS45" s="344"/>
      <c r="OFT45" s="344"/>
      <c r="OFU45" s="344"/>
      <c r="OFV45" s="344"/>
      <c r="OFW45" s="344"/>
      <c r="OFX45" s="344"/>
      <c r="OFY45" s="344"/>
      <c r="OFZ45" s="344"/>
      <c r="OGA45" s="344"/>
      <c r="OGB45" s="344"/>
      <c r="OGC45" s="344"/>
      <c r="OGD45" s="344"/>
      <c r="OGE45" s="344"/>
      <c r="OGF45" s="344"/>
      <c r="OGG45" s="344"/>
      <c r="OGH45" s="344"/>
      <c r="OGI45" s="344"/>
      <c r="OGJ45" s="344"/>
      <c r="OGK45" s="344"/>
      <c r="OGL45" s="344"/>
      <c r="OGM45" s="344"/>
      <c r="OGN45" s="344"/>
      <c r="OGO45" s="344"/>
      <c r="OGP45" s="344"/>
      <c r="OGQ45" s="344"/>
      <c r="OGR45" s="344"/>
      <c r="OGS45" s="344"/>
      <c r="OGT45" s="344"/>
      <c r="OGU45" s="344"/>
      <c r="OGV45" s="344"/>
      <c r="OGW45" s="344"/>
      <c r="OGX45" s="344"/>
      <c r="OGY45" s="344"/>
      <c r="OGZ45" s="344"/>
      <c r="OHA45" s="344"/>
      <c r="OHB45" s="344"/>
      <c r="OHC45" s="344"/>
      <c r="OHD45" s="344"/>
      <c r="OHE45" s="344"/>
      <c r="OHF45" s="344"/>
      <c r="OHG45" s="344"/>
      <c r="OHH45" s="344"/>
      <c r="OHI45" s="344"/>
      <c r="OHJ45" s="344"/>
      <c r="OHK45" s="344"/>
      <c r="OHL45" s="344"/>
      <c r="OHM45" s="344"/>
      <c r="OHN45" s="344"/>
      <c r="OHO45" s="344"/>
      <c r="OHP45" s="344"/>
      <c r="OHQ45" s="344"/>
      <c r="OHR45" s="344"/>
      <c r="OHS45" s="344"/>
      <c r="OHT45" s="344"/>
      <c r="OHU45" s="344"/>
      <c r="OHV45" s="344"/>
      <c r="OHW45" s="344"/>
      <c r="OHX45" s="344"/>
      <c r="OHY45" s="344"/>
      <c r="OHZ45" s="344"/>
      <c r="OIA45" s="344"/>
      <c r="OIB45" s="344"/>
      <c r="OIC45" s="344"/>
      <c r="OID45" s="344"/>
      <c r="OIE45" s="344"/>
      <c r="OIF45" s="344"/>
      <c r="OIG45" s="344"/>
      <c r="OIH45" s="344"/>
      <c r="OII45" s="344"/>
      <c r="OIJ45" s="344"/>
      <c r="OIK45" s="344"/>
      <c r="OIL45" s="344"/>
      <c r="OIM45" s="344"/>
      <c r="OIN45" s="344"/>
      <c r="OIO45" s="344"/>
      <c r="OIP45" s="344"/>
      <c r="OIQ45" s="344"/>
      <c r="OIR45" s="344"/>
      <c r="OIS45" s="344"/>
      <c r="OIT45" s="344"/>
      <c r="OIU45" s="344"/>
      <c r="OIV45" s="344"/>
      <c r="OIW45" s="344"/>
      <c r="OIX45" s="344"/>
      <c r="OIY45" s="344"/>
      <c r="OIZ45" s="344"/>
      <c r="OJA45" s="344"/>
      <c r="OJB45" s="344"/>
      <c r="OJC45" s="344"/>
      <c r="OJD45" s="344"/>
      <c r="OJE45" s="344"/>
      <c r="OJF45" s="344"/>
      <c r="OJG45" s="344"/>
      <c r="OJH45" s="344"/>
      <c r="OJI45" s="344"/>
      <c r="OJJ45" s="344"/>
      <c r="OJK45" s="344"/>
      <c r="OJL45" s="344"/>
      <c r="OJM45" s="344"/>
      <c r="OJN45" s="344"/>
      <c r="OJO45" s="344"/>
      <c r="OJP45" s="344"/>
      <c r="OJQ45" s="344"/>
      <c r="OJR45" s="344"/>
      <c r="OJS45" s="344"/>
      <c r="OJT45" s="344"/>
      <c r="OJU45" s="344"/>
      <c r="OJV45" s="344"/>
      <c r="OJW45" s="344"/>
      <c r="OJX45" s="344"/>
      <c r="OJY45" s="344"/>
      <c r="OJZ45" s="344"/>
      <c r="OKA45" s="344"/>
      <c r="OKB45" s="344"/>
      <c r="OKC45" s="344"/>
      <c r="OKD45" s="344"/>
      <c r="OKE45" s="344"/>
      <c r="OKF45" s="344"/>
      <c r="OKG45" s="344"/>
      <c r="OKH45" s="344"/>
      <c r="OKI45" s="344"/>
      <c r="OKJ45" s="344"/>
      <c r="OKK45" s="344"/>
      <c r="OKL45" s="344"/>
      <c r="OKM45" s="344"/>
      <c r="OKN45" s="344"/>
      <c r="OKO45" s="344"/>
      <c r="OKP45" s="344"/>
      <c r="OKQ45" s="344"/>
      <c r="OKR45" s="344"/>
      <c r="OKS45" s="344"/>
      <c r="OKT45" s="344"/>
      <c r="OKU45" s="344"/>
      <c r="OKV45" s="344"/>
      <c r="OKW45" s="344"/>
      <c r="OKX45" s="344"/>
      <c r="OKY45" s="344"/>
      <c r="OKZ45" s="344"/>
      <c r="OLA45" s="344"/>
      <c r="OLB45" s="344"/>
      <c r="OLC45" s="344"/>
      <c r="OLD45" s="344"/>
      <c r="OLE45" s="344"/>
      <c r="OLF45" s="344"/>
      <c r="OLG45" s="344"/>
      <c r="OLH45" s="344"/>
      <c r="OLI45" s="344"/>
      <c r="OLJ45" s="344"/>
      <c r="OLK45" s="344"/>
      <c r="OLL45" s="344"/>
      <c r="OLM45" s="344"/>
      <c r="OLN45" s="344"/>
      <c r="OLO45" s="344"/>
      <c r="OLP45" s="344"/>
      <c r="OLQ45" s="344"/>
      <c r="OLR45" s="344"/>
      <c r="OLS45" s="344"/>
      <c r="OLT45" s="344"/>
      <c r="OLU45" s="344"/>
      <c r="OLV45" s="344"/>
      <c r="OLW45" s="344"/>
      <c r="OLX45" s="344"/>
      <c r="OLY45" s="344"/>
      <c r="OLZ45" s="344"/>
      <c r="OMA45" s="344"/>
      <c r="OMB45" s="344"/>
      <c r="OMC45" s="344"/>
      <c r="OMD45" s="344"/>
      <c r="OME45" s="344"/>
      <c r="OMF45" s="344"/>
      <c r="OMG45" s="344"/>
      <c r="OMH45" s="344"/>
      <c r="OMI45" s="344"/>
      <c r="OMJ45" s="344"/>
      <c r="OMK45" s="344"/>
      <c r="OML45" s="344"/>
      <c r="OMM45" s="344"/>
      <c r="OMN45" s="344"/>
      <c r="OMO45" s="344"/>
      <c r="OMP45" s="344"/>
      <c r="OMQ45" s="344"/>
      <c r="OMR45" s="344"/>
      <c r="OMS45" s="344"/>
      <c r="OMT45" s="344"/>
      <c r="OMU45" s="344"/>
      <c r="OMV45" s="344"/>
      <c r="OMW45" s="344"/>
      <c r="OMX45" s="344"/>
      <c r="OMY45" s="344"/>
      <c r="OMZ45" s="344"/>
      <c r="ONA45" s="344"/>
      <c r="ONB45" s="344"/>
      <c r="ONC45" s="344"/>
      <c r="OND45" s="344"/>
      <c r="ONE45" s="344"/>
      <c r="ONF45" s="344"/>
      <c r="ONG45" s="344"/>
      <c r="ONH45" s="344"/>
      <c r="ONI45" s="344"/>
      <c r="ONJ45" s="344"/>
      <c r="ONK45" s="344"/>
      <c r="ONL45" s="344"/>
      <c r="ONM45" s="344"/>
      <c r="ONN45" s="344"/>
      <c r="ONO45" s="344"/>
      <c r="ONP45" s="344"/>
      <c r="ONQ45" s="344"/>
      <c r="ONR45" s="344"/>
      <c r="ONS45" s="344"/>
      <c r="ONT45" s="344"/>
      <c r="ONU45" s="344"/>
      <c r="ONV45" s="344"/>
      <c r="ONW45" s="344"/>
      <c r="ONX45" s="344"/>
      <c r="ONY45" s="344"/>
      <c r="ONZ45" s="344"/>
      <c r="OOA45" s="344"/>
      <c r="OOB45" s="344"/>
      <c r="OOC45" s="344"/>
      <c r="OOD45" s="344"/>
      <c r="OOE45" s="344"/>
      <c r="OOF45" s="344"/>
      <c r="OOG45" s="344"/>
      <c r="OOH45" s="344"/>
      <c r="OOI45" s="344"/>
      <c r="OOJ45" s="344"/>
      <c r="OOK45" s="344"/>
      <c r="OOL45" s="344"/>
      <c r="OOM45" s="344"/>
      <c r="OON45" s="344"/>
      <c r="OOO45" s="344"/>
      <c r="OOP45" s="344"/>
      <c r="OOQ45" s="344"/>
      <c r="OOR45" s="344"/>
      <c r="OOS45" s="344"/>
      <c r="OOT45" s="344"/>
      <c r="OOU45" s="344"/>
      <c r="OOV45" s="344"/>
      <c r="OOW45" s="344"/>
      <c r="OOX45" s="344"/>
      <c r="OOY45" s="344"/>
      <c r="OOZ45" s="344"/>
      <c r="OPA45" s="344"/>
      <c r="OPB45" s="344"/>
      <c r="OPC45" s="344"/>
      <c r="OPD45" s="344"/>
      <c r="OPE45" s="344"/>
      <c r="OPF45" s="344"/>
      <c r="OPG45" s="344"/>
      <c r="OPH45" s="344"/>
      <c r="OPI45" s="344"/>
      <c r="OPJ45" s="344"/>
      <c r="OPK45" s="344"/>
      <c r="OPL45" s="344"/>
      <c r="OPM45" s="344"/>
      <c r="OPN45" s="344"/>
      <c r="OPO45" s="344"/>
      <c r="OPP45" s="344"/>
      <c r="OPQ45" s="344"/>
      <c r="OPR45" s="344"/>
      <c r="OPS45" s="344"/>
      <c r="OPT45" s="344"/>
      <c r="OPU45" s="344"/>
      <c r="OPV45" s="344"/>
      <c r="OPW45" s="344"/>
      <c r="OPX45" s="344"/>
      <c r="OPY45" s="344"/>
      <c r="OPZ45" s="344"/>
      <c r="OQA45" s="344"/>
      <c r="OQB45" s="344"/>
      <c r="OQC45" s="344"/>
      <c r="OQD45" s="344"/>
      <c r="OQE45" s="344"/>
      <c r="OQF45" s="344"/>
      <c r="OQG45" s="344"/>
      <c r="OQH45" s="344"/>
      <c r="OQI45" s="344"/>
      <c r="OQJ45" s="344"/>
      <c r="OQK45" s="344"/>
      <c r="OQL45" s="344"/>
      <c r="OQM45" s="344"/>
      <c r="OQN45" s="344"/>
      <c r="OQO45" s="344"/>
      <c r="OQP45" s="344"/>
      <c r="OQQ45" s="344"/>
      <c r="OQR45" s="344"/>
      <c r="OQS45" s="344"/>
      <c r="OQT45" s="344"/>
      <c r="OQU45" s="344"/>
      <c r="OQV45" s="344"/>
      <c r="OQW45" s="344"/>
      <c r="OQX45" s="344"/>
      <c r="OQY45" s="344"/>
      <c r="OQZ45" s="344"/>
      <c r="ORA45" s="344"/>
      <c r="ORB45" s="344"/>
      <c r="ORC45" s="344"/>
      <c r="ORD45" s="344"/>
      <c r="ORE45" s="344"/>
      <c r="ORF45" s="344"/>
      <c r="ORG45" s="344"/>
      <c r="ORH45" s="344"/>
      <c r="ORI45" s="344"/>
      <c r="ORJ45" s="344"/>
      <c r="ORK45" s="344"/>
      <c r="ORL45" s="344"/>
      <c r="ORM45" s="344"/>
      <c r="ORN45" s="344"/>
      <c r="ORO45" s="344"/>
      <c r="ORP45" s="344"/>
      <c r="ORQ45" s="344"/>
      <c r="ORR45" s="344"/>
      <c r="ORS45" s="344"/>
      <c r="ORT45" s="344"/>
      <c r="ORU45" s="344"/>
      <c r="ORV45" s="344"/>
      <c r="ORW45" s="344"/>
      <c r="ORX45" s="344"/>
      <c r="ORY45" s="344"/>
      <c r="ORZ45" s="344"/>
      <c r="OSA45" s="344"/>
      <c r="OSB45" s="344"/>
      <c r="OSC45" s="344"/>
      <c r="OSD45" s="344"/>
      <c r="OSE45" s="344"/>
      <c r="OSF45" s="344"/>
      <c r="OSG45" s="344"/>
      <c r="OSH45" s="344"/>
      <c r="OSI45" s="344"/>
      <c r="OSJ45" s="344"/>
      <c r="OSK45" s="344"/>
      <c r="OSL45" s="344"/>
      <c r="OSM45" s="344"/>
      <c r="OSN45" s="344"/>
      <c r="OSO45" s="344"/>
      <c r="OSP45" s="344"/>
      <c r="OSQ45" s="344"/>
      <c r="OSR45" s="344"/>
      <c r="OSS45" s="344"/>
      <c r="OST45" s="344"/>
      <c r="OSU45" s="344"/>
      <c r="OSV45" s="344"/>
      <c r="OSW45" s="344"/>
      <c r="OSX45" s="344"/>
      <c r="OSY45" s="344"/>
      <c r="OSZ45" s="344"/>
      <c r="OTA45" s="344"/>
      <c r="OTB45" s="344"/>
      <c r="OTC45" s="344"/>
      <c r="OTD45" s="344"/>
      <c r="OTE45" s="344"/>
      <c r="OTF45" s="344"/>
      <c r="OTG45" s="344"/>
      <c r="OTH45" s="344"/>
      <c r="OTI45" s="344"/>
      <c r="OTJ45" s="344"/>
      <c r="OTK45" s="344"/>
      <c r="OTL45" s="344"/>
      <c r="OTM45" s="344"/>
      <c r="OTN45" s="344"/>
      <c r="OTO45" s="344"/>
      <c r="OTP45" s="344"/>
      <c r="OTQ45" s="344"/>
      <c r="OTR45" s="344"/>
      <c r="OTS45" s="344"/>
      <c r="OTT45" s="344"/>
      <c r="OTU45" s="344"/>
      <c r="OTV45" s="344"/>
      <c r="OTW45" s="344"/>
      <c r="OTX45" s="344"/>
      <c r="OTY45" s="344"/>
      <c r="OTZ45" s="344"/>
      <c r="OUA45" s="344"/>
      <c r="OUB45" s="344"/>
      <c r="OUC45" s="344"/>
      <c r="OUD45" s="344"/>
      <c r="OUE45" s="344"/>
      <c r="OUF45" s="344"/>
      <c r="OUG45" s="344"/>
      <c r="OUH45" s="344"/>
      <c r="OUI45" s="344"/>
      <c r="OUJ45" s="344"/>
      <c r="OUK45" s="344"/>
      <c r="OUL45" s="344"/>
      <c r="OUM45" s="344"/>
      <c r="OUN45" s="344"/>
      <c r="OUO45" s="344"/>
      <c r="OUP45" s="344"/>
      <c r="OUQ45" s="344"/>
      <c r="OUR45" s="344"/>
      <c r="OUS45" s="344"/>
      <c r="OUT45" s="344"/>
      <c r="OUU45" s="344"/>
      <c r="OUV45" s="344"/>
      <c r="OUW45" s="344"/>
      <c r="OUX45" s="344"/>
      <c r="OUY45" s="344"/>
      <c r="OUZ45" s="344"/>
      <c r="OVA45" s="344"/>
      <c r="OVB45" s="344"/>
      <c r="OVC45" s="344"/>
      <c r="OVD45" s="344"/>
      <c r="OVE45" s="344"/>
      <c r="OVF45" s="344"/>
      <c r="OVG45" s="344"/>
      <c r="OVH45" s="344"/>
      <c r="OVI45" s="344"/>
      <c r="OVJ45" s="344"/>
      <c r="OVK45" s="344"/>
      <c r="OVL45" s="344"/>
      <c r="OVM45" s="344"/>
      <c r="OVN45" s="344"/>
      <c r="OVO45" s="344"/>
      <c r="OVP45" s="344"/>
      <c r="OVQ45" s="344"/>
      <c r="OVR45" s="344"/>
      <c r="OVS45" s="344"/>
      <c r="OVT45" s="344"/>
      <c r="OVU45" s="344"/>
      <c r="OVV45" s="344"/>
      <c r="OVW45" s="344"/>
      <c r="OVX45" s="344"/>
      <c r="OVY45" s="344"/>
      <c r="OVZ45" s="344"/>
      <c r="OWA45" s="344"/>
      <c r="OWB45" s="344"/>
      <c r="OWC45" s="344"/>
      <c r="OWD45" s="344"/>
      <c r="OWE45" s="344"/>
      <c r="OWF45" s="344"/>
      <c r="OWG45" s="344"/>
      <c r="OWH45" s="344"/>
      <c r="OWI45" s="344"/>
      <c r="OWJ45" s="344"/>
      <c r="OWK45" s="344"/>
      <c r="OWL45" s="344"/>
      <c r="OWM45" s="344"/>
      <c r="OWN45" s="344"/>
      <c r="OWO45" s="344"/>
      <c r="OWP45" s="344"/>
      <c r="OWQ45" s="344"/>
      <c r="OWR45" s="344"/>
      <c r="OWS45" s="344"/>
      <c r="OWT45" s="344"/>
      <c r="OWU45" s="344"/>
      <c r="OWV45" s="344"/>
      <c r="OWW45" s="344"/>
      <c r="OWX45" s="344"/>
      <c r="OWY45" s="344"/>
      <c r="OWZ45" s="344"/>
      <c r="OXA45" s="344"/>
      <c r="OXB45" s="344"/>
      <c r="OXC45" s="344"/>
      <c r="OXD45" s="344"/>
      <c r="OXE45" s="344"/>
      <c r="OXF45" s="344"/>
      <c r="OXG45" s="344"/>
      <c r="OXH45" s="344"/>
      <c r="OXI45" s="344"/>
      <c r="OXJ45" s="344"/>
      <c r="OXK45" s="344"/>
      <c r="OXL45" s="344"/>
      <c r="OXM45" s="344"/>
      <c r="OXN45" s="344"/>
      <c r="OXO45" s="344"/>
      <c r="OXP45" s="344"/>
      <c r="OXQ45" s="344"/>
      <c r="OXR45" s="344"/>
      <c r="OXS45" s="344"/>
      <c r="OXT45" s="344"/>
      <c r="OXU45" s="344"/>
      <c r="OXV45" s="344"/>
      <c r="OXW45" s="344"/>
      <c r="OXX45" s="344"/>
      <c r="OXY45" s="344"/>
      <c r="OXZ45" s="344"/>
      <c r="OYA45" s="344"/>
      <c r="OYB45" s="344"/>
      <c r="OYC45" s="344"/>
      <c r="OYD45" s="344"/>
      <c r="OYE45" s="344"/>
      <c r="OYF45" s="344"/>
      <c r="OYG45" s="344"/>
      <c r="OYH45" s="344"/>
      <c r="OYI45" s="344"/>
      <c r="OYJ45" s="344"/>
      <c r="OYK45" s="344"/>
      <c r="OYL45" s="344"/>
      <c r="OYM45" s="344"/>
      <c r="OYN45" s="344"/>
      <c r="OYO45" s="344"/>
      <c r="OYP45" s="344"/>
      <c r="OYQ45" s="344"/>
      <c r="OYR45" s="344"/>
      <c r="OYS45" s="344"/>
      <c r="OYT45" s="344"/>
      <c r="OYU45" s="344"/>
      <c r="OYV45" s="344"/>
      <c r="OYW45" s="344"/>
      <c r="OYX45" s="344"/>
      <c r="OYY45" s="344"/>
      <c r="OYZ45" s="344"/>
      <c r="OZA45" s="344"/>
      <c r="OZB45" s="344"/>
      <c r="OZC45" s="344"/>
      <c r="OZD45" s="344"/>
      <c r="OZE45" s="344"/>
      <c r="OZF45" s="344"/>
      <c r="OZG45" s="344"/>
      <c r="OZH45" s="344"/>
      <c r="OZI45" s="344"/>
      <c r="OZJ45" s="344"/>
      <c r="OZK45" s="344"/>
      <c r="OZL45" s="344"/>
      <c r="OZM45" s="344"/>
      <c r="OZN45" s="344"/>
      <c r="OZO45" s="344"/>
      <c r="OZP45" s="344"/>
      <c r="OZQ45" s="344"/>
      <c r="OZR45" s="344"/>
      <c r="OZS45" s="344"/>
      <c r="OZT45" s="344"/>
      <c r="OZU45" s="344"/>
      <c r="OZV45" s="344"/>
      <c r="OZW45" s="344"/>
      <c r="OZX45" s="344"/>
      <c r="OZY45" s="344"/>
      <c r="OZZ45" s="344"/>
      <c r="PAA45" s="344"/>
      <c r="PAB45" s="344"/>
      <c r="PAC45" s="344"/>
      <c r="PAD45" s="344"/>
      <c r="PAE45" s="344"/>
      <c r="PAF45" s="344"/>
      <c r="PAG45" s="344"/>
      <c r="PAH45" s="344"/>
      <c r="PAI45" s="344"/>
      <c r="PAJ45" s="344"/>
      <c r="PAK45" s="344"/>
      <c r="PAL45" s="344"/>
      <c r="PAM45" s="344"/>
      <c r="PAN45" s="344"/>
      <c r="PAO45" s="344"/>
      <c r="PAP45" s="344"/>
      <c r="PAQ45" s="344"/>
      <c r="PAR45" s="344"/>
      <c r="PAS45" s="344"/>
      <c r="PAT45" s="344"/>
      <c r="PAU45" s="344"/>
      <c r="PAV45" s="344"/>
      <c r="PAW45" s="344"/>
      <c r="PAX45" s="344"/>
      <c r="PAY45" s="344"/>
      <c r="PAZ45" s="344"/>
      <c r="PBA45" s="344"/>
      <c r="PBB45" s="344"/>
      <c r="PBC45" s="344"/>
      <c r="PBD45" s="344"/>
      <c r="PBE45" s="344"/>
      <c r="PBF45" s="344"/>
      <c r="PBG45" s="344"/>
      <c r="PBH45" s="344"/>
      <c r="PBI45" s="344"/>
      <c r="PBJ45" s="344"/>
      <c r="PBK45" s="344"/>
      <c r="PBL45" s="344"/>
      <c r="PBM45" s="344"/>
      <c r="PBN45" s="344"/>
      <c r="PBO45" s="344"/>
      <c r="PBP45" s="344"/>
      <c r="PBQ45" s="344"/>
      <c r="PBR45" s="344"/>
      <c r="PBS45" s="344"/>
      <c r="PBT45" s="344"/>
      <c r="PBU45" s="344"/>
      <c r="PBV45" s="344"/>
      <c r="PBW45" s="344"/>
      <c r="PBX45" s="344"/>
      <c r="PBY45" s="344"/>
      <c r="PBZ45" s="344"/>
      <c r="PCA45" s="344"/>
      <c r="PCB45" s="344"/>
      <c r="PCC45" s="344"/>
      <c r="PCD45" s="344"/>
      <c r="PCE45" s="344"/>
      <c r="PCF45" s="344"/>
      <c r="PCG45" s="344"/>
      <c r="PCH45" s="344"/>
      <c r="PCI45" s="344"/>
      <c r="PCJ45" s="344"/>
      <c r="PCK45" s="344"/>
      <c r="PCL45" s="344"/>
      <c r="PCM45" s="344"/>
      <c r="PCN45" s="344"/>
      <c r="PCO45" s="344"/>
      <c r="PCP45" s="344"/>
      <c r="PCQ45" s="344"/>
      <c r="PCR45" s="344"/>
      <c r="PCS45" s="344"/>
      <c r="PCT45" s="344"/>
      <c r="PCU45" s="344"/>
      <c r="PCV45" s="344"/>
      <c r="PCW45" s="344"/>
      <c r="PCX45" s="344"/>
      <c r="PCY45" s="344"/>
      <c r="PCZ45" s="344"/>
      <c r="PDA45" s="344"/>
      <c r="PDB45" s="344"/>
      <c r="PDC45" s="344"/>
      <c r="PDD45" s="344"/>
      <c r="PDE45" s="344"/>
      <c r="PDF45" s="344"/>
      <c r="PDG45" s="344"/>
      <c r="PDH45" s="344"/>
      <c r="PDI45" s="344"/>
      <c r="PDJ45" s="344"/>
      <c r="PDK45" s="344"/>
      <c r="PDL45" s="344"/>
      <c r="PDM45" s="344"/>
      <c r="PDN45" s="344"/>
      <c r="PDO45" s="344"/>
      <c r="PDP45" s="344"/>
      <c r="PDQ45" s="344"/>
      <c r="PDR45" s="344"/>
      <c r="PDS45" s="344"/>
      <c r="PDT45" s="344"/>
      <c r="PDU45" s="344"/>
      <c r="PDV45" s="344"/>
      <c r="PDW45" s="344"/>
      <c r="PDX45" s="344"/>
      <c r="PDY45" s="344"/>
      <c r="PDZ45" s="344"/>
      <c r="PEA45" s="344"/>
      <c r="PEB45" s="344"/>
      <c r="PEC45" s="344"/>
      <c r="PED45" s="344"/>
      <c r="PEE45" s="344"/>
      <c r="PEF45" s="344"/>
      <c r="PEG45" s="344"/>
      <c r="PEH45" s="344"/>
      <c r="PEI45" s="344"/>
      <c r="PEJ45" s="344"/>
      <c r="PEK45" s="344"/>
      <c r="PEL45" s="344"/>
      <c r="PEM45" s="344"/>
      <c r="PEN45" s="344"/>
      <c r="PEO45" s="344"/>
      <c r="PEP45" s="344"/>
      <c r="PEQ45" s="344"/>
      <c r="PER45" s="344"/>
      <c r="PES45" s="344"/>
      <c r="PET45" s="344"/>
      <c r="PEU45" s="344"/>
      <c r="PEV45" s="344"/>
      <c r="PEW45" s="344"/>
      <c r="PEX45" s="344"/>
      <c r="PEY45" s="344"/>
      <c r="PEZ45" s="344"/>
      <c r="PFA45" s="344"/>
      <c r="PFB45" s="344"/>
      <c r="PFC45" s="344"/>
      <c r="PFD45" s="344"/>
      <c r="PFE45" s="344"/>
      <c r="PFF45" s="344"/>
      <c r="PFG45" s="344"/>
      <c r="PFH45" s="344"/>
      <c r="PFI45" s="344"/>
      <c r="PFJ45" s="344"/>
      <c r="PFK45" s="344"/>
      <c r="PFL45" s="344"/>
      <c r="PFM45" s="344"/>
      <c r="PFN45" s="344"/>
      <c r="PFO45" s="344"/>
      <c r="PFP45" s="344"/>
      <c r="PFQ45" s="344"/>
      <c r="PFR45" s="344"/>
      <c r="PFS45" s="344"/>
      <c r="PFT45" s="344"/>
      <c r="PFU45" s="344"/>
      <c r="PFV45" s="344"/>
      <c r="PFW45" s="344"/>
      <c r="PFX45" s="344"/>
      <c r="PFY45" s="344"/>
      <c r="PFZ45" s="344"/>
      <c r="PGA45" s="344"/>
      <c r="PGB45" s="344"/>
      <c r="PGC45" s="344"/>
      <c r="PGD45" s="344"/>
      <c r="PGE45" s="344"/>
      <c r="PGF45" s="344"/>
      <c r="PGG45" s="344"/>
      <c r="PGH45" s="344"/>
      <c r="PGI45" s="344"/>
      <c r="PGJ45" s="344"/>
      <c r="PGK45" s="344"/>
      <c r="PGL45" s="344"/>
      <c r="PGM45" s="344"/>
      <c r="PGN45" s="344"/>
      <c r="PGO45" s="344"/>
      <c r="PGP45" s="344"/>
      <c r="PGQ45" s="344"/>
      <c r="PGR45" s="344"/>
      <c r="PGS45" s="344"/>
      <c r="PGT45" s="344"/>
      <c r="PGU45" s="344"/>
      <c r="PGV45" s="344"/>
      <c r="PGW45" s="344"/>
      <c r="PGX45" s="344"/>
      <c r="PGY45" s="344"/>
      <c r="PGZ45" s="344"/>
      <c r="PHA45" s="344"/>
      <c r="PHB45" s="344"/>
      <c r="PHC45" s="344"/>
      <c r="PHD45" s="344"/>
      <c r="PHE45" s="344"/>
      <c r="PHF45" s="344"/>
      <c r="PHG45" s="344"/>
      <c r="PHH45" s="344"/>
      <c r="PHI45" s="344"/>
      <c r="PHJ45" s="344"/>
      <c r="PHK45" s="344"/>
      <c r="PHL45" s="344"/>
      <c r="PHM45" s="344"/>
      <c r="PHN45" s="344"/>
      <c r="PHO45" s="344"/>
      <c r="PHP45" s="344"/>
      <c r="PHQ45" s="344"/>
      <c r="PHR45" s="344"/>
      <c r="PHS45" s="344"/>
      <c r="PHT45" s="344"/>
      <c r="PHU45" s="344"/>
      <c r="PHV45" s="344"/>
      <c r="PHW45" s="344"/>
      <c r="PHX45" s="344"/>
      <c r="PHY45" s="344"/>
      <c r="PHZ45" s="344"/>
      <c r="PIA45" s="344"/>
      <c r="PIB45" s="344"/>
      <c r="PIC45" s="344"/>
      <c r="PID45" s="344"/>
      <c r="PIE45" s="344"/>
      <c r="PIF45" s="344"/>
      <c r="PIG45" s="344"/>
      <c r="PIH45" s="344"/>
      <c r="PII45" s="344"/>
      <c r="PIJ45" s="344"/>
      <c r="PIK45" s="344"/>
      <c r="PIL45" s="344"/>
      <c r="PIM45" s="344"/>
      <c r="PIN45" s="344"/>
      <c r="PIO45" s="344"/>
      <c r="PIP45" s="344"/>
      <c r="PIQ45" s="344"/>
      <c r="PIR45" s="344"/>
      <c r="PIS45" s="344"/>
      <c r="PIT45" s="344"/>
      <c r="PIU45" s="344"/>
      <c r="PIV45" s="344"/>
      <c r="PIW45" s="344"/>
      <c r="PIX45" s="344"/>
      <c r="PIY45" s="344"/>
      <c r="PIZ45" s="344"/>
      <c r="PJA45" s="344"/>
      <c r="PJB45" s="344"/>
      <c r="PJC45" s="344"/>
      <c r="PJD45" s="344"/>
      <c r="PJE45" s="344"/>
      <c r="PJF45" s="344"/>
      <c r="PJG45" s="344"/>
      <c r="PJH45" s="344"/>
      <c r="PJI45" s="344"/>
      <c r="PJJ45" s="344"/>
      <c r="PJK45" s="344"/>
      <c r="PJL45" s="344"/>
      <c r="PJM45" s="344"/>
      <c r="PJN45" s="344"/>
      <c r="PJO45" s="344"/>
      <c r="PJP45" s="344"/>
      <c r="PJQ45" s="344"/>
      <c r="PJR45" s="344"/>
      <c r="PJS45" s="344"/>
      <c r="PJT45" s="344"/>
      <c r="PJU45" s="344"/>
      <c r="PJV45" s="344"/>
      <c r="PJW45" s="344"/>
      <c r="PJX45" s="344"/>
      <c r="PJY45" s="344"/>
      <c r="PJZ45" s="344"/>
      <c r="PKA45" s="344"/>
      <c r="PKB45" s="344"/>
      <c r="PKC45" s="344"/>
      <c r="PKD45" s="344"/>
      <c r="PKE45" s="344"/>
      <c r="PKF45" s="344"/>
      <c r="PKG45" s="344"/>
      <c r="PKH45" s="344"/>
      <c r="PKI45" s="344"/>
      <c r="PKJ45" s="344"/>
      <c r="PKK45" s="344"/>
      <c r="PKL45" s="344"/>
      <c r="PKM45" s="344"/>
      <c r="PKN45" s="344"/>
      <c r="PKO45" s="344"/>
      <c r="PKP45" s="344"/>
      <c r="PKQ45" s="344"/>
      <c r="PKR45" s="344"/>
      <c r="PKS45" s="344"/>
      <c r="PKT45" s="344"/>
      <c r="PKU45" s="344"/>
      <c r="PKV45" s="344"/>
      <c r="PKW45" s="344"/>
      <c r="PKX45" s="344"/>
      <c r="PKY45" s="344"/>
      <c r="PKZ45" s="344"/>
      <c r="PLA45" s="344"/>
      <c r="PLB45" s="344"/>
      <c r="PLC45" s="344"/>
      <c r="PLD45" s="344"/>
      <c r="PLE45" s="344"/>
      <c r="PLF45" s="344"/>
      <c r="PLG45" s="344"/>
      <c r="PLH45" s="344"/>
      <c r="PLI45" s="344"/>
      <c r="PLJ45" s="344"/>
      <c r="PLK45" s="344"/>
      <c r="PLL45" s="344"/>
      <c r="PLM45" s="344"/>
      <c r="PLN45" s="344"/>
      <c r="PLO45" s="344"/>
      <c r="PLP45" s="344"/>
      <c r="PLQ45" s="344"/>
      <c r="PLR45" s="344"/>
      <c r="PLS45" s="344"/>
      <c r="PLT45" s="344"/>
      <c r="PLU45" s="344"/>
      <c r="PLV45" s="344"/>
      <c r="PLW45" s="344"/>
      <c r="PLX45" s="344"/>
      <c r="PLY45" s="344"/>
      <c r="PLZ45" s="344"/>
      <c r="PMA45" s="344"/>
      <c r="PMB45" s="344"/>
      <c r="PMC45" s="344"/>
      <c r="PMD45" s="344"/>
      <c r="PME45" s="344"/>
      <c r="PMF45" s="344"/>
      <c r="PMG45" s="344"/>
      <c r="PMH45" s="344"/>
      <c r="PMI45" s="344"/>
      <c r="PMJ45" s="344"/>
      <c r="PMK45" s="344"/>
      <c r="PML45" s="344"/>
      <c r="PMM45" s="344"/>
      <c r="PMN45" s="344"/>
      <c r="PMO45" s="344"/>
      <c r="PMP45" s="344"/>
      <c r="PMQ45" s="344"/>
      <c r="PMR45" s="344"/>
      <c r="PMS45" s="344"/>
      <c r="PMT45" s="344"/>
      <c r="PMU45" s="344"/>
      <c r="PMV45" s="344"/>
      <c r="PMW45" s="344"/>
      <c r="PMX45" s="344"/>
      <c r="PMY45" s="344"/>
      <c r="PMZ45" s="344"/>
      <c r="PNA45" s="344"/>
      <c r="PNB45" s="344"/>
      <c r="PNC45" s="344"/>
      <c r="PND45" s="344"/>
      <c r="PNE45" s="344"/>
      <c r="PNF45" s="344"/>
      <c r="PNG45" s="344"/>
      <c r="PNH45" s="344"/>
      <c r="PNI45" s="344"/>
      <c r="PNJ45" s="344"/>
      <c r="PNK45" s="344"/>
      <c r="PNL45" s="344"/>
      <c r="PNM45" s="344"/>
      <c r="PNN45" s="344"/>
      <c r="PNO45" s="344"/>
      <c r="PNP45" s="344"/>
      <c r="PNQ45" s="344"/>
      <c r="PNR45" s="344"/>
      <c r="PNS45" s="344"/>
      <c r="PNT45" s="344"/>
      <c r="PNU45" s="344"/>
      <c r="PNV45" s="344"/>
      <c r="PNW45" s="344"/>
      <c r="PNX45" s="344"/>
      <c r="PNY45" s="344"/>
      <c r="PNZ45" s="344"/>
      <c r="POA45" s="344"/>
      <c r="POB45" s="344"/>
      <c r="POC45" s="344"/>
      <c r="POD45" s="344"/>
      <c r="POE45" s="344"/>
      <c r="POF45" s="344"/>
      <c r="POG45" s="344"/>
      <c r="POH45" s="344"/>
      <c r="POI45" s="344"/>
      <c r="POJ45" s="344"/>
      <c r="POK45" s="344"/>
      <c r="POL45" s="344"/>
      <c r="POM45" s="344"/>
      <c r="PON45" s="344"/>
      <c r="POO45" s="344"/>
      <c r="POP45" s="344"/>
      <c r="POQ45" s="344"/>
      <c r="POR45" s="344"/>
      <c r="POS45" s="344"/>
      <c r="POT45" s="344"/>
      <c r="POU45" s="344"/>
      <c r="POV45" s="344"/>
      <c r="POW45" s="344"/>
      <c r="POX45" s="344"/>
      <c r="POY45" s="344"/>
      <c r="POZ45" s="344"/>
      <c r="PPA45" s="344"/>
      <c r="PPB45" s="344"/>
      <c r="PPC45" s="344"/>
      <c r="PPD45" s="344"/>
      <c r="PPE45" s="344"/>
      <c r="PPF45" s="344"/>
      <c r="PPG45" s="344"/>
      <c r="PPH45" s="344"/>
      <c r="PPI45" s="344"/>
      <c r="PPJ45" s="344"/>
      <c r="PPK45" s="344"/>
      <c r="PPL45" s="344"/>
      <c r="PPM45" s="344"/>
      <c r="PPN45" s="344"/>
      <c r="PPO45" s="344"/>
      <c r="PPP45" s="344"/>
      <c r="PPQ45" s="344"/>
      <c r="PPR45" s="344"/>
      <c r="PPS45" s="344"/>
      <c r="PPT45" s="344"/>
      <c r="PPU45" s="344"/>
      <c r="PPV45" s="344"/>
      <c r="PPW45" s="344"/>
      <c r="PPX45" s="344"/>
      <c r="PPY45" s="344"/>
      <c r="PPZ45" s="344"/>
      <c r="PQA45" s="344"/>
      <c r="PQB45" s="344"/>
      <c r="PQC45" s="344"/>
      <c r="PQD45" s="344"/>
      <c r="PQE45" s="344"/>
      <c r="PQF45" s="344"/>
      <c r="PQG45" s="344"/>
      <c r="PQH45" s="344"/>
      <c r="PQI45" s="344"/>
      <c r="PQJ45" s="344"/>
      <c r="PQK45" s="344"/>
      <c r="PQL45" s="344"/>
      <c r="PQM45" s="344"/>
      <c r="PQN45" s="344"/>
      <c r="PQO45" s="344"/>
      <c r="PQP45" s="344"/>
      <c r="PQQ45" s="344"/>
      <c r="PQR45" s="344"/>
      <c r="PQS45" s="344"/>
      <c r="PQT45" s="344"/>
      <c r="PQU45" s="344"/>
      <c r="PQV45" s="344"/>
      <c r="PQW45" s="344"/>
      <c r="PQX45" s="344"/>
      <c r="PQY45" s="344"/>
      <c r="PQZ45" s="344"/>
      <c r="PRA45" s="344"/>
      <c r="PRB45" s="344"/>
      <c r="PRC45" s="344"/>
      <c r="PRD45" s="344"/>
      <c r="PRE45" s="344"/>
      <c r="PRF45" s="344"/>
      <c r="PRG45" s="344"/>
      <c r="PRH45" s="344"/>
      <c r="PRI45" s="344"/>
      <c r="PRJ45" s="344"/>
      <c r="PRK45" s="344"/>
      <c r="PRL45" s="344"/>
      <c r="PRM45" s="344"/>
      <c r="PRN45" s="344"/>
      <c r="PRO45" s="344"/>
      <c r="PRP45" s="344"/>
      <c r="PRQ45" s="344"/>
      <c r="PRR45" s="344"/>
      <c r="PRS45" s="344"/>
      <c r="PRT45" s="344"/>
      <c r="PRU45" s="344"/>
      <c r="PRV45" s="344"/>
      <c r="PRW45" s="344"/>
      <c r="PRX45" s="344"/>
      <c r="PRY45" s="344"/>
      <c r="PRZ45" s="344"/>
      <c r="PSA45" s="344"/>
      <c r="PSB45" s="344"/>
      <c r="PSC45" s="344"/>
      <c r="PSD45" s="344"/>
      <c r="PSE45" s="344"/>
      <c r="PSF45" s="344"/>
      <c r="PSG45" s="344"/>
      <c r="PSH45" s="344"/>
      <c r="PSI45" s="344"/>
      <c r="PSJ45" s="344"/>
      <c r="PSK45" s="344"/>
      <c r="PSL45" s="344"/>
      <c r="PSM45" s="344"/>
      <c r="PSN45" s="344"/>
      <c r="PSO45" s="344"/>
      <c r="PSP45" s="344"/>
      <c r="PSQ45" s="344"/>
      <c r="PSR45" s="344"/>
      <c r="PSS45" s="344"/>
      <c r="PST45" s="344"/>
      <c r="PSU45" s="344"/>
      <c r="PSV45" s="344"/>
      <c r="PSW45" s="344"/>
      <c r="PSX45" s="344"/>
      <c r="PSY45" s="344"/>
      <c r="PSZ45" s="344"/>
      <c r="PTA45" s="344"/>
      <c r="PTB45" s="344"/>
      <c r="PTC45" s="344"/>
      <c r="PTD45" s="344"/>
      <c r="PTE45" s="344"/>
      <c r="PTF45" s="344"/>
      <c r="PTG45" s="344"/>
      <c r="PTH45" s="344"/>
      <c r="PTI45" s="344"/>
      <c r="PTJ45" s="344"/>
      <c r="PTK45" s="344"/>
      <c r="PTL45" s="344"/>
      <c r="PTM45" s="344"/>
      <c r="PTN45" s="344"/>
      <c r="PTO45" s="344"/>
      <c r="PTP45" s="344"/>
      <c r="PTQ45" s="344"/>
      <c r="PTR45" s="344"/>
      <c r="PTS45" s="344"/>
      <c r="PTT45" s="344"/>
      <c r="PTU45" s="344"/>
      <c r="PTV45" s="344"/>
      <c r="PTW45" s="344"/>
      <c r="PTX45" s="344"/>
      <c r="PTY45" s="344"/>
      <c r="PTZ45" s="344"/>
      <c r="PUA45" s="344"/>
      <c r="PUB45" s="344"/>
      <c r="PUC45" s="344"/>
      <c r="PUD45" s="344"/>
      <c r="PUE45" s="344"/>
      <c r="PUF45" s="344"/>
      <c r="PUG45" s="344"/>
      <c r="PUH45" s="344"/>
      <c r="PUI45" s="344"/>
      <c r="PUJ45" s="344"/>
      <c r="PUK45" s="344"/>
      <c r="PUL45" s="344"/>
      <c r="PUM45" s="344"/>
      <c r="PUN45" s="344"/>
      <c r="PUO45" s="344"/>
      <c r="PUP45" s="344"/>
      <c r="PUQ45" s="344"/>
      <c r="PUR45" s="344"/>
      <c r="PUS45" s="344"/>
      <c r="PUT45" s="344"/>
      <c r="PUU45" s="344"/>
      <c r="PUV45" s="344"/>
      <c r="PUW45" s="344"/>
      <c r="PUX45" s="344"/>
      <c r="PUY45" s="344"/>
      <c r="PUZ45" s="344"/>
      <c r="PVA45" s="344"/>
      <c r="PVB45" s="344"/>
      <c r="PVC45" s="344"/>
      <c r="PVD45" s="344"/>
      <c r="PVE45" s="344"/>
      <c r="PVF45" s="344"/>
      <c r="PVG45" s="344"/>
      <c r="PVH45" s="344"/>
      <c r="PVI45" s="344"/>
      <c r="PVJ45" s="344"/>
      <c r="PVK45" s="344"/>
      <c r="PVL45" s="344"/>
      <c r="PVM45" s="344"/>
      <c r="PVN45" s="344"/>
      <c r="PVO45" s="344"/>
      <c r="PVP45" s="344"/>
      <c r="PVQ45" s="344"/>
      <c r="PVR45" s="344"/>
      <c r="PVS45" s="344"/>
      <c r="PVT45" s="344"/>
      <c r="PVU45" s="344"/>
      <c r="PVV45" s="344"/>
      <c r="PVW45" s="344"/>
      <c r="PVX45" s="344"/>
      <c r="PVY45" s="344"/>
      <c r="PVZ45" s="344"/>
      <c r="PWA45" s="344"/>
      <c r="PWB45" s="344"/>
      <c r="PWC45" s="344"/>
      <c r="PWD45" s="344"/>
      <c r="PWE45" s="344"/>
      <c r="PWF45" s="344"/>
      <c r="PWG45" s="344"/>
      <c r="PWH45" s="344"/>
      <c r="PWI45" s="344"/>
      <c r="PWJ45" s="344"/>
      <c r="PWK45" s="344"/>
      <c r="PWL45" s="344"/>
      <c r="PWM45" s="344"/>
      <c r="PWN45" s="344"/>
      <c r="PWO45" s="344"/>
      <c r="PWP45" s="344"/>
      <c r="PWQ45" s="344"/>
      <c r="PWR45" s="344"/>
      <c r="PWS45" s="344"/>
      <c r="PWT45" s="344"/>
      <c r="PWU45" s="344"/>
      <c r="PWV45" s="344"/>
      <c r="PWW45" s="344"/>
      <c r="PWX45" s="344"/>
      <c r="PWY45" s="344"/>
      <c r="PWZ45" s="344"/>
      <c r="PXA45" s="344"/>
      <c r="PXB45" s="344"/>
      <c r="PXC45" s="344"/>
      <c r="PXD45" s="344"/>
      <c r="PXE45" s="344"/>
      <c r="PXF45" s="344"/>
      <c r="PXG45" s="344"/>
      <c r="PXH45" s="344"/>
      <c r="PXI45" s="344"/>
      <c r="PXJ45" s="344"/>
      <c r="PXK45" s="344"/>
      <c r="PXL45" s="344"/>
      <c r="PXM45" s="344"/>
      <c r="PXN45" s="344"/>
      <c r="PXO45" s="344"/>
      <c r="PXP45" s="344"/>
      <c r="PXQ45" s="344"/>
      <c r="PXR45" s="344"/>
      <c r="PXS45" s="344"/>
      <c r="PXT45" s="344"/>
      <c r="PXU45" s="344"/>
      <c r="PXV45" s="344"/>
      <c r="PXW45" s="344"/>
      <c r="PXX45" s="344"/>
      <c r="PXY45" s="344"/>
      <c r="PXZ45" s="344"/>
      <c r="PYA45" s="344"/>
      <c r="PYB45" s="344"/>
      <c r="PYC45" s="344"/>
      <c r="PYD45" s="344"/>
      <c r="PYE45" s="344"/>
      <c r="PYF45" s="344"/>
      <c r="PYG45" s="344"/>
      <c r="PYH45" s="344"/>
      <c r="PYI45" s="344"/>
      <c r="PYJ45" s="344"/>
      <c r="PYK45" s="344"/>
      <c r="PYL45" s="344"/>
      <c r="PYM45" s="344"/>
      <c r="PYN45" s="344"/>
      <c r="PYO45" s="344"/>
      <c r="PYP45" s="344"/>
      <c r="PYQ45" s="344"/>
      <c r="PYR45" s="344"/>
      <c r="PYS45" s="344"/>
      <c r="PYT45" s="344"/>
      <c r="PYU45" s="344"/>
      <c r="PYV45" s="344"/>
      <c r="PYW45" s="344"/>
      <c r="PYX45" s="344"/>
      <c r="PYY45" s="344"/>
      <c r="PYZ45" s="344"/>
      <c r="PZA45" s="344"/>
      <c r="PZB45" s="344"/>
      <c r="PZC45" s="344"/>
      <c r="PZD45" s="344"/>
      <c r="PZE45" s="344"/>
      <c r="PZF45" s="344"/>
      <c r="PZG45" s="344"/>
      <c r="PZH45" s="344"/>
      <c r="PZI45" s="344"/>
      <c r="PZJ45" s="344"/>
      <c r="PZK45" s="344"/>
      <c r="PZL45" s="344"/>
      <c r="PZM45" s="344"/>
      <c r="PZN45" s="344"/>
      <c r="PZO45" s="344"/>
      <c r="PZP45" s="344"/>
      <c r="PZQ45" s="344"/>
      <c r="PZR45" s="344"/>
      <c r="PZS45" s="344"/>
      <c r="PZT45" s="344"/>
      <c r="PZU45" s="344"/>
      <c r="PZV45" s="344"/>
      <c r="PZW45" s="344"/>
      <c r="PZX45" s="344"/>
      <c r="PZY45" s="344"/>
      <c r="PZZ45" s="344"/>
      <c r="QAA45" s="344"/>
      <c r="QAB45" s="344"/>
      <c r="QAC45" s="344"/>
      <c r="QAD45" s="344"/>
      <c r="QAE45" s="344"/>
      <c r="QAF45" s="344"/>
      <c r="QAG45" s="344"/>
      <c r="QAH45" s="344"/>
      <c r="QAI45" s="344"/>
      <c r="QAJ45" s="344"/>
      <c r="QAK45" s="344"/>
      <c r="QAL45" s="344"/>
      <c r="QAM45" s="344"/>
      <c r="QAN45" s="344"/>
      <c r="QAO45" s="344"/>
      <c r="QAP45" s="344"/>
      <c r="QAQ45" s="344"/>
      <c r="QAR45" s="344"/>
      <c r="QAS45" s="344"/>
      <c r="QAT45" s="344"/>
      <c r="QAU45" s="344"/>
      <c r="QAV45" s="344"/>
      <c r="QAW45" s="344"/>
      <c r="QAX45" s="344"/>
      <c r="QAY45" s="344"/>
      <c r="QAZ45" s="344"/>
      <c r="QBA45" s="344"/>
      <c r="QBB45" s="344"/>
      <c r="QBC45" s="344"/>
      <c r="QBD45" s="344"/>
      <c r="QBE45" s="344"/>
      <c r="QBF45" s="344"/>
      <c r="QBG45" s="344"/>
      <c r="QBH45" s="344"/>
      <c r="QBI45" s="344"/>
      <c r="QBJ45" s="344"/>
      <c r="QBK45" s="344"/>
      <c r="QBL45" s="344"/>
      <c r="QBM45" s="344"/>
      <c r="QBN45" s="344"/>
      <c r="QBO45" s="344"/>
      <c r="QBP45" s="344"/>
      <c r="QBQ45" s="344"/>
      <c r="QBR45" s="344"/>
      <c r="QBS45" s="344"/>
      <c r="QBT45" s="344"/>
      <c r="QBU45" s="344"/>
      <c r="QBV45" s="344"/>
      <c r="QBW45" s="344"/>
      <c r="QBX45" s="344"/>
      <c r="QBY45" s="344"/>
      <c r="QBZ45" s="344"/>
      <c r="QCA45" s="344"/>
      <c r="QCB45" s="344"/>
      <c r="QCC45" s="344"/>
      <c r="QCD45" s="344"/>
      <c r="QCE45" s="344"/>
      <c r="QCF45" s="344"/>
      <c r="QCG45" s="344"/>
      <c r="QCH45" s="344"/>
      <c r="QCI45" s="344"/>
      <c r="QCJ45" s="344"/>
      <c r="QCK45" s="344"/>
      <c r="QCL45" s="344"/>
      <c r="QCM45" s="344"/>
      <c r="QCN45" s="344"/>
      <c r="QCO45" s="344"/>
      <c r="QCP45" s="344"/>
      <c r="QCQ45" s="344"/>
      <c r="QCR45" s="344"/>
      <c r="QCS45" s="344"/>
      <c r="QCT45" s="344"/>
      <c r="QCU45" s="344"/>
      <c r="QCV45" s="344"/>
      <c r="QCW45" s="344"/>
      <c r="QCX45" s="344"/>
      <c r="QCY45" s="344"/>
      <c r="QCZ45" s="344"/>
      <c r="QDA45" s="344"/>
      <c r="QDB45" s="344"/>
      <c r="QDC45" s="344"/>
      <c r="QDD45" s="344"/>
      <c r="QDE45" s="344"/>
      <c r="QDF45" s="344"/>
      <c r="QDG45" s="344"/>
      <c r="QDH45" s="344"/>
      <c r="QDI45" s="344"/>
      <c r="QDJ45" s="344"/>
      <c r="QDK45" s="344"/>
      <c r="QDL45" s="344"/>
      <c r="QDM45" s="344"/>
      <c r="QDN45" s="344"/>
      <c r="QDO45" s="344"/>
      <c r="QDP45" s="344"/>
      <c r="QDQ45" s="344"/>
      <c r="QDR45" s="344"/>
      <c r="QDS45" s="344"/>
      <c r="QDT45" s="344"/>
      <c r="QDU45" s="344"/>
      <c r="QDV45" s="344"/>
      <c r="QDW45" s="344"/>
      <c r="QDX45" s="344"/>
      <c r="QDY45" s="344"/>
      <c r="QDZ45" s="344"/>
      <c r="QEA45" s="344"/>
      <c r="QEB45" s="344"/>
      <c r="QEC45" s="344"/>
      <c r="QED45" s="344"/>
      <c r="QEE45" s="344"/>
      <c r="QEF45" s="344"/>
      <c r="QEG45" s="344"/>
      <c r="QEH45" s="344"/>
      <c r="QEI45" s="344"/>
      <c r="QEJ45" s="344"/>
      <c r="QEK45" s="344"/>
      <c r="QEL45" s="344"/>
      <c r="QEM45" s="344"/>
      <c r="QEN45" s="344"/>
      <c r="QEO45" s="344"/>
      <c r="QEP45" s="344"/>
      <c r="QEQ45" s="344"/>
      <c r="QER45" s="344"/>
      <c r="QES45" s="344"/>
      <c r="QET45" s="344"/>
      <c r="QEU45" s="344"/>
      <c r="QEV45" s="344"/>
      <c r="QEW45" s="344"/>
      <c r="QEX45" s="344"/>
      <c r="QEY45" s="344"/>
      <c r="QEZ45" s="344"/>
      <c r="QFA45" s="344"/>
      <c r="QFB45" s="344"/>
      <c r="QFC45" s="344"/>
      <c r="QFD45" s="344"/>
      <c r="QFE45" s="344"/>
      <c r="QFF45" s="344"/>
      <c r="QFG45" s="344"/>
      <c r="QFH45" s="344"/>
      <c r="QFI45" s="344"/>
      <c r="QFJ45" s="344"/>
      <c r="QFK45" s="344"/>
      <c r="QFL45" s="344"/>
      <c r="QFM45" s="344"/>
      <c r="QFN45" s="344"/>
      <c r="QFO45" s="344"/>
      <c r="QFP45" s="344"/>
      <c r="QFQ45" s="344"/>
      <c r="QFR45" s="344"/>
      <c r="QFS45" s="344"/>
      <c r="QFT45" s="344"/>
      <c r="QFU45" s="344"/>
      <c r="QFV45" s="344"/>
      <c r="QFW45" s="344"/>
      <c r="QFX45" s="344"/>
      <c r="QFY45" s="344"/>
      <c r="QFZ45" s="344"/>
      <c r="QGA45" s="344"/>
      <c r="QGB45" s="344"/>
      <c r="QGC45" s="344"/>
      <c r="QGD45" s="344"/>
      <c r="QGE45" s="344"/>
      <c r="QGF45" s="344"/>
      <c r="QGG45" s="344"/>
      <c r="QGH45" s="344"/>
      <c r="QGI45" s="344"/>
      <c r="QGJ45" s="344"/>
      <c r="QGK45" s="344"/>
      <c r="QGL45" s="344"/>
      <c r="QGM45" s="344"/>
      <c r="QGN45" s="344"/>
      <c r="QGO45" s="344"/>
      <c r="QGP45" s="344"/>
      <c r="QGQ45" s="344"/>
      <c r="QGR45" s="344"/>
      <c r="QGS45" s="344"/>
      <c r="QGT45" s="344"/>
      <c r="QGU45" s="344"/>
      <c r="QGV45" s="344"/>
      <c r="QGW45" s="344"/>
      <c r="QGX45" s="344"/>
      <c r="QGY45" s="344"/>
      <c r="QGZ45" s="344"/>
      <c r="QHA45" s="344"/>
      <c r="QHB45" s="344"/>
      <c r="QHC45" s="344"/>
      <c r="QHD45" s="344"/>
      <c r="QHE45" s="344"/>
      <c r="QHF45" s="344"/>
      <c r="QHG45" s="344"/>
      <c r="QHH45" s="344"/>
      <c r="QHI45" s="344"/>
      <c r="QHJ45" s="344"/>
      <c r="QHK45" s="344"/>
      <c r="QHL45" s="344"/>
      <c r="QHM45" s="344"/>
      <c r="QHN45" s="344"/>
      <c r="QHO45" s="344"/>
      <c r="QHP45" s="344"/>
      <c r="QHQ45" s="344"/>
      <c r="QHR45" s="344"/>
      <c r="QHS45" s="344"/>
      <c r="QHT45" s="344"/>
      <c r="QHU45" s="344"/>
      <c r="QHV45" s="344"/>
      <c r="QHW45" s="344"/>
      <c r="QHX45" s="344"/>
      <c r="QHY45" s="344"/>
      <c r="QHZ45" s="344"/>
      <c r="QIA45" s="344"/>
      <c r="QIB45" s="344"/>
      <c r="QIC45" s="344"/>
      <c r="QID45" s="344"/>
      <c r="QIE45" s="344"/>
      <c r="QIF45" s="344"/>
      <c r="QIG45" s="344"/>
      <c r="QIH45" s="344"/>
      <c r="QII45" s="344"/>
      <c r="QIJ45" s="344"/>
      <c r="QIK45" s="344"/>
      <c r="QIL45" s="344"/>
      <c r="QIM45" s="344"/>
      <c r="QIN45" s="344"/>
      <c r="QIO45" s="344"/>
      <c r="QIP45" s="344"/>
      <c r="QIQ45" s="344"/>
      <c r="QIR45" s="344"/>
      <c r="QIS45" s="344"/>
      <c r="QIT45" s="344"/>
      <c r="QIU45" s="344"/>
      <c r="QIV45" s="344"/>
      <c r="QIW45" s="344"/>
      <c r="QIX45" s="344"/>
      <c r="QIY45" s="344"/>
      <c r="QIZ45" s="344"/>
      <c r="QJA45" s="344"/>
      <c r="QJB45" s="344"/>
      <c r="QJC45" s="344"/>
      <c r="QJD45" s="344"/>
      <c r="QJE45" s="344"/>
      <c r="QJF45" s="344"/>
      <c r="QJG45" s="344"/>
      <c r="QJH45" s="344"/>
      <c r="QJI45" s="344"/>
      <c r="QJJ45" s="344"/>
      <c r="QJK45" s="344"/>
      <c r="QJL45" s="344"/>
      <c r="QJM45" s="344"/>
      <c r="QJN45" s="344"/>
      <c r="QJO45" s="344"/>
      <c r="QJP45" s="344"/>
      <c r="QJQ45" s="344"/>
      <c r="QJR45" s="344"/>
      <c r="QJS45" s="344"/>
      <c r="QJT45" s="344"/>
      <c r="QJU45" s="344"/>
      <c r="QJV45" s="344"/>
      <c r="QJW45" s="344"/>
      <c r="QJX45" s="344"/>
      <c r="QJY45" s="344"/>
      <c r="QJZ45" s="344"/>
      <c r="QKA45" s="344"/>
      <c r="QKB45" s="344"/>
      <c r="QKC45" s="344"/>
      <c r="QKD45" s="344"/>
      <c r="QKE45" s="344"/>
      <c r="QKF45" s="344"/>
      <c r="QKG45" s="344"/>
      <c r="QKH45" s="344"/>
      <c r="QKI45" s="344"/>
      <c r="QKJ45" s="344"/>
      <c r="QKK45" s="344"/>
      <c r="QKL45" s="344"/>
      <c r="QKM45" s="344"/>
      <c r="QKN45" s="344"/>
      <c r="QKO45" s="344"/>
      <c r="QKP45" s="344"/>
      <c r="QKQ45" s="344"/>
      <c r="QKR45" s="344"/>
      <c r="QKS45" s="344"/>
      <c r="QKT45" s="344"/>
      <c r="QKU45" s="344"/>
      <c r="QKV45" s="344"/>
      <c r="QKW45" s="344"/>
      <c r="QKX45" s="344"/>
      <c r="QKY45" s="344"/>
      <c r="QKZ45" s="344"/>
      <c r="QLA45" s="344"/>
      <c r="QLB45" s="344"/>
      <c r="QLC45" s="344"/>
      <c r="QLD45" s="344"/>
      <c r="QLE45" s="344"/>
      <c r="QLF45" s="344"/>
      <c r="QLG45" s="344"/>
      <c r="QLH45" s="344"/>
      <c r="QLI45" s="344"/>
      <c r="QLJ45" s="344"/>
      <c r="QLK45" s="344"/>
      <c r="QLL45" s="344"/>
      <c r="QLM45" s="344"/>
      <c r="QLN45" s="344"/>
      <c r="QLO45" s="344"/>
      <c r="QLP45" s="344"/>
      <c r="QLQ45" s="344"/>
      <c r="QLR45" s="344"/>
      <c r="QLS45" s="344"/>
      <c r="QLT45" s="344"/>
      <c r="QLU45" s="344"/>
      <c r="QLV45" s="344"/>
      <c r="QLW45" s="344"/>
      <c r="QLX45" s="344"/>
      <c r="QLY45" s="344"/>
      <c r="QLZ45" s="344"/>
      <c r="QMA45" s="344"/>
      <c r="QMB45" s="344"/>
      <c r="QMC45" s="344"/>
      <c r="QMD45" s="344"/>
      <c r="QME45" s="344"/>
      <c r="QMF45" s="344"/>
      <c r="QMG45" s="344"/>
      <c r="QMH45" s="344"/>
      <c r="QMI45" s="344"/>
      <c r="QMJ45" s="344"/>
      <c r="QMK45" s="344"/>
      <c r="QML45" s="344"/>
      <c r="QMM45" s="344"/>
      <c r="QMN45" s="344"/>
      <c r="QMO45" s="344"/>
      <c r="QMP45" s="344"/>
      <c r="QMQ45" s="344"/>
      <c r="QMR45" s="344"/>
      <c r="QMS45" s="344"/>
      <c r="QMT45" s="344"/>
      <c r="QMU45" s="344"/>
      <c r="QMV45" s="344"/>
      <c r="QMW45" s="344"/>
      <c r="QMX45" s="344"/>
      <c r="QMY45" s="344"/>
      <c r="QMZ45" s="344"/>
      <c r="QNA45" s="344"/>
      <c r="QNB45" s="344"/>
      <c r="QNC45" s="344"/>
      <c r="QND45" s="344"/>
      <c r="QNE45" s="344"/>
      <c r="QNF45" s="344"/>
      <c r="QNG45" s="344"/>
      <c r="QNH45" s="344"/>
      <c r="QNI45" s="344"/>
      <c r="QNJ45" s="344"/>
      <c r="QNK45" s="344"/>
      <c r="QNL45" s="344"/>
      <c r="QNM45" s="344"/>
      <c r="QNN45" s="344"/>
      <c r="QNO45" s="344"/>
      <c r="QNP45" s="344"/>
      <c r="QNQ45" s="344"/>
      <c r="QNR45" s="344"/>
      <c r="QNS45" s="344"/>
      <c r="QNT45" s="344"/>
      <c r="QNU45" s="344"/>
      <c r="QNV45" s="344"/>
      <c r="QNW45" s="344"/>
      <c r="QNX45" s="344"/>
      <c r="QNY45" s="344"/>
      <c r="QNZ45" s="344"/>
      <c r="QOA45" s="344"/>
      <c r="QOB45" s="344"/>
      <c r="QOC45" s="344"/>
      <c r="QOD45" s="344"/>
      <c r="QOE45" s="344"/>
      <c r="QOF45" s="344"/>
      <c r="QOG45" s="344"/>
      <c r="QOH45" s="344"/>
      <c r="QOI45" s="344"/>
      <c r="QOJ45" s="344"/>
      <c r="QOK45" s="344"/>
      <c r="QOL45" s="344"/>
      <c r="QOM45" s="344"/>
      <c r="QON45" s="344"/>
      <c r="QOO45" s="344"/>
      <c r="QOP45" s="344"/>
      <c r="QOQ45" s="344"/>
      <c r="QOR45" s="344"/>
      <c r="QOS45" s="344"/>
      <c r="QOT45" s="344"/>
      <c r="QOU45" s="344"/>
      <c r="QOV45" s="344"/>
      <c r="QOW45" s="344"/>
      <c r="QOX45" s="344"/>
      <c r="QOY45" s="344"/>
      <c r="QOZ45" s="344"/>
      <c r="QPA45" s="344"/>
      <c r="QPB45" s="344"/>
      <c r="QPC45" s="344"/>
      <c r="QPD45" s="344"/>
      <c r="QPE45" s="344"/>
      <c r="QPF45" s="344"/>
      <c r="QPG45" s="344"/>
      <c r="QPH45" s="344"/>
      <c r="QPI45" s="344"/>
      <c r="QPJ45" s="344"/>
      <c r="QPK45" s="344"/>
      <c r="QPL45" s="344"/>
      <c r="QPM45" s="344"/>
      <c r="QPN45" s="344"/>
      <c r="QPO45" s="344"/>
      <c r="QPP45" s="344"/>
      <c r="QPQ45" s="344"/>
      <c r="QPR45" s="344"/>
      <c r="QPS45" s="344"/>
      <c r="QPT45" s="344"/>
      <c r="QPU45" s="344"/>
      <c r="QPV45" s="344"/>
      <c r="QPW45" s="344"/>
      <c r="QPX45" s="344"/>
      <c r="QPY45" s="344"/>
      <c r="QPZ45" s="344"/>
      <c r="QQA45" s="344"/>
      <c r="QQB45" s="344"/>
      <c r="QQC45" s="344"/>
      <c r="QQD45" s="344"/>
      <c r="QQE45" s="344"/>
      <c r="QQF45" s="344"/>
      <c r="QQG45" s="344"/>
      <c r="QQH45" s="344"/>
      <c r="QQI45" s="344"/>
      <c r="QQJ45" s="344"/>
      <c r="QQK45" s="344"/>
      <c r="QQL45" s="344"/>
      <c r="QQM45" s="344"/>
      <c r="QQN45" s="344"/>
      <c r="QQO45" s="344"/>
      <c r="QQP45" s="344"/>
      <c r="QQQ45" s="344"/>
      <c r="QQR45" s="344"/>
      <c r="QQS45" s="344"/>
      <c r="QQT45" s="344"/>
      <c r="QQU45" s="344"/>
      <c r="QQV45" s="344"/>
      <c r="QQW45" s="344"/>
      <c r="QQX45" s="344"/>
      <c r="QQY45" s="344"/>
      <c r="QQZ45" s="344"/>
      <c r="QRA45" s="344"/>
      <c r="QRB45" s="344"/>
      <c r="QRC45" s="344"/>
      <c r="QRD45" s="344"/>
      <c r="QRE45" s="344"/>
      <c r="QRF45" s="344"/>
      <c r="QRG45" s="344"/>
      <c r="QRH45" s="344"/>
      <c r="QRI45" s="344"/>
      <c r="QRJ45" s="344"/>
      <c r="QRK45" s="344"/>
      <c r="QRL45" s="344"/>
      <c r="QRM45" s="344"/>
      <c r="QRN45" s="344"/>
      <c r="QRO45" s="344"/>
      <c r="QRP45" s="344"/>
      <c r="QRQ45" s="344"/>
      <c r="QRR45" s="344"/>
      <c r="QRS45" s="344"/>
      <c r="QRT45" s="344"/>
      <c r="QRU45" s="344"/>
      <c r="QRV45" s="344"/>
      <c r="QRW45" s="344"/>
      <c r="QRX45" s="344"/>
      <c r="QRY45" s="344"/>
      <c r="QRZ45" s="344"/>
      <c r="QSA45" s="344"/>
      <c r="QSB45" s="344"/>
      <c r="QSC45" s="344"/>
      <c r="QSD45" s="344"/>
      <c r="QSE45" s="344"/>
      <c r="QSF45" s="344"/>
      <c r="QSG45" s="344"/>
      <c r="QSH45" s="344"/>
      <c r="QSI45" s="344"/>
      <c r="QSJ45" s="344"/>
      <c r="QSK45" s="344"/>
      <c r="QSL45" s="344"/>
      <c r="QSM45" s="344"/>
      <c r="QSN45" s="344"/>
      <c r="QSO45" s="344"/>
      <c r="QSP45" s="344"/>
      <c r="QSQ45" s="344"/>
      <c r="QSR45" s="344"/>
      <c r="QSS45" s="344"/>
      <c r="QST45" s="344"/>
      <c r="QSU45" s="344"/>
      <c r="QSV45" s="344"/>
      <c r="QSW45" s="344"/>
      <c r="QSX45" s="344"/>
      <c r="QSY45" s="344"/>
      <c r="QSZ45" s="344"/>
      <c r="QTA45" s="344"/>
      <c r="QTB45" s="344"/>
      <c r="QTC45" s="344"/>
      <c r="QTD45" s="344"/>
      <c r="QTE45" s="344"/>
      <c r="QTF45" s="344"/>
      <c r="QTG45" s="344"/>
      <c r="QTH45" s="344"/>
      <c r="QTI45" s="344"/>
      <c r="QTJ45" s="344"/>
      <c r="QTK45" s="344"/>
      <c r="QTL45" s="344"/>
      <c r="QTM45" s="344"/>
      <c r="QTN45" s="344"/>
      <c r="QTO45" s="344"/>
      <c r="QTP45" s="344"/>
      <c r="QTQ45" s="344"/>
      <c r="QTR45" s="344"/>
      <c r="QTS45" s="344"/>
      <c r="QTT45" s="344"/>
      <c r="QTU45" s="344"/>
      <c r="QTV45" s="344"/>
      <c r="QTW45" s="344"/>
      <c r="QTX45" s="344"/>
      <c r="QTY45" s="344"/>
      <c r="QTZ45" s="344"/>
      <c r="QUA45" s="344"/>
      <c r="QUB45" s="344"/>
      <c r="QUC45" s="344"/>
      <c r="QUD45" s="344"/>
      <c r="QUE45" s="344"/>
      <c r="QUF45" s="344"/>
      <c r="QUG45" s="344"/>
      <c r="QUH45" s="344"/>
      <c r="QUI45" s="344"/>
      <c r="QUJ45" s="344"/>
      <c r="QUK45" s="344"/>
      <c r="QUL45" s="344"/>
      <c r="QUM45" s="344"/>
      <c r="QUN45" s="344"/>
      <c r="QUO45" s="344"/>
      <c r="QUP45" s="344"/>
      <c r="QUQ45" s="344"/>
      <c r="QUR45" s="344"/>
      <c r="QUS45" s="344"/>
      <c r="QUT45" s="344"/>
      <c r="QUU45" s="344"/>
      <c r="QUV45" s="344"/>
      <c r="QUW45" s="344"/>
      <c r="QUX45" s="344"/>
      <c r="QUY45" s="344"/>
      <c r="QUZ45" s="344"/>
      <c r="QVA45" s="344"/>
      <c r="QVB45" s="344"/>
      <c r="QVC45" s="344"/>
      <c r="QVD45" s="344"/>
      <c r="QVE45" s="344"/>
      <c r="QVF45" s="344"/>
      <c r="QVG45" s="344"/>
      <c r="QVH45" s="344"/>
      <c r="QVI45" s="344"/>
      <c r="QVJ45" s="344"/>
      <c r="QVK45" s="344"/>
      <c r="QVL45" s="344"/>
      <c r="QVM45" s="344"/>
      <c r="QVN45" s="344"/>
      <c r="QVO45" s="344"/>
      <c r="QVP45" s="344"/>
      <c r="QVQ45" s="344"/>
      <c r="QVR45" s="344"/>
      <c r="QVS45" s="344"/>
      <c r="QVT45" s="344"/>
      <c r="QVU45" s="344"/>
      <c r="QVV45" s="344"/>
      <c r="QVW45" s="344"/>
      <c r="QVX45" s="344"/>
      <c r="QVY45" s="344"/>
      <c r="QVZ45" s="344"/>
      <c r="QWA45" s="344"/>
      <c r="QWB45" s="344"/>
      <c r="QWC45" s="344"/>
      <c r="QWD45" s="344"/>
      <c r="QWE45" s="344"/>
      <c r="QWF45" s="344"/>
      <c r="QWG45" s="344"/>
      <c r="QWH45" s="344"/>
      <c r="QWI45" s="344"/>
      <c r="QWJ45" s="344"/>
      <c r="QWK45" s="344"/>
      <c r="QWL45" s="344"/>
      <c r="QWM45" s="344"/>
      <c r="QWN45" s="344"/>
      <c r="QWO45" s="344"/>
      <c r="QWP45" s="344"/>
      <c r="QWQ45" s="344"/>
      <c r="QWR45" s="344"/>
      <c r="QWS45" s="344"/>
      <c r="QWT45" s="344"/>
      <c r="QWU45" s="344"/>
      <c r="QWV45" s="344"/>
      <c r="QWW45" s="344"/>
      <c r="QWX45" s="344"/>
      <c r="QWY45" s="344"/>
      <c r="QWZ45" s="344"/>
      <c r="QXA45" s="344"/>
      <c r="QXB45" s="344"/>
      <c r="QXC45" s="344"/>
      <c r="QXD45" s="344"/>
      <c r="QXE45" s="344"/>
      <c r="QXF45" s="344"/>
      <c r="QXG45" s="344"/>
      <c r="QXH45" s="344"/>
      <c r="QXI45" s="344"/>
      <c r="QXJ45" s="344"/>
      <c r="QXK45" s="344"/>
      <c r="QXL45" s="344"/>
      <c r="QXM45" s="344"/>
      <c r="QXN45" s="344"/>
      <c r="QXO45" s="344"/>
      <c r="QXP45" s="344"/>
      <c r="QXQ45" s="344"/>
      <c r="QXR45" s="344"/>
      <c r="QXS45" s="344"/>
      <c r="QXT45" s="344"/>
      <c r="QXU45" s="344"/>
      <c r="QXV45" s="344"/>
      <c r="QXW45" s="344"/>
      <c r="QXX45" s="344"/>
      <c r="QXY45" s="344"/>
      <c r="QXZ45" s="344"/>
      <c r="QYA45" s="344"/>
      <c r="QYB45" s="344"/>
      <c r="QYC45" s="344"/>
      <c r="QYD45" s="344"/>
      <c r="QYE45" s="344"/>
      <c r="QYF45" s="344"/>
      <c r="QYG45" s="344"/>
      <c r="QYH45" s="344"/>
      <c r="QYI45" s="344"/>
      <c r="QYJ45" s="344"/>
      <c r="QYK45" s="344"/>
      <c r="QYL45" s="344"/>
      <c r="QYM45" s="344"/>
      <c r="QYN45" s="344"/>
      <c r="QYO45" s="344"/>
      <c r="QYP45" s="344"/>
      <c r="QYQ45" s="344"/>
      <c r="QYR45" s="344"/>
      <c r="QYS45" s="344"/>
      <c r="QYT45" s="344"/>
      <c r="QYU45" s="344"/>
      <c r="QYV45" s="344"/>
      <c r="QYW45" s="344"/>
      <c r="QYX45" s="344"/>
      <c r="QYY45" s="344"/>
      <c r="QYZ45" s="344"/>
      <c r="QZA45" s="344"/>
      <c r="QZB45" s="344"/>
      <c r="QZC45" s="344"/>
      <c r="QZD45" s="344"/>
      <c r="QZE45" s="344"/>
      <c r="QZF45" s="344"/>
      <c r="QZG45" s="344"/>
      <c r="QZH45" s="344"/>
      <c r="QZI45" s="344"/>
      <c r="QZJ45" s="344"/>
      <c r="QZK45" s="344"/>
      <c r="QZL45" s="344"/>
      <c r="QZM45" s="344"/>
      <c r="QZN45" s="344"/>
      <c r="QZO45" s="344"/>
      <c r="QZP45" s="344"/>
      <c r="QZQ45" s="344"/>
      <c r="QZR45" s="344"/>
      <c r="QZS45" s="344"/>
      <c r="QZT45" s="344"/>
      <c r="QZU45" s="344"/>
      <c r="QZV45" s="344"/>
      <c r="QZW45" s="344"/>
      <c r="QZX45" s="344"/>
      <c r="QZY45" s="344"/>
      <c r="QZZ45" s="344"/>
      <c r="RAA45" s="344"/>
      <c r="RAB45" s="344"/>
      <c r="RAC45" s="344"/>
      <c r="RAD45" s="344"/>
      <c r="RAE45" s="344"/>
      <c r="RAF45" s="344"/>
      <c r="RAG45" s="344"/>
      <c r="RAH45" s="344"/>
      <c r="RAI45" s="344"/>
      <c r="RAJ45" s="344"/>
      <c r="RAK45" s="344"/>
      <c r="RAL45" s="344"/>
      <c r="RAM45" s="344"/>
      <c r="RAN45" s="344"/>
      <c r="RAO45" s="344"/>
      <c r="RAP45" s="344"/>
      <c r="RAQ45" s="344"/>
      <c r="RAR45" s="344"/>
      <c r="RAS45" s="344"/>
      <c r="RAT45" s="344"/>
      <c r="RAU45" s="344"/>
      <c r="RAV45" s="344"/>
      <c r="RAW45" s="344"/>
      <c r="RAX45" s="344"/>
      <c r="RAY45" s="344"/>
      <c r="RAZ45" s="344"/>
      <c r="RBA45" s="344"/>
      <c r="RBB45" s="344"/>
      <c r="RBC45" s="344"/>
      <c r="RBD45" s="344"/>
      <c r="RBE45" s="344"/>
      <c r="RBF45" s="344"/>
      <c r="RBG45" s="344"/>
      <c r="RBH45" s="344"/>
      <c r="RBI45" s="344"/>
      <c r="RBJ45" s="344"/>
      <c r="RBK45" s="344"/>
      <c r="RBL45" s="344"/>
      <c r="RBM45" s="344"/>
      <c r="RBN45" s="344"/>
      <c r="RBO45" s="344"/>
      <c r="RBP45" s="344"/>
      <c r="RBQ45" s="344"/>
      <c r="RBR45" s="344"/>
      <c r="RBS45" s="344"/>
      <c r="RBT45" s="344"/>
      <c r="RBU45" s="344"/>
      <c r="RBV45" s="344"/>
      <c r="RBW45" s="344"/>
      <c r="RBX45" s="344"/>
      <c r="RBY45" s="344"/>
      <c r="RBZ45" s="344"/>
      <c r="RCA45" s="344"/>
      <c r="RCB45" s="344"/>
      <c r="RCC45" s="344"/>
      <c r="RCD45" s="344"/>
      <c r="RCE45" s="344"/>
      <c r="RCF45" s="344"/>
      <c r="RCG45" s="344"/>
      <c r="RCH45" s="344"/>
      <c r="RCI45" s="344"/>
      <c r="RCJ45" s="344"/>
      <c r="RCK45" s="344"/>
      <c r="RCL45" s="344"/>
      <c r="RCM45" s="344"/>
      <c r="RCN45" s="344"/>
      <c r="RCO45" s="344"/>
      <c r="RCP45" s="344"/>
      <c r="RCQ45" s="344"/>
      <c r="RCR45" s="344"/>
      <c r="RCS45" s="344"/>
      <c r="RCT45" s="344"/>
      <c r="RCU45" s="344"/>
      <c r="RCV45" s="344"/>
      <c r="RCW45" s="344"/>
      <c r="RCX45" s="344"/>
      <c r="RCY45" s="344"/>
      <c r="RCZ45" s="344"/>
      <c r="RDA45" s="344"/>
      <c r="RDB45" s="344"/>
      <c r="RDC45" s="344"/>
      <c r="RDD45" s="344"/>
      <c r="RDE45" s="344"/>
      <c r="RDF45" s="344"/>
      <c r="RDG45" s="344"/>
      <c r="RDH45" s="344"/>
      <c r="RDI45" s="344"/>
      <c r="RDJ45" s="344"/>
      <c r="RDK45" s="344"/>
      <c r="RDL45" s="344"/>
      <c r="RDM45" s="344"/>
      <c r="RDN45" s="344"/>
      <c r="RDO45" s="344"/>
      <c r="RDP45" s="344"/>
      <c r="RDQ45" s="344"/>
      <c r="RDR45" s="344"/>
      <c r="RDS45" s="344"/>
      <c r="RDT45" s="344"/>
      <c r="RDU45" s="344"/>
      <c r="RDV45" s="344"/>
      <c r="RDW45" s="344"/>
      <c r="RDX45" s="344"/>
      <c r="RDY45" s="344"/>
      <c r="RDZ45" s="344"/>
      <c r="REA45" s="344"/>
      <c r="REB45" s="344"/>
      <c r="REC45" s="344"/>
      <c r="RED45" s="344"/>
      <c r="REE45" s="344"/>
      <c r="REF45" s="344"/>
      <c r="REG45" s="344"/>
      <c r="REH45" s="344"/>
      <c r="REI45" s="344"/>
      <c r="REJ45" s="344"/>
      <c r="REK45" s="344"/>
      <c r="REL45" s="344"/>
      <c r="REM45" s="344"/>
      <c r="REN45" s="344"/>
      <c r="REO45" s="344"/>
      <c r="REP45" s="344"/>
      <c r="REQ45" s="344"/>
      <c r="RER45" s="344"/>
      <c r="RES45" s="344"/>
      <c r="RET45" s="344"/>
      <c r="REU45" s="344"/>
      <c r="REV45" s="344"/>
      <c r="REW45" s="344"/>
      <c r="REX45" s="344"/>
      <c r="REY45" s="344"/>
      <c r="REZ45" s="344"/>
      <c r="RFA45" s="344"/>
      <c r="RFB45" s="344"/>
      <c r="RFC45" s="344"/>
      <c r="RFD45" s="344"/>
      <c r="RFE45" s="344"/>
      <c r="RFF45" s="344"/>
      <c r="RFG45" s="344"/>
      <c r="RFH45" s="344"/>
      <c r="RFI45" s="344"/>
      <c r="RFJ45" s="344"/>
      <c r="RFK45" s="344"/>
      <c r="RFL45" s="344"/>
      <c r="RFM45" s="344"/>
      <c r="RFN45" s="344"/>
      <c r="RFO45" s="344"/>
      <c r="RFP45" s="344"/>
      <c r="RFQ45" s="344"/>
      <c r="RFR45" s="344"/>
      <c r="RFS45" s="344"/>
      <c r="RFT45" s="344"/>
      <c r="RFU45" s="344"/>
      <c r="RFV45" s="344"/>
      <c r="RFW45" s="344"/>
      <c r="RFX45" s="344"/>
      <c r="RFY45" s="344"/>
      <c r="RFZ45" s="344"/>
      <c r="RGA45" s="344"/>
      <c r="RGB45" s="344"/>
      <c r="RGC45" s="344"/>
      <c r="RGD45" s="344"/>
      <c r="RGE45" s="344"/>
      <c r="RGF45" s="344"/>
      <c r="RGG45" s="344"/>
      <c r="RGH45" s="344"/>
      <c r="RGI45" s="344"/>
      <c r="RGJ45" s="344"/>
      <c r="RGK45" s="344"/>
      <c r="RGL45" s="344"/>
      <c r="RGM45" s="344"/>
      <c r="RGN45" s="344"/>
      <c r="RGO45" s="344"/>
      <c r="RGP45" s="344"/>
      <c r="RGQ45" s="344"/>
      <c r="RGR45" s="344"/>
      <c r="RGS45" s="344"/>
      <c r="RGT45" s="344"/>
      <c r="RGU45" s="344"/>
      <c r="RGV45" s="344"/>
      <c r="RGW45" s="344"/>
      <c r="RGX45" s="344"/>
      <c r="RGY45" s="344"/>
      <c r="RGZ45" s="344"/>
      <c r="RHA45" s="344"/>
      <c r="RHB45" s="344"/>
      <c r="RHC45" s="344"/>
      <c r="RHD45" s="344"/>
      <c r="RHE45" s="344"/>
      <c r="RHF45" s="344"/>
      <c r="RHG45" s="344"/>
      <c r="RHH45" s="344"/>
      <c r="RHI45" s="344"/>
      <c r="RHJ45" s="344"/>
      <c r="RHK45" s="344"/>
      <c r="RHL45" s="344"/>
      <c r="RHM45" s="344"/>
      <c r="RHN45" s="344"/>
      <c r="RHO45" s="344"/>
      <c r="RHP45" s="344"/>
      <c r="RHQ45" s="344"/>
      <c r="RHR45" s="344"/>
      <c r="RHS45" s="344"/>
      <c r="RHT45" s="344"/>
      <c r="RHU45" s="344"/>
      <c r="RHV45" s="344"/>
      <c r="RHW45" s="344"/>
      <c r="RHX45" s="344"/>
      <c r="RHY45" s="344"/>
      <c r="RHZ45" s="344"/>
      <c r="RIA45" s="344"/>
      <c r="RIB45" s="344"/>
      <c r="RIC45" s="344"/>
      <c r="RID45" s="344"/>
      <c r="RIE45" s="344"/>
      <c r="RIF45" s="344"/>
      <c r="RIG45" s="344"/>
      <c r="RIH45" s="344"/>
      <c r="RII45" s="344"/>
      <c r="RIJ45" s="344"/>
      <c r="RIK45" s="344"/>
      <c r="RIL45" s="344"/>
      <c r="RIM45" s="344"/>
      <c r="RIN45" s="344"/>
      <c r="RIO45" s="344"/>
      <c r="RIP45" s="344"/>
      <c r="RIQ45" s="344"/>
      <c r="RIR45" s="344"/>
      <c r="RIS45" s="344"/>
      <c r="RIT45" s="344"/>
      <c r="RIU45" s="344"/>
      <c r="RIV45" s="344"/>
      <c r="RIW45" s="344"/>
      <c r="RIX45" s="344"/>
      <c r="RIY45" s="344"/>
      <c r="RIZ45" s="344"/>
      <c r="RJA45" s="344"/>
      <c r="RJB45" s="344"/>
      <c r="RJC45" s="344"/>
      <c r="RJD45" s="344"/>
      <c r="RJE45" s="344"/>
      <c r="RJF45" s="344"/>
      <c r="RJG45" s="344"/>
      <c r="RJH45" s="344"/>
      <c r="RJI45" s="344"/>
      <c r="RJJ45" s="344"/>
      <c r="RJK45" s="344"/>
      <c r="RJL45" s="344"/>
      <c r="RJM45" s="344"/>
      <c r="RJN45" s="344"/>
      <c r="RJO45" s="344"/>
      <c r="RJP45" s="344"/>
      <c r="RJQ45" s="344"/>
      <c r="RJR45" s="344"/>
      <c r="RJS45" s="344"/>
      <c r="RJT45" s="344"/>
      <c r="RJU45" s="344"/>
      <c r="RJV45" s="344"/>
      <c r="RJW45" s="344"/>
      <c r="RJX45" s="344"/>
      <c r="RJY45" s="344"/>
      <c r="RJZ45" s="344"/>
      <c r="RKA45" s="344"/>
      <c r="RKB45" s="344"/>
      <c r="RKC45" s="344"/>
      <c r="RKD45" s="344"/>
      <c r="RKE45" s="344"/>
      <c r="RKF45" s="344"/>
      <c r="RKG45" s="344"/>
      <c r="RKH45" s="344"/>
      <c r="RKI45" s="344"/>
      <c r="RKJ45" s="344"/>
      <c r="RKK45" s="344"/>
      <c r="RKL45" s="344"/>
      <c r="RKM45" s="344"/>
      <c r="RKN45" s="344"/>
      <c r="RKO45" s="344"/>
      <c r="RKP45" s="344"/>
      <c r="RKQ45" s="344"/>
      <c r="RKR45" s="344"/>
      <c r="RKS45" s="344"/>
      <c r="RKT45" s="344"/>
      <c r="RKU45" s="344"/>
      <c r="RKV45" s="344"/>
      <c r="RKW45" s="344"/>
      <c r="RKX45" s="344"/>
      <c r="RKY45" s="344"/>
      <c r="RKZ45" s="344"/>
      <c r="RLA45" s="344"/>
      <c r="RLB45" s="344"/>
      <c r="RLC45" s="344"/>
      <c r="RLD45" s="344"/>
      <c r="RLE45" s="344"/>
      <c r="RLF45" s="344"/>
      <c r="RLG45" s="344"/>
      <c r="RLH45" s="344"/>
      <c r="RLI45" s="344"/>
      <c r="RLJ45" s="344"/>
      <c r="RLK45" s="344"/>
      <c r="RLL45" s="344"/>
      <c r="RLM45" s="344"/>
      <c r="RLN45" s="344"/>
      <c r="RLO45" s="344"/>
      <c r="RLP45" s="344"/>
      <c r="RLQ45" s="344"/>
      <c r="RLR45" s="344"/>
      <c r="RLS45" s="344"/>
      <c r="RLT45" s="344"/>
      <c r="RLU45" s="344"/>
      <c r="RLV45" s="344"/>
      <c r="RLW45" s="344"/>
      <c r="RLX45" s="344"/>
      <c r="RLY45" s="344"/>
      <c r="RLZ45" s="344"/>
      <c r="RMA45" s="344"/>
      <c r="RMB45" s="344"/>
      <c r="RMC45" s="344"/>
      <c r="RMD45" s="344"/>
      <c r="RME45" s="344"/>
      <c r="RMF45" s="344"/>
      <c r="RMG45" s="344"/>
      <c r="RMH45" s="344"/>
      <c r="RMI45" s="344"/>
      <c r="RMJ45" s="344"/>
      <c r="RMK45" s="344"/>
      <c r="RML45" s="344"/>
      <c r="RMM45" s="344"/>
      <c r="RMN45" s="344"/>
      <c r="RMO45" s="344"/>
      <c r="RMP45" s="344"/>
      <c r="RMQ45" s="344"/>
      <c r="RMR45" s="344"/>
      <c r="RMS45" s="344"/>
      <c r="RMT45" s="344"/>
      <c r="RMU45" s="344"/>
      <c r="RMV45" s="344"/>
      <c r="RMW45" s="344"/>
      <c r="RMX45" s="344"/>
      <c r="RMY45" s="344"/>
      <c r="RMZ45" s="344"/>
      <c r="RNA45" s="344"/>
      <c r="RNB45" s="344"/>
      <c r="RNC45" s="344"/>
      <c r="RND45" s="344"/>
      <c r="RNE45" s="344"/>
      <c r="RNF45" s="344"/>
      <c r="RNG45" s="344"/>
      <c r="RNH45" s="344"/>
      <c r="RNI45" s="344"/>
      <c r="RNJ45" s="344"/>
      <c r="RNK45" s="344"/>
      <c r="RNL45" s="344"/>
      <c r="RNM45" s="344"/>
      <c r="RNN45" s="344"/>
      <c r="RNO45" s="344"/>
      <c r="RNP45" s="344"/>
      <c r="RNQ45" s="344"/>
      <c r="RNR45" s="344"/>
      <c r="RNS45" s="344"/>
      <c r="RNT45" s="344"/>
      <c r="RNU45" s="344"/>
      <c r="RNV45" s="344"/>
      <c r="RNW45" s="344"/>
      <c r="RNX45" s="344"/>
      <c r="RNY45" s="344"/>
      <c r="RNZ45" s="344"/>
      <c r="ROA45" s="344"/>
      <c r="ROB45" s="344"/>
      <c r="ROC45" s="344"/>
      <c r="ROD45" s="344"/>
      <c r="ROE45" s="344"/>
      <c r="ROF45" s="344"/>
      <c r="ROG45" s="344"/>
      <c r="ROH45" s="344"/>
      <c r="ROI45" s="344"/>
      <c r="ROJ45" s="344"/>
      <c r="ROK45" s="344"/>
      <c r="ROL45" s="344"/>
      <c r="ROM45" s="344"/>
      <c r="RON45" s="344"/>
      <c r="ROO45" s="344"/>
      <c r="ROP45" s="344"/>
      <c r="ROQ45" s="344"/>
      <c r="ROR45" s="344"/>
      <c r="ROS45" s="344"/>
      <c r="ROT45" s="344"/>
      <c r="ROU45" s="344"/>
      <c r="ROV45" s="344"/>
      <c r="ROW45" s="344"/>
      <c r="ROX45" s="344"/>
      <c r="ROY45" s="344"/>
      <c r="ROZ45" s="344"/>
      <c r="RPA45" s="344"/>
      <c r="RPB45" s="344"/>
      <c r="RPC45" s="344"/>
      <c r="RPD45" s="344"/>
      <c r="RPE45" s="344"/>
      <c r="RPF45" s="344"/>
      <c r="RPG45" s="344"/>
      <c r="RPH45" s="344"/>
      <c r="RPI45" s="344"/>
      <c r="RPJ45" s="344"/>
      <c r="RPK45" s="344"/>
      <c r="RPL45" s="344"/>
      <c r="RPM45" s="344"/>
      <c r="RPN45" s="344"/>
      <c r="RPO45" s="344"/>
      <c r="RPP45" s="344"/>
      <c r="RPQ45" s="344"/>
      <c r="RPR45" s="344"/>
      <c r="RPS45" s="344"/>
      <c r="RPT45" s="344"/>
      <c r="RPU45" s="344"/>
      <c r="RPV45" s="344"/>
      <c r="RPW45" s="344"/>
      <c r="RPX45" s="344"/>
      <c r="RPY45" s="344"/>
      <c r="RPZ45" s="344"/>
      <c r="RQA45" s="344"/>
      <c r="RQB45" s="344"/>
      <c r="RQC45" s="344"/>
      <c r="RQD45" s="344"/>
      <c r="RQE45" s="344"/>
      <c r="RQF45" s="344"/>
      <c r="RQG45" s="344"/>
      <c r="RQH45" s="344"/>
      <c r="RQI45" s="344"/>
      <c r="RQJ45" s="344"/>
      <c r="RQK45" s="344"/>
      <c r="RQL45" s="344"/>
      <c r="RQM45" s="344"/>
      <c r="RQN45" s="344"/>
      <c r="RQO45" s="344"/>
      <c r="RQP45" s="344"/>
      <c r="RQQ45" s="344"/>
      <c r="RQR45" s="344"/>
      <c r="RQS45" s="344"/>
      <c r="RQT45" s="344"/>
      <c r="RQU45" s="344"/>
      <c r="RQV45" s="344"/>
      <c r="RQW45" s="344"/>
      <c r="RQX45" s="344"/>
      <c r="RQY45" s="344"/>
      <c r="RQZ45" s="344"/>
      <c r="RRA45" s="344"/>
      <c r="RRB45" s="344"/>
      <c r="RRC45" s="344"/>
      <c r="RRD45" s="344"/>
      <c r="RRE45" s="344"/>
      <c r="RRF45" s="344"/>
      <c r="RRG45" s="344"/>
      <c r="RRH45" s="344"/>
      <c r="RRI45" s="344"/>
      <c r="RRJ45" s="344"/>
      <c r="RRK45" s="344"/>
      <c r="RRL45" s="344"/>
      <c r="RRM45" s="344"/>
      <c r="RRN45" s="344"/>
      <c r="RRO45" s="344"/>
      <c r="RRP45" s="344"/>
      <c r="RRQ45" s="344"/>
      <c r="RRR45" s="344"/>
      <c r="RRS45" s="344"/>
      <c r="RRT45" s="344"/>
      <c r="RRU45" s="344"/>
      <c r="RRV45" s="344"/>
      <c r="RRW45" s="344"/>
      <c r="RRX45" s="344"/>
      <c r="RRY45" s="344"/>
      <c r="RRZ45" s="344"/>
      <c r="RSA45" s="344"/>
      <c r="RSB45" s="344"/>
      <c r="RSC45" s="344"/>
      <c r="RSD45" s="344"/>
      <c r="RSE45" s="344"/>
      <c r="RSF45" s="344"/>
      <c r="RSG45" s="344"/>
      <c r="RSH45" s="344"/>
      <c r="RSI45" s="344"/>
      <c r="RSJ45" s="344"/>
      <c r="RSK45" s="344"/>
      <c r="RSL45" s="344"/>
      <c r="RSM45" s="344"/>
      <c r="RSN45" s="344"/>
      <c r="RSO45" s="344"/>
      <c r="RSP45" s="344"/>
      <c r="RSQ45" s="344"/>
      <c r="RSR45" s="344"/>
      <c r="RSS45" s="344"/>
      <c r="RST45" s="344"/>
      <c r="RSU45" s="344"/>
      <c r="RSV45" s="344"/>
      <c r="RSW45" s="344"/>
      <c r="RSX45" s="344"/>
      <c r="RSY45" s="344"/>
      <c r="RSZ45" s="344"/>
      <c r="RTA45" s="344"/>
      <c r="RTB45" s="344"/>
      <c r="RTC45" s="344"/>
      <c r="RTD45" s="344"/>
      <c r="RTE45" s="344"/>
      <c r="RTF45" s="344"/>
      <c r="RTG45" s="344"/>
      <c r="RTH45" s="344"/>
      <c r="RTI45" s="344"/>
      <c r="RTJ45" s="344"/>
      <c r="RTK45" s="344"/>
      <c r="RTL45" s="344"/>
      <c r="RTM45" s="344"/>
      <c r="RTN45" s="344"/>
      <c r="RTO45" s="344"/>
      <c r="RTP45" s="344"/>
      <c r="RTQ45" s="344"/>
      <c r="RTR45" s="344"/>
      <c r="RTS45" s="344"/>
      <c r="RTT45" s="344"/>
      <c r="RTU45" s="344"/>
      <c r="RTV45" s="344"/>
      <c r="RTW45" s="344"/>
      <c r="RTX45" s="344"/>
      <c r="RTY45" s="344"/>
      <c r="RTZ45" s="344"/>
      <c r="RUA45" s="344"/>
      <c r="RUB45" s="344"/>
      <c r="RUC45" s="344"/>
      <c r="RUD45" s="344"/>
      <c r="RUE45" s="344"/>
      <c r="RUF45" s="344"/>
      <c r="RUG45" s="344"/>
      <c r="RUH45" s="344"/>
      <c r="RUI45" s="344"/>
      <c r="RUJ45" s="344"/>
      <c r="RUK45" s="344"/>
      <c r="RUL45" s="344"/>
      <c r="RUM45" s="344"/>
      <c r="RUN45" s="344"/>
      <c r="RUO45" s="344"/>
      <c r="RUP45" s="344"/>
      <c r="RUQ45" s="344"/>
      <c r="RUR45" s="344"/>
      <c r="RUS45" s="344"/>
      <c r="RUT45" s="344"/>
      <c r="RUU45" s="344"/>
      <c r="RUV45" s="344"/>
      <c r="RUW45" s="344"/>
      <c r="RUX45" s="344"/>
      <c r="RUY45" s="344"/>
      <c r="RUZ45" s="344"/>
      <c r="RVA45" s="344"/>
      <c r="RVB45" s="344"/>
      <c r="RVC45" s="344"/>
      <c r="RVD45" s="344"/>
      <c r="RVE45" s="344"/>
      <c r="RVF45" s="344"/>
      <c r="RVG45" s="344"/>
      <c r="RVH45" s="344"/>
      <c r="RVI45" s="344"/>
      <c r="RVJ45" s="344"/>
      <c r="RVK45" s="344"/>
      <c r="RVL45" s="344"/>
      <c r="RVM45" s="344"/>
      <c r="RVN45" s="344"/>
      <c r="RVO45" s="344"/>
      <c r="RVP45" s="344"/>
      <c r="RVQ45" s="344"/>
      <c r="RVR45" s="344"/>
      <c r="RVS45" s="344"/>
      <c r="RVT45" s="344"/>
      <c r="RVU45" s="344"/>
      <c r="RVV45" s="344"/>
      <c r="RVW45" s="344"/>
      <c r="RVX45" s="344"/>
      <c r="RVY45" s="344"/>
      <c r="RVZ45" s="344"/>
      <c r="RWA45" s="344"/>
      <c r="RWB45" s="344"/>
      <c r="RWC45" s="344"/>
      <c r="RWD45" s="344"/>
      <c r="RWE45" s="344"/>
      <c r="RWF45" s="344"/>
      <c r="RWG45" s="344"/>
      <c r="RWH45" s="344"/>
      <c r="RWI45" s="344"/>
      <c r="RWJ45" s="344"/>
      <c r="RWK45" s="344"/>
      <c r="RWL45" s="344"/>
      <c r="RWM45" s="344"/>
      <c r="RWN45" s="344"/>
      <c r="RWO45" s="344"/>
      <c r="RWP45" s="344"/>
      <c r="RWQ45" s="344"/>
      <c r="RWR45" s="344"/>
      <c r="RWS45" s="344"/>
      <c r="RWT45" s="344"/>
      <c r="RWU45" s="344"/>
      <c r="RWV45" s="344"/>
      <c r="RWW45" s="344"/>
      <c r="RWX45" s="344"/>
      <c r="RWY45" s="344"/>
      <c r="RWZ45" s="344"/>
      <c r="RXA45" s="344"/>
      <c r="RXB45" s="344"/>
      <c r="RXC45" s="344"/>
      <c r="RXD45" s="344"/>
      <c r="RXE45" s="344"/>
      <c r="RXF45" s="344"/>
      <c r="RXG45" s="344"/>
      <c r="RXH45" s="344"/>
      <c r="RXI45" s="344"/>
      <c r="RXJ45" s="344"/>
      <c r="RXK45" s="344"/>
      <c r="RXL45" s="344"/>
      <c r="RXM45" s="344"/>
      <c r="RXN45" s="344"/>
      <c r="RXO45" s="344"/>
      <c r="RXP45" s="344"/>
      <c r="RXQ45" s="344"/>
      <c r="RXR45" s="344"/>
      <c r="RXS45" s="344"/>
      <c r="RXT45" s="344"/>
      <c r="RXU45" s="344"/>
      <c r="RXV45" s="344"/>
      <c r="RXW45" s="344"/>
      <c r="RXX45" s="344"/>
      <c r="RXY45" s="344"/>
      <c r="RXZ45" s="344"/>
      <c r="RYA45" s="344"/>
      <c r="RYB45" s="344"/>
      <c r="RYC45" s="344"/>
      <c r="RYD45" s="344"/>
      <c r="RYE45" s="344"/>
      <c r="RYF45" s="344"/>
      <c r="RYG45" s="344"/>
      <c r="RYH45" s="344"/>
      <c r="RYI45" s="344"/>
      <c r="RYJ45" s="344"/>
      <c r="RYK45" s="344"/>
      <c r="RYL45" s="344"/>
      <c r="RYM45" s="344"/>
      <c r="RYN45" s="344"/>
      <c r="RYO45" s="344"/>
      <c r="RYP45" s="344"/>
      <c r="RYQ45" s="344"/>
      <c r="RYR45" s="344"/>
      <c r="RYS45" s="344"/>
      <c r="RYT45" s="344"/>
      <c r="RYU45" s="344"/>
      <c r="RYV45" s="344"/>
      <c r="RYW45" s="344"/>
      <c r="RYX45" s="344"/>
      <c r="RYY45" s="344"/>
      <c r="RYZ45" s="344"/>
      <c r="RZA45" s="344"/>
      <c r="RZB45" s="344"/>
      <c r="RZC45" s="344"/>
      <c r="RZD45" s="344"/>
      <c r="RZE45" s="344"/>
      <c r="RZF45" s="344"/>
      <c r="RZG45" s="344"/>
      <c r="RZH45" s="344"/>
      <c r="RZI45" s="344"/>
      <c r="RZJ45" s="344"/>
      <c r="RZK45" s="344"/>
      <c r="RZL45" s="344"/>
      <c r="RZM45" s="344"/>
      <c r="RZN45" s="344"/>
      <c r="RZO45" s="344"/>
      <c r="RZP45" s="344"/>
      <c r="RZQ45" s="344"/>
      <c r="RZR45" s="344"/>
      <c r="RZS45" s="344"/>
      <c r="RZT45" s="344"/>
      <c r="RZU45" s="344"/>
      <c r="RZV45" s="344"/>
      <c r="RZW45" s="344"/>
      <c r="RZX45" s="344"/>
      <c r="RZY45" s="344"/>
      <c r="RZZ45" s="344"/>
      <c r="SAA45" s="344"/>
      <c r="SAB45" s="344"/>
      <c r="SAC45" s="344"/>
      <c r="SAD45" s="344"/>
      <c r="SAE45" s="344"/>
      <c r="SAF45" s="344"/>
      <c r="SAG45" s="344"/>
      <c r="SAH45" s="344"/>
      <c r="SAI45" s="344"/>
      <c r="SAJ45" s="344"/>
      <c r="SAK45" s="344"/>
      <c r="SAL45" s="344"/>
      <c r="SAM45" s="344"/>
      <c r="SAN45" s="344"/>
      <c r="SAO45" s="344"/>
      <c r="SAP45" s="344"/>
      <c r="SAQ45" s="344"/>
      <c r="SAR45" s="344"/>
      <c r="SAS45" s="344"/>
      <c r="SAT45" s="344"/>
      <c r="SAU45" s="344"/>
      <c r="SAV45" s="344"/>
      <c r="SAW45" s="344"/>
      <c r="SAX45" s="344"/>
      <c r="SAY45" s="344"/>
      <c r="SAZ45" s="344"/>
      <c r="SBA45" s="344"/>
      <c r="SBB45" s="344"/>
      <c r="SBC45" s="344"/>
      <c r="SBD45" s="344"/>
      <c r="SBE45" s="344"/>
      <c r="SBF45" s="344"/>
      <c r="SBG45" s="344"/>
      <c r="SBH45" s="344"/>
      <c r="SBI45" s="344"/>
      <c r="SBJ45" s="344"/>
      <c r="SBK45" s="344"/>
      <c r="SBL45" s="344"/>
      <c r="SBM45" s="344"/>
      <c r="SBN45" s="344"/>
      <c r="SBO45" s="344"/>
      <c r="SBP45" s="344"/>
      <c r="SBQ45" s="344"/>
      <c r="SBR45" s="344"/>
      <c r="SBS45" s="344"/>
      <c r="SBT45" s="344"/>
      <c r="SBU45" s="344"/>
      <c r="SBV45" s="344"/>
      <c r="SBW45" s="344"/>
      <c r="SBX45" s="344"/>
      <c r="SBY45" s="344"/>
      <c r="SBZ45" s="344"/>
      <c r="SCA45" s="344"/>
      <c r="SCB45" s="344"/>
      <c r="SCC45" s="344"/>
      <c r="SCD45" s="344"/>
      <c r="SCE45" s="344"/>
      <c r="SCF45" s="344"/>
      <c r="SCG45" s="344"/>
      <c r="SCH45" s="344"/>
      <c r="SCI45" s="344"/>
      <c r="SCJ45" s="344"/>
      <c r="SCK45" s="344"/>
      <c r="SCL45" s="344"/>
      <c r="SCM45" s="344"/>
      <c r="SCN45" s="344"/>
      <c r="SCO45" s="344"/>
      <c r="SCP45" s="344"/>
      <c r="SCQ45" s="344"/>
      <c r="SCR45" s="344"/>
      <c r="SCS45" s="344"/>
      <c r="SCT45" s="344"/>
      <c r="SCU45" s="344"/>
      <c r="SCV45" s="344"/>
      <c r="SCW45" s="344"/>
      <c r="SCX45" s="344"/>
      <c r="SCY45" s="344"/>
      <c r="SCZ45" s="344"/>
      <c r="SDA45" s="344"/>
      <c r="SDB45" s="344"/>
      <c r="SDC45" s="344"/>
      <c r="SDD45" s="344"/>
      <c r="SDE45" s="344"/>
      <c r="SDF45" s="344"/>
      <c r="SDG45" s="344"/>
      <c r="SDH45" s="344"/>
      <c r="SDI45" s="344"/>
      <c r="SDJ45" s="344"/>
      <c r="SDK45" s="344"/>
      <c r="SDL45" s="344"/>
      <c r="SDM45" s="344"/>
      <c r="SDN45" s="344"/>
      <c r="SDO45" s="344"/>
      <c r="SDP45" s="344"/>
      <c r="SDQ45" s="344"/>
      <c r="SDR45" s="344"/>
      <c r="SDS45" s="344"/>
      <c r="SDT45" s="344"/>
      <c r="SDU45" s="344"/>
      <c r="SDV45" s="344"/>
      <c r="SDW45" s="344"/>
      <c r="SDX45" s="344"/>
      <c r="SDY45" s="344"/>
      <c r="SDZ45" s="344"/>
      <c r="SEA45" s="344"/>
      <c r="SEB45" s="344"/>
      <c r="SEC45" s="344"/>
      <c r="SED45" s="344"/>
      <c r="SEE45" s="344"/>
      <c r="SEF45" s="344"/>
      <c r="SEG45" s="344"/>
      <c r="SEH45" s="344"/>
      <c r="SEI45" s="344"/>
      <c r="SEJ45" s="344"/>
      <c r="SEK45" s="344"/>
      <c r="SEL45" s="344"/>
      <c r="SEM45" s="344"/>
      <c r="SEN45" s="344"/>
      <c r="SEO45" s="344"/>
      <c r="SEP45" s="344"/>
      <c r="SEQ45" s="344"/>
      <c r="SER45" s="344"/>
      <c r="SES45" s="344"/>
      <c r="SET45" s="344"/>
      <c r="SEU45" s="344"/>
      <c r="SEV45" s="344"/>
      <c r="SEW45" s="344"/>
      <c r="SEX45" s="344"/>
      <c r="SEY45" s="344"/>
      <c r="SEZ45" s="344"/>
      <c r="SFA45" s="344"/>
      <c r="SFB45" s="344"/>
      <c r="SFC45" s="344"/>
      <c r="SFD45" s="344"/>
      <c r="SFE45" s="344"/>
      <c r="SFF45" s="344"/>
      <c r="SFG45" s="344"/>
      <c r="SFH45" s="344"/>
      <c r="SFI45" s="344"/>
      <c r="SFJ45" s="344"/>
      <c r="SFK45" s="344"/>
      <c r="SFL45" s="344"/>
      <c r="SFM45" s="344"/>
      <c r="SFN45" s="344"/>
      <c r="SFO45" s="344"/>
      <c r="SFP45" s="344"/>
      <c r="SFQ45" s="344"/>
      <c r="SFR45" s="344"/>
      <c r="SFS45" s="344"/>
      <c r="SFT45" s="344"/>
      <c r="SFU45" s="344"/>
      <c r="SFV45" s="344"/>
      <c r="SFW45" s="344"/>
      <c r="SFX45" s="344"/>
      <c r="SFY45" s="344"/>
      <c r="SFZ45" s="344"/>
      <c r="SGA45" s="344"/>
      <c r="SGB45" s="344"/>
      <c r="SGC45" s="344"/>
      <c r="SGD45" s="344"/>
      <c r="SGE45" s="344"/>
      <c r="SGF45" s="344"/>
      <c r="SGG45" s="344"/>
      <c r="SGH45" s="344"/>
      <c r="SGI45" s="344"/>
      <c r="SGJ45" s="344"/>
      <c r="SGK45" s="344"/>
      <c r="SGL45" s="344"/>
      <c r="SGM45" s="344"/>
      <c r="SGN45" s="344"/>
      <c r="SGO45" s="344"/>
      <c r="SGP45" s="344"/>
      <c r="SGQ45" s="344"/>
      <c r="SGR45" s="344"/>
      <c r="SGS45" s="344"/>
      <c r="SGT45" s="344"/>
      <c r="SGU45" s="344"/>
      <c r="SGV45" s="344"/>
      <c r="SGW45" s="344"/>
      <c r="SGX45" s="344"/>
      <c r="SGY45" s="344"/>
      <c r="SGZ45" s="344"/>
      <c r="SHA45" s="344"/>
      <c r="SHB45" s="344"/>
      <c r="SHC45" s="344"/>
      <c r="SHD45" s="344"/>
      <c r="SHE45" s="344"/>
      <c r="SHF45" s="344"/>
      <c r="SHG45" s="344"/>
      <c r="SHH45" s="344"/>
      <c r="SHI45" s="344"/>
      <c r="SHJ45" s="344"/>
      <c r="SHK45" s="344"/>
      <c r="SHL45" s="344"/>
      <c r="SHM45" s="344"/>
      <c r="SHN45" s="344"/>
      <c r="SHO45" s="344"/>
      <c r="SHP45" s="344"/>
      <c r="SHQ45" s="344"/>
      <c r="SHR45" s="344"/>
      <c r="SHS45" s="344"/>
      <c r="SHT45" s="344"/>
      <c r="SHU45" s="344"/>
      <c r="SHV45" s="344"/>
      <c r="SHW45" s="344"/>
      <c r="SHX45" s="344"/>
      <c r="SHY45" s="344"/>
      <c r="SHZ45" s="344"/>
      <c r="SIA45" s="344"/>
      <c r="SIB45" s="344"/>
      <c r="SIC45" s="344"/>
      <c r="SID45" s="344"/>
      <c r="SIE45" s="344"/>
      <c r="SIF45" s="344"/>
      <c r="SIG45" s="344"/>
      <c r="SIH45" s="344"/>
      <c r="SII45" s="344"/>
      <c r="SIJ45" s="344"/>
      <c r="SIK45" s="344"/>
      <c r="SIL45" s="344"/>
      <c r="SIM45" s="344"/>
      <c r="SIN45" s="344"/>
      <c r="SIO45" s="344"/>
      <c r="SIP45" s="344"/>
      <c r="SIQ45" s="344"/>
      <c r="SIR45" s="344"/>
      <c r="SIS45" s="344"/>
      <c r="SIT45" s="344"/>
      <c r="SIU45" s="344"/>
      <c r="SIV45" s="344"/>
      <c r="SIW45" s="344"/>
      <c r="SIX45" s="344"/>
      <c r="SIY45" s="344"/>
      <c r="SIZ45" s="344"/>
      <c r="SJA45" s="344"/>
      <c r="SJB45" s="344"/>
      <c r="SJC45" s="344"/>
      <c r="SJD45" s="344"/>
      <c r="SJE45" s="344"/>
      <c r="SJF45" s="344"/>
      <c r="SJG45" s="344"/>
      <c r="SJH45" s="344"/>
      <c r="SJI45" s="344"/>
      <c r="SJJ45" s="344"/>
      <c r="SJK45" s="344"/>
      <c r="SJL45" s="344"/>
      <c r="SJM45" s="344"/>
      <c r="SJN45" s="344"/>
      <c r="SJO45" s="344"/>
      <c r="SJP45" s="344"/>
      <c r="SJQ45" s="344"/>
      <c r="SJR45" s="344"/>
      <c r="SJS45" s="344"/>
      <c r="SJT45" s="344"/>
      <c r="SJU45" s="344"/>
      <c r="SJV45" s="344"/>
      <c r="SJW45" s="344"/>
      <c r="SJX45" s="344"/>
      <c r="SJY45" s="344"/>
      <c r="SJZ45" s="344"/>
      <c r="SKA45" s="344"/>
      <c r="SKB45" s="344"/>
      <c r="SKC45" s="344"/>
      <c r="SKD45" s="344"/>
      <c r="SKE45" s="344"/>
      <c r="SKF45" s="344"/>
      <c r="SKG45" s="344"/>
      <c r="SKH45" s="344"/>
      <c r="SKI45" s="344"/>
      <c r="SKJ45" s="344"/>
      <c r="SKK45" s="344"/>
      <c r="SKL45" s="344"/>
      <c r="SKM45" s="344"/>
      <c r="SKN45" s="344"/>
      <c r="SKO45" s="344"/>
      <c r="SKP45" s="344"/>
      <c r="SKQ45" s="344"/>
      <c r="SKR45" s="344"/>
      <c r="SKS45" s="344"/>
      <c r="SKT45" s="344"/>
      <c r="SKU45" s="344"/>
      <c r="SKV45" s="344"/>
      <c r="SKW45" s="344"/>
      <c r="SKX45" s="344"/>
      <c r="SKY45" s="344"/>
      <c r="SKZ45" s="344"/>
      <c r="SLA45" s="344"/>
      <c r="SLB45" s="344"/>
      <c r="SLC45" s="344"/>
      <c r="SLD45" s="344"/>
      <c r="SLE45" s="344"/>
      <c r="SLF45" s="344"/>
      <c r="SLG45" s="344"/>
      <c r="SLH45" s="344"/>
      <c r="SLI45" s="344"/>
      <c r="SLJ45" s="344"/>
      <c r="SLK45" s="344"/>
      <c r="SLL45" s="344"/>
      <c r="SLM45" s="344"/>
      <c r="SLN45" s="344"/>
      <c r="SLO45" s="344"/>
      <c r="SLP45" s="344"/>
      <c r="SLQ45" s="344"/>
      <c r="SLR45" s="344"/>
      <c r="SLS45" s="344"/>
      <c r="SLT45" s="344"/>
      <c r="SLU45" s="344"/>
      <c r="SLV45" s="344"/>
      <c r="SLW45" s="344"/>
      <c r="SLX45" s="344"/>
      <c r="SLY45" s="344"/>
      <c r="SLZ45" s="344"/>
      <c r="SMA45" s="344"/>
      <c r="SMB45" s="344"/>
      <c r="SMC45" s="344"/>
      <c r="SMD45" s="344"/>
      <c r="SME45" s="344"/>
      <c r="SMF45" s="344"/>
      <c r="SMG45" s="344"/>
      <c r="SMH45" s="344"/>
      <c r="SMI45" s="344"/>
      <c r="SMJ45" s="344"/>
      <c r="SMK45" s="344"/>
      <c r="SML45" s="344"/>
      <c r="SMM45" s="344"/>
      <c r="SMN45" s="344"/>
      <c r="SMO45" s="344"/>
      <c r="SMP45" s="344"/>
      <c r="SMQ45" s="344"/>
      <c r="SMR45" s="344"/>
      <c r="SMS45" s="344"/>
      <c r="SMT45" s="344"/>
      <c r="SMU45" s="344"/>
      <c r="SMV45" s="344"/>
      <c r="SMW45" s="344"/>
      <c r="SMX45" s="344"/>
      <c r="SMY45" s="344"/>
      <c r="SMZ45" s="344"/>
      <c r="SNA45" s="344"/>
      <c r="SNB45" s="344"/>
      <c r="SNC45" s="344"/>
      <c r="SND45" s="344"/>
      <c r="SNE45" s="344"/>
      <c r="SNF45" s="344"/>
      <c r="SNG45" s="344"/>
      <c r="SNH45" s="344"/>
      <c r="SNI45" s="344"/>
      <c r="SNJ45" s="344"/>
      <c r="SNK45" s="344"/>
      <c r="SNL45" s="344"/>
      <c r="SNM45" s="344"/>
      <c r="SNN45" s="344"/>
      <c r="SNO45" s="344"/>
      <c r="SNP45" s="344"/>
      <c r="SNQ45" s="344"/>
      <c r="SNR45" s="344"/>
      <c r="SNS45" s="344"/>
      <c r="SNT45" s="344"/>
      <c r="SNU45" s="344"/>
      <c r="SNV45" s="344"/>
      <c r="SNW45" s="344"/>
      <c r="SNX45" s="344"/>
      <c r="SNY45" s="344"/>
      <c r="SNZ45" s="344"/>
      <c r="SOA45" s="344"/>
      <c r="SOB45" s="344"/>
      <c r="SOC45" s="344"/>
      <c r="SOD45" s="344"/>
      <c r="SOE45" s="344"/>
      <c r="SOF45" s="344"/>
      <c r="SOG45" s="344"/>
      <c r="SOH45" s="344"/>
      <c r="SOI45" s="344"/>
      <c r="SOJ45" s="344"/>
      <c r="SOK45" s="344"/>
      <c r="SOL45" s="344"/>
      <c r="SOM45" s="344"/>
      <c r="SON45" s="344"/>
      <c r="SOO45" s="344"/>
      <c r="SOP45" s="344"/>
      <c r="SOQ45" s="344"/>
      <c r="SOR45" s="344"/>
      <c r="SOS45" s="344"/>
      <c r="SOT45" s="344"/>
      <c r="SOU45" s="344"/>
      <c r="SOV45" s="344"/>
      <c r="SOW45" s="344"/>
      <c r="SOX45" s="344"/>
      <c r="SOY45" s="344"/>
      <c r="SOZ45" s="344"/>
      <c r="SPA45" s="344"/>
      <c r="SPB45" s="344"/>
      <c r="SPC45" s="344"/>
      <c r="SPD45" s="344"/>
      <c r="SPE45" s="344"/>
      <c r="SPF45" s="344"/>
      <c r="SPG45" s="344"/>
      <c r="SPH45" s="344"/>
      <c r="SPI45" s="344"/>
      <c r="SPJ45" s="344"/>
      <c r="SPK45" s="344"/>
      <c r="SPL45" s="344"/>
      <c r="SPM45" s="344"/>
      <c r="SPN45" s="344"/>
      <c r="SPO45" s="344"/>
      <c r="SPP45" s="344"/>
      <c r="SPQ45" s="344"/>
      <c r="SPR45" s="344"/>
      <c r="SPS45" s="344"/>
      <c r="SPT45" s="344"/>
      <c r="SPU45" s="344"/>
      <c r="SPV45" s="344"/>
      <c r="SPW45" s="344"/>
      <c r="SPX45" s="344"/>
      <c r="SPY45" s="344"/>
      <c r="SPZ45" s="344"/>
      <c r="SQA45" s="344"/>
      <c r="SQB45" s="344"/>
      <c r="SQC45" s="344"/>
      <c r="SQD45" s="344"/>
      <c r="SQE45" s="344"/>
      <c r="SQF45" s="344"/>
      <c r="SQG45" s="344"/>
      <c r="SQH45" s="344"/>
      <c r="SQI45" s="344"/>
      <c r="SQJ45" s="344"/>
      <c r="SQK45" s="344"/>
      <c r="SQL45" s="344"/>
      <c r="SQM45" s="344"/>
      <c r="SQN45" s="344"/>
      <c r="SQO45" s="344"/>
      <c r="SQP45" s="344"/>
      <c r="SQQ45" s="344"/>
      <c r="SQR45" s="344"/>
      <c r="SQS45" s="344"/>
      <c r="SQT45" s="344"/>
      <c r="SQU45" s="344"/>
      <c r="SQV45" s="344"/>
      <c r="SQW45" s="344"/>
      <c r="SQX45" s="344"/>
      <c r="SQY45" s="344"/>
      <c r="SQZ45" s="344"/>
      <c r="SRA45" s="344"/>
      <c r="SRB45" s="344"/>
      <c r="SRC45" s="344"/>
      <c r="SRD45" s="344"/>
      <c r="SRE45" s="344"/>
      <c r="SRF45" s="344"/>
      <c r="SRG45" s="344"/>
      <c r="SRH45" s="344"/>
      <c r="SRI45" s="344"/>
      <c r="SRJ45" s="344"/>
      <c r="SRK45" s="344"/>
      <c r="SRL45" s="344"/>
      <c r="SRM45" s="344"/>
      <c r="SRN45" s="344"/>
      <c r="SRO45" s="344"/>
      <c r="SRP45" s="344"/>
      <c r="SRQ45" s="344"/>
      <c r="SRR45" s="344"/>
      <c r="SRS45" s="344"/>
      <c r="SRT45" s="344"/>
      <c r="SRU45" s="344"/>
      <c r="SRV45" s="344"/>
      <c r="SRW45" s="344"/>
      <c r="SRX45" s="344"/>
      <c r="SRY45" s="344"/>
      <c r="SRZ45" s="344"/>
      <c r="SSA45" s="344"/>
      <c r="SSB45" s="344"/>
      <c r="SSC45" s="344"/>
      <c r="SSD45" s="344"/>
      <c r="SSE45" s="344"/>
      <c r="SSF45" s="344"/>
      <c r="SSG45" s="344"/>
      <c r="SSH45" s="344"/>
      <c r="SSI45" s="344"/>
      <c r="SSJ45" s="344"/>
      <c r="SSK45" s="344"/>
      <c r="SSL45" s="344"/>
      <c r="SSM45" s="344"/>
      <c r="SSN45" s="344"/>
      <c r="SSO45" s="344"/>
      <c r="SSP45" s="344"/>
      <c r="SSQ45" s="344"/>
      <c r="SSR45" s="344"/>
      <c r="SSS45" s="344"/>
      <c r="SST45" s="344"/>
      <c r="SSU45" s="344"/>
      <c r="SSV45" s="344"/>
      <c r="SSW45" s="344"/>
      <c r="SSX45" s="344"/>
      <c r="SSY45" s="344"/>
      <c r="SSZ45" s="344"/>
      <c r="STA45" s="344"/>
      <c r="STB45" s="344"/>
      <c r="STC45" s="344"/>
      <c r="STD45" s="344"/>
      <c r="STE45" s="344"/>
      <c r="STF45" s="344"/>
      <c r="STG45" s="344"/>
      <c r="STH45" s="344"/>
      <c r="STI45" s="344"/>
      <c r="STJ45" s="344"/>
      <c r="STK45" s="344"/>
      <c r="STL45" s="344"/>
      <c r="STM45" s="344"/>
      <c r="STN45" s="344"/>
      <c r="STO45" s="344"/>
      <c r="STP45" s="344"/>
      <c r="STQ45" s="344"/>
      <c r="STR45" s="344"/>
      <c r="STS45" s="344"/>
      <c r="STT45" s="344"/>
      <c r="STU45" s="344"/>
      <c r="STV45" s="344"/>
      <c r="STW45" s="344"/>
      <c r="STX45" s="344"/>
      <c r="STY45" s="344"/>
      <c r="STZ45" s="344"/>
      <c r="SUA45" s="344"/>
      <c r="SUB45" s="344"/>
      <c r="SUC45" s="344"/>
      <c r="SUD45" s="344"/>
      <c r="SUE45" s="344"/>
      <c r="SUF45" s="344"/>
      <c r="SUG45" s="344"/>
      <c r="SUH45" s="344"/>
      <c r="SUI45" s="344"/>
      <c r="SUJ45" s="344"/>
      <c r="SUK45" s="344"/>
      <c r="SUL45" s="344"/>
      <c r="SUM45" s="344"/>
      <c r="SUN45" s="344"/>
      <c r="SUO45" s="344"/>
      <c r="SUP45" s="344"/>
      <c r="SUQ45" s="344"/>
      <c r="SUR45" s="344"/>
      <c r="SUS45" s="344"/>
      <c r="SUT45" s="344"/>
      <c r="SUU45" s="344"/>
      <c r="SUV45" s="344"/>
      <c r="SUW45" s="344"/>
      <c r="SUX45" s="344"/>
      <c r="SUY45" s="344"/>
      <c r="SUZ45" s="344"/>
      <c r="SVA45" s="344"/>
      <c r="SVB45" s="344"/>
      <c r="SVC45" s="344"/>
      <c r="SVD45" s="344"/>
      <c r="SVE45" s="344"/>
      <c r="SVF45" s="344"/>
      <c r="SVG45" s="344"/>
      <c r="SVH45" s="344"/>
      <c r="SVI45" s="344"/>
      <c r="SVJ45" s="344"/>
      <c r="SVK45" s="344"/>
      <c r="SVL45" s="344"/>
      <c r="SVM45" s="344"/>
      <c r="SVN45" s="344"/>
      <c r="SVO45" s="344"/>
      <c r="SVP45" s="344"/>
      <c r="SVQ45" s="344"/>
      <c r="SVR45" s="344"/>
      <c r="SVS45" s="344"/>
      <c r="SVT45" s="344"/>
      <c r="SVU45" s="344"/>
      <c r="SVV45" s="344"/>
      <c r="SVW45" s="344"/>
      <c r="SVX45" s="344"/>
      <c r="SVY45" s="344"/>
      <c r="SVZ45" s="344"/>
      <c r="SWA45" s="344"/>
      <c r="SWB45" s="344"/>
      <c r="SWC45" s="344"/>
      <c r="SWD45" s="344"/>
      <c r="SWE45" s="344"/>
      <c r="SWF45" s="344"/>
      <c r="SWG45" s="344"/>
      <c r="SWH45" s="344"/>
      <c r="SWI45" s="344"/>
      <c r="SWJ45" s="344"/>
      <c r="SWK45" s="344"/>
      <c r="SWL45" s="344"/>
      <c r="SWM45" s="344"/>
      <c r="SWN45" s="344"/>
      <c r="SWO45" s="344"/>
      <c r="SWP45" s="344"/>
      <c r="SWQ45" s="344"/>
      <c r="SWR45" s="344"/>
      <c r="SWS45" s="344"/>
      <c r="SWT45" s="344"/>
      <c r="SWU45" s="344"/>
      <c r="SWV45" s="344"/>
      <c r="SWW45" s="344"/>
      <c r="SWX45" s="344"/>
      <c r="SWY45" s="344"/>
      <c r="SWZ45" s="344"/>
      <c r="SXA45" s="344"/>
      <c r="SXB45" s="344"/>
      <c r="SXC45" s="344"/>
      <c r="SXD45" s="344"/>
      <c r="SXE45" s="344"/>
      <c r="SXF45" s="344"/>
      <c r="SXG45" s="344"/>
      <c r="SXH45" s="344"/>
      <c r="SXI45" s="344"/>
      <c r="SXJ45" s="344"/>
      <c r="SXK45" s="344"/>
      <c r="SXL45" s="344"/>
      <c r="SXM45" s="344"/>
      <c r="SXN45" s="344"/>
      <c r="SXO45" s="344"/>
      <c r="SXP45" s="344"/>
      <c r="SXQ45" s="344"/>
      <c r="SXR45" s="344"/>
      <c r="SXS45" s="344"/>
      <c r="SXT45" s="344"/>
      <c r="SXU45" s="344"/>
      <c r="SXV45" s="344"/>
      <c r="SXW45" s="344"/>
      <c r="SXX45" s="344"/>
      <c r="SXY45" s="344"/>
      <c r="SXZ45" s="344"/>
      <c r="SYA45" s="344"/>
      <c r="SYB45" s="344"/>
      <c r="SYC45" s="344"/>
      <c r="SYD45" s="344"/>
      <c r="SYE45" s="344"/>
      <c r="SYF45" s="344"/>
      <c r="SYG45" s="344"/>
      <c r="SYH45" s="344"/>
      <c r="SYI45" s="344"/>
      <c r="SYJ45" s="344"/>
      <c r="SYK45" s="344"/>
      <c r="SYL45" s="344"/>
      <c r="SYM45" s="344"/>
      <c r="SYN45" s="344"/>
      <c r="SYO45" s="344"/>
      <c r="SYP45" s="344"/>
      <c r="SYQ45" s="344"/>
      <c r="SYR45" s="344"/>
      <c r="SYS45" s="344"/>
      <c r="SYT45" s="344"/>
      <c r="SYU45" s="344"/>
      <c r="SYV45" s="344"/>
      <c r="SYW45" s="344"/>
      <c r="SYX45" s="344"/>
      <c r="SYY45" s="344"/>
      <c r="SYZ45" s="344"/>
      <c r="SZA45" s="344"/>
      <c r="SZB45" s="344"/>
      <c r="SZC45" s="344"/>
      <c r="SZD45" s="344"/>
      <c r="SZE45" s="344"/>
      <c r="SZF45" s="344"/>
      <c r="SZG45" s="344"/>
      <c r="SZH45" s="344"/>
      <c r="SZI45" s="344"/>
      <c r="SZJ45" s="344"/>
      <c r="SZK45" s="344"/>
      <c r="SZL45" s="344"/>
      <c r="SZM45" s="344"/>
      <c r="SZN45" s="344"/>
      <c r="SZO45" s="344"/>
      <c r="SZP45" s="344"/>
      <c r="SZQ45" s="344"/>
      <c r="SZR45" s="344"/>
      <c r="SZS45" s="344"/>
      <c r="SZT45" s="344"/>
      <c r="SZU45" s="344"/>
      <c r="SZV45" s="344"/>
      <c r="SZW45" s="344"/>
      <c r="SZX45" s="344"/>
      <c r="SZY45" s="344"/>
      <c r="SZZ45" s="344"/>
      <c r="TAA45" s="344"/>
      <c r="TAB45" s="344"/>
      <c r="TAC45" s="344"/>
      <c r="TAD45" s="344"/>
      <c r="TAE45" s="344"/>
      <c r="TAF45" s="344"/>
      <c r="TAG45" s="344"/>
      <c r="TAH45" s="344"/>
      <c r="TAI45" s="344"/>
      <c r="TAJ45" s="344"/>
      <c r="TAK45" s="344"/>
      <c r="TAL45" s="344"/>
      <c r="TAM45" s="344"/>
      <c r="TAN45" s="344"/>
      <c r="TAO45" s="344"/>
      <c r="TAP45" s="344"/>
      <c r="TAQ45" s="344"/>
      <c r="TAR45" s="344"/>
      <c r="TAS45" s="344"/>
      <c r="TAT45" s="344"/>
      <c r="TAU45" s="344"/>
      <c r="TAV45" s="344"/>
      <c r="TAW45" s="344"/>
      <c r="TAX45" s="344"/>
      <c r="TAY45" s="344"/>
      <c r="TAZ45" s="344"/>
      <c r="TBA45" s="344"/>
      <c r="TBB45" s="344"/>
      <c r="TBC45" s="344"/>
      <c r="TBD45" s="344"/>
      <c r="TBE45" s="344"/>
      <c r="TBF45" s="344"/>
      <c r="TBG45" s="344"/>
      <c r="TBH45" s="344"/>
      <c r="TBI45" s="344"/>
      <c r="TBJ45" s="344"/>
      <c r="TBK45" s="344"/>
      <c r="TBL45" s="344"/>
      <c r="TBM45" s="344"/>
      <c r="TBN45" s="344"/>
      <c r="TBO45" s="344"/>
      <c r="TBP45" s="344"/>
      <c r="TBQ45" s="344"/>
      <c r="TBR45" s="344"/>
      <c r="TBS45" s="344"/>
      <c r="TBT45" s="344"/>
      <c r="TBU45" s="344"/>
      <c r="TBV45" s="344"/>
      <c r="TBW45" s="344"/>
      <c r="TBX45" s="344"/>
      <c r="TBY45" s="344"/>
      <c r="TBZ45" s="344"/>
      <c r="TCA45" s="344"/>
      <c r="TCB45" s="344"/>
      <c r="TCC45" s="344"/>
      <c r="TCD45" s="344"/>
      <c r="TCE45" s="344"/>
      <c r="TCF45" s="344"/>
      <c r="TCG45" s="344"/>
      <c r="TCH45" s="344"/>
      <c r="TCI45" s="344"/>
      <c r="TCJ45" s="344"/>
      <c r="TCK45" s="344"/>
      <c r="TCL45" s="344"/>
      <c r="TCM45" s="344"/>
      <c r="TCN45" s="344"/>
      <c r="TCO45" s="344"/>
      <c r="TCP45" s="344"/>
      <c r="TCQ45" s="344"/>
      <c r="TCR45" s="344"/>
      <c r="TCS45" s="344"/>
      <c r="TCT45" s="344"/>
      <c r="TCU45" s="344"/>
      <c r="TCV45" s="344"/>
      <c r="TCW45" s="344"/>
      <c r="TCX45" s="344"/>
      <c r="TCY45" s="344"/>
      <c r="TCZ45" s="344"/>
      <c r="TDA45" s="344"/>
      <c r="TDB45" s="344"/>
      <c r="TDC45" s="344"/>
      <c r="TDD45" s="344"/>
      <c r="TDE45" s="344"/>
      <c r="TDF45" s="344"/>
      <c r="TDG45" s="344"/>
      <c r="TDH45" s="344"/>
      <c r="TDI45" s="344"/>
      <c r="TDJ45" s="344"/>
      <c r="TDK45" s="344"/>
      <c r="TDL45" s="344"/>
      <c r="TDM45" s="344"/>
      <c r="TDN45" s="344"/>
      <c r="TDO45" s="344"/>
      <c r="TDP45" s="344"/>
      <c r="TDQ45" s="344"/>
      <c r="TDR45" s="344"/>
      <c r="TDS45" s="344"/>
      <c r="TDT45" s="344"/>
      <c r="TDU45" s="344"/>
      <c r="TDV45" s="344"/>
      <c r="TDW45" s="344"/>
      <c r="TDX45" s="344"/>
      <c r="TDY45" s="344"/>
      <c r="TDZ45" s="344"/>
      <c r="TEA45" s="344"/>
      <c r="TEB45" s="344"/>
      <c r="TEC45" s="344"/>
      <c r="TED45" s="344"/>
      <c r="TEE45" s="344"/>
      <c r="TEF45" s="344"/>
      <c r="TEG45" s="344"/>
      <c r="TEH45" s="344"/>
      <c r="TEI45" s="344"/>
      <c r="TEJ45" s="344"/>
      <c r="TEK45" s="344"/>
      <c r="TEL45" s="344"/>
      <c r="TEM45" s="344"/>
      <c r="TEN45" s="344"/>
      <c r="TEO45" s="344"/>
      <c r="TEP45" s="344"/>
      <c r="TEQ45" s="344"/>
      <c r="TER45" s="344"/>
      <c r="TES45" s="344"/>
      <c r="TET45" s="344"/>
      <c r="TEU45" s="344"/>
      <c r="TEV45" s="344"/>
      <c r="TEW45" s="344"/>
      <c r="TEX45" s="344"/>
      <c r="TEY45" s="344"/>
      <c r="TEZ45" s="344"/>
      <c r="TFA45" s="344"/>
      <c r="TFB45" s="344"/>
      <c r="TFC45" s="344"/>
      <c r="TFD45" s="344"/>
      <c r="TFE45" s="344"/>
      <c r="TFF45" s="344"/>
      <c r="TFG45" s="344"/>
      <c r="TFH45" s="344"/>
      <c r="TFI45" s="344"/>
      <c r="TFJ45" s="344"/>
      <c r="TFK45" s="344"/>
      <c r="TFL45" s="344"/>
      <c r="TFM45" s="344"/>
      <c r="TFN45" s="344"/>
      <c r="TFO45" s="344"/>
      <c r="TFP45" s="344"/>
      <c r="TFQ45" s="344"/>
      <c r="TFR45" s="344"/>
      <c r="TFS45" s="344"/>
      <c r="TFT45" s="344"/>
      <c r="TFU45" s="344"/>
      <c r="TFV45" s="344"/>
      <c r="TFW45" s="344"/>
      <c r="TFX45" s="344"/>
      <c r="TFY45" s="344"/>
      <c r="TFZ45" s="344"/>
      <c r="TGA45" s="344"/>
      <c r="TGB45" s="344"/>
      <c r="TGC45" s="344"/>
      <c r="TGD45" s="344"/>
      <c r="TGE45" s="344"/>
      <c r="TGF45" s="344"/>
      <c r="TGG45" s="344"/>
      <c r="TGH45" s="344"/>
      <c r="TGI45" s="344"/>
      <c r="TGJ45" s="344"/>
      <c r="TGK45" s="344"/>
      <c r="TGL45" s="344"/>
      <c r="TGM45" s="344"/>
      <c r="TGN45" s="344"/>
      <c r="TGO45" s="344"/>
      <c r="TGP45" s="344"/>
      <c r="TGQ45" s="344"/>
      <c r="TGR45" s="344"/>
      <c r="TGS45" s="344"/>
      <c r="TGT45" s="344"/>
      <c r="TGU45" s="344"/>
      <c r="TGV45" s="344"/>
      <c r="TGW45" s="344"/>
      <c r="TGX45" s="344"/>
      <c r="TGY45" s="344"/>
      <c r="TGZ45" s="344"/>
      <c r="THA45" s="344"/>
      <c r="THB45" s="344"/>
      <c r="THC45" s="344"/>
      <c r="THD45" s="344"/>
      <c r="THE45" s="344"/>
      <c r="THF45" s="344"/>
      <c r="THG45" s="344"/>
      <c r="THH45" s="344"/>
      <c r="THI45" s="344"/>
      <c r="THJ45" s="344"/>
      <c r="THK45" s="344"/>
      <c r="THL45" s="344"/>
      <c r="THM45" s="344"/>
      <c r="THN45" s="344"/>
      <c r="THO45" s="344"/>
      <c r="THP45" s="344"/>
      <c r="THQ45" s="344"/>
      <c r="THR45" s="344"/>
      <c r="THS45" s="344"/>
      <c r="THT45" s="344"/>
      <c r="THU45" s="344"/>
      <c r="THV45" s="344"/>
      <c r="THW45" s="344"/>
      <c r="THX45" s="344"/>
      <c r="THY45" s="344"/>
      <c r="THZ45" s="344"/>
      <c r="TIA45" s="344"/>
      <c r="TIB45" s="344"/>
      <c r="TIC45" s="344"/>
      <c r="TID45" s="344"/>
      <c r="TIE45" s="344"/>
      <c r="TIF45" s="344"/>
      <c r="TIG45" s="344"/>
      <c r="TIH45" s="344"/>
      <c r="TII45" s="344"/>
      <c r="TIJ45" s="344"/>
      <c r="TIK45" s="344"/>
      <c r="TIL45" s="344"/>
      <c r="TIM45" s="344"/>
      <c r="TIN45" s="344"/>
      <c r="TIO45" s="344"/>
      <c r="TIP45" s="344"/>
      <c r="TIQ45" s="344"/>
      <c r="TIR45" s="344"/>
      <c r="TIS45" s="344"/>
      <c r="TIT45" s="344"/>
      <c r="TIU45" s="344"/>
      <c r="TIV45" s="344"/>
      <c r="TIW45" s="344"/>
      <c r="TIX45" s="344"/>
      <c r="TIY45" s="344"/>
      <c r="TIZ45" s="344"/>
      <c r="TJA45" s="344"/>
      <c r="TJB45" s="344"/>
      <c r="TJC45" s="344"/>
      <c r="TJD45" s="344"/>
      <c r="TJE45" s="344"/>
      <c r="TJF45" s="344"/>
      <c r="TJG45" s="344"/>
      <c r="TJH45" s="344"/>
      <c r="TJI45" s="344"/>
      <c r="TJJ45" s="344"/>
      <c r="TJK45" s="344"/>
      <c r="TJL45" s="344"/>
      <c r="TJM45" s="344"/>
      <c r="TJN45" s="344"/>
      <c r="TJO45" s="344"/>
      <c r="TJP45" s="344"/>
      <c r="TJQ45" s="344"/>
      <c r="TJR45" s="344"/>
      <c r="TJS45" s="344"/>
      <c r="TJT45" s="344"/>
      <c r="TJU45" s="344"/>
      <c r="TJV45" s="344"/>
      <c r="TJW45" s="344"/>
      <c r="TJX45" s="344"/>
      <c r="TJY45" s="344"/>
      <c r="TJZ45" s="344"/>
      <c r="TKA45" s="344"/>
      <c r="TKB45" s="344"/>
      <c r="TKC45" s="344"/>
      <c r="TKD45" s="344"/>
      <c r="TKE45" s="344"/>
      <c r="TKF45" s="344"/>
      <c r="TKG45" s="344"/>
      <c r="TKH45" s="344"/>
      <c r="TKI45" s="344"/>
      <c r="TKJ45" s="344"/>
      <c r="TKK45" s="344"/>
      <c r="TKL45" s="344"/>
      <c r="TKM45" s="344"/>
      <c r="TKN45" s="344"/>
      <c r="TKO45" s="344"/>
      <c r="TKP45" s="344"/>
      <c r="TKQ45" s="344"/>
      <c r="TKR45" s="344"/>
      <c r="TKS45" s="344"/>
      <c r="TKT45" s="344"/>
      <c r="TKU45" s="344"/>
      <c r="TKV45" s="344"/>
      <c r="TKW45" s="344"/>
      <c r="TKX45" s="344"/>
      <c r="TKY45" s="344"/>
      <c r="TKZ45" s="344"/>
      <c r="TLA45" s="344"/>
      <c r="TLB45" s="344"/>
      <c r="TLC45" s="344"/>
      <c r="TLD45" s="344"/>
      <c r="TLE45" s="344"/>
      <c r="TLF45" s="344"/>
      <c r="TLG45" s="344"/>
      <c r="TLH45" s="344"/>
      <c r="TLI45" s="344"/>
      <c r="TLJ45" s="344"/>
      <c r="TLK45" s="344"/>
      <c r="TLL45" s="344"/>
      <c r="TLM45" s="344"/>
      <c r="TLN45" s="344"/>
      <c r="TLO45" s="344"/>
      <c r="TLP45" s="344"/>
      <c r="TLQ45" s="344"/>
      <c r="TLR45" s="344"/>
      <c r="TLS45" s="344"/>
      <c r="TLT45" s="344"/>
      <c r="TLU45" s="344"/>
      <c r="TLV45" s="344"/>
      <c r="TLW45" s="344"/>
      <c r="TLX45" s="344"/>
      <c r="TLY45" s="344"/>
      <c r="TLZ45" s="344"/>
      <c r="TMA45" s="344"/>
      <c r="TMB45" s="344"/>
      <c r="TMC45" s="344"/>
      <c r="TMD45" s="344"/>
      <c r="TME45" s="344"/>
      <c r="TMF45" s="344"/>
      <c r="TMG45" s="344"/>
      <c r="TMH45" s="344"/>
      <c r="TMI45" s="344"/>
      <c r="TMJ45" s="344"/>
      <c r="TMK45" s="344"/>
      <c r="TML45" s="344"/>
      <c r="TMM45" s="344"/>
      <c r="TMN45" s="344"/>
      <c r="TMO45" s="344"/>
      <c r="TMP45" s="344"/>
      <c r="TMQ45" s="344"/>
      <c r="TMR45" s="344"/>
      <c r="TMS45" s="344"/>
      <c r="TMT45" s="344"/>
      <c r="TMU45" s="344"/>
      <c r="TMV45" s="344"/>
      <c r="TMW45" s="344"/>
      <c r="TMX45" s="344"/>
      <c r="TMY45" s="344"/>
      <c r="TMZ45" s="344"/>
      <c r="TNA45" s="344"/>
      <c r="TNB45" s="344"/>
      <c r="TNC45" s="344"/>
      <c r="TND45" s="344"/>
      <c r="TNE45" s="344"/>
      <c r="TNF45" s="344"/>
      <c r="TNG45" s="344"/>
      <c r="TNH45" s="344"/>
      <c r="TNI45" s="344"/>
      <c r="TNJ45" s="344"/>
      <c r="TNK45" s="344"/>
      <c r="TNL45" s="344"/>
      <c r="TNM45" s="344"/>
      <c r="TNN45" s="344"/>
      <c r="TNO45" s="344"/>
      <c r="TNP45" s="344"/>
      <c r="TNQ45" s="344"/>
      <c r="TNR45" s="344"/>
      <c r="TNS45" s="344"/>
      <c r="TNT45" s="344"/>
      <c r="TNU45" s="344"/>
      <c r="TNV45" s="344"/>
      <c r="TNW45" s="344"/>
      <c r="TNX45" s="344"/>
      <c r="TNY45" s="344"/>
      <c r="TNZ45" s="344"/>
      <c r="TOA45" s="344"/>
      <c r="TOB45" s="344"/>
      <c r="TOC45" s="344"/>
      <c r="TOD45" s="344"/>
      <c r="TOE45" s="344"/>
      <c r="TOF45" s="344"/>
      <c r="TOG45" s="344"/>
      <c r="TOH45" s="344"/>
      <c r="TOI45" s="344"/>
      <c r="TOJ45" s="344"/>
      <c r="TOK45" s="344"/>
      <c r="TOL45" s="344"/>
      <c r="TOM45" s="344"/>
      <c r="TON45" s="344"/>
      <c r="TOO45" s="344"/>
      <c r="TOP45" s="344"/>
      <c r="TOQ45" s="344"/>
      <c r="TOR45" s="344"/>
      <c r="TOS45" s="344"/>
      <c r="TOT45" s="344"/>
      <c r="TOU45" s="344"/>
      <c r="TOV45" s="344"/>
      <c r="TOW45" s="344"/>
      <c r="TOX45" s="344"/>
      <c r="TOY45" s="344"/>
      <c r="TOZ45" s="344"/>
      <c r="TPA45" s="344"/>
      <c r="TPB45" s="344"/>
      <c r="TPC45" s="344"/>
      <c r="TPD45" s="344"/>
      <c r="TPE45" s="344"/>
      <c r="TPF45" s="344"/>
      <c r="TPG45" s="344"/>
      <c r="TPH45" s="344"/>
      <c r="TPI45" s="344"/>
      <c r="TPJ45" s="344"/>
      <c r="TPK45" s="344"/>
      <c r="TPL45" s="344"/>
      <c r="TPM45" s="344"/>
      <c r="TPN45" s="344"/>
      <c r="TPO45" s="344"/>
      <c r="TPP45" s="344"/>
      <c r="TPQ45" s="344"/>
      <c r="TPR45" s="344"/>
      <c r="TPS45" s="344"/>
      <c r="TPT45" s="344"/>
      <c r="TPU45" s="344"/>
      <c r="TPV45" s="344"/>
      <c r="TPW45" s="344"/>
      <c r="TPX45" s="344"/>
      <c r="TPY45" s="344"/>
      <c r="TPZ45" s="344"/>
      <c r="TQA45" s="344"/>
      <c r="TQB45" s="344"/>
      <c r="TQC45" s="344"/>
      <c r="TQD45" s="344"/>
      <c r="TQE45" s="344"/>
      <c r="TQF45" s="344"/>
      <c r="TQG45" s="344"/>
      <c r="TQH45" s="344"/>
      <c r="TQI45" s="344"/>
      <c r="TQJ45" s="344"/>
      <c r="TQK45" s="344"/>
      <c r="TQL45" s="344"/>
      <c r="TQM45" s="344"/>
      <c r="TQN45" s="344"/>
      <c r="TQO45" s="344"/>
      <c r="TQP45" s="344"/>
      <c r="TQQ45" s="344"/>
      <c r="TQR45" s="344"/>
      <c r="TQS45" s="344"/>
      <c r="TQT45" s="344"/>
      <c r="TQU45" s="344"/>
      <c r="TQV45" s="344"/>
      <c r="TQW45" s="344"/>
      <c r="TQX45" s="344"/>
      <c r="TQY45" s="344"/>
      <c r="TQZ45" s="344"/>
      <c r="TRA45" s="344"/>
      <c r="TRB45" s="344"/>
      <c r="TRC45" s="344"/>
      <c r="TRD45" s="344"/>
      <c r="TRE45" s="344"/>
      <c r="TRF45" s="344"/>
      <c r="TRG45" s="344"/>
      <c r="TRH45" s="344"/>
      <c r="TRI45" s="344"/>
      <c r="TRJ45" s="344"/>
      <c r="TRK45" s="344"/>
      <c r="TRL45" s="344"/>
      <c r="TRM45" s="344"/>
      <c r="TRN45" s="344"/>
      <c r="TRO45" s="344"/>
      <c r="TRP45" s="344"/>
      <c r="TRQ45" s="344"/>
      <c r="TRR45" s="344"/>
      <c r="TRS45" s="344"/>
      <c r="TRT45" s="344"/>
      <c r="TRU45" s="344"/>
      <c r="TRV45" s="344"/>
      <c r="TRW45" s="344"/>
      <c r="TRX45" s="344"/>
      <c r="TRY45" s="344"/>
      <c r="TRZ45" s="344"/>
      <c r="TSA45" s="344"/>
      <c r="TSB45" s="344"/>
      <c r="TSC45" s="344"/>
      <c r="TSD45" s="344"/>
      <c r="TSE45" s="344"/>
      <c r="TSF45" s="344"/>
      <c r="TSG45" s="344"/>
      <c r="TSH45" s="344"/>
      <c r="TSI45" s="344"/>
      <c r="TSJ45" s="344"/>
      <c r="TSK45" s="344"/>
      <c r="TSL45" s="344"/>
      <c r="TSM45" s="344"/>
      <c r="TSN45" s="344"/>
      <c r="TSO45" s="344"/>
      <c r="TSP45" s="344"/>
      <c r="TSQ45" s="344"/>
      <c r="TSR45" s="344"/>
      <c r="TSS45" s="344"/>
      <c r="TST45" s="344"/>
      <c r="TSU45" s="344"/>
      <c r="TSV45" s="344"/>
      <c r="TSW45" s="344"/>
      <c r="TSX45" s="344"/>
      <c r="TSY45" s="344"/>
      <c r="TSZ45" s="344"/>
      <c r="TTA45" s="344"/>
      <c r="TTB45" s="344"/>
      <c r="TTC45" s="344"/>
      <c r="TTD45" s="344"/>
      <c r="TTE45" s="344"/>
      <c r="TTF45" s="344"/>
      <c r="TTG45" s="344"/>
      <c r="TTH45" s="344"/>
      <c r="TTI45" s="344"/>
      <c r="TTJ45" s="344"/>
      <c r="TTK45" s="344"/>
      <c r="TTL45" s="344"/>
      <c r="TTM45" s="344"/>
      <c r="TTN45" s="344"/>
      <c r="TTO45" s="344"/>
      <c r="TTP45" s="344"/>
      <c r="TTQ45" s="344"/>
      <c r="TTR45" s="344"/>
      <c r="TTS45" s="344"/>
      <c r="TTT45" s="344"/>
      <c r="TTU45" s="344"/>
      <c r="TTV45" s="344"/>
      <c r="TTW45" s="344"/>
      <c r="TTX45" s="344"/>
      <c r="TTY45" s="344"/>
      <c r="TTZ45" s="344"/>
      <c r="TUA45" s="344"/>
      <c r="TUB45" s="344"/>
      <c r="TUC45" s="344"/>
      <c r="TUD45" s="344"/>
      <c r="TUE45" s="344"/>
      <c r="TUF45" s="344"/>
      <c r="TUG45" s="344"/>
      <c r="TUH45" s="344"/>
      <c r="TUI45" s="344"/>
      <c r="TUJ45" s="344"/>
      <c r="TUK45" s="344"/>
      <c r="TUL45" s="344"/>
      <c r="TUM45" s="344"/>
      <c r="TUN45" s="344"/>
      <c r="TUO45" s="344"/>
      <c r="TUP45" s="344"/>
      <c r="TUQ45" s="344"/>
      <c r="TUR45" s="344"/>
      <c r="TUS45" s="344"/>
      <c r="TUT45" s="344"/>
      <c r="TUU45" s="344"/>
      <c r="TUV45" s="344"/>
      <c r="TUW45" s="344"/>
      <c r="TUX45" s="344"/>
      <c r="TUY45" s="344"/>
      <c r="TUZ45" s="344"/>
      <c r="TVA45" s="344"/>
      <c r="TVB45" s="344"/>
      <c r="TVC45" s="344"/>
      <c r="TVD45" s="344"/>
      <c r="TVE45" s="344"/>
      <c r="TVF45" s="344"/>
      <c r="TVG45" s="344"/>
      <c r="TVH45" s="344"/>
      <c r="TVI45" s="344"/>
      <c r="TVJ45" s="344"/>
      <c r="TVK45" s="344"/>
      <c r="TVL45" s="344"/>
      <c r="TVM45" s="344"/>
      <c r="TVN45" s="344"/>
      <c r="TVO45" s="344"/>
      <c r="TVP45" s="344"/>
      <c r="TVQ45" s="344"/>
      <c r="TVR45" s="344"/>
      <c r="TVS45" s="344"/>
      <c r="TVT45" s="344"/>
      <c r="TVU45" s="344"/>
      <c r="TVV45" s="344"/>
      <c r="TVW45" s="344"/>
      <c r="TVX45" s="344"/>
      <c r="TVY45" s="344"/>
      <c r="TVZ45" s="344"/>
      <c r="TWA45" s="344"/>
      <c r="TWB45" s="344"/>
      <c r="TWC45" s="344"/>
      <c r="TWD45" s="344"/>
      <c r="TWE45" s="344"/>
      <c r="TWF45" s="344"/>
      <c r="TWG45" s="344"/>
      <c r="TWH45" s="344"/>
      <c r="TWI45" s="344"/>
      <c r="TWJ45" s="344"/>
      <c r="TWK45" s="344"/>
      <c r="TWL45" s="344"/>
      <c r="TWM45" s="344"/>
      <c r="TWN45" s="344"/>
      <c r="TWO45" s="344"/>
      <c r="TWP45" s="344"/>
      <c r="TWQ45" s="344"/>
      <c r="TWR45" s="344"/>
      <c r="TWS45" s="344"/>
      <c r="TWT45" s="344"/>
      <c r="TWU45" s="344"/>
      <c r="TWV45" s="344"/>
      <c r="TWW45" s="344"/>
      <c r="TWX45" s="344"/>
      <c r="TWY45" s="344"/>
      <c r="TWZ45" s="344"/>
      <c r="TXA45" s="344"/>
      <c r="TXB45" s="344"/>
      <c r="TXC45" s="344"/>
      <c r="TXD45" s="344"/>
      <c r="TXE45" s="344"/>
      <c r="TXF45" s="344"/>
      <c r="TXG45" s="344"/>
      <c r="TXH45" s="344"/>
      <c r="TXI45" s="344"/>
      <c r="TXJ45" s="344"/>
      <c r="TXK45" s="344"/>
      <c r="TXL45" s="344"/>
      <c r="TXM45" s="344"/>
      <c r="TXN45" s="344"/>
      <c r="TXO45" s="344"/>
      <c r="TXP45" s="344"/>
      <c r="TXQ45" s="344"/>
      <c r="TXR45" s="344"/>
      <c r="TXS45" s="344"/>
      <c r="TXT45" s="344"/>
      <c r="TXU45" s="344"/>
      <c r="TXV45" s="344"/>
      <c r="TXW45" s="344"/>
      <c r="TXX45" s="344"/>
      <c r="TXY45" s="344"/>
      <c r="TXZ45" s="344"/>
      <c r="TYA45" s="344"/>
      <c r="TYB45" s="344"/>
      <c r="TYC45" s="344"/>
      <c r="TYD45" s="344"/>
      <c r="TYE45" s="344"/>
      <c r="TYF45" s="344"/>
      <c r="TYG45" s="344"/>
      <c r="TYH45" s="344"/>
      <c r="TYI45" s="344"/>
      <c r="TYJ45" s="344"/>
      <c r="TYK45" s="344"/>
      <c r="TYL45" s="344"/>
      <c r="TYM45" s="344"/>
      <c r="TYN45" s="344"/>
      <c r="TYO45" s="344"/>
      <c r="TYP45" s="344"/>
      <c r="TYQ45" s="344"/>
      <c r="TYR45" s="344"/>
      <c r="TYS45" s="344"/>
      <c r="TYT45" s="344"/>
      <c r="TYU45" s="344"/>
      <c r="TYV45" s="344"/>
      <c r="TYW45" s="344"/>
      <c r="TYX45" s="344"/>
      <c r="TYY45" s="344"/>
      <c r="TYZ45" s="344"/>
      <c r="TZA45" s="344"/>
      <c r="TZB45" s="344"/>
      <c r="TZC45" s="344"/>
      <c r="TZD45" s="344"/>
      <c r="TZE45" s="344"/>
      <c r="TZF45" s="344"/>
      <c r="TZG45" s="344"/>
      <c r="TZH45" s="344"/>
      <c r="TZI45" s="344"/>
      <c r="TZJ45" s="344"/>
      <c r="TZK45" s="344"/>
      <c r="TZL45" s="344"/>
      <c r="TZM45" s="344"/>
      <c r="TZN45" s="344"/>
      <c r="TZO45" s="344"/>
      <c r="TZP45" s="344"/>
      <c r="TZQ45" s="344"/>
      <c r="TZR45" s="344"/>
      <c r="TZS45" s="344"/>
      <c r="TZT45" s="344"/>
      <c r="TZU45" s="344"/>
      <c r="TZV45" s="344"/>
      <c r="TZW45" s="344"/>
      <c r="TZX45" s="344"/>
      <c r="TZY45" s="344"/>
      <c r="TZZ45" s="344"/>
      <c r="UAA45" s="344"/>
      <c r="UAB45" s="344"/>
      <c r="UAC45" s="344"/>
      <c r="UAD45" s="344"/>
      <c r="UAE45" s="344"/>
      <c r="UAF45" s="344"/>
      <c r="UAG45" s="344"/>
      <c r="UAH45" s="344"/>
      <c r="UAI45" s="344"/>
      <c r="UAJ45" s="344"/>
      <c r="UAK45" s="344"/>
      <c r="UAL45" s="344"/>
      <c r="UAM45" s="344"/>
      <c r="UAN45" s="344"/>
      <c r="UAO45" s="344"/>
      <c r="UAP45" s="344"/>
      <c r="UAQ45" s="344"/>
      <c r="UAR45" s="344"/>
      <c r="UAS45" s="344"/>
      <c r="UAT45" s="344"/>
      <c r="UAU45" s="344"/>
      <c r="UAV45" s="344"/>
      <c r="UAW45" s="344"/>
      <c r="UAX45" s="344"/>
      <c r="UAY45" s="344"/>
      <c r="UAZ45" s="344"/>
      <c r="UBA45" s="344"/>
      <c r="UBB45" s="344"/>
      <c r="UBC45" s="344"/>
      <c r="UBD45" s="344"/>
      <c r="UBE45" s="344"/>
      <c r="UBF45" s="344"/>
      <c r="UBG45" s="344"/>
      <c r="UBH45" s="344"/>
      <c r="UBI45" s="344"/>
      <c r="UBJ45" s="344"/>
      <c r="UBK45" s="344"/>
      <c r="UBL45" s="344"/>
      <c r="UBM45" s="344"/>
      <c r="UBN45" s="344"/>
      <c r="UBO45" s="344"/>
      <c r="UBP45" s="344"/>
      <c r="UBQ45" s="344"/>
      <c r="UBR45" s="344"/>
      <c r="UBS45" s="344"/>
      <c r="UBT45" s="344"/>
      <c r="UBU45" s="344"/>
      <c r="UBV45" s="344"/>
      <c r="UBW45" s="344"/>
      <c r="UBX45" s="344"/>
      <c r="UBY45" s="344"/>
      <c r="UBZ45" s="344"/>
      <c r="UCA45" s="344"/>
      <c r="UCB45" s="344"/>
      <c r="UCC45" s="344"/>
      <c r="UCD45" s="344"/>
      <c r="UCE45" s="344"/>
      <c r="UCF45" s="344"/>
      <c r="UCG45" s="344"/>
      <c r="UCH45" s="344"/>
      <c r="UCI45" s="344"/>
      <c r="UCJ45" s="344"/>
      <c r="UCK45" s="344"/>
      <c r="UCL45" s="344"/>
      <c r="UCM45" s="344"/>
      <c r="UCN45" s="344"/>
      <c r="UCO45" s="344"/>
      <c r="UCP45" s="344"/>
      <c r="UCQ45" s="344"/>
      <c r="UCR45" s="344"/>
      <c r="UCS45" s="344"/>
      <c r="UCT45" s="344"/>
      <c r="UCU45" s="344"/>
      <c r="UCV45" s="344"/>
      <c r="UCW45" s="344"/>
      <c r="UCX45" s="344"/>
      <c r="UCY45" s="344"/>
      <c r="UCZ45" s="344"/>
      <c r="UDA45" s="344"/>
      <c r="UDB45" s="344"/>
      <c r="UDC45" s="344"/>
      <c r="UDD45" s="344"/>
      <c r="UDE45" s="344"/>
      <c r="UDF45" s="344"/>
      <c r="UDG45" s="344"/>
      <c r="UDH45" s="344"/>
      <c r="UDI45" s="344"/>
      <c r="UDJ45" s="344"/>
      <c r="UDK45" s="344"/>
      <c r="UDL45" s="344"/>
      <c r="UDM45" s="344"/>
      <c r="UDN45" s="344"/>
      <c r="UDO45" s="344"/>
      <c r="UDP45" s="344"/>
      <c r="UDQ45" s="344"/>
      <c r="UDR45" s="344"/>
      <c r="UDS45" s="344"/>
      <c r="UDT45" s="344"/>
      <c r="UDU45" s="344"/>
      <c r="UDV45" s="344"/>
      <c r="UDW45" s="344"/>
      <c r="UDX45" s="344"/>
      <c r="UDY45" s="344"/>
      <c r="UDZ45" s="344"/>
      <c r="UEA45" s="344"/>
      <c r="UEB45" s="344"/>
      <c r="UEC45" s="344"/>
      <c r="UED45" s="344"/>
      <c r="UEE45" s="344"/>
      <c r="UEF45" s="344"/>
      <c r="UEG45" s="344"/>
      <c r="UEH45" s="344"/>
      <c r="UEI45" s="344"/>
      <c r="UEJ45" s="344"/>
      <c r="UEK45" s="344"/>
      <c r="UEL45" s="344"/>
      <c r="UEM45" s="344"/>
      <c r="UEN45" s="344"/>
      <c r="UEO45" s="344"/>
      <c r="UEP45" s="344"/>
      <c r="UEQ45" s="344"/>
      <c r="UER45" s="344"/>
      <c r="UES45" s="344"/>
      <c r="UET45" s="344"/>
      <c r="UEU45" s="344"/>
      <c r="UEV45" s="344"/>
      <c r="UEW45" s="344"/>
      <c r="UEX45" s="344"/>
      <c r="UEY45" s="344"/>
      <c r="UEZ45" s="344"/>
      <c r="UFA45" s="344"/>
      <c r="UFB45" s="344"/>
      <c r="UFC45" s="344"/>
      <c r="UFD45" s="344"/>
      <c r="UFE45" s="344"/>
      <c r="UFF45" s="344"/>
      <c r="UFG45" s="344"/>
      <c r="UFH45" s="344"/>
      <c r="UFI45" s="344"/>
      <c r="UFJ45" s="344"/>
      <c r="UFK45" s="344"/>
      <c r="UFL45" s="344"/>
      <c r="UFM45" s="344"/>
      <c r="UFN45" s="344"/>
      <c r="UFO45" s="344"/>
      <c r="UFP45" s="344"/>
      <c r="UFQ45" s="344"/>
      <c r="UFR45" s="344"/>
      <c r="UFS45" s="344"/>
      <c r="UFT45" s="344"/>
      <c r="UFU45" s="344"/>
      <c r="UFV45" s="344"/>
      <c r="UFW45" s="344"/>
      <c r="UFX45" s="344"/>
      <c r="UFY45" s="344"/>
      <c r="UFZ45" s="344"/>
      <c r="UGA45" s="344"/>
      <c r="UGB45" s="344"/>
      <c r="UGC45" s="344"/>
      <c r="UGD45" s="344"/>
      <c r="UGE45" s="344"/>
      <c r="UGF45" s="344"/>
      <c r="UGG45" s="344"/>
      <c r="UGH45" s="344"/>
      <c r="UGI45" s="344"/>
      <c r="UGJ45" s="344"/>
      <c r="UGK45" s="344"/>
      <c r="UGL45" s="344"/>
      <c r="UGM45" s="344"/>
      <c r="UGN45" s="344"/>
      <c r="UGO45" s="344"/>
      <c r="UGP45" s="344"/>
      <c r="UGQ45" s="344"/>
      <c r="UGR45" s="344"/>
      <c r="UGS45" s="344"/>
      <c r="UGT45" s="344"/>
      <c r="UGU45" s="344"/>
      <c r="UGV45" s="344"/>
      <c r="UGW45" s="344"/>
      <c r="UGX45" s="344"/>
      <c r="UGY45" s="344"/>
      <c r="UGZ45" s="344"/>
      <c r="UHA45" s="344"/>
      <c r="UHB45" s="344"/>
      <c r="UHC45" s="344"/>
      <c r="UHD45" s="344"/>
      <c r="UHE45" s="344"/>
      <c r="UHF45" s="344"/>
      <c r="UHG45" s="344"/>
      <c r="UHH45" s="344"/>
      <c r="UHI45" s="344"/>
      <c r="UHJ45" s="344"/>
      <c r="UHK45" s="344"/>
      <c r="UHL45" s="344"/>
      <c r="UHM45" s="344"/>
      <c r="UHN45" s="344"/>
      <c r="UHO45" s="344"/>
      <c r="UHP45" s="344"/>
      <c r="UHQ45" s="344"/>
      <c r="UHR45" s="344"/>
      <c r="UHS45" s="344"/>
      <c r="UHT45" s="344"/>
      <c r="UHU45" s="344"/>
      <c r="UHV45" s="344"/>
      <c r="UHW45" s="344"/>
      <c r="UHX45" s="344"/>
      <c r="UHY45" s="344"/>
      <c r="UHZ45" s="344"/>
      <c r="UIA45" s="344"/>
      <c r="UIB45" s="344"/>
      <c r="UIC45" s="344"/>
      <c r="UID45" s="344"/>
      <c r="UIE45" s="344"/>
      <c r="UIF45" s="344"/>
      <c r="UIG45" s="344"/>
      <c r="UIH45" s="344"/>
      <c r="UII45" s="344"/>
      <c r="UIJ45" s="344"/>
      <c r="UIK45" s="344"/>
      <c r="UIL45" s="344"/>
      <c r="UIM45" s="344"/>
      <c r="UIN45" s="344"/>
      <c r="UIO45" s="344"/>
      <c r="UIP45" s="344"/>
      <c r="UIQ45" s="344"/>
      <c r="UIR45" s="344"/>
      <c r="UIS45" s="344"/>
      <c r="UIT45" s="344"/>
      <c r="UIU45" s="344"/>
      <c r="UIV45" s="344"/>
      <c r="UIW45" s="344"/>
      <c r="UIX45" s="344"/>
      <c r="UIY45" s="344"/>
      <c r="UIZ45" s="344"/>
      <c r="UJA45" s="344"/>
      <c r="UJB45" s="344"/>
      <c r="UJC45" s="344"/>
      <c r="UJD45" s="344"/>
      <c r="UJE45" s="344"/>
      <c r="UJF45" s="344"/>
      <c r="UJG45" s="344"/>
      <c r="UJH45" s="344"/>
      <c r="UJI45" s="344"/>
      <c r="UJJ45" s="344"/>
      <c r="UJK45" s="344"/>
      <c r="UJL45" s="344"/>
      <c r="UJM45" s="344"/>
      <c r="UJN45" s="344"/>
      <c r="UJO45" s="344"/>
      <c r="UJP45" s="344"/>
      <c r="UJQ45" s="344"/>
      <c r="UJR45" s="344"/>
      <c r="UJS45" s="344"/>
      <c r="UJT45" s="344"/>
      <c r="UJU45" s="344"/>
      <c r="UJV45" s="344"/>
      <c r="UJW45" s="344"/>
      <c r="UJX45" s="344"/>
      <c r="UJY45" s="344"/>
      <c r="UJZ45" s="344"/>
      <c r="UKA45" s="344"/>
      <c r="UKB45" s="344"/>
      <c r="UKC45" s="344"/>
      <c r="UKD45" s="344"/>
      <c r="UKE45" s="344"/>
      <c r="UKF45" s="344"/>
      <c r="UKG45" s="344"/>
      <c r="UKH45" s="344"/>
      <c r="UKI45" s="344"/>
      <c r="UKJ45" s="344"/>
      <c r="UKK45" s="344"/>
      <c r="UKL45" s="344"/>
      <c r="UKM45" s="344"/>
      <c r="UKN45" s="344"/>
      <c r="UKO45" s="344"/>
      <c r="UKP45" s="344"/>
      <c r="UKQ45" s="344"/>
      <c r="UKR45" s="344"/>
      <c r="UKS45" s="344"/>
      <c r="UKT45" s="344"/>
      <c r="UKU45" s="344"/>
      <c r="UKV45" s="344"/>
      <c r="UKW45" s="344"/>
      <c r="UKX45" s="344"/>
      <c r="UKY45" s="344"/>
      <c r="UKZ45" s="344"/>
      <c r="ULA45" s="344"/>
      <c r="ULB45" s="344"/>
      <c r="ULC45" s="344"/>
      <c r="ULD45" s="344"/>
      <c r="ULE45" s="344"/>
      <c r="ULF45" s="344"/>
      <c r="ULG45" s="344"/>
      <c r="ULH45" s="344"/>
      <c r="ULI45" s="344"/>
      <c r="ULJ45" s="344"/>
      <c r="ULK45" s="344"/>
      <c r="ULL45" s="344"/>
      <c r="ULM45" s="344"/>
      <c r="ULN45" s="344"/>
      <c r="ULO45" s="344"/>
      <c r="ULP45" s="344"/>
      <c r="ULQ45" s="344"/>
      <c r="ULR45" s="344"/>
      <c r="ULS45" s="344"/>
      <c r="ULT45" s="344"/>
      <c r="ULU45" s="344"/>
      <c r="ULV45" s="344"/>
      <c r="ULW45" s="344"/>
      <c r="ULX45" s="344"/>
      <c r="ULY45" s="344"/>
      <c r="ULZ45" s="344"/>
      <c r="UMA45" s="344"/>
      <c r="UMB45" s="344"/>
      <c r="UMC45" s="344"/>
      <c r="UMD45" s="344"/>
      <c r="UME45" s="344"/>
      <c r="UMF45" s="344"/>
      <c r="UMG45" s="344"/>
      <c r="UMH45" s="344"/>
      <c r="UMI45" s="344"/>
      <c r="UMJ45" s="344"/>
      <c r="UMK45" s="344"/>
      <c r="UML45" s="344"/>
      <c r="UMM45" s="344"/>
      <c r="UMN45" s="344"/>
      <c r="UMO45" s="344"/>
      <c r="UMP45" s="344"/>
      <c r="UMQ45" s="344"/>
      <c r="UMR45" s="344"/>
      <c r="UMS45" s="344"/>
      <c r="UMT45" s="344"/>
      <c r="UMU45" s="344"/>
      <c r="UMV45" s="344"/>
      <c r="UMW45" s="344"/>
      <c r="UMX45" s="344"/>
      <c r="UMY45" s="344"/>
      <c r="UMZ45" s="344"/>
      <c r="UNA45" s="344"/>
      <c r="UNB45" s="344"/>
      <c r="UNC45" s="344"/>
      <c r="UND45" s="344"/>
      <c r="UNE45" s="344"/>
      <c r="UNF45" s="344"/>
      <c r="UNG45" s="344"/>
      <c r="UNH45" s="344"/>
      <c r="UNI45" s="344"/>
      <c r="UNJ45" s="344"/>
      <c r="UNK45" s="344"/>
      <c r="UNL45" s="344"/>
      <c r="UNM45" s="344"/>
      <c r="UNN45" s="344"/>
      <c r="UNO45" s="344"/>
      <c r="UNP45" s="344"/>
      <c r="UNQ45" s="344"/>
      <c r="UNR45" s="344"/>
      <c r="UNS45" s="344"/>
      <c r="UNT45" s="344"/>
      <c r="UNU45" s="344"/>
      <c r="UNV45" s="344"/>
      <c r="UNW45" s="344"/>
      <c r="UNX45" s="344"/>
      <c r="UNY45" s="344"/>
      <c r="UNZ45" s="344"/>
      <c r="UOA45" s="344"/>
      <c r="UOB45" s="344"/>
      <c r="UOC45" s="344"/>
      <c r="UOD45" s="344"/>
      <c r="UOE45" s="344"/>
      <c r="UOF45" s="344"/>
      <c r="UOG45" s="344"/>
      <c r="UOH45" s="344"/>
      <c r="UOI45" s="344"/>
      <c r="UOJ45" s="344"/>
      <c r="UOK45" s="344"/>
      <c r="UOL45" s="344"/>
      <c r="UOM45" s="344"/>
      <c r="UON45" s="344"/>
      <c r="UOO45" s="344"/>
      <c r="UOP45" s="344"/>
      <c r="UOQ45" s="344"/>
      <c r="UOR45" s="344"/>
      <c r="UOS45" s="344"/>
      <c r="UOT45" s="344"/>
      <c r="UOU45" s="344"/>
      <c r="UOV45" s="344"/>
      <c r="UOW45" s="344"/>
      <c r="UOX45" s="344"/>
      <c r="UOY45" s="344"/>
      <c r="UOZ45" s="344"/>
      <c r="UPA45" s="344"/>
      <c r="UPB45" s="344"/>
      <c r="UPC45" s="344"/>
      <c r="UPD45" s="344"/>
      <c r="UPE45" s="344"/>
      <c r="UPF45" s="344"/>
      <c r="UPG45" s="344"/>
      <c r="UPH45" s="344"/>
      <c r="UPI45" s="344"/>
      <c r="UPJ45" s="344"/>
      <c r="UPK45" s="344"/>
      <c r="UPL45" s="344"/>
      <c r="UPM45" s="344"/>
      <c r="UPN45" s="344"/>
      <c r="UPO45" s="344"/>
      <c r="UPP45" s="344"/>
      <c r="UPQ45" s="344"/>
      <c r="UPR45" s="344"/>
      <c r="UPS45" s="344"/>
      <c r="UPT45" s="344"/>
      <c r="UPU45" s="344"/>
      <c r="UPV45" s="344"/>
      <c r="UPW45" s="344"/>
      <c r="UPX45" s="344"/>
      <c r="UPY45" s="344"/>
      <c r="UPZ45" s="344"/>
      <c r="UQA45" s="344"/>
      <c r="UQB45" s="344"/>
      <c r="UQC45" s="344"/>
      <c r="UQD45" s="344"/>
      <c r="UQE45" s="344"/>
      <c r="UQF45" s="344"/>
      <c r="UQG45" s="344"/>
      <c r="UQH45" s="344"/>
      <c r="UQI45" s="344"/>
      <c r="UQJ45" s="344"/>
      <c r="UQK45" s="344"/>
      <c r="UQL45" s="344"/>
      <c r="UQM45" s="344"/>
      <c r="UQN45" s="344"/>
      <c r="UQO45" s="344"/>
      <c r="UQP45" s="344"/>
      <c r="UQQ45" s="344"/>
      <c r="UQR45" s="344"/>
      <c r="UQS45" s="344"/>
      <c r="UQT45" s="344"/>
      <c r="UQU45" s="344"/>
      <c r="UQV45" s="344"/>
      <c r="UQW45" s="344"/>
      <c r="UQX45" s="344"/>
      <c r="UQY45" s="344"/>
      <c r="UQZ45" s="344"/>
      <c r="URA45" s="344"/>
      <c r="URB45" s="344"/>
      <c r="URC45" s="344"/>
      <c r="URD45" s="344"/>
      <c r="URE45" s="344"/>
      <c r="URF45" s="344"/>
      <c r="URG45" s="344"/>
      <c r="URH45" s="344"/>
      <c r="URI45" s="344"/>
      <c r="URJ45" s="344"/>
      <c r="URK45" s="344"/>
      <c r="URL45" s="344"/>
      <c r="URM45" s="344"/>
      <c r="URN45" s="344"/>
      <c r="URO45" s="344"/>
      <c r="URP45" s="344"/>
      <c r="URQ45" s="344"/>
      <c r="URR45" s="344"/>
      <c r="URS45" s="344"/>
      <c r="URT45" s="344"/>
      <c r="URU45" s="344"/>
      <c r="URV45" s="344"/>
      <c r="URW45" s="344"/>
      <c r="URX45" s="344"/>
      <c r="URY45" s="344"/>
      <c r="URZ45" s="344"/>
      <c r="USA45" s="344"/>
      <c r="USB45" s="344"/>
      <c r="USC45" s="344"/>
      <c r="USD45" s="344"/>
      <c r="USE45" s="344"/>
      <c r="USF45" s="344"/>
      <c r="USG45" s="344"/>
      <c r="USH45" s="344"/>
      <c r="USI45" s="344"/>
      <c r="USJ45" s="344"/>
      <c r="USK45" s="344"/>
      <c r="USL45" s="344"/>
      <c r="USM45" s="344"/>
      <c r="USN45" s="344"/>
      <c r="USO45" s="344"/>
      <c r="USP45" s="344"/>
      <c r="USQ45" s="344"/>
      <c r="USR45" s="344"/>
      <c r="USS45" s="344"/>
      <c r="UST45" s="344"/>
      <c r="USU45" s="344"/>
      <c r="USV45" s="344"/>
      <c r="USW45" s="344"/>
      <c r="USX45" s="344"/>
      <c r="USY45" s="344"/>
      <c r="USZ45" s="344"/>
      <c r="UTA45" s="344"/>
      <c r="UTB45" s="344"/>
      <c r="UTC45" s="344"/>
      <c r="UTD45" s="344"/>
      <c r="UTE45" s="344"/>
      <c r="UTF45" s="344"/>
      <c r="UTG45" s="344"/>
      <c r="UTH45" s="344"/>
      <c r="UTI45" s="344"/>
      <c r="UTJ45" s="344"/>
      <c r="UTK45" s="344"/>
      <c r="UTL45" s="344"/>
      <c r="UTM45" s="344"/>
      <c r="UTN45" s="344"/>
      <c r="UTO45" s="344"/>
      <c r="UTP45" s="344"/>
      <c r="UTQ45" s="344"/>
      <c r="UTR45" s="344"/>
      <c r="UTS45" s="344"/>
      <c r="UTT45" s="344"/>
      <c r="UTU45" s="344"/>
      <c r="UTV45" s="344"/>
      <c r="UTW45" s="344"/>
      <c r="UTX45" s="344"/>
      <c r="UTY45" s="344"/>
      <c r="UTZ45" s="344"/>
      <c r="UUA45" s="344"/>
      <c r="UUB45" s="344"/>
      <c r="UUC45" s="344"/>
      <c r="UUD45" s="344"/>
      <c r="UUE45" s="344"/>
      <c r="UUF45" s="344"/>
      <c r="UUG45" s="344"/>
      <c r="UUH45" s="344"/>
      <c r="UUI45" s="344"/>
      <c r="UUJ45" s="344"/>
      <c r="UUK45" s="344"/>
      <c r="UUL45" s="344"/>
      <c r="UUM45" s="344"/>
      <c r="UUN45" s="344"/>
      <c r="UUO45" s="344"/>
      <c r="UUP45" s="344"/>
      <c r="UUQ45" s="344"/>
      <c r="UUR45" s="344"/>
      <c r="UUS45" s="344"/>
      <c r="UUT45" s="344"/>
      <c r="UUU45" s="344"/>
      <c r="UUV45" s="344"/>
      <c r="UUW45" s="344"/>
      <c r="UUX45" s="344"/>
      <c r="UUY45" s="344"/>
      <c r="UUZ45" s="344"/>
      <c r="UVA45" s="344"/>
      <c r="UVB45" s="344"/>
      <c r="UVC45" s="344"/>
      <c r="UVD45" s="344"/>
      <c r="UVE45" s="344"/>
      <c r="UVF45" s="344"/>
      <c r="UVG45" s="344"/>
      <c r="UVH45" s="344"/>
      <c r="UVI45" s="344"/>
      <c r="UVJ45" s="344"/>
      <c r="UVK45" s="344"/>
      <c r="UVL45" s="344"/>
      <c r="UVM45" s="344"/>
      <c r="UVN45" s="344"/>
      <c r="UVO45" s="344"/>
      <c r="UVP45" s="344"/>
      <c r="UVQ45" s="344"/>
      <c r="UVR45" s="344"/>
      <c r="UVS45" s="344"/>
      <c r="UVT45" s="344"/>
      <c r="UVU45" s="344"/>
      <c r="UVV45" s="344"/>
      <c r="UVW45" s="344"/>
      <c r="UVX45" s="344"/>
      <c r="UVY45" s="344"/>
      <c r="UVZ45" s="344"/>
      <c r="UWA45" s="344"/>
      <c r="UWB45" s="344"/>
      <c r="UWC45" s="344"/>
      <c r="UWD45" s="344"/>
      <c r="UWE45" s="344"/>
      <c r="UWF45" s="344"/>
      <c r="UWG45" s="344"/>
      <c r="UWH45" s="344"/>
      <c r="UWI45" s="344"/>
      <c r="UWJ45" s="344"/>
      <c r="UWK45" s="344"/>
      <c r="UWL45" s="344"/>
      <c r="UWM45" s="344"/>
      <c r="UWN45" s="344"/>
      <c r="UWO45" s="344"/>
      <c r="UWP45" s="344"/>
      <c r="UWQ45" s="344"/>
      <c r="UWR45" s="344"/>
      <c r="UWS45" s="344"/>
      <c r="UWT45" s="344"/>
      <c r="UWU45" s="344"/>
      <c r="UWV45" s="344"/>
      <c r="UWW45" s="344"/>
      <c r="UWX45" s="344"/>
      <c r="UWY45" s="344"/>
      <c r="UWZ45" s="344"/>
      <c r="UXA45" s="344"/>
      <c r="UXB45" s="344"/>
      <c r="UXC45" s="344"/>
      <c r="UXD45" s="344"/>
      <c r="UXE45" s="344"/>
      <c r="UXF45" s="344"/>
      <c r="UXG45" s="344"/>
      <c r="UXH45" s="344"/>
      <c r="UXI45" s="344"/>
      <c r="UXJ45" s="344"/>
      <c r="UXK45" s="344"/>
      <c r="UXL45" s="344"/>
      <c r="UXM45" s="344"/>
      <c r="UXN45" s="344"/>
      <c r="UXO45" s="344"/>
      <c r="UXP45" s="344"/>
      <c r="UXQ45" s="344"/>
      <c r="UXR45" s="344"/>
      <c r="UXS45" s="344"/>
      <c r="UXT45" s="344"/>
      <c r="UXU45" s="344"/>
      <c r="UXV45" s="344"/>
      <c r="UXW45" s="344"/>
      <c r="UXX45" s="344"/>
      <c r="UXY45" s="344"/>
      <c r="UXZ45" s="344"/>
      <c r="UYA45" s="344"/>
      <c r="UYB45" s="344"/>
      <c r="UYC45" s="344"/>
      <c r="UYD45" s="344"/>
      <c r="UYE45" s="344"/>
      <c r="UYF45" s="344"/>
      <c r="UYG45" s="344"/>
      <c r="UYH45" s="344"/>
      <c r="UYI45" s="344"/>
      <c r="UYJ45" s="344"/>
      <c r="UYK45" s="344"/>
      <c r="UYL45" s="344"/>
      <c r="UYM45" s="344"/>
      <c r="UYN45" s="344"/>
      <c r="UYO45" s="344"/>
      <c r="UYP45" s="344"/>
      <c r="UYQ45" s="344"/>
      <c r="UYR45" s="344"/>
      <c r="UYS45" s="344"/>
      <c r="UYT45" s="344"/>
      <c r="UYU45" s="344"/>
      <c r="UYV45" s="344"/>
      <c r="UYW45" s="344"/>
      <c r="UYX45" s="344"/>
      <c r="UYY45" s="344"/>
      <c r="UYZ45" s="344"/>
      <c r="UZA45" s="344"/>
      <c r="UZB45" s="344"/>
      <c r="UZC45" s="344"/>
      <c r="UZD45" s="344"/>
      <c r="UZE45" s="344"/>
      <c r="UZF45" s="344"/>
      <c r="UZG45" s="344"/>
      <c r="UZH45" s="344"/>
      <c r="UZI45" s="344"/>
      <c r="UZJ45" s="344"/>
      <c r="UZK45" s="344"/>
      <c r="UZL45" s="344"/>
      <c r="UZM45" s="344"/>
      <c r="UZN45" s="344"/>
      <c r="UZO45" s="344"/>
      <c r="UZP45" s="344"/>
      <c r="UZQ45" s="344"/>
      <c r="UZR45" s="344"/>
      <c r="UZS45" s="344"/>
      <c r="UZT45" s="344"/>
      <c r="UZU45" s="344"/>
      <c r="UZV45" s="344"/>
      <c r="UZW45" s="344"/>
      <c r="UZX45" s="344"/>
      <c r="UZY45" s="344"/>
      <c r="UZZ45" s="344"/>
      <c r="VAA45" s="344"/>
      <c r="VAB45" s="344"/>
      <c r="VAC45" s="344"/>
      <c r="VAD45" s="344"/>
      <c r="VAE45" s="344"/>
      <c r="VAF45" s="344"/>
      <c r="VAG45" s="344"/>
      <c r="VAH45" s="344"/>
      <c r="VAI45" s="344"/>
      <c r="VAJ45" s="344"/>
      <c r="VAK45" s="344"/>
      <c r="VAL45" s="344"/>
      <c r="VAM45" s="344"/>
      <c r="VAN45" s="344"/>
      <c r="VAO45" s="344"/>
      <c r="VAP45" s="344"/>
      <c r="VAQ45" s="344"/>
      <c r="VAR45" s="344"/>
      <c r="VAS45" s="344"/>
      <c r="VAT45" s="344"/>
      <c r="VAU45" s="344"/>
      <c r="VAV45" s="344"/>
      <c r="VAW45" s="344"/>
      <c r="VAX45" s="344"/>
      <c r="VAY45" s="344"/>
      <c r="VAZ45" s="344"/>
      <c r="VBA45" s="344"/>
      <c r="VBB45" s="344"/>
      <c r="VBC45" s="344"/>
      <c r="VBD45" s="344"/>
      <c r="VBE45" s="344"/>
      <c r="VBF45" s="344"/>
      <c r="VBG45" s="344"/>
      <c r="VBH45" s="344"/>
      <c r="VBI45" s="344"/>
      <c r="VBJ45" s="344"/>
      <c r="VBK45" s="344"/>
      <c r="VBL45" s="344"/>
      <c r="VBM45" s="344"/>
      <c r="VBN45" s="344"/>
      <c r="VBO45" s="344"/>
      <c r="VBP45" s="344"/>
      <c r="VBQ45" s="344"/>
      <c r="VBR45" s="344"/>
      <c r="VBS45" s="344"/>
      <c r="VBT45" s="344"/>
      <c r="VBU45" s="344"/>
      <c r="VBV45" s="344"/>
      <c r="VBW45" s="344"/>
      <c r="VBX45" s="344"/>
      <c r="VBY45" s="344"/>
      <c r="VBZ45" s="344"/>
      <c r="VCA45" s="344"/>
      <c r="VCB45" s="344"/>
      <c r="VCC45" s="344"/>
      <c r="VCD45" s="344"/>
      <c r="VCE45" s="344"/>
      <c r="VCF45" s="344"/>
      <c r="VCG45" s="344"/>
      <c r="VCH45" s="344"/>
      <c r="VCI45" s="344"/>
      <c r="VCJ45" s="344"/>
      <c r="VCK45" s="344"/>
      <c r="VCL45" s="344"/>
      <c r="VCM45" s="344"/>
      <c r="VCN45" s="344"/>
      <c r="VCO45" s="344"/>
      <c r="VCP45" s="344"/>
      <c r="VCQ45" s="344"/>
      <c r="VCR45" s="344"/>
      <c r="VCS45" s="344"/>
      <c r="VCT45" s="344"/>
      <c r="VCU45" s="344"/>
      <c r="VCV45" s="344"/>
      <c r="VCW45" s="344"/>
      <c r="VCX45" s="344"/>
      <c r="VCY45" s="344"/>
      <c r="VCZ45" s="344"/>
      <c r="VDA45" s="344"/>
      <c r="VDB45" s="344"/>
      <c r="VDC45" s="344"/>
      <c r="VDD45" s="344"/>
      <c r="VDE45" s="344"/>
      <c r="VDF45" s="344"/>
      <c r="VDG45" s="344"/>
      <c r="VDH45" s="344"/>
      <c r="VDI45" s="344"/>
      <c r="VDJ45" s="344"/>
      <c r="VDK45" s="344"/>
      <c r="VDL45" s="344"/>
      <c r="VDM45" s="344"/>
      <c r="VDN45" s="344"/>
      <c r="VDO45" s="344"/>
      <c r="VDP45" s="344"/>
      <c r="VDQ45" s="344"/>
      <c r="VDR45" s="344"/>
      <c r="VDS45" s="344"/>
      <c r="VDT45" s="344"/>
      <c r="VDU45" s="344"/>
      <c r="VDV45" s="344"/>
      <c r="VDW45" s="344"/>
      <c r="VDX45" s="344"/>
      <c r="VDY45" s="344"/>
      <c r="VDZ45" s="344"/>
      <c r="VEA45" s="344"/>
      <c r="VEB45" s="344"/>
      <c r="VEC45" s="344"/>
      <c r="VED45" s="344"/>
      <c r="VEE45" s="344"/>
      <c r="VEF45" s="344"/>
      <c r="VEG45" s="344"/>
      <c r="VEH45" s="344"/>
      <c r="VEI45" s="344"/>
      <c r="VEJ45" s="344"/>
      <c r="VEK45" s="344"/>
      <c r="VEL45" s="344"/>
      <c r="VEM45" s="344"/>
      <c r="VEN45" s="344"/>
      <c r="VEO45" s="344"/>
      <c r="VEP45" s="344"/>
      <c r="VEQ45" s="344"/>
      <c r="VER45" s="344"/>
      <c r="VES45" s="344"/>
      <c r="VET45" s="344"/>
      <c r="VEU45" s="344"/>
      <c r="VEV45" s="344"/>
      <c r="VEW45" s="344"/>
      <c r="VEX45" s="344"/>
      <c r="VEY45" s="344"/>
      <c r="VEZ45" s="344"/>
      <c r="VFA45" s="344"/>
      <c r="VFB45" s="344"/>
      <c r="VFC45" s="344"/>
      <c r="VFD45" s="344"/>
      <c r="VFE45" s="344"/>
      <c r="VFF45" s="344"/>
      <c r="VFG45" s="344"/>
      <c r="VFH45" s="344"/>
      <c r="VFI45" s="344"/>
      <c r="VFJ45" s="344"/>
      <c r="VFK45" s="344"/>
      <c r="VFL45" s="344"/>
      <c r="VFM45" s="344"/>
      <c r="VFN45" s="344"/>
      <c r="VFO45" s="344"/>
      <c r="VFP45" s="344"/>
      <c r="VFQ45" s="344"/>
      <c r="VFR45" s="344"/>
      <c r="VFS45" s="344"/>
      <c r="VFT45" s="344"/>
      <c r="VFU45" s="344"/>
      <c r="VFV45" s="344"/>
      <c r="VFW45" s="344"/>
      <c r="VFX45" s="344"/>
      <c r="VFY45" s="344"/>
      <c r="VFZ45" s="344"/>
      <c r="VGA45" s="344"/>
      <c r="VGB45" s="344"/>
      <c r="VGC45" s="344"/>
      <c r="VGD45" s="344"/>
      <c r="VGE45" s="344"/>
      <c r="VGF45" s="344"/>
      <c r="VGG45" s="344"/>
      <c r="VGH45" s="344"/>
      <c r="VGI45" s="344"/>
      <c r="VGJ45" s="344"/>
      <c r="VGK45" s="344"/>
      <c r="VGL45" s="344"/>
      <c r="VGM45" s="344"/>
      <c r="VGN45" s="344"/>
      <c r="VGO45" s="344"/>
      <c r="VGP45" s="344"/>
      <c r="VGQ45" s="344"/>
      <c r="VGR45" s="344"/>
      <c r="VGS45" s="344"/>
      <c r="VGT45" s="344"/>
      <c r="VGU45" s="344"/>
      <c r="VGV45" s="344"/>
      <c r="VGW45" s="344"/>
      <c r="VGX45" s="344"/>
      <c r="VGY45" s="344"/>
      <c r="VGZ45" s="344"/>
      <c r="VHA45" s="344"/>
      <c r="VHB45" s="344"/>
      <c r="VHC45" s="344"/>
      <c r="VHD45" s="344"/>
      <c r="VHE45" s="344"/>
      <c r="VHF45" s="344"/>
      <c r="VHG45" s="344"/>
      <c r="VHH45" s="344"/>
      <c r="VHI45" s="344"/>
      <c r="VHJ45" s="344"/>
      <c r="VHK45" s="344"/>
      <c r="VHL45" s="344"/>
      <c r="VHM45" s="344"/>
      <c r="VHN45" s="344"/>
      <c r="VHO45" s="344"/>
      <c r="VHP45" s="344"/>
      <c r="VHQ45" s="344"/>
      <c r="VHR45" s="344"/>
      <c r="VHS45" s="344"/>
      <c r="VHT45" s="344"/>
      <c r="VHU45" s="344"/>
      <c r="VHV45" s="344"/>
      <c r="VHW45" s="344"/>
      <c r="VHX45" s="344"/>
      <c r="VHY45" s="344"/>
      <c r="VHZ45" s="344"/>
      <c r="VIA45" s="344"/>
      <c r="VIB45" s="344"/>
      <c r="VIC45" s="344"/>
      <c r="VID45" s="344"/>
      <c r="VIE45" s="344"/>
      <c r="VIF45" s="344"/>
      <c r="VIG45" s="344"/>
      <c r="VIH45" s="344"/>
      <c r="VII45" s="344"/>
      <c r="VIJ45" s="344"/>
      <c r="VIK45" s="344"/>
      <c r="VIL45" s="344"/>
      <c r="VIM45" s="344"/>
      <c r="VIN45" s="344"/>
      <c r="VIO45" s="344"/>
      <c r="VIP45" s="344"/>
      <c r="VIQ45" s="344"/>
      <c r="VIR45" s="344"/>
      <c r="VIS45" s="344"/>
      <c r="VIT45" s="344"/>
      <c r="VIU45" s="344"/>
      <c r="VIV45" s="344"/>
      <c r="VIW45" s="344"/>
      <c r="VIX45" s="344"/>
      <c r="VIY45" s="344"/>
      <c r="VIZ45" s="344"/>
      <c r="VJA45" s="344"/>
      <c r="VJB45" s="344"/>
      <c r="VJC45" s="344"/>
      <c r="VJD45" s="344"/>
      <c r="VJE45" s="344"/>
      <c r="VJF45" s="344"/>
      <c r="VJG45" s="344"/>
      <c r="VJH45" s="344"/>
      <c r="VJI45" s="344"/>
      <c r="VJJ45" s="344"/>
      <c r="VJK45" s="344"/>
      <c r="VJL45" s="344"/>
      <c r="VJM45" s="344"/>
      <c r="VJN45" s="344"/>
      <c r="VJO45" s="344"/>
      <c r="VJP45" s="344"/>
      <c r="VJQ45" s="344"/>
      <c r="VJR45" s="344"/>
      <c r="VJS45" s="344"/>
      <c r="VJT45" s="344"/>
      <c r="VJU45" s="344"/>
      <c r="VJV45" s="344"/>
      <c r="VJW45" s="344"/>
      <c r="VJX45" s="344"/>
      <c r="VJY45" s="344"/>
      <c r="VJZ45" s="344"/>
      <c r="VKA45" s="344"/>
      <c r="VKB45" s="344"/>
      <c r="VKC45" s="344"/>
      <c r="VKD45" s="344"/>
      <c r="VKE45" s="344"/>
      <c r="VKF45" s="344"/>
      <c r="VKG45" s="344"/>
      <c r="VKH45" s="344"/>
      <c r="VKI45" s="344"/>
      <c r="VKJ45" s="344"/>
      <c r="VKK45" s="344"/>
      <c r="VKL45" s="344"/>
      <c r="VKM45" s="344"/>
      <c r="VKN45" s="344"/>
      <c r="VKO45" s="344"/>
      <c r="VKP45" s="344"/>
      <c r="VKQ45" s="344"/>
      <c r="VKR45" s="344"/>
      <c r="VKS45" s="344"/>
      <c r="VKT45" s="344"/>
      <c r="VKU45" s="344"/>
      <c r="VKV45" s="344"/>
      <c r="VKW45" s="344"/>
      <c r="VKX45" s="344"/>
      <c r="VKY45" s="344"/>
      <c r="VKZ45" s="344"/>
      <c r="VLA45" s="344"/>
      <c r="VLB45" s="344"/>
      <c r="VLC45" s="344"/>
      <c r="VLD45" s="344"/>
      <c r="VLE45" s="344"/>
      <c r="VLF45" s="344"/>
      <c r="VLG45" s="344"/>
      <c r="VLH45" s="344"/>
      <c r="VLI45" s="344"/>
      <c r="VLJ45" s="344"/>
      <c r="VLK45" s="344"/>
      <c r="VLL45" s="344"/>
      <c r="VLM45" s="344"/>
      <c r="VLN45" s="344"/>
      <c r="VLO45" s="344"/>
      <c r="VLP45" s="344"/>
      <c r="VLQ45" s="344"/>
      <c r="VLR45" s="344"/>
      <c r="VLS45" s="344"/>
      <c r="VLT45" s="344"/>
      <c r="VLU45" s="344"/>
      <c r="VLV45" s="344"/>
      <c r="VLW45" s="344"/>
      <c r="VLX45" s="344"/>
      <c r="VLY45" s="344"/>
      <c r="VLZ45" s="344"/>
      <c r="VMA45" s="344"/>
      <c r="VMB45" s="344"/>
      <c r="VMC45" s="344"/>
      <c r="VMD45" s="344"/>
      <c r="VME45" s="344"/>
      <c r="VMF45" s="344"/>
      <c r="VMG45" s="344"/>
      <c r="VMH45" s="344"/>
      <c r="VMI45" s="344"/>
      <c r="VMJ45" s="344"/>
      <c r="VMK45" s="344"/>
      <c r="VML45" s="344"/>
      <c r="VMM45" s="344"/>
      <c r="VMN45" s="344"/>
      <c r="VMO45" s="344"/>
      <c r="VMP45" s="344"/>
      <c r="VMQ45" s="344"/>
      <c r="VMR45" s="344"/>
      <c r="VMS45" s="344"/>
      <c r="VMT45" s="344"/>
      <c r="VMU45" s="344"/>
      <c r="VMV45" s="344"/>
      <c r="VMW45" s="344"/>
      <c r="VMX45" s="344"/>
      <c r="VMY45" s="344"/>
      <c r="VMZ45" s="344"/>
      <c r="VNA45" s="344"/>
      <c r="VNB45" s="344"/>
      <c r="VNC45" s="344"/>
      <c r="VND45" s="344"/>
      <c r="VNE45" s="344"/>
      <c r="VNF45" s="344"/>
      <c r="VNG45" s="344"/>
      <c r="VNH45" s="344"/>
      <c r="VNI45" s="344"/>
      <c r="VNJ45" s="344"/>
      <c r="VNK45" s="344"/>
      <c r="VNL45" s="344"/>
      <c r="VNM45" s="344"/>
      <c r="VNN45" s="344"/>
      <c r="VNO45" s="344"/>
      <c r="VNP45" s="344"/>
      <c r="VNQ45" s="344"/>
      <c r="VNR45" s="344"/>
      <c r="VNS45" s="344"/>
      <c r="VNT45" s="344"/>
      <c r="VNU45" s="344"/>
      <c r="VNV45" s="344"/>
      <c r="VNW45" s="344"/>
      <c r="VNX45" s="344"/>
      <c r="VNY45" s="344"/>
      <c r="VNZ45" s="344"/>
      <c r="VOA45" s="344"/>
      <c r="VOB45" s="344"/>
      <c r="VOC45" s="344"/>
      <c r="VOD45" s="344"/>
      <c r="VOE45" s="344"/>
      <c r="VOF45" s="344"/>
      <c r="VOG45" s="344"/>
      <c r="VOH45" s="344"/>
      <c r="VOI45" s="344"/>
      <c r="VOJ45" s="344"/>
      <c r="VOK45" s="344"/>
      <c r="VOL45" s="344"/>
      <c r="VOM45" s="344"/>
      <c r="VON45" s="344"/>
      <c r="VOO45" s="344"/>
      <c r="VOP45" s="344"/>
      <c r="VOQ45" s="344"/>
      <c r="VOR45" s="344"/>
      <c r="VOS45" s="344"/>
      <c r="VOT45" s="344"/>
      <c r="VOU45" s="344"/>
      <c r="VOV45" s="344"/>
      <c r="VOW45" s="344"/>
      <c r="VOX45" s="344"/>
      <c r="VOY45" s="344"/>
      <c r="VOZ45" s="344"/>
      <c r="VPA45" s="344"/>
      <c r="VPB45" s="344"/>
      <c r="VPC45" s="344"/>
      <c r="VPD45" s="344"/>
      <c r="VPE45" s="344"/>
      <c r="VPF45" s="344"/>
      <c r="VPG45" s="344"/>
      <c r="VPH45" s="344"/>
      <c r="VPI45" s="344"/>
      <c r="VPJ45" s="344"/>
      <c r="VPK45" s="344"/>
      <c r="VPL45" s="344"/>
      <c r="VPM45" s="344"/>
      <c r="VPN45" s="344"/>
      <c r="VPO45" s="344"/>
      <c r="VPP45" s="344"/>
      <c r="VPQ45" s="344"/>
      <c r="VPR45" s="344"/>
      <c r="VPS45" s="344"/>
      <c r="VPT45" s="344"/>
      <c r="VPU45" s="344"/>
      <c r="VPV45" s="344"/>
      <c r="VPW45" s="344"/>
      <c r="VPX45" s="344"/>
      <c r="VPY45" s="344"/>
      <c r="VPZ45" s="344"/>
      <c r="VQA45" s="344"/>
      <c r="VQB45" s="344"/>
      <c r="VQC45" s="344"/>
      <c r="VQD45" s="344"/>
      <c r="VQE45" s="344"/>
      <c r="VQF45" s="344"/>
      <c r="VQG45" s="344"/>
      <c r="VQH45" s="344"/>
      <c r="VQI45" s="344"/>
      <c r="VQJ45" s="344"/>
      <c r="VQK45" s="344"/>
      <c r="VQL45" s="344"/>
      <c r="VQM45" s="344"/>
      <c r="VQN45" s="344"/>
      <c r="VQO45" s="344"/>
      <c r="VQP45" s="344"/>
      <c r="VQQ45" s="344"/>
      <c r="VQR45" s="344"/>
      <c r="VQS45" s="344"/>
      <c r="VQT45" s="344"/>
      <c r="VQU45" s="344"/>
      <c r="VQV45" s="344"/>
      <c r="VQW45" s="344"/>
      <c r="VQX45" s="344"/>
      <c r="VQY45" s="344"/>
      <c r="VQZ45" s="344"/>
      <c r="VRA45" s="344"/>
      <c r="VRB45" s="344"/>
      <c r="VRC45" s="344"/>
      <c r="VRD45" s="344"/>
      <c r="VRE45" s="344"/>
      <c r="VRF45" s="344"/>
      <c r="VRG45" s="344"/>
      <c r="VRH45" s="344"/>
      <c r="VRI45" s="344"/>
      <c r="VRJ45" s="344"/>
      <c r="VRK45" s="344"/>
      <c r="VRL45" s="344"/>
      <c r="VRM45" s="344"/>
      <c r="VRN45" s="344"/>
      <c r="VRO45" s="344"/>
      <c r="VRP45" s="344"/>
      <c r="VRQ45" s="344"/>
      <c r="VRR45" s="344"/>
      <c r="VRS45" s="344"/>
      <c r="VRT45" s="344"/>
      <c r="VRU45" s="344"/>
      <c r="VRV45" s="344"/>
      <c r="VRW45" s="344"/>
      <c r="VRX45" s="344"/>
      <c r="VRY45" s="344"/>
      <c r="VRZ45" s="344"/>
      <c r="VSA45" s="344"/>
      <c r="VSB45" s="344"/>
      <c r="VSC45" s="344"/>
      <c r="VSD45" s="344"/>
      <c r="VSE45" s="344"/>
      <c r="VSF45" s="344"/>
      <c r="VSG45" s="344"/>
      <c r="VSH45" s="344"/>
      <c r="VSI45" s="344"/>
      <c r="VSJ45" s="344"/>
      <c r="VSK45" s="344"/>
      <c r="VSL45" s="344"/>
      <c r="VSM45" s="344"/>
      <c r="VSN45" s="344"/>
      <c r="VSO45" s="344"/>
      <c r="VSP45" s="344"/>
      <c r="VSQ45" s="344"/>
      <c r="VSR45" s="344"/>
      <c r="VSS45" s="344"/>
      <c r="VST45" s="344"/>
      <c r="VSU45" s="344"/>
      <c r="VSV45" s="344"/>
      <c r="VSW45" s="344"/>
      <c r="VSX45" s="344"/>
      <c r="VSY45" s="344"/>
      <c r="VSZ45" s="344"/>
      <c r="VTA45" s="344"/>
      <c r="VTB45" s="344"/>
      <c r="VTC45" s="344"/>
      <c r="VTD45" s="344"/>
      <c r="VTE45" s="344"/>
      <c r="VTF45" s="344"/>
      <c r="VTG45" s="344"/>
      <c r="VTH45" s="344"/>
      <c r="VTI45" s="344"/>
      <c r="VTJ45" s="344"/>
      <c r="VTK45" s="344"/>
      <c r="VTL45" s="344"/>
      <c r="VTM45" s="344"/>
      <c r="VTN45" s="344"/>
      <c r="VTO45" s="344"/>
      <c r="VTP45" s="344"/>
      <c r="VTQ45" s="344"/>
      <c r="VTR45" s="344"/>
      <c r="VTS45" s="344"/>
      <c r="VTT45" s="344"/>
      <c r="VTU45" s="344"/>
      <c r="VTV45" s="344"/>
      <c r="VTW45" s="344"/>
      <c r="VTX45" s="344"/>
      <c r="VTY45" s="344"/>
      <c r="VTZ45" s="344"/>
      <c r="VUA45" s="344"/>
      <c r="VUB45" s="344"/>
      <c r="VUC45" s="344"/>
      <c r="VUD45" s="344"/>
      <c r="VUE45" s="344"/>
      <c r="VUF45" s="344"/>
      <c r="VUG45" s="344"/>
      <c r="VUH45" s="344"/>
      <c r="VUI45" s="344"/>
      <c r="VUJ45" s="344"/>
      <c r="VUK45" s="344"/>
      <c r="VUL45" s="344"/>
      <c r="VUM45" s="344"/>
      <c r="VUN45" s="344"/>
      <c r="VUO45" s="344"/>
      <c r="VUP45" s="344"/>
      <c r="VUQ45" s="344"/>
      <c r="VUR45" s="344"/>
      <c r="VUS45" s="344"/>
      <c r="VUT45" s="344"/>
      <c r="VUU45" s="344"/>
      <c r="VUV45" s="344"/>
      <c r="VUW45" s="344"/>
      <c r="VUX45" s="344"/>
      <c r="VUY45" s="344"/>
      <c r="VUZ45" s="344"/>
      <c r="VVA45" s="344"/>
      <c r="VVB45" s="344"/>
      <c r="VVC45" s="344"/>
      <c r="VVD45" s="344"/>
      <c r="VVE45" s="344"/>
      <c r="VVF45" s="344"/>
      <c r="VVG45" s="344"/>
      <c r="VVH45" s="344"/>
      <c r="VVI45" s="344"/>
      <c r="VVJ45" s="344"/>
      <c r="VVK45" s="344"/>
      <c r="VVL45" s="344"/>
      <c r="VVM45" s="344"/>
      <c r="VVN45" s="344"/>
      <c r="VVO45" s="344"/>
      <c r="VVP45" s="344"/>
      <c r="VVQ45" s="344"/>
      <c r="VVR45" s="344"/>
      <c r="VVS45" s="344"/>
      <c r="VVT45" s="344"/>
      <c r="VVU45" s="344"/>
      <c r="VVV45" s="344"/>
      <c r="VVW45" s="344"/>
      <c r="VVX45" s="344"/>
      <c r="VVY45" s="344"/>
      <c r="VVZ45" s="344"/>
      <c r="VWA45" s="344"/>
      <c r="VWB45" s="344"/>
      <c r="VWC45" s="344"/>
      <c r="VWD45" s="344"/>
      <c r="VWE45" s="344"/>
      <c r="VWF45" s="344"/>
      <c r="VWG45" s="344"/>
      <c r="VWH45" s="344"/>
      <c r="VWI45" s="344"/>
      <c r="VWJ45" s="344"/>
      <c r="VWK45" s="344"/>
      <c r="VWL45" s="344"/>
      <c r="VWM45" s="344"/>
      <c r="VWN45" s="344"/>
      <c r="VWO45" s="344"/>
      <c r="VWP45" s="344"/>
      <c r="VWQ45" s="344"/>
      <c r="VWR45" s="344"/>
      <c r="VWS45" s="344"/>
      <c r="VWT45" s="344"/>
      <c r="VWU45" s="344"/>
      <c r="VWV45" s="344"/>
      <c r="VWW45" s="344"/>
      <c r="VWX45" s="344"/>
      <c r="VWY45" s="344"/>
      <c r="VWZ45" s="344"/>
      <c r="VXA45" s="344"/>
      <c r="VXB45" s="344"/>
      <c r="VXC45" s="344"/>
      <c r="VXD45" s="344"/>
      <c r="VXE45" s="344"/>
      <c r="VXF45" s="344"/>
      <c r="VXG45" s="344"/>
      <c r="VXH45" s="344"/>
      <c r="VXI45" s="344"/>
      <c r="VXJ45" s="344"/>
      <c r="VXK45" s="344"/>
      <c r="VXL45" s="344"/>
      <c r="VXM45" s="344"/>
      <c r="VXN45" s="344"/>
      <c r="VXO45" s="344"/>
      <c r="VXP45" s="344"/>
      <c r="VXQ45" s="344"/>
      <c r="VXR45" s="344"/>
      <c r="VXS45" s="344"/>
      <c r="VXT45" s="344"/>
      <c r="VXU45" s="344"/>
      <c r="VXV45" s="344"/>
      <c r="VXW45" s="344"/>
      <c r="VXX45" s="344"/>
      <c r="VXY45" s="344"/>
      <c r="VXZ45" s="344"/>
      <c r="VYA45" s="344"/>
      <c r="VYB45" s="344"/>
      <c r="VYC45" s="344"/>
      <c r="VYD45" s="344"/>
      <c r="VYE45" s="344"/>
      <c r="VYF45" s="344"/>
      <c r="VYG45" s="344"/>
      <c r="VYH45" s="344"/>
      <c r="VYI45" s="344"/>
      <c r="VYJ45" s="344"/>
      <c r="VYK45" s="344"/>
      <c r="VYL45" s="344"/>
      <c r="VYM45" s="344"/>
      <c r="VYN45" s="344"/>
      <c r="VYO45" s="344"/>
      <c r="VYP45" s="344"/>
      <c r="VYQ45" s="344"/>
      <c r="VYR45" s="344"/>
      <c r="VYS45" s="344"/>
      <c r="VYT45" s="344"/>
      <c r="VYU45" s="344"/>
      <c r="VYV45" s="344"/>
      <c r="VYW45" s="344"/>
      <c r="VYX45" s="344"/>
      <c r="VYY45" s="344"/>
      <c r="VYZ45" s="344"/>
      <c r="VZA45" s="344"/>
      <c r="VZB45" s="344"/>
      <c r="VZC45" s="344"/>
      <c r="VZD45" s="344"/>
      <c r="VZE45" s="344"/>
      <c r="VZF45" s="344"/>
      <c r="VZG45" s="344"/>
      <c r="VZH45" s="344"/>
      <c r="VZI45" s="344"/>
      <c r="VZJ45" s="344"/>
      <c r="VZK45" s="344"/>
      <c r="VZL45" s="344"/>
      <c r="VZM45" s="344"/>
      <c r="VZN45" s="344"/>
      <c r="VZO45" s="344"/>
      <c r="VZP45" s="344"/>
      <c r="VZQ45" s="344"/>
      <c r="VZR45" s="344"/>
      <c r="VZS45" s="344"/>
      <c r="VZT45" s="344"/>
      <c r="VZU45" s="344"/>
      <c r="VZV45" s="344"/>
      <c r="VZW45" s="344"/>
      <c r="VZX45" s="344"/>
      <c r="VZY45" s="344"/>
      <c r="VZZ45" s="344"/>
      <c r="WAA45" s="344"/>
      <c r="WAB45" s="344"/>
      <c r="WAC45" s="344"/>
      <c r="WAD45" s="344"/>
      <c r="WAE45" s="344"/>
      <c r="WAF45" s="344"/>
      <c r="WAG45" s="344"/>
      <c r="WAH45" s="344"/>
      <c r="WAI45" s="344"/>
      <c r="WAJ45" s="344"/>
      <c r="WAK45" s="344"/>
      <c r="WAL45" s="344"/>
      <c r="WAM45" s="344"/>
      <c r="WAN45" s="344"/>
      <c r="WAO45" s="344"/>
      <c r="WAP45" s="344"/>
      <c r="WAQ45" s="344"/>
      <c r="WAR45" s="344"/>
      <c r="WAS45" s="344"/>
      <c r="WAT45" s="344"/>
      <c r="WAU45" s="344"/>
      <c r="WAV45" s="344"/>
      <c r="WAW45" s="344"/>
      <c r="WAX45" s="344"/>
      <c r="WAY45" s="344"/>
      <c r="WAZ45" s="344"/>
      <c r="WBA45" s="344"/>
      <c r="WBB45" s="344"/>
      <c r="WBC45" s="344"/>
      <c r="WBD45" s="344"/>
      <c r="WBE45" s="344"/>
      <c r="WBF45" s="344"/>
      <c r="WBG45" s="344"/>
      <c r="WBH45" s="344"/>
      <c r="WBI45" s="344"/>
      <c r="WBJ45" s="344"/>
      <c r="WBK45" s="344"/>
      <c r="WBL45" s="344"/>
      <c r="WBM45" s="344"/>
      <c r="WBN45" s="344"/>
      <c r="WBO45" s="344"/>
      <c r="WBP45" s="344"/>
      <c r="WBQ45" s="344"/>
      <c r="WBR45" s="344"/>
      <c r="WBS45" s="344"/>
      <c r="WBT45" s="344"/>
      <c r="WBU45" s="344"/>
      <c r="WBV45" s="344"/>
      <c r="WBW45" s="344"/>
      <c r="WBX45" s="344"/>
      <c r="WBY45" s="344"/>
      <c r="WBZ45" s="344"/>
      <c r="WCA45" s="344"/>
      <c r="WCB45" s="344"/>
      <c r="WCC45" s="344"/>
      <c r="WCD45" s="344"/>
      <c r="WCE45" s="344"/>
      <c r="WCF45" s="344"/>
      <c r="WCG45" s="344"/>
      <c r="WCH45" s="344"/>
      <c r="WCI45" s="344"/>
      <c r="WCJ45" s="344"/>
      <c r="WCK45" s="344"/>
      <c r="WCL45" s="344"/>
      <c r="WCM45" s="344"/>
      <c r="WCN45" s="344"/>
      <c r="WCO45" s="344"/>
      <c r="WCP45" s="344"/>
      <c r="WCQ45" s="344"/>
      <c r="WCR45" s="344"/>
      <c r="WCS45" s="344"/>
      <c r="WCT45" s="344"/>
      <c r="WCU45" s="344"/>
      <c r="WCV45" s="344"/>
      <c r="WCW45" s="344"/>
      <c r="WCX45" s="344"/>
      <c r="WCY45" s="344"/>
      <c r="WCZ45" s="344"/>
      <c r="WDA45" s="344"/>
      <c r="WDB45" s="344"/>
      <c r="WDC45" s="344"/>
      <c r="WDD45" s="344"/>
      <c r="WDE45" s="344"/>
      <c r="WDF45" s="344"/>
      <c r="WDG45" s="344"/>
      <c r="WDH45" s="344"/>
      <c r="WDI45" s="344"/>
      <c r="WDJ45" s="344"/>
      <c r="WDK45" s="344"/>
      <c r="WDL45" s="344"/>
      <c r="WDM45" s="344"/>
      <c r="WDN45" s="344"/>
      <c r="WDO45" s="344"/>
      <c r="WDP45" s="344"/>
      <c r="WDQ45" s="344"/>
      <c r="WDR45" s="344"/>
      <c r="WDS45" s="344"/>
      <c r="WDT45" s="344"/>
      <c r="WDU45" s="344"/>
      <c r="WDV45" s="344"/>
      <c r="WDW45" s="344"/>
      <c r="WDX45" s="344"/>
      <c r="WDY45" s="344"/>
      <c r="WDZ45" s="344"/>
      <c r="WEA45" s="344"/>
      <c r="WEB45" s="344"/>
      <c r="WEC45" s="344"/>
      <c r="WED45" s="344"/>
      <c r="WEE45" s="344"/>
      <c r="WEF45" s="344"/>
      <c r="WEG45" s="344"/>
      <c r="WEH45" s="344"/>
      <c r="WEI45" s="344"/>
      <c r="WEJ45" s="344"/>
      <c r="WEK45" s="344"/>
      <c r="WEL45" s="344"/>
      <c r="WEM45" s="344"/>
      <c r="WEN45" s="344"/>
      <c r="WEO45" s="344"/>
      <c r="WEP45" s="344"/>
      <c r="WEQ45" s="344"/>
      <c r="WER45" s="344"/>
      <c r="WES45" s="344"/>
      <c r="WET45" s="344"/>
      <c r="WEU45" s="344"/>
      <c r="WEV45" s="344"/>
      <c r="WEW45" s="344"/>
      <c r="WEX45" s="344"/>
      <c r="WEY45" s="344"/>
      <c r="WEZ45" s="344"/>
      <c r="WFA45" s="344"/>
      <c r="WFB45" s="344"/>
      <c r="WFC45" s="344"/>
      <c r="WFD45" s="344"/>
      <c r="WFE45" s="344"/>
      <c r="WFF45" s="344"/>
      <c r="WFG45" s="344"/>
      <c r="WFH45" s="344"/>
      <c r="WFI45" s="344"/>
      <c r="WFJ45" s="344"/>
      <c r="WFK45" s="344"/>
      <c r="WFL45" s="344"/>
      <c r="WFM45" s="344"/>
      <c r="WFN45" s="344"/>
      <c r="WFO45" s="344"/>
      <c r="WFP45" s="344"/>
      <c r="WFQ45" s="344"/>
      <c r="WFR45" s="344"/>
      <c r="WFS45" s="344"/>
      <c r="WFT45" s="344"/>
      <c r="WFU45" s="344"/>
      <c r="WFV45" s="344"/>
      <c r="WFW45" s="344"/>
      <c r="WFX45" s="344"/>
      <c r="WFY45" s="344"/>
      <c r="WFZ45" s="344"/>
      <c r="WGA45" s="344"/>
      <c r="WGB45" s="344"/>
      <c r="WGC45" s="344"/>
      <c r="WGD45" s="344"/>
      <c r="WGE45" s="344"/>
      <c r="WGF45" s="344"/>
      <c r="WGG45" s="344"/>
      <c r="WGH45" s="344"/>
      <c r="WGI45" s="344"/>
      <c r="WGJ45" s="344"/>
      <c r="WGK45" s="344"/>
      <c r="WGL45" s="344"/>
      <c r="WGM45" s="344"/>
      <c r="WGN45" s="344"/>
      <c r="WGO45" s="344"/>
      <c r="WGP45" s="344"/>
      <c r="WGQ45" s="344"/>
      <c r="WGR45" s="344"/>
      <c r="WGS45" s="344"/>
      <c r="WGT45" s="344"/>
      <c r="WGU45" s="344"/>
      <c r="WGV45" s="344"/>
      <c r="WGW45" s="344"/>
      <c r="WGX45" s="344"/>
      <c r="WGY45" s="344"/>
      <c r="WGZ45" s="344"/>
      <c r="WHA45" s="344"/>
      <c r="WHB45" s="344"/>
      <c r="WHC45" s="344"/>
      <c r="WHD45" s="344"/>
      <c r="WHE45" s="344"/>
      <c r="WHF45" s="344"/>
      <c r="WHG45" s="344"/>
      <c r="WHH45" s="344"/>
      <c r="WHI45" s="344"/>
      <c r="WHJ45" s="344"/>
      <c r="WHK45" s="344"/>
      <c r="WHL45" s="344"/>
      <c r="WHM45" s="344"/>
      <c r="WHN45" s="344"/>
      <c r="WHO45" s="344"/>
      <c r="WHP45" s="344"/>
      <c r="WHQ45" s="344"/>
      <c r="WHR45" s="344"/>
      <c r="WHS45" s="344"/>
      <c r="WHT45" s="344"/>
      <c r="WHU45" s="344"/>
      <c r="WHV45" s="344"/>
      <c r="WHW45" s="344"/>
      <c r="WHX45" s="344"/>
      <c r="WHY45" s="344"/>
      <c r="WHZ45" s="344"/>
      <c r="WIA45" s="344"/>
      <c r="WIB45" s="344"/>
      <c r="WIC45" s="344"/>
      <c r="WID45" s="344"/>
      <c r="WIE45" s="344"/>
      <c r="WIF45" s="344"/>
      <c r="WIG45" s="344"/>
      <c r="WIH45" s="344"/>
      <c r="WII45" s="344"/>
      <c r="WIJ45" s="344"/>
      <c r="WIK45" s="344"/>
      <c r="WIL45" s="344"/>
      <c r="WIM45" s="344"/>
      <c r="WIN45" s="344"/>
      <c r="WIO45" s="344"/>
      <c r="WIP45" s="344"/>
      <c r="WIQ45" s="344"/>
      <c r="WIR45" s="344"/>
      <c r="WIS45" s="344"/>
      <c r="WIT45" s="344"/>
      <c r="WIU45" s="344"/>
      <c r="WIV45" s="344"/>
      <c r="WIW45" s="344"/>
      <c r="WIX45" s="344"/>
      <c r="WIY45" s="344"/>
      <c r="WIZ45" s="344"/>
      <c r="WJA45" s="344"/>
      <c r="WJB45" s="344"/>
      <c r="WJC45" s="344"/>
      <c r="WJD45" s="344"/>
      <c r="WJE45" s="344"/>
      <c r="WJF45" s="344"/>
      <c r="WJG45" s="344"/>
      <c r="WJH45" s="344"/>
      <c r="WJI45" s="344"/>
      <c r="WJJ45" s="344"/>
      <c r="WJK45" s="344"/>
      <c r="WJL45" s="344"/>
      <c r="WJM45" s="344"/>
      <c r="WJN45" s="344"/>
      <c r="WJO45" s="344"/>
      <c r="WJP45" s="344"/>
      <c r="WJQ45" s="344"/>
      <c r="WJR45" s="344"/>
      <c r="WJS45" s="344"/>
      <c r="WJT45" s="344"/>
      <c r="WJU45" s="344"/>
      <c r="WJV45" s="344"/>
      <c r="WJW45" s="344"/>
      <c r="WJX45" s="344"/>
      <c r="WJY45" s="344"/>
      <c r="WJZ45" s="344"/>
      <c r="WKA45" s="344"/>
      <c r="WKB45" s="344"/>
      <c r="WKC45" s="344"/>
      <c r="WKD45" s="344"/>
      <c r="WKE45" s="344"/>
      <c r="WKF45" s="344"/>
      <c r="WKG45" s="344"/>
      <c r="WKH45" s="344"/>
      <c r="WKI45" s="344"/>
      <c r="WKJ45" s="344"/>
      <c r="WKK45" s="344"/>
      <c r="WKL45" s="344"/>
      <c r="WKM45" s="344"/>
      <c r="WKN45" s="344"/>
      <c r="WKO45" s="344"/>
      <c r="WKP45" s="344"/>
      <c r="WKQ45" s="344"/>
      <c r="WKR45" s="344"/>
      <c r="WKS45" s="344"/>
      <c r="WKT45" s="344"/>
      <c r="WKU45" s="344"/>
      <c r="WKV45" s="344"/>
      <c r="WKW45" s="344"/>
      <c r="WKX45" s="344"/>
      <c r="WKY45" s="344"/>
      <c r="WKZ45" s="344"/>
      <c r="WLA45" s="344"/>
      <c r="WLB45" s="344"/>
      <c r="WLC45" s="344"/>
      <c r="WLD45" s="344"/>
      <c r="WLE45" s="344"/>
      <c r="WLF45" s="344"/>
      <c r="WLG45" s="344"/>
      <c r="WLH45" s="344"/>
      <c r="WLI45" s="344"/>
      <c r="WLJ45" s="344"/>
      <c r="WLK45" s="344"/>
      <c r="WLL45" s="344"/>
      <c r="WLM45" s="344"/>
      <c r="WLN45" s="344"/>
      <c r="WLO45" s="344"/>
      <c r="WLP45" s="344"/>
      <c r="WLQ45" s="344"/>
      <c r="WLR45" s="344"/>
      <c r="WLS45" s="344"/>
      <c r="WLT45" s="344"/>
      <c r="WLU45" s="344"/>
      <c r="WLV45" s="344"/>
      <c r="WLW45" s="344"/>
      <c r="WLX45" s="344"/>
      <c r="WLY45" s="344"/>
      <c r="WLZ45" s="344"/>
      <c r="WMA45" s="344"/>
      <c r="WMB45" s="344"/>
      <c r="WMC45" s="344"/>
      <c r="WMD45" s="344"/>
      <c r="WME45" s="344"/>
      <c r="WMF45" s="344"/>
      <c r="WMG45" s="344"/>
      <c r="WMH45" s="344"/>
      <c r="WMI45" s="344"/>
      <c r="WMJ45" s="344"/>
      <c r="WMK45" s="344"/>
      <c r="WML45" s="344"/>
      <c r="WMM45" s="344"/>
      <c r="WMN45" s="344"/>
      <c r="WMO45" s="344"/>
      <c r="WMP45" s="344"/>
      <c r="WMQ45" s="344"/>
      <c r="WMR45" s="344"/>
      <c r="WMS45" s="344"/>
      <c r="WMT45" s="344"/>
      <c r="WMU45" s="344"/>
      <c r="WMV45" s="344"/>
      <c r="WMW45" s="344"/>
      <c r="WMX45" s="344"/>
      <c r="WMY45" s="344"/>
      <c r="WMZ45" s="344"/>
      <c r="WNA45" s="344"/>
      <c r="WNB45" s="344"/>
      <c r="WNC45" s="344"/>
      <c r="WND45" s="344"/>
      <c r="WNE45" s="344"/>
      <c r="WNF45" s="344"/>
      <c r="WNG45" s="344"/>
      <c r="WNH45" s="344"/>
      <c r="WNI45" s="344"/>
      <c r="WNJ45" s="344"/>
      <c r="WNK45" s="344"/>
      <c r="WNL45" s="344"/>
      <c r="WNM45" s="344"/>
      <c r="WNN45" s="344"/>
      <c r="WNO45" s="344"/>
      <c r="WNP45" s="344"/>
      <c r="WNQ45" s="344"/>
      <c r="WNR45" s="344"/>
      <c r="WNS45" s="344"/>
      <c r="WNT45" s="344"/>
      <c r="WNU45" s="344"/>
      <c r="WNV45" s="344"/>
      <c r="WNW45" s="344"/>
      <c r="WNX45" s="344"/>
      <c r="WNY45" s="344"/>
      <c r="WNZ45" s="344"/>
      <c r="WOA45" s="344"/>
      <c r="WOB45" s="344"/>
      <c r="WOC45" s="344"/>
      <c r="WOD45" s="344"/>
      <c r="WOE45" s="344"/>
      <c r="WOF45" s="344"/>
      <c r="WOG45" s="344"/>
      <c r="WOH45" s="344"/>
      <c r="WOI45" s="344"/>
      <c r="WOJ45" s="344"/>
      <c r="WOK45" s="344"/>
      <c r="WOL45" s="344"/>
      <c r="WOM45" s="344"/>
      <c r="WON45" s="344"/>
      <c r="WOO45" s="344"/>
      <c r="WOP45" s="344"/>
      <c r="WOQ45" s="344"/>
      <c r="WOR45" s="344"/>
      <c r="WOS45" s="344"/>
      <c r="WOT45" s="344"/>
      <c r="WOU45" s="344"/>
      <c r="WOV45" s="344"/>
      <c r="WOW45" s="344"/>
      <c r="WOX45" s="344"/>
      <c r="WOY45" s="344"/>
      <c r="WOZ45" s="344"/>
      <c r="WPA45" s="344"/>
      <c r="WPB45" s="344"/>
      <c r="WPC45" s="344"/>
      <c r="WPD45" s="344"/>
      <c r="WPE45" s="344"/>
      <c r="WPF45" s="344"/>
      <c r="WPG45" s="344"/>
      <c r="WPH45" s="344"/>
      <c r="WPI45" s="344"/>
      <c r="WPJ45" s="344"/>
      <c r="WPK45" s="344"/>
      <c r="WPL45" s="344"/>
      <c r="WPM45" s="344"/>
      <c r="WPN45" s="344"/>
      <c r="WPO45" s="344"/>
      <c r="WPP45" s="344"/>
      <c r="WPQ45" s="344"/>
      <c r="WPR45" s="344"/>
      <c r="WPS45" s="344"/>
      <c r="WPT45" s="344"/>
      <c r="WPU45" s="344"/>
      <c r="WPV45" s="344"/>
      <c r="WPW45" s="344"/>
      <c r="WPX45" s="344"/>
      <c r="WPY45" s="344"/>
      <c r="WPZ45" s="344"/>
      <c r="WQA45" s="344"/>
      <c r="WQB45" s="344"/>
      <c r="WQC45" s="344"/>
      <c r="WQD45" s="344"/>
      <c r="WQE45" s="344"/>
      <c r="WQF45" s="344"/>
      <c r="WQG45" s="344"/>
      <c r="WQH45" s="344"/>
      <c r="WQI45" s="344"/>
      <c r="WQJ45" s="344"/>
      <c r="WQK45" s="344"/>
      <c r="WQL45" s="344"/>
      <c r="WQM45" s="344"/>
      <c r="WQN45" s="344"/>
      <c r="WQO45" s="344"/>
      <c r="WQP45" s="344"/>
      <c r="WQQ45" s="344"/>
      <c r="WQR45" s="344"/>
      <c r="WQS45" s="344"/>
      <c r="WQT45" s="344"/>
      <c r="WQU45" s="344"/>
      <c r="WQV45" s="344"/>
      <c r="WQW45" s="344"/>
      <c r="WQX45" s="344"/>
      <c r="WQY45" s="344"/>
      <c r="WQZ45" s="344"/>
      <c r="WRA45" s="344"/>
      <c r="WRB45" s="344"/>
      <c r="WRC45" s="344"/>
      <c r="WRD45" s="344"/>
      <c r="WRE45" s="344"/>
      <c r="WRF45" s="344"/>
      <c r="WRG45" s="344"/>
      <c r="WRH45" s="344"/>
      <c r="WRI45" s="344"/>
      <c r="WRJ45" s="344"/>
      <c r="WRK45" s="344"/>
      <c r="WRL45" s="344"/>
      <c r="WRM45" s="344"/>
      <c r="WRN45" s="344"/>
      <c r="WRO45" s="344"/>
      <c r="WRP45" s="344"/>
      <c r="WRQ45" s="344"/>
      <c r="WRR45" s="344"/>
      <c r="WRS45" s="344"/>
      <c r="WRT45" s="344"/>
      <c r="WRU45" s="344"/>
      <c r="WRV45" s="344"/>
      <c r="WRW45" s="344"/>
      <c r="WRX45" s="344"/>
      <c r="WRY45" s="344"/>
      <c r="WRZ45" s="344"/>
      <c r="WSA45" s="344"/>
      <c r="WSB45" s="344"/>
      <c r="WSC45" s="344"/>
      <c r="WSD45" s="344"/>
      <c r="WSE45" s="344"/>
      <c r="WSF45" s="344"/>
      <c r="WSG45" s="344"/>
      <c r="WSH45" s="344"/>
      <c r="WSI45" s="344"/>
      <c r="WSJ45" s="344"/>
      <c r="WSK45" s="344"/>
      <c r="WSL45" s="344"/>
      <c r="WSM45" s="344"/>
      <c r="WSN45" s="344"/>
      <c r="WSO45" s="344"/>
      <c r="WSP45" s="344"/>
      <c r="WSQ45" s="344"/>
      <c r="WSR45" s="344"/>
      <c r="WSS45" s="344"/>
      <c r="WST45" s="344"/>
      <c r="WSU45" s="344"/>
      <c r="WSV45" s="344"/>
      <c r="WSW45" s="344"/>
      <c r="WSX45" s="344"/>
      <c r="WSY45" s="344"/>
      <c r="WSZ45" s="344"/>
      <c r="WTA45" s="344"/>
      <c r="WTB45" s="344"/>
      <c r="WTC45" s="344"/>
      <c r="WTD45" s="344"/>
      <c r="WTE45" s="344"/>
      <c r="WTF45" s="344"/>
      <c r="WTG45" s="344"/>
      <c r="WTH45" s="344"/>
      <c r="WTI45" s="344"/>
      <c r="WTJ45" s="344"/>
      <c r="WTK45" s="344"/>
      <c r="WTL45" s="344"/>
      <c r="WTM45" s="344"/>
      <c r="WTN45" s="344"/>
      <c r="WTO45" s="344"/>
      <c r="WTP45" s="344"/>
      <c r="WTQ45" s="344"/>
      <c r="WTR45" s="344"/>
      <c r="WTS45" s="344"/>
      <c r="WTT45" s="344"/>
      <c r="WTU45" s="344"/>
      <c r="WTV45" s="344"/>
      <c r="WTW45" s="344"/>
      <c r="WTX45" s="344"/>
      <c r="WTY45" s="344"/>
      <c r="WTZ45" s="344"/>
      <c r="WUA45" s="344"/>
      <c r="WUB45" s="344"/>
      <c r="WUC45" s="344"/>
      <c r="WUD45" s="344"/>
      <c r="WUE45" s="344"/>
      <c r="WUF45" s="344"/>
      <c r="WUG45" s="344"/>
      <c r="WUH45" s="344"/>
      <c r="WUI45" s="344"/>
      <c r="WUJ45" s="344"/>
      <c r="WUK45" s="344"/>
      <c r="WUL45" s="344"/>
      <c r="WUM45" s="344"/>
      <c r="WUN45" s="344"/>
      <c r="WUO45" s="344"/>
      <c r="WUP45" s="344"/>
      <c r="WUQ45" s="344"/>
      <c r="WUR45" s="344"/>
      <c r="WUS45" s="344"/>
      <c r="WUT45" s="344"/>
      <c r="WUU45" s="344"/>
      <c r="WUV45" s="344"/>
      <c r="WUW45" s="344"/>
      <c r="WUX45" s="344"/>
      <c r="WUY45" s="344"/>
      <c r="WUZ45" s="344"/>
      <c r="WVA45" s="344"/>
      <c r="WVB45" s="344"/>
      <c r="WVC45" s="344"/>
      <c r="WVD45" s="344"/>
      <c r="WVE45" s="344"/>
      <c r="WVF45" s="344"/>
      <c r="WVG45" s="344"/>
      <c r="WVH45" s="344"/>
      <c r="WVI45" s="344"/>
      <c r="WVJ45" s="344"/>
      <c r="WVK45" s="344"/>
      <c r="WVL45" s="344"/>
      <c r="WVM45" s="344"/>
      <c r="WVN45" s="344"/>
      <c r="WVO45" s="344"/>
      <c r="WVP45" s="344"/>
      <c r="WVQ45" s="344"/>
      <c r="WVR45" s="344"/>
      <c r="WVS45" s="344"/>
      <c r="WVT45" s="344"/>
      <c r="WVU45" s="344"/>
      <c r="WVV45" s="344"/>
      <c r="WVW45" s="344"/>
      <c r="WVX45" s="344"/>
      <c r="WVY45" s="344"/>
      <c r="WVZ45" s="344"/>
      <c r="WWA45" s="344"/>
      <c r="WWB45" s="344"/>
      <c r="WWC45" s="344"/>
      <c r="WWD45" s="344"/>
      <c r="WWE45" s="344"/>
      <c r="WWF45" s="344"/>
      <c r="WWG45" s="344"/>
      <c r="WWH45" s="344"/>
      <c r="WWI45" s="344"/>
      <c r="WWJ45" s="344"/>
      <c r="WWK45" s="344"/>
      <c r="WWL45" s="344"/>
      <c r="WWM45" s="344"/>
      <c r="WWN45" s="344"/>
      <c r="WWO45" s="344"/>
      <c r="WWP45" s="344"/>
      <c r="WWQ45" s="344"/>
      <c r="WWR45" s="344"/>
      <c r="WWS45" s="344"/>
      <c r="WWT45" s="344"/>
      <c r="WWU45" s="344"/>
      <c r="WWV45" s="344"/>
      <c r="WWW45" s="344"/>
      <c r="WWX45" s="344"/>
      <c r="WWY45" s="344"/>
      <c r="WWZ45" s="344"/>
      <c r="WXA45" s="344"/>
      <c r="WXB45" s="344"/>
      <c r="WXC45" s="344"/>
      <c r="WXD45" s="344"/>
      <c r="WXE45" s="344"/>
      <c r="WXF45" s="344"/>
      <c r="WXG45" s="344"/>
      <c r="WXH45" s="344"/>
      <c r="WXI45" s="344"/>
      <c r="WXJ45" s="344"/>
      <c r="WXK45" s="344"/>
      <c r="WXL45" s="344"/>
      <c r="WXM45" s="344"/>
      <c r="WXN45" s="344"/>
      <c r="WXO45" s="344"/>
      <c r="WXP45" s="344"/>
      <c r="WXQ45" s="344"/>
      <c r="WXR45" s="344"/>
      <c r="WXS45" s="344"/>
      <c r="WXT45" s="344"/>
      <c r="WXU45" s="344"/>
      <c r="WXV45" s="344"/>
      <c r="WXW45" s="344"/>
      <c r="WXX45" s="344"/>
      <c r="WXY45" s="344"/>
      <c r="WXZ45" s="344"/>
      <c r="WYA45" s="344"/>
      <c r="WYB45" s="344"/>
      <c r="WYC45" s="344"/>
      <c r="WYD45" s="344"/>
      <c r="WYE45" s="344"/>
      <c r="WYF45" s="344"/>
      <c r="WYG45" s="344"/>
      <c r="WYH45" s="344"/>
      <c r="WYI45" s="344"/>
      <c r="WYJ45" s="344"/>
      <c r="WYK45" s="344"/>
      <c r="WYL45" s="344"/>
      <c r="WYM45" s="344"/>
      <c r="WYN45" s="344"/>
      <c r="WYO45" s="344"/>
      <c r="WYP45" s="344"/>
      <c r="WYQ45" s="344"/>
      <c r="WYR45" s="344"/>
      <c r="WYS45" s="344"/>
      <c r="WYT45" s="344"/>
      <c r="WYU45" s="344"/>
      <c r="WYV45" s="344"/>
      <c r="WYW45" s="344"/>
      <c r="WYX45" s="344"/>
      <c r="WYY45" s="344"/>
      <c r="WYZ45" s="344"/>
      <c r="WZA45" s="344"/>
      <c r="WZB45" s="344"/>
      <c r="WZC45" s="344"/>
      <c r="WZD45" s="344"/>
      <c r="WZE45" s="344"/>
      <c r="WZF45" s="344"/>
      <c r="WZG45" s="344"/>
      <c r="WZH45" s="344"/>
      <c r="WZI45" s="344"/>
      <c r="WZJ45" s="344"/>
      <c r="WZK45" s="344"/>
      <c r="WZL45" s="344"/>
      <c r="WZM45" s="344"/>
      <c r="WZN45" s="344"/>
      <c r="WZO45" s="344"/>
      <c r="WZP45" s="344"/>
      <c r="WZQ45" s="344"/>
      <c r="WZR45" s="344"/>
      <c r="WZS45" s="344"/>
      <c r="WZT45" s="344"/>
      <c r="WZU45" s="344"/>
      <c r="WZV45" s="344"/>
      <c r="WZW45" s="344"/>
      <c r="WZX45" s="344"/>
      <c r="WZY45" s="344"/>
      <c r="WZZ45" s="344"/>
      <c r="XAA45" s="344"/>
      <c r="XAB45" s="344"/>
      <c r="XAC45" s="344"/>
      <c r="XAD45" s="344"/>
      <c r="XAE45" s="344"/>
      <c r="XAF45" s="344"/>
      <c r="XAG45" s="344"/>
      <c r="XAH45" s="344"/>
      <c r="XAI45" s="344"/>
      <c r="XAJ45" s="344"/>
      <c r="XAK45" s="344"/>
      <c r="XAL45" s="344"/>
      <c r="XAM45" s="344"/>
      <c r="XAN45" s="344"/>
      <c r="XAO45" s="344"/>
      <c r="XAP45" s="344"/>
      <c r="XAQ45" s="344"/>
      <c r="XAR45" s="344"/>
      <c r="XAS45" s="344"/>
      <c r="XAT45" s="344"/>
      <c r="XAU45" s="344"/>
      <c r="XAV45" s="344"/>
      <c r="XAW45" s="344"/>
      <c r="XAX45" s="344"/>
      <c r="XAY45" s="344"/>
      <c r="XAZ45" s="344"/>
      <c r="XBA45" s="344"/>
      <c r="XBB45" s="344"/>
      <c r="XBC45" s="344"/>
      <c r="XBD45" s="344"/>
      <c r="XBE45" s="344"/>
      <c r="XBF45" s="344"/>
      <c r="XBG45" s="344"/>
      <c r="XBH45" s="344"/>
      <c r="XBI45" s="344"/>
      <c r="XBJ45" s="344"/>
      <c r="XBK45" s="344"/>
      <c r="XBL45" s="344"/>
      <c r="XBM45" s="344"/>
      <c r="XBN45" s="344"/>
      <c r="XBO45" s="344"/>
      <c r="XBP45" s="344"/>
      <c r="XBQ45" s="344"/>
      <c r="XBR45" s="344"/>
      <c r="XBS45" s="344"/>
      <c r="XBT45" s="344"/>
      <c r="XBU45" s="344"/>
      <c r="XBV45" s="344"/>
      <c r="XBW45" s="344"/>
      <c r="XBX45" s="344"/>
      <c r="XBY45" s="344"/>
      <c r="XBZ45" s="344"/>
      <c r="XCA45" s="344"/>
      <c r="XCB45" s="344"/>
      <c r="XCC45" s="344"/>
      <c r="XCD45" s="344"/>
      <c r="XCE45" s="344"/>
      <c r="XCF45" s="344"/>
      <c r="XCG45" s="344"/>
      <c r="XCH45" s="344"/>
      <c r="XCI45" s="344"/>
      <c r="XCJ45" s="344"/>
      <c r="XCK45" s="344"/>
      <c r="XCL45" s="344"/>
      <c r="XCM45" s="344"/>
      <c r="XCN45" s="344"/>
      <c r="XCO45" s="344"/>
      <c r="XCP45" s="344"/>
      <c r="XCQ45" s="344"/>
      <c r="XCR45" s="344"/>
      <c r="XCS45" s="344"/>
      <c r="XCT45" s="344"/>
      <c r="XCU45" s="344"/>
      <c r="XCV45" s="344"/>
      <c r="XCW45" s="344"/>
      <c r="XCX45" s="344"/>
      <c r="XCY45" s="344"/>
      <c r="XCZ45" s="344"/>
      <c r="XDA45" s="344"/>
      <c r="XDB45" s="344"/>
      <c r="XDC45" s="344"/>
      <c r="XDD45" s="344"/>
      <c r="XDE45" s="344"/>
      <c r="XDF45" s="344"/>
      <c r="XDG45" s="344"/>
      <c r="XDH45" s="344"/>
      <c r="XDI45" s="344"/>
      <c r="XDJ45" s="344"/>
      <c r="XDK45" s="344"/>
      <c r="XDL45" s="344"/>
      <c r="XDM45" s="344"/>
      <c r="XDN45" s="344"/>
      <c r="XDO45" s="344"/>
      <c r="XDP45" s="344"/>
      <c r="XDQ45" s="344"/>
      <c r="XDR45" s="344"/>
      <c r="XDS45" s="344"/>
      <c r="XDT45" s="344"/>
      <c r="XDU45" s="344"/>
      <c r="XDV45" s="344"/>
      <c r="XDW45" s="344"/>
      <c r="XDX45" s="344"/>
      <c r="XDY45" s="344"/>
      <c r="XDZ45" s="344"/>
      <c r="XEA45" s="344"/>
      <c r="XEB45" s="344"/>
      <c r="XEC45" s="344"/>
      <c r="XED45" s="344"/>
      <c r="XEE45" s="344"/>
      <c r="XEF45" s="344"/>
      <c r="XEG45" s="344"/>
      <c r="XEH45" s="344"/>
      <c r="XEI45" s="344"/>
      <c r="XEJ45" s="344"/>
      <c r="XEK45" s="344"/>
      <c r="XEL45" s="344"/>
      <c r="XEM45" s="344"/>
      <c r="XEN45" s="344"/>
      <c r="XEO45" s="344"/>
      <c r="XEP45" s="344"/>
      <c r="XEQ45" s="344"/>
      <c r="XER45" s="344"/>
      <c r="XES45" s="344"/>
      <c r="XET45" s="344"/>
      <c r="XEU45" s="344"/>
      <c r="XEV45" s="344"/>
      <c r="XEW45" s="344"/>
      <c r="XEX45" s="344"/>
      <c r="XEY45" s="344"/>
      <c r="XEZ45" s="344"/>
      <c r="XFA45" s="344"/>
    </row>
    <row r="46" s="338" customFormat="1" ht="29.25" customHeight="1" spans="1:1024 1025:16381">
      <c r="A46" s="344"/>
      <c r="B46" s="382">
        <v>36</v>
      </c>
      <c r="C46" s="380" t="e">
        <f>_xlfn.XLOOKUP(D46,商品汇总表!$B:$B,商品汇总表!$A:$A,"")</f>
        <v>#N/A</v>
      </c>
      <c r="D46" s="362" t="e" cm="1">
        <f t="array" ref="D46">LOOKUP(1,0/(('5.21出货明细'!AR:AR=$D$52)*('5.21出货明细'!A:A=B46)),'5.21出货明细'!E:E)</f>
        <v>#N/A</v>
      </c>
      <c r="E46" s="358" t="e">
        <f>_xlfn.XLOOKUP(D46,商品汇总表!$B:$B,商品汇总表!$D:$D,"")</f>
        <v>#N/A</v>
      </c>
      <c r="F46" s="363" t="e" cm="1">
        <f t="array" ref="F46">_xlfn.LET(_xlpm.数组,B46&amp;D46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6" s="373"/>
      <c r="H46" s="364"/>
      <c r="I46" s="365"/>
      <c r="J46" s="366"/>
      <c r="K46" s="367"/>
      <c r="L46" s="368"/>
      <c r="M46" s="369" t="s">
        <v>2953</v>
      </c>
      <c r="N46" s="370"/>
      <c r="O46" s="370"/>
      <c r="P46" s="383"/>
      <c r="Q46" s="372"/>
      <c r="R46" s="372"/>
      <c r="S46" s="372"/>
      <c r="T46" s="372"/>
      <c r="U46" s="344"/>
      <c r="V46" s="344"/>
      <c r="W46" s="344"/>
      <c r="X46" s="344"/>
      <c r="Y46" s="344"/>
      <c r="Z46" s="344"/>
      <c r="AA46" s="344"/>
      <c r="AB46" s="344"/>
      <c r="AC46" s="344"/>
      <c r="AD46" s="344"/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  <c r="AO46" s="344"/>
      <c r="AP46" s="344"/>
      <c r="AQ46" s="344"/>
      <c r="AR46" s="344"/>
      <c r="AS46" s="344"/>
      <c r="AT46" s="344"/>
      <c r="AU46" s="344"/>
      <c r="AV46" s="344"/>
      <c r="AW46" s="344"/>
      <c r="AX46" s="344"/>
      <c r="AY46" s="344"/>
      <c r="AZ46" s="344"/>
      <c r="BA46" s="344"/>
      <c r="BB46" s="344"/>
      <c r="BC46" s="344"/>
      <c r="BD46" s="344"/>
      <c r="BE46" s="344"/>
      <c r="BF46" s="344"/>
      <c r="BG46" s="344"/>
      <c r="BH46" s="344"/>
      <c r="BI46" s="344"/>
      <c r="BJ46" s="344"/>
      <c r="BK46" s="344"/>
      <c r="BL46" s="344"/>
      <c r="BM46" s="344"/>
      <c r="BN46" s="344"/>
      <c r="BO46" s="344"/>
      <c r="BP46" s="344"/>
      <c r="BQ46" s="344"/>
      <c r="BR46" s="344"/>
      <c r="BS46" s="344"/>
      <c r="BT46" s="344"/>
      <c r="BU46" s="344"/>
      <c r="BV46" s="344"/>
      <c r="BW46" s="344"/>
      <c r="BX46" s="344"/>
      <c r="BY46" s="344"/>
      <c r="BZ46" s="344"/>
      <c r="CA46" s="344"/>
      <c r="CB46" s="344"/>
      <c r="CC46" s="344"/>
      <c r="CD46" s="344"/>
      <c r="CE46" s="344"/>
      <c r="CF46" s="344"/>
      <c r="CG46" s="344"/>
      <c r="CH46" s="344"/>
      <c r="CI46" s="344"/>
      <c r="CJ46" s="344"/>
      <c r="CK46" s="344"/>
      <c r="CL46" s="344"/>
      <c r="CM46" s="344"/>
      <c r="CN46" s="344"/>
      <c r="CO46" s="344"/>
      <c r="CP46" s="344"/>
      <c r="CQ46" s="344"/>
      <c r="CR46" s="344"/>
      <c r="CS46" s="344"/>
      <c r="CT46" s="344"/>
      <c r="CU46" s="344"/>
      <c r="CV46" s="344"/>
      <c r="CW46" s="344"/>
      <c r="CX46" s="344"/>
      <c r="CY46" s="344"/>
      <c r="CZ46" s="344"/>
      <c r="DA46" s="344"/>
      <c r="DB46" s="344"/>
      <c r="DC46" s="344"/>
      <c r="DD46" s="344"/>
      <c r="DE46" s="344"/>
      <c r="DF46" s="344"/>
      <c r="DG46" s="344"/>
      <c r="DH46" s="344"/>
      <c r="DI46" s="344"/>
      <c r="DJ46" s="344"/>
      <c r="DK46" s="344"/>
      <c r="DL46" s="344"/>
      <c r="DM46" s="344"/>
      <c r="DN46" s="344"/>
      <c r="DO46" s="344"/>
      <c r="DP46" s="344"/>
      <c r="DQ46" s="344"/>
      <c r="DR46" s="344"/>
      <c r="DS46" s="344"/>
      <c r="DT46" s="344"/>
      <c r="DU46" s="344"/>
      <c r="DV46" s="344"/>
      <c r="DW46" s="344"/>
      <c r="DX46" s="344"/>
      <c r="DY46" s="344"/>
      <c r="DZ46" s="344"/>
      <c r="EA46" s="344"/>
      <c r="EB46" s="344"/>
      <c r="EC46" s="344"/>
      <c r="ED46" s="344"/>
      <c r="EE46" s="344"/>
      <c r="EF46" s="344"/>
      <c r="EG46" s="344"/>
      <c r="EH46" s="344"/>
      <c r="EI46" s="344"/>
      <c r="EJ46" s="344"/>
      <c r="EK46" s="344"/>
      <c r="EL46" s="344"/>
      <c r="EM46" s="344"/>
      <c r="EN46" s="344"/>
      <c r="EO46" s="344"/>
      <c r="EP46" s="344"/>
      <c r="EQ46" s="344"/>
      <c r="ER46" s="344"/>
      <c r="ES46" s="344"/>
      <c r="ET46" s="344"/>
      <c r="EU46" s="344"/>
      <c r="EV46" s="344"/>
      <c r="EW46" s="344"/>
      <c r="EX46" s="344"/>
      <c r="EY46" s="344"/>
      <c r="EZ46" s="344"/>
      <c r="FA46" s="344"/>
      <c r="FB46" s="344"/>
      <c r="FC46" s="344"/>
      <c r="FD46" s="344"/>
      <c r="FE46" s="344"/>
      <c r="FF46" s="344"/>
      <c r="FG46" s="344"/>
      <c r="FH46" s="344"/>
      <c r="FI46" s="344"/>
      <c r="FJ46" s="344"/>
      <c r="FK46" s="344"/>
      <c r="FL46" s="344"/>
      <c r="FM46" s="344"/>
      <c r="FN46" s="344"/>
      <c r="FO46" s="344"/>
      <c r="FP46" s="344"/>
      <c r="FQ46" s="344"/>
      <c r="FR46" s="344"/>
      <c r="FS46" s="344"/>
      <c r="FT46" s="344"/>
      <c r="FU46" s="344"/>
      <c r="FV46" s="344"/>
      <c r="FW46" s="344"/>
      <c r="FX46" s="344"/>
      <c r="FY46" s="344"/>
      <c r="FZ46" s="344"/>
      <c r="GA46" s="344"/>
      <c r="GB46" s="344"/>
      <c r="GC46" s="344"/>
      <c r="GD46" s="344"/>
      <c r="GE46" s="344"/>
      <c r="GF46" s="344"/>
      <c r="GG46" s="344"/>
      <c r="GH46" s="344"/>
      <c r="GI46" s="344"/>
      <c r="GJ46" s="344"/>
      <c r="GK46" s="344"/>
      <c r="GL46" s="344"/>
      <c r="GM46" s="344"/>
      <c r="GN46" s="344"/>
      <c r="GO46" s="344"/>
      <c r="GP46" s="344"/>
      <c r="GQ46" s="344"/>
      <c r="GR46" s="344"/>
      <c r="GS46" s="344"/>
      <c r="GT46" s="344"/>
      <c r="GU46" s="344"/>
      <c r="GV46" s="344"/>
      <c r="GW46" s="344"/>
      <c r="GX46" s="344"/>
      <c r="GY46" s="344"/>
      <c r="GZ46" s="344"/>
      <c r="HA46" s="344"/>
      <c r="HB46" s="344"/>
      <c r="HC46" s="344"/>
      <c r="HD46" s="344"/>
      <c r="HE46" s="344"/>
      <c r="HF46" s="344"/>
      <c r="HG46" s="344"/>
      <c r="HH46" s="344"/>
      <c r="HI46" s="344"/>
      <c r="HJ46" s="344"/>
      <c r="HK46" s="344"/>
      <c r="HL46" s="344"/>
      <c r="HM46" s="344"/>
      <c r="HN46" s="344"/>
      <c r="HO46" s="344"/>
      <c r="HP46" s="344"/>
      <c r="HQ46" s="344"/>
      <c r="HR46" s="344"/>
      <c r="HS46" s="344"/>
      <c r="HT46" s="344"/>
      <c r="HU46" s="344"/>
      <c r="HV46" s="344"/>
      <c r="HW46" s="344"/>
      <c r="HX46" s="344"/>
      <c r="HY46" s="344"/>
      <c r="HZ46" s="344"/>
      <c r="IA46" s="344"/>
      <c r="IB46" s="344"/>
      <c r="IC46" s="344"/>
      <c r="ID46" s="344"/>
      <c r="IE46" s="344"/>
      <c r="IF46" s="344"/>
      <c r="IG46" s="344"/>
      <c r="IH46" s="344"/>
      <c r="II46" s="344"/>
      <c r="IJ46" s="344"/>
      <c r="IK46" s="344"/>
      <c r="IL46" s="344"/>
      <c r="IM46" s="344"/>
      <c r="IN46" s="344"/>
      <c r="IO46" s="344"/>
      <c r="IP46" s="344"/>
      <c r="IQ46" s="344"/>
      <c r="IR46" s="344"/>
      <c r="IS46" s="344"/>
      <c r="IT46" s="344"/>
      <c r="IU46" s="344"/>
      <c r="IV46" s="344"/>
      <c r="IW46" s="344"/>
      <c r="IX46" s="344"/>
      <c r="IY46" s="344"/>
      <c r="IZ46" s="344"/>
      <c r="JA46" s="344"/>
      <c r="JB46" s="344"/>
      <c r="JC46" s="344"/>
      <c r="JD46" s="344"/>
      <c r="JE46" s="344"/>
      <c r="JF46" s="344"/>
      <c r="JG46" s="344"/>
      <c r="JH46" s="344"/>
      <c r="JI46" s="344"/>
      <c r="JJ46" s="344"/>
      <c r="JK46" s="344"/>
      <c r="JL46" s="344"/>
      <c r="JM46" s="344"/>
      <c r="JN46" s="344"/>
      <c r="JO46" s="344"/>
      <c r="JP46" s="344"/>
      <c r="JQ46" s="344"/>
      <c r="JR46" s="344"/>
      <c r="JS46" s="344"/>
      <c r="JT46" s="344"/>
      <c r="JU46" s="344"/>
      <c r="JV46" s="344"/>
      <c r="JW46" s="344"/>
      <c r="JX46" s="344"/>
      <c r="JY46" s="344"/>
      <c r="JZ46" s="344"/>
      <c r="KA46" s="344"/>
      <c r="KB46" s="344"/>
      <c r="KC46" s="344"/>
      <c r="KD46" s="344"/>
      <c r="KE46" s="344"/>
      <c r="KF46" s="344"/>
      <c r="KG46" s="344"/>
      <c r="KH46" s="344"/>
      <c r="KI46" s="344"/>
      <c r="KJ46" s="344"/>
      <c r="KK46" s="344"/>
      <c r="KL46" s="344"/>
      <c r="KM46" s="344"/>
      <c r="KN46" s="344"/>
      <c r="KO46" s="344"/>
      <c r="KP46" s="344"/>
      <c r="KQ46" s="344"/>
      <c r="KR46" s="344"/>
      <c r="KS46" s="344"/>
      <c r="KT46" s="344"/>
      <c r="KU46" s="344"/>
      <c r="KV46" s="344"/>
      <c r="KW46" s="344"/>
      <c r="KX46" s="344"/>
      <c r="KY46" s="344"/>
      <c r="KZ46" s="344"/>
      <c r="LA46" s="344"/>
      <c r="LB46" s="344"/>
      <c r="LC46" s="344"/>
      <c r="LD46" s="344"/>
      <c r="LE46" s="344"/>
      <c r="LF46" s="344"/>
      <c r="LG46" s="344"/>
      <c r="LH46" s="344"/>
      <c r="LI46" s="344"/>
      <c r="LJ46" s="344"/>
      <c r="LK46" s="344"/>
      <c r="LL46" s="344"/>
      <c r="LM46" s="344"/>
      <c r="LN46" s="344"/>
      <c r="LO46" s="344"/>
      <c r="LP46" s="344"/>
      <c r="LQ46" s="344"/>
      <c r="LR46" s="344"/>
      <c r="LS46" s="344"/>
      <c r="LT46" s="344"/>
      <c r="LU46" s="344"/>
      <c r="LV46" s="344"/>
      <c r="LW46" s="344"/>
      <c r="LX46" s="344"/>
      <c r="LY46" s="344"/>
      <c r="LZ46" s="344"/>
      <c r="MA46" s="344"/>
      <c r="MB46" s="344"/>
      <c r="MC46" s="344"/>
      <c r="MD46" s="344"/>
      <c r="ME46" s="344"/>
      <c r="MF46" s="344"/>
      <c r="MG46" s="344"/>
      <c r="MH46" s="344"/>
      <c r="MI46" s="344"/>
      <c r="MJ46" s="344"/>
      <c r="MK46" s="344"/>
      <c r="ML46" s="344"/>
      <c r="MM46" s="344"/>
      <c r="MN46" s="344"/>
      <c r="MO46" s="344"/>
      <c r="MP46" s="344"/>
      <c r="MQ46" s="344"/>
      <c r="MR46" s="344"/>
      <c r="MS46" s="344"/>
      <c r="MT46" s="344"/>
      <c r="MU46" s="344"/>
      <c r="MV46" s="344"/>
      <c r="MW46" s="344"/>
      <c r="MX46" s="344"/>
      <c r="MY46" s="344"/>
      <c r="MZ46" s="344"/>
      <c r="NA46" s="344"/>
      <c r="NB46" s="344"/>
      <c r="NC46" s="344"/>
      <c r="ND46" s="344"/>
      <c r="NE46" s="344"/>
      <c r="NF46" s="344"/>
      <c r="NG46" s="344"/>
      <c r="NH46" s="344"/>
      <c r="NI46" s="344"/>
      <c r="NJ46" s="344"/>
      <c r="NK46" s="344"/>
      <c r="NL46" s="344"/>
      <c r="NM46" s="344"/>
      <c r="NN46" s="344"/>
      <c r="NO46" s="344"/>
      <c r="NP46" s="344"/>
      <c r="NQ46" s="344"/>
      <c r="NR46" s="344"/>
      <c r="NS46" s="344"/>
      <c r="NT46" s="344"/>
      <c r="NU46" s="344"/>
      <c r="NV46" s="344"/>
      <c r="NW46" s="344"/>
      <c r="NX46" s="344"/>
      <c r="NY46" s="344"/>
      <c r="NZ46" s="344"/>
      <c r="OA46" s="344"/>
      <c r="OB46" s="344"/>
      <c r="OC46" s="344"/>
      <c r="OD46" s="344"/>
      <c r="OE46" s="344"/>
      <c r="OF46" s="344"/>
      <c r="OG46" s="344"/>
      <c r="OH46" s="344"/>
      <c r="OI46" s="344"/>
      <c r="OJ46" s="344"/>
      <c r="OK46" s="344"/>
      <c r="OL46" s="344"/>
      <c r="OM46" s="344"/>
      <c r="ON46" s="344"/>
      <c r="OO46" s="344"/>
      <c r="OP46" s="344"/>
      <c r="OQ46" s="344"/>
      <c r="OR46" s="344"/>
      <c r="OS46" s="344"/>
      <c r="OT46" s="344"/>
      <c r="OU46" s="344"/>
      <c r="OV46" s="344"/>
      <c r="OW46" s="344"/>
      <c r="OX46" s="344"/>
      <c r="OY46" s="344"/>
      <c r="OZ46" s="344"/>
      <c r="PA46" s="344"/>
      <c r="PB46" s="344"/>
      <c r="PC46" s="344"/>
      <c r="PD46" s="344"/>
      <c r="PE46" s="344"/>
      <c r="PF46" s="344"/>
      <c r="PG46" s="344"/>
      <c r="PH46" s="344"/>
      <c r="PI46" s="344"/>
      <c r="PJ46" s="344"/>
      <c r="PK46" s="344"/>
      <c r="PL46" s="344"/>
      <c r="PM46" s="344"/>
      <c r="PN46" s="344"/>
      <c r="PO46" s="344"/>
      <c r="PP46" s="344"/>
      <c r="PQ46" s="344"/>
      <c r="PR46" s="344"/>
      <c r="PS46" s="344"/>
      <c r="PT46" s="344"/>
      <c r="PU46" s="344"/>
      <c r="PV46" s="344"/>
      <c r="PW46" s="344"/>
      <c r="PX46" s="344"/>
      <c r="PY46" s="344"/>
      <c r="PZ46" s="344"/>
      <c r="QA46" s="344"/>
      <c r="QB46" s="344"/>
      <c r="QC46" s="344"/>
      <c r="QD46" s="344"/>
      <c r="QE46" s="344"/>
      <c r="QF46" s="344"/>
      <c r="QG46" s="344"/>
      <c r="QH46" s="344"/>
      <c r="QI46" s="344"/>
      <c r="QJ46" s="344"/>
      <c r="QK46" s="344"/>
      <c r="QL46" s="344"/>
      <c r="QM46" s="344"/>
      <c r="QN46" s="344"/>
      <c r="QO46" s="344"/>
      <c r="QP46" s="344"/>
      <c r="QQ46" s="344"/>
      <c r="QR46" s="344"/>
      <c r="QS46" s="344"/>
      <c r="QT46" s="344"/>
      <c r="QU46" s="344"/>
      <c r="QV46" s="344"/>
      <c r="QW46" s="344"/>
      <c r="QX46" s="344"/>
      <c r="QY46" s="344"/>
      <c r="QZ46" s="344"/>
      <c r="RA46" s="344"/>
      <c r="RB46" s="344"/>
      <c r="RC46" s="344"/>
      <c r="RD46" s="344"/>
      <c r="RE46" s="344"/>
      <c r="RF46" s="344"/>
      <c r="RG46" s="344"/>
      <c r="RH46" s="344"/>
      <c r="RI46" s="344"/>
      <c r="RJ46" s="344"/>
      <c r="RK46" s="344"/>
      <c r="RL46" s="344"/>
      <c r="RM46" s="344"/>
      <c r="RN46" s="344"/>
      <c r="RO46" s="344"/>
      <c r="RP46" s="344"/>
      <c r="RQ46" s="344"/>
      <c r="RR46" s="344"/>
      <c r="RS46" s="344"/>
      <c r="RT46" s="344"/>
      <c r="RU46" s="344"/>
      <c r="RV46" s="344"/>
      <c r="RW46" s="344"/>
      <c r="RX46" s="344"/>
      <c r="RY46" s="344"/>
      <c r="RZ46" s="344"/>
      <c r="SA46" s="344"/>
      <c r="SB46" s="344"/>
      <c r="SC46" s="344"/>
      <c r="SD46" s="344"/>
      <c r="SE46" s="344"/>
      <c r="SF46" s="344"/>
      <c r="SG46" s="344"/>
      <c r="SH46" s="344"/>
      <c r="SI46" s="344"/>
      <c r="SJ46" s="344"/>
      <c r="SK46" s="344"/>
      <c r="SL46" s="344"/>
      <c r="SM46" s="344"/>
      <c r="SN46" s="344"/>
      <c r="SO46" s="344"/>
      <c r="SP46" s="344"/>
      <c r="SQ46" s="344"/>
      <c r="SR46" s="344"/>
      <c r="SS46" s="344"/>
      <c r="ST46" s="344"/>
      <c r="SU46" s="344"/>
      <c r="SV46" s="344"/>
      <c r="SW46" s="344"/>
      <c r="SX46" s="344"/>
      <c r="SY46" s="344"/>
      <c r="SZ46" s="344"/>
      <c r="TA46" s="344"/>
      <c r="TB46" s="344"/>
      <c r="TC46" s="344"/>
      <c r="TD46" s="344"/>
      <c r="TE46" s="344"/>
      <c r="TF46" s="344"/>
      <c r="TG46" s="344"/>
      <c r="TH46" s="344"/>
      <c r="TI46" s="344"/>
      <c r="TJ46" s="344"/>
      <c r="TK46" s="344"/>
      <c r="TL46" s="344"/>
      <c r="TM46" s="344"/>
      <c r="TN46" s="344"/>
      <c r="TO46" s="344"/>
      <c r="TP46" s="344"/>
      <c r="TQ46" s="344"/>
      <c r="TR46" s="344"/>
      <c r="TS46" s="344"/>
      <c r="TT46" s="344"/>
      <c r="TU46" s="344"/>
      <c r="TV46" s="344"/>
      <c r="TW46" s="344"/>
      <c r="TX46" s="344"/>
      <c r="TY46" s="344"/>
      <c r="TZ46" s="344"/>
      <c r="UA46" s="344"/>
      <c r="UB46" s="344"/>
      <c r="UC46" s="344"/>
      <c r="UD46" s="344"/>
      <c r="UE46" s="344"/>
      <c r="UF46" s="344"/>
      <c r="UG46" s="344"/>
      <c r="UH46" s="344"/>
      <c r="UI46" s="344"/>
      <c r="UJ46" s="344"/>
      <c r="UK46" s="344"/>
      <c r="UL46" s="344"/>
      <c r="UM46" s="344"/>
      <c r="UN46" s="344"/>
      <c r="UO46" s="344"/>
      <c r="UP46" s="344"/>
      <c r="UQ46" s="344"/>
      <c r="UR46" s="344"/>
      <c r="US46" s="344"/>
      <c r="UT46" s="344"/>
      <c r="UU46" s="344"/>
      <c r="UV46" s="344"/>
      <c r="UW46" s="344"/>
      <c r="UX46" s="344"/>
      <c r="UY46" s="344"/>
      <c r="UZ46" s="344"/>
      <c r="VA46" s="344"/>
      <c r="VB46" s="344"/>
      <c r="VC46" s="344"/>
      <c r="VD46" s="344"/>
      <c r="VE46" s="344"/>
      <c r="VF46" s="344"/>
      <c r="VG46" s="344"/>
      <c r="VH46" s="344"/>
      <c r="VI46" s="344"/>
      <c r="VJ46" s="344"/>
      <c r="VK46" s="344"/>
      <c r="VL46" s="344"/>
      <c r="VM46" s="344"/>
      <c r="VN46" s="344"/>
      <c r="VO46" s="344"/>
      <c r="VP46" s="344"/>
      <c r="VQ46" s="344"/>
      <c r="VR46" s="344"/>
      <c r="VS46" s="344"/>
      <c r="VT46" s="344"/>
      <c r="VU46" s="344"/>
      <c r="VV46" s="344"/>
      <c r="VW46" s="344"/>
      <c r="VX46" s="344"/>
      <c r="VY46" s="344"/>
      <c r="VZ46" s="344"/>
      <c r="WA46" s="344"/>
      <c r="WB46" s="344"/>
      <c r="WC46" s="344"/>
      <c r="WD46" s="344"/>
      <c r="WE46" s="344"/>
      <c r="WF46" s="344"/>
      <c r="WG46" s="344"/>
      <c r="WH46" s="344"/>
      <c r="WI46" s="344"/>
      <c r="WJ46" s="344"/>
      <c r="WK46" s="344"/>
      <c r="WL46" s="344"/>
      <c r="WM46" s="344"/>
      <c r="WN46" s="344"/>
      <c r="WO46" s="344"/>
      <c r="WP46" s="344"/>
      <c r="WQ46" s="344"/>
      <c r="WR46" s="344"/>
      <c r="WS46" s="344"/>
      <c r="WT46" s="344"/>
      <c r="WU46" s="344"/>
      <c r="WV46" s="344"/>
      <c r="WW46" s="344"/>
      <c r="WX46" s="344"/>
      <c r="WY46" s="344"/>
      <c r="WZ46" s="344"/>
      <c r="XA46" s="344"/>
      <c r="XB46" s="344"/>
      <c r="XC46" s="344"/>
      <c r="XD46" s="344"/>
      <c r="XE46" s="344"/>
      <c r="XF46" s="344"/>
      <c r="XG46" s="344"/>
      <c r="XH46" s="344"/>
      <c r="XI46" s="344"/>
      <c r="XJ46" s="344"/>
      <c r="XK46" s="344"/>
      <c r="XL46" s="344"/>
      <c r="XM46" s="344"/>
      <c r="XN46" s="344"/>
      <c r="XO46" s="344"/>
      <c r="XP46" s="344"/>
      <c r="XQ46" s="344"/>
      <c r="XR46" s="344"/>
      <c r="XS46" s="344"/>
      <c r="XT46" s="344"/>
      <c r="XU46" s="344"/>
      <c r="XV46" s="344"/>
      <c r="XW46" s="344"/>
      <c r="XX46" s="344"/>
      <c r="XY46" s="344"/>
      <c r="XZ46" s="344"/>
      <c r="YA46" s="344"/>
      <c r="YB46" s="344"/>
      <c r="YC46" s="344"/>
      <c r="YD46" s="344"/>
      <c r="YE46" s="344"/>
      <c r="YF46" s="344"/>
      <c r="YG46" s="344"/>
      <c r="YH46" s="344"/>
      <c r="YI46" s="344"/>
      <c r="YJ46" s="344"/>
      <c r="YK46" s="344"/>
      <c r="YL46" s="344"/>
      <c r="YM46" s="344"/>
      <c r="YN46" s="344"/>
      <c r="YO46" s="344"/>
      <c r="YP46" s="344"/>
      <c r="YQ46" s="344"/>
      <c r="YR46" s="344"/>
      <c r="YS46" s="344"/>
      <c r="YT46" s="344"/>
      <c r="YU46" s="344"/>
      <c r="YV46" s="344"/>
      <c r="YW46" s="344"/>
      <c r="YX46" s="344"/>
      <c r="YY46" s="344"/>
      <c r="YZ46" s="344"/>
      <c r="ZA46" s="344"/>
      <c r="ZB46" s="344"/>
      <c r="ZC46" s="344"/>
      <c r="ZD46" s="344"/>
      <c r="ZE46" s="344"/>
      <c r="ZF46" s="344"/>
      <c r="ZG46" s="344"/>
      <c r="ZH46" s="344"/>
      <c r="ZI46" s="344"/>
      <c r="ZJ46" s="344"/>
      <c r="ZK46" s="344"/>
      <c r="ZL46" s="344"/>
      <c r="ZM46" s="344"/>
      <c r="ZN46" s="344"/>
      <c r="ZO46" s="344"/>
      <c r="ZP46" s="344"/>
      <c r="ZQ46" s="344"/>
      <c r="ZR46" s="344"/>
      <c r="ZS46" s="344"/>
      <c r="ZT46" s="344"/>
      <c r="ZU46" s="344"/>
      <c r="ZV46" s="344"/>
      <c r="ZW46" s="344"/>
      <c r="ZX46" s="344"/>
      <c r="ZY46" s="344"/>
      <c r="ZZ46" s="344"/>
      <c r="AAA46" s="344"/>
      <c r="AAB46" s="344"/>
      <c r="AAC46" s="344"/>
      <c r="AAD46" s="344"/>
      <c r="AAE46" s="344"/>
      <c r="AAF46" s="344"/>
      <c r="AAG46" s="344"/>
      <c r="AAH46" s="344"/>
      <c r="AAI46" s="344"/>
      <c r="AAJ46" s="344"/>
      <c r="AAK46" s="344"/>
      <c r="AAL46" s="344"/>
      <c r="AAM46" s="344"/>
      <c r="AAN46" s="344"/>
      <c r="AAO46" s="344"/>
      <c r="AAP46" s="344"/>
      <c r="AAQ46" s="344"/>
      <c r="AAR46" s="344"/>
      <c r="AAS46" s="344"/>
      <c r="AAT46" s="344"/>
      <c r="AAU46" s="344"/>
      <c r="AAV46" s="344"/>
      <c r="AAW46" s="344"/>
      <c r="AAX46" s="344"/>
      <c r="AAY46" s="344"/>
      <c r="AAZ46" s="344"/>
      <c r="ABA46" s="344"/>
      <c r="ABB46" s="344"/>
      <c r="ABC46" s="344"/>
      <c r="ABD46" s="344"/>
      <c r="ABE46" s="344"/>
      <c r="ABF46" s="344"/>
      <c r="ABG46" s="344"/>
      <c r="ABH46" s="344"/>
      <c r="ABI46" s="344"/>
      <c r="ABJ46" s="344"/>
      <c r="ABK46" s="344"/>
      <c r="ABL46" s="344"/>
      <c r="ABM46" s="344"/>
      <c r="ABN46" s="344"/>
      <c r="ABO46" s="344"/>
      <c r="ABP46" s="344"/>
      <c r="ABQ46" s="344"/>
      <c r="ABR46" s="344"/>
      <c r="ABS46" s="344"/>
      <c r="ABT46" s="344"/>
      <c r="ABU46" s="344"/>
      <c r="ABV46" s="344"/>
      <c r="ABW46" s="344"/>
      <c r="ABX46" s="344"/>
      <c r="ABY46" s="344"/>
      <c r="ABZ46" s="344"/>
      <c r="ACA46" s="344"/>
      <c r="ACB46" s="344"/>
      <c r="ACC46" s="344"/>
      <c r="ACD46" s="344"/>
      <c r="ACE46" s="344"/>
      <c r="ACF46" s="344"/>
      <c r="ACG46" s="344"/>
      <c r="ACH46" s="344"/>
      <c r="ACI46" s="344"/>
      <c r="ACJ46" s="344"/>
      <c r="ACK46" s="344"/>
      <c r="ACL46" s="344"/>
      <c r="ACM46" s="344"/>
      <c r="ACN46" s="344"/>
      <c r="ACO46" s="344"/>
      <c r="ACP46" s="344"/>
      <c r="ACQ46" s="344"/>
      <c r="ACR46" s="344"/>
      <c r="ACS46" s="344"/>
      <c r="ACT46" s="344"/>
      <c r="ACU46" s="344"/>
      <c r="ACV46" s="344"/>
      <c r="ACW46" s="344"/>
      <c r="ACX46" s="344"/>
      <c r="ACY46" s="344"/>
      <c r="ACZ46" s="344"/>
      <c r="ADA46" s="344"/>
      <c r="ADB46" s="344"/>
      <c r="ADC46" s="344"/>
      <c r="ADD46" s="344"/>
      <c r="ADE46" s="344"/>
      <c r="ADF46" s="344"/>
      <c r="ADG46" s="344"/>
      <c r="ADH46" s="344"/>
      <c r="ADI46" s="344"/>
      <c r="ADJ46" s="344"/>
      <c r="ADK46" s="344"/>
      <c r="ADL46" s="344"/>
      <c r="ADM46" s="344"/>
      <c r="ADN46" s="344"/>
      <c r="ADO46" s="344"/>
      <c r="ADP46" s="344"/>
      <c r="ADQ46" s="344"/>
      <c r="ADR46" s="344"/>
      <c r="ADS46" s="344"/>
      <c r="ADT46" s="344"/>
      <c r="ADU46" s="344"/>
      <c r="ADV46" s="344"/>
      <c r="ADW46" s="344"/>
      <c r="ADX46" s="344"/>
      <c r="ADY46" s="344"/>
      <c r="ADZ46" s="344"/>
      <c r="AEA46" s="344"/>
      <c r="AEB46" s="344"/>
      <c r="AEC46" s="344"/>
      <c r="AED46" s="344"/>
      <c r="AEE46" s="344"/>
      <c r="AEF46" s="344"/>
      <c r="AEG46" s="344"/>
      <c r="AEH46" s="344"/>
      <c r="AEI46" s="344"/>
      <c r="AEJ46" s="344"/>
      <c r="AEK46" s="344"/>
      <c r="AEL46" s="344"/>
      <c r="AEM46" s="344"/>
      <c r="AEN46" s="344"/>
      <c r="AEO46" s="344"/>
      <c r="AEP46" s="344"/>
      <c r="AEQ46" s="344"/>
      <c r="AER46" s="344"/>
      <c r="AES46" s="344"/>
      <c r="AET46" s="344"/>
      <c r="AEU46" s="344"/>
      <c r="AEV46" s="344"/>
      <c r="AEW46" s="344"/>
      <c r="AEX46" s="344"/>
      <c r="AEY46" s="344"/>
      <c r="AEZ46" s="344"/>
      <c r="AFA46" s="344"/>
      <c r="AFB46" s="344"/>
      <c r="AFC46" s="344"/>
      <c r="AFD46" s="344"/>
      <c r="AFE46" s="344"/>
      <c r="AFF46" s="344"/>
      <c r="AFG46" s="344"/>
      <c r="AFH46" s="344"/>
      <c r="AFI46" s="344"/>
      <c r="AFJ46" s="344"/>
      <c r="AFK46" s="344"/>
      <c r="AFL46" s="344"/>
      <c r="AFM46" s="344"/>
      <c r="AFN46" s="344"/>
      <c r="AFO46" s="344"/>
      <c r="AFP46" s="344"/>
      <c r="AFQ46" s="344"/>
      <c r="AFR46" s="344"/>
      <c r="AFS46" s="344"/>
      <c r="AFT46" s="344"/>
      <c r="AFU46" s="344"/>
      <c r="AFV46" s="344"/>
      <c r="AFW46" s="344"/>
      <c r="AFX46" s="344"/>
      <c r="AFY46" s="344"/>
      <c r="AFZ46" s="344"/>
      <c r="AGA46" s="344"/>
      <c r="AGB46" s="344"/>
      <c r="AGC46" s="344"/>
      <c r="AGD46" s="344"/>
      <c r="AGE46" s="344"/>
      <c r="AGF46" s="344"/>
      <c r="AGG46" s="344"/>
      <c r="AGH46" s="344"/>
      <c r="AGI46" s="344"/>
      <c r="AGJ46" s="344"/>
      <c r="AGK46" s="344"/>
      <c r="AGL46" s="344"/>
      <c r="AGM46" s="344"/>
      <c r="AGN46" s="344"/>
      <c r="AGO46" s="344"/>
      <c r="AGP46" s="344"/>
      <c r="AGQ46" s="344"/>
      <c r="AGR46" s="344"/>
      <c r="AGS46" s="344"/>
      <c r="AGT46" s="344"/>
      <c r="AGU46" s="344"/>
      <c r="AGV46" s="344"/>
      <c r="AGW46" s="344"/>
      <c r="AGX46" s="344"/>
      <c r="AGY46" s="344"/>
      <c r="AGZ46" s="344"/>
      <c r="AHA46" s="344"/>
      <c r="AHB46" s="344"/>
      <c r="AHC46" s="344"/>
      <c r="AHD46" s="344"/>
      <c r="AHE46" s="344"/>
      <c r="AHF46" s="344"/>
      <c r="AHG46" s="344"/>
      <c r="AHH46" s="344"/>
      <c r="AHI46" s="344"/>
      <c r="AHJ46" s="344"/>
      <c r="AHK46" s="344"/>
      <c r="AHL46" s="344"/>
      <c r="AHM46" s="344"/>
      <c r="AHN46" s="344"/>
      <c r="AHO46" s="344"/>
      <c r="AHP46" s="344"/>
      <c r="AHQ46" s="344"/>
      <c r="AHR46" s="344"/>
      <c r="AHS46" s="344"/>
      <c r="AHT46" s="344"/>
      <c r="AHU46" s="344"/>
      <c r="AHV46" s="344"/>
      <c r="AHW46" s="344"/>
      <c r="AHX46" s="344"/>
      <c r="AHY46" s="344"/>
      <c r="AHZ46" s="344"/>
      <c r="AIA46" s="344"/>
      <c r="AIB46" s="344"/>
      <c r="AIC46" s="344"/>
      <c r="AID46" s="344"/>
      <c r="AIE46" s="344"/>
      <c r="AIF46" s="344"/>
      <c r="AIG46" s="344"/>
      <c r="AIH46" s="344"/>
      <c r="AII46" s="344"/>
      <c r="AIJ46" s="344"/>
      <c r="AIK46" s="344"/>
      <c r="AIL46" s="344"/>
      <c r="AIM46" s="344"/>
      <c r="AIN46" s="344"/>
      <c r="AIO46" s="344"/>
      <c r="AIP46" s="344"/>
      <c r="AIQ46" s="344"/>
      <c r="AIR46" s="344"/>
      <c r="AIS46" s="344"/>
      <c r="AIT46" s="344"/>
      <c r="AIU46" s="344"/>
      <c r="AIV46" s="344"/>
      <c r="AIW46" s="344"/>
      <c r="AIX46" s="344"/>
      <c r="AIY46" s="344"/>
      <c r="AIZ46" s="344"/>
      <c r="AJA46" s="344"/>
      <c r="AJB46" s="344"/>
      <c r="AJC46" s="344"/>
      <c r="AJD46" s="344"/>
      <c r="AJE46" s="344"/>
      <c r="AJF46" s="344"/>
      <c r="AJG46" s="344"/>
      <c r="AJH46" s="344"/>
      <c r="AJI46" s="344"/>
      <c r="AJJ46" s="344"/>
      <c r="AJK46" s="344"/>
      <c r="AJL46" s="344"/>
      <c r="AJM46" s="344"/>
      <c r="AJN46" s="344"/>
      <c r="AJO46" s="344"/>
      <c r="AJP46" s="344"/>
      <c r="AJQ46" s="344"/>
      <c r="AJR46" s="344"/>
      <c r="AJS46" s="344"/>
      <c r="AJT46" s="344"/>
      <c r="AJU46" s="344"/>
      <c r="AJV46" s="344"/>
      <c r="AJW46" s="344"/>
      <c r="AJX46" s="344"/>
      <c r="AJY46" s="344"/>
      <c r="AJZ46" s="344"/>
      <c r="AKA46" s="344"/>
      <c r="AKB46" s="344"/>
      <c r="AKC46" s="344"/>
      <c r="AKD46" s="344"/>
      <c r="AKE46" s="344"/>
      <c r="AKF46" s="344"/>
      <c r="AKG46" s="344"/>
      <c r="AKH46" s="344"/>
      <c r="AKI46" s="344"/>
      <c r="AKJ46" s="344"/>
      <c r="AKK46" s="344"/>
      <c r="AKL46" s="344"/>
      <c r="AKM46" s="344"/>
      <c r="AKN46" s="344"/>
      <c r="AKO46" s="344"/>
      <c r="AKP46" s="344"/>
      <c r="AKQ46" s="344"/>
      <c r="AKR46" s="344"/>
      <c r="AKS46" s="344"/>
      <c r="AKT46" s="344"/>
      <c r="AKU46" s="344"/>
      <c r="AKV46" s="344"/>
      <c r="AKW46" s="344"/>
      <c r="AKX46" s="344"/>
      <c r="AKY46" s="344"/>
      <c r="AKZ46" s="344"/>
      <c r="ALA46" s="344"/>
      <c r="ALB46" s="344"/>
      <c r="ALC46" s="344"/>
      <c r="ALD46" s="344"/>
      <c r="ALE46" s="344"/>
      <c r="ALF46" s="344"/>
      <c r="ALG46" s="344"/>
      <c r="ALH46" s="344"/>
      <c r="ALI46" s="344"/>
      <c r="ALJ46" s="344"/>
      <c r="ALK46" s="344"/>
      <c r="ALL46" s="344"/>
      <c r="ALM46" s="344"/>
      <c r="ALN46" s="344"/>
      <c r="ALO46" s="344"/>
      <c r="ALP46" s="344"/>
      <c r="ALQ46" s="344"/>
      <c r="ALR46" s="344"/>
      <c r="ALS46" s="344"/>
      <c r="ALT46" s="344"/>
      <c r="ALU46" s="344"/>
      <c r="ALV46" s="344"/>
      <c r="ALW46" s="344"/>
      <c r="ALX46" s="344"/>
      <c r="ALY46" s="344"/>
      <c r="ALZ46" s="344"/>
      <c r="AMA46" s="344"/>
      <c r="AMB46" s="344"/>
      <c r="AMC46" s="344"/>
      <c r="AMD46" s="344"/>
      <c r="AME46" s="344"/>
      <c r="AMF46" s="344"/>
      <c r="AMG46" s="344"/>
      <c r="AMH46" s="344"/>
      <c r="AMI46" s="344"/>
      <c r="AMJ46" s="344"/>
      <c r="AMK46" s="344"/>
      <c r="AML46" s="344"/>
      <c r="AMM46" s="344"/>
      <c r="AMN46" s="344"/>
      <c r="AMO46" s="344"/>
      <c r="AMP46" s="344"/>
      <c r="AMQ46" s="344"/>
      <c r="AMR46" s="344"/>
      <c r="AMS46" s="344"/>
      <c r="AMT46" s="344"/>
      <c r="AMU46" s="344"/>
      <c r="AMV46" s="344"/>
      <c r="AMW46" s="344"/>
      <c r="AMX46" s="344"/>
      <c r="AMY46" s="344"/>
      <c r="AMZ46" s="344"/>
      <c r="ANA46" s="344"/>
      <c r="ANB46" s="344"/>
      <c r="ANC46" s="344"/>
      <c r="AND46" s="344"/>
      <c r="ANE46" s="344"/>
      <c r="ANF46" s="344"/>
      <c r="ANG46" s="344"/>
      <c r="ANH46" s="344"/>
      <c r="ANI46" s="344"/>
      <c r="ANJ46" s="344"/>
      <c r="ANK46" s="344"/>
      <c r="ANL46" s="344"/>
      <c r="ANM46" s="344"/>
      <c r="ANN46" s="344"/>
      <c r="ANO46" s="344"/>
      <c r="ANP46" s="344"/>
      <c r="ANQ46" s="344"/>
      <c r="ANR46" s="344"/>
      <c r="ANS46" s="344"/>
      <c r="ANT46" s="344"/>
      <c r="ANU46" s="344"/>
      <c r="ANV46" s="344"/>
      <c r="ANW46" s="344"/>
      <c r="ANX46" s="344"/>
      <c r="ANY46" s="344"/>
      <c r="ANZ46" s="344"/>
      <c r="AOA46" s="344"/>
      <c r="AOB46" s="344"/>
      <c r="AOC46" s="344"/>
      <c r="AOD46" s="344"/>
      <c r="AOE46" s="344"/>
      <c r="AOF46" s="344"/>
      <c r="AOG46" s="344"/>
      <c r="AOH46" s="344"/>
      <c r="AOI46" s="344"/>
      <c r="AOJ46" s="344"/>
      <c r="AOK46" s="344"/>
      <c r="AOL46" s="344"/>
      <c r="AOM46" s="344"/>
      <c r="AON46" s="344"/>
      <c r="AOO46" s="344"/>
      <c r="AOP46" s="344"/>
      <c r="AOQ46" s="344"/>
      <c r="AOR46" s="344"/>
      <c r="AOS46" s="344"/>
      <c r="AOT46" s="344"/>
      <c r="AOU46" s="344"/>
      <c r="AOV46" s="344"/>
      <c r="AOW46" s="344"/>
      <c r="AOX46" s="344"/>
      <c r="AOY46" s="344"/>
      <c r="AOZ46" s="344"/>
      <c r="APA46" s="344"/>
      <c r="APB46" s="344"/>
      <c r="APC46" s="344"/>
      <c r="APD46" s="344"/>
      <c r="APE46" s="344"/>
      <c r="APF46" s="344"/>
      <c r="APG46" s="344"/>
      <c r="APH46" s="344"/>
      <c r="API46" s="344"/>
      <c r="APJ46" s="344"/>
      <c r="APK46" s="344"/>
      <c r="APL46" s="344"/>
      <c r="APM46" s="344"/>
      <c r="APN46" s="344"/>
      <c r="APO46" s="344"/>
      <c r="APP46" s="344"/>
      <c r="APQ46" s="344"/>
      <c r="APR46" s="344"/>
      <c r="APS46" s="344"/>
      <c r="APT46" s="344"/>
      <c r="APU46" s="344"/>
      <c r="APV46" s="344"/>
      <c r="APW46" s="344"/>
      <c r="APX46" s="344"/>
      <c r="APY46" s="344"/>
      <c r="APZ46" s="344"/>
      <c r="AQA46" s="344"/>
      <c r="AQB46" s="344"/>
      <c r="AQC46" s="344"/>
      <c r="AQD46" s="344"/>
      <c r="AQE46" s="344"/>
      <c r="AQF46" s="344"/>
      <c r="AQG46" s="344"/>
      <c r="AQH46" s="344"/>
      <c r="AQI46" s="344"/>
      <c r="AQJ46" s="344"/>
      <c r="AQK46" s="344"/>
      <c r="AQL46" s="344"/>
      <c r="AQM46" s="344"/>
      <c r="AQN46" s="344"/>
      <c r="AQO46" s="344"/>
      <c r="AQP46" s="344"/>
      <c r="AQQ46" s="344"/>
      <c r="AQR46" s="344"/>
      <c r="AQS46" s="344"/>
      <c r="AQT46" s="344"/>
      <c r="AQU46" s="344"/>
      <c r="AQV46" s="344"/>
      <c r="AQW46" s="344"/>
      <c r="AQX46" s="344"/>
      <c r="AQY46" s="344"/>
      <c r="AQZ46" s="344"/>
      <c r="ARA46" s="344"/>
      <c r="ARB46" s="344"/>
      <c r="ARC46" s="344"/>
      <c r="ARD46" s="344"/>
      <c r="ARE46" s="344"/>
      <c r="ARF46" s="344"/>
      <c r="ARG46" s="344"/>
      <c r="ARH46" s="344"/>
      <c r="ARI46" s="344"/>
      <c r="ARJ46" s="344"/>
      <c r="ARK46" s="344"/>
      <c r="ARL46" s="344"/>
      <c r="ARM46" s="344"/>
      <c r="ARN46" s="344"/>
      <c r="ARO46" s="344"/>
      <c r="ARP46" s="344"/>
      <c r="ARQ46" s="344"/>
      <c r="ARR46" s="344"/>
      <c r="ARS46" s="344"/>
      <c r="ART46" s="344"/>
      <c r="ARU46" s="344"/>
      <c r="ARV46" s="344"/>
      <c r="ARW46" s="344"/>
      <c r="ARX46" s="344"/>
      <c r="ARY46" s="344"/>
      <c r="ARZ46" s="344"/>
      <c r="ASA46" s="344"/>
      <c r="ASB46" s="344"/>
      <c r="ASC46" s="344"/>
      <c r="ASD46" s="344"/>
      <c r="ASE46" s="344"/>
      <c r="ASF46" s="344"/>
      <c r="ASG46" s="344"/>
      <c r="ASH46" s="344"/>
      <c r="ASI46" s="344"/>
      <c r="ASJ46" s="344"/>
      <c r="ASK46" s="344"/>
      <c r="ASL46" s="344"/>
      <c r="ASM46" s="344"/>
      <c r="ASN46" s="344"/>
      <c r="ASO46" s="344"/>
      <c r="ASP46" s="344"/>
      <c r="ASQ46" s="344"/>
      <c r="ASR46" s="344"/>
      <c r="ASS46" s="344"/>
      <c r="AST46" s="344"/>
      <c r="ASU46" s="344"/>
      <c r="ASV46" s="344"/>
      <c r="ASW46" s="344"/>
      <c r="ASX46" s="344"/>
      <c r="ASY46" s="344"/>
      <c r="ASZ46" s="344"/>
      <c r="ATA46" s="344"/>
      <c r="ATB46" s="344"/>
      <c r="ATC46" s="344"/>
      <c r="ATD46" s="344"/>
      <c r="ATE46" s="344"/>
      <c r="ATF46" s="344"/>
      <c r="ATG46" s="344"/>
      <c r="ATH46" s="344"/>
      <c r="ATI46" s="344"/>
      <c r="ATJ46" s="344"/>
      <c r="ATK46" s="344"/>
      <c r="ATL46" s="344"/>
      <c r="ATM46" s="344"/>
      <c r="ATN46" s="344"/>
      <c r="ATO46" s="344"/>
      <c r="ATP46" s="344"/>
      <c r="ATQ46" s="344"/>
      <c r="ATR46" s="344"/>
      <c r="ATS46" s="344"/>
      <c r="ATT46" s="344"/>
      <c r="ATU46" s="344"/>
      <c r="ATV46" s="344"/>
      <c r="ATW46" s="344"/>
      <c r="ATX46" s="344"/>
      <c r="ATY46" s="344"/>
      <c r="ATZ46" s="344"/>
      <c r="AUA46" s="344"/>
      <c r="AUB46" s="344"/>
      <c r="AUC46" s="344"/>
      <c r="AUD46" s="344"/>
      <c r="AUE46" s="344"/>
      <c r="AUF46" s="344"/>
      <c r="AUG46" s="344"/>
      <c r="AUH46" s="344"/>
      <c r="AUI46" s="344"/>
      <c r="AUJ46" s="344"/>
      <c r="AUK46" s="344"/>
      <c r="AUL46" s="344"/>
      <c r="AUM46" s="344"/>
      <c r="AUN46" s="344"/>
      <c r="AUO46" s="344"/>
      <c r="AUP46" s="344"/>
      <c r="AUQ46" s="344"/>
      <c r="AUR46" s="344"/>
      <c r="AUS46" s="344"/>
      <c r="AUT46" s="344"/>
      <c r="AUU46" s="344"/>
      <c r="AUV46" s="344"/>
      <c r="AUW46" s="344"/>
      <c r="AUX46" s="344"/>
      <c r="AUY46" s="344"/>
      <c r="AUZ46" s="344"/>
      <c r="AVA46" s="344"/>
      <c r="AVB46" s="344"/>
      <c r="AVC46" s="344"/>
      <c r="AVD46" s="344"/>
      <c r="AVE46" s="344"/>
      <c r="AVF46" s="344"/>
      <c r="AVG46" s="344"/>
      <c r="AVH46" s="344"/>
      <c r="AVI46" s="344"/>
      <c r="AVJ46" s="344"/>
      <c r="AVK46" s="344"/>
      <c r="AVL46" s="344"/>
      <c r="AVM46" s="344"/>
      <c r="AVN46" s="344"/>
      <c r="AVO46" s="344"/>
      <c r="AVP46" s="344"/>
      <c r="AVQ46" s="344"/>
      <c r="AVR46" s="344"/>
      <c r="AVS46" s="344"/>
      <c r="AVT46" s="344"/>
      <c r="AVU46" s="344"/>
      <c r="AVV46" s="344"/>
      <c r="AVW46" s="344"/>
      <c r="AVX46" s="344"/>
      <c r="AVY46" s="344"/>
      <c r="AVZ46" s="344"/>
      <c r="AWA46" s="344"/>
      <c r="AWB46" s="344"/>
      <c r="AWC46" s="344"/>
      <c r="AWD46" s="344"/>
      <c r="AWE46" s="344"/>
      <c r="AWF46" s="344"/>
      <c r="AWG46" s="344"/>
      <c r="AWH46" s="344"/>
      <c r="AWI46" s="344"/>
      <c r="AWJ46" s="344"/>
      <c r="AWK46" s="344"/>
      <c r="AWL46" s="344"/>
      <c r="AWM46" s="344"/>
      <c r="AWN46" s="344"/>
      <c r="AWO46" s="344"/>
      <c r="AWP46" s="344"/>
      <c r="AWQ46" s="344"/>
      <c r="AWR46" s="344"/>
      <c r="AWS46" s="344"/>
      <c r="AWT46" s="344"/>
      <c r="AWU46" s="344"/>
      <c r="AWV46" s="344"/>
      <c r="AWW46" s="344"/>
      <c r="AWX46" s="344"/>
      <c r="AWY46" s="344"/>
      <c r="AWZ46" s="344"/>
      <c r="AXA46" s="344"/>
      <c r="AXB46" s="344"/>
      <c r="AXC46" s="344"/>
      <c r="AXD46" s="344"/>
      <c r="AXE46" s="344"/>
      <c r="AXF46" s="344"/>
      <c r="AXG46" s="344"/>
      <c r="AXH46" s="344"/>
      <c r="AXI46" s="344"/>
      <c r="AXJ46" s="344"/>
      <c r="AXK46" s="344"/>
      <c r="AXL46" s="344"/>
      <c r="AXM46" s="344"/>
      <c r="AXN46" s="344"/>
      <c r="AXO46" s="344"/>
      <c r="AXP46" s="344"/>
      <c r="AXQ46" s="344"/>
      <c r="AXR46" s="344"/>
      <c r="AXS46" s="344"/>
      <c r="AXT46" s="344"/>
      <c r="AXU46" s="344"/>
      <c r="AXV46" s="344"/>
      <c r="AXW46" s="344"/>
      <c r="AXX46" s="344"/>
      <c r="AXY46" s="344"/>
      <c r="AXZ46" s="344"/>
      <c r="AYA46" s="344"/>
      <c r="AYB46" s="344"/>
      <c r="AYC46" s="344"/>
      <c r="AYD46" s="344"/>
      <c r="AYE46" s="344"/>
      <c r="AYF46" s="344"/>
      <c r="AYG46" s="344"/>
      <c r="AYH46" s="344"/>
      <c r="AYI46" s="344"/>
      <c r="AYJ46" s="344"/>
      <c r="AYK46" s="344"/>
      <c r="AYL46" s="344"/>
      <c r="AYM46" s="344"/>
      <c r="AYN46" s="344"/>
      <c r="AYO46" s="344"/>
      <c r="AYP46" s="344"/>
      <c r="AYQ46" s="344"/>
      <c r="AYR46" s="344"/>
      <c r="AYS46" s="344"/>
      <c r="AYT46" s="344"/>
      <c r="AYU46" s="344"/>
      <c r="AYV46" s="344"/>
      <c r="AYW46" s="344"/>
      <c r="AYX46" s="344"/>
      <c r="AYY46" s="344"/>
      <c r="AYZ46" s="344"/>
      <c r="AZA46" s="344"/>
      <c r="AZB46" s="344"/>
      <c r="AZC46" s="344"/>
      <c r="AZD46" s="344"/>
      <c r="AZE46" s="344"/>
      <c r="AZF46" s="344"/>
      <c r="AZG46" s="344"/>
      <c r="AZH46" s="344"/>
      <c r="AZI46" s="344"/>
      <c r="AZJ46" s="344"/>
      <c r="AZK46" s="344"/>
      <c r="AZL46" s="344"/>
      <c r="AZM46" s="344"/>
      <c r="AZN46" s="344"/>
      <c r="AZO46" s="344"/>
      <c r="AZP46" s="344"/>
      <c r="AZQ46" s="344"/>
      <c r="AZR46" s="344"/>
      <c r="AZS46" s="344"/>
      <c r="AZT46" s="344"/>
      <c r="AZU46" s="344"/>
      <c r="AZV46" s="344"/>
      <c r="AZW46" s="344"/>
      <c r="AZX46" s="344"/>
      <c r="AZY46" s="344"/>
      <c r="AZZ46" s="344"/>
      <c r="BAA46" s="344"/>
      <c r="BAB46" s="344"/>
      <c r="BAC46" s="344"/>
      <c r="BAD46" s="344"/>
      <c r="BAE46" s="344"/>
      <c r="BAF46" s="344"/>
      <c r="BAG46" s="344"/>
      <c r="BAH46" s="344"/>
      <c r="BAI46" s="344"/>
      <c r="BAJ46" s="344"/>
      <c r="BAK46" s="344"/>
      <c r="BAL46" s="344"/>
      <c r="BAM46" s="344"/>
      <c r="BAN46" s="344"/>
      <c r="BAO46" s="344"/>
      <c r="BAP46" s="344"/>
      <c r="BAQ46" s="344"/>
      <c r="BAR46" s="344"/>
      <c r="BAS46" s="344"/>
      <c r="BAT46" s="344"/>
      <c r="BAU46" s="344"/>
      <c r="BAV46" s="344"/>
      <c r="BAW46" s="344"/>
      <c r="BAX46" s="344"/>
      <c r="BAY46" s="344"/>
      <c r="BAZ46" s="344"/>
      <c r="BBA46" s="344"/>
      <c r="BBB46" s="344"/>
      <c r="BBC46" s="344"/>
      <c r="BBD46" s="344"/>
      <c r="BBE46" s="344"/>
      <c r="BBF46" s="344"/>
      <c r="BBG46" s="344"/>
      <c r="BBH46" s="344"/>
      <c r="BBI46" s="344"/>
      <c r="BBJ46" s="344"/>
      <c r="BBK46" s="344"/>
      <c r="BBL46" s="344"/>
      <c r="BBM46" s="344"/>
      <c r="BBN46" s="344"/>
      <c r="BBO46" s="344"/>
      <c r="BBP46" s="344"/>
      <c r="BBQ46" s="344"/>
      <c r="BBR46" s="344"/>
      <c r="BBS46" s="344"/>
      <c r="BBT46" s="344"/>
      <c r="BBU46" s="344"/>
      <c r="BBV46" s="344"/>
      <c r="BBW46" s="344"/>
      <c r="BBX46" s="344"/>
      <c r="BBY46" s="344"/>
      <c r="BBZ46" s="344"/>
      <c r="BCA46" s="344"/>
      <c r="BCB46" s="344"/>
      <c r="BCC46" s="344"/>
      <c r="BCD46" s="344"/>
      <c r="BCE46" s="344"/>
      <c r="BCF46" s="344"/>
      <c r="BCG46" s="344"/>
      <c r="BCH46" s="344"/>
      <c r="BCI46" s="344"/>
      <c r="BCJ46" s="344"/>
      <c r="BCK46" s="344"/>
      <c r="BCL46" s="344"/>
      <c r="BCM46" s="344"/>
      <c r="BCN46" s="344"/>
      <c r="BCO46" s="344"/>
      <c r="BCP46" s="344"/>
      <c r="BCQ46" s="344"/>
      <c r="BCR46" s="344"/>
      <c r="BCS46" s="344"/>
      <c r="BCT46" s="344"/>
      <c r="BCU46" s="344"/>
      <c r="BCV46" s="344"/>
      <c r="BCW46" s="344"/>
      <c r="BCX46" s="344"/>
      <c r="BCY46" s="344"/>
      <c r="BCZ46" s="344"/>
      <c r="BDA46" s="344"/>
      <c r="BDB46" s="344"/>
      <c r="BDC46" s="344"/>
      <c r="BDD46" s="344"/>
      <c r="BDE46" s="344"/>
      <c r="BDF46" s="344"/>
      <c r="BDG46" s="344"/>
      <c r="BDH46" s="344"/>
      <c r="BDI46" s="344"/>
      <c r="BDJ46" s="344"/>
      <c r="BDK46" s="344"/>
      <c r="BDL46" s="344"/>
      <c r="BDM46" s="344"/>
      <c r="BDN46" s="344"/>
      <c r="BDO46" s="344"/>
      <c r="BDP46" s="344"/>
      <c r="BDQ46" s="344"/>
      <c r="BDR46" s="344"/>
      <c r="BDS46" s="344"/>
      <c r="BDT46" s="344"/>
      <c r="BDU46" s="344"/>
      <c r="BDV46" s="344"/>
      <c r="BDW46" s="344"/>
      <c r="BDX46" s="344"/>
      <c r="BDY46" s="344"/>
      <c r="BDZ46" s="344"/>
      <c r="BEA46" s="344"/>
      <c r="BEB46" s="344"/>
      <c r="BEC46" s="344"/>
      <c r="BED46" s="344"/>
      <c r="BEE46" s="344"/>
      <c r="BEF46" s="344"/>
      <c r="BEG46" s="344"/>
      <c r="BEH46" s="344"/>
      <c r="BEI46" s="344"/>
      <c r="BEJ46" s="344"/>
      <c r="BEK46" s="344"/>
      <c r="BEL46" s="344"/>
      <c r="BEM46" s="344"/>
      <c r="BEN46" s="344"/>
      <c r="BEO46" s="344"/>
      <c r="BEP46" s="344"/>
      <c r="BEQ46" s="344"/>
      <c r="BER46" s="344"/>
      <c r="BES46" s="344"/>
      <c r="BET46" s="344"/>
      <c r="BEU46" s="344"/>
      <c r="BEV46" s="344"/>
      <c r="BEW46" s="344"/>
      <c r="BEX46" s="344"/>
      <c r="BEY46" s="344"/>
      <c r="BEZ46" s="344"/>
      <c r="BFA46" s="344"/>
      <c r="BFB46" s="344"/>
      <c r="BFC46" s="344"/>
      <c r="BFD46" s="344"/>
      <c r="BFE46" s="344"/>
      <c r="BFF46" s="344"/>
      <c r="BFG46" s="344"/>
      <c r="BFH46" s="344"/>
      <c r="BFI46" s="344"/>
      <c r="BFJ46" s="344"/>
      <c r="BFK46" s="344"/>
      <c r="BFL46" s="344"/>
      <c r="BFM46" s="344"/>
      <c r="BFN46" s="344"/>
      <c r="BFO46" s="344"/>
      <c r="BFP46" s="344"/>
      <c r="BFQ46" s="344"/>
      <c r="BFR46" s="344"/>
      <c r="BFS46" s="344"/>
      <c r="BFT46" s="344"/>
      <c r="BFU46" s="344"/>
      <c r="BFV46" s="344"/>
      <c r="BFW46" s="344"/>
      <c r="BFX46" s="344"/>
      <c r="BFY46" s="344"/>
      <c r="BFZ46" s="344"/>
      <c r="BGA46" s="344"/>
      <c r="BGB46" s="344"/>
      <c r="BGC46" s="344"/>
      <c r="BGD46" s="344"/>
      <c r="BGE46" s="344"/>
      <c r="BGF46" s="344"/>
      <c r="BGG46" s="344"/>
      <c r="BGH46" s="344"/>
      <c r="BGI46" s="344"/>
      <c r="BGJ46" s="344"/>
      <c r="BGK46" s="344"/>
      <c r="BGL46" s="344"/>
      <c r="BGM46" s="344"/>
      <c r="BGN46" s="344"/>
      <c r="BGO46" s="344"/>
      <c r="BGP46" s="344"/>
      <c r="BGQ46" s="344"/>
      <c r="BGR46" s="344"/>
      <c r="BGS46" s="344"/>
      <c r="BGT46" s="344"/>
      <c r="BGU46" s="344"/>
      <c r="BGV46" s="344"/>
      <c r="BGW46" s="344"/>
      <c r="BGX46" s="344"/>
      <c r="BGY46" s="344"/>
      <c r="BGZ46" s="344"/>
      <c r="BHA46" s="344"/>
      <c r="BHB46" s="344"/>
      <c r="BHC46" s="344"/>
      <c r="BHD46" s="344"/>
      <c r="BHE46" s="344"/>
      <c r="BHF46" s="344"/>
      <c r="BHG46" s="344"/>
      <c r="BHH46" s="344"/>
      <c r="BHI46" s="344"/>
      <c r="BHJ46" s="344"/>
      <c r="BHK46" s="344"/>
      <c r="BHL46" s="344"/>
      <c r="BHM46" s="344"/>
      <c r="BHN46" s="344"/>
      <c r="BHO46" s="344"/>
      <c r="BHP46" s="344"/>
      <c r="BHQ46" s="344"/>
      <c r="BHR46" s="344"/>
      <c r="BHS46" s="344"/>
      <c r="BHT46" s="344"/>
      <c r="BHU46" s="344"/>
      <c r="BHV46" s="344"/>
      <c r="BHW46" s="344"/>
      <c r="BHX46" s="344"/>
      <c r="BHY46" s="344"/>
      <c r="BHZ46" s="344"/>
      <c r="BIA46" s="344"/>
      <c r="BIB46" s="344"/>
      <c r="BIC46" s="344"/>
      <c r="BID46" s="344"/>
      <c r="BIE46" s="344"/>
      <c r="BIF46" s="344"/>
      <c r="BIG46" s="344"/>
      <c r="BIH46" s="344"/>
      <c r="BII46" s="344"/>
      <c r="BIJ46" s="344"/>
      <c r="BIK46" s="344"/>
      <c r="BIL46" s="344"/>
      <c r="BIM46" s="344"/>
      <c r="BIN46" s="344"/>
      <c r="BIO46" s="344"/>
      <c r="BIP46" s="344"/>
      <c r="BIQ46" s="344"/>
      <c r="BIR46" s="344"/>
      <c r="BIS46" s="344"/>
      <c r="BIT46" s="344"/>
      <c r="BIU46" s="344"/>
      <c r="BIV46" s="344"/>
      <c r="BIW46" s="344"/>
      <c r="BIX46" s="344"/>
      <c r="BIY46" s="344"/>
      <c r="BIZ46" s="344"/>
      <c r="BJA46" s="344"/>
      <c r="BJB46" s="344"/>
      <c r="BJC46" s="344"/>
      <c r="BJD46" s="344"/>
      <c r="BJE46" s="344"/>
      <c r="BJF46" s="344"/>
      <c r="BJG46" s="344"/>
      <c r="BJH46" s="344"/>
      <c r="BJI46" s="344"/>
      <c r="BJJ46" s="344"/>
      <c r="BJK46" s="344"/>
      <c r="BJL46" s="344"/>
      <c r="BJM46" s="344"/>
      <c r="BJN46" s="344"/>
      <c r="BJO46" s="344"/>
      <c r="BJP46" s="344"/>
      <c r="BJQ46" s="344"/>
      <c r="BJR46" s="344"/>
      <c r="BJS46" s="344"/>
      <c r="BJT46" s="344"/>
      <c r="BJU46" s="344"/>
      <c r="BJV46" s="344"/>
      <c r="BJW46" s="344"/>
      <c r="BJX46" s="344"/>
      <c r="BJY46" s="344"/>
      <c r="BJZ46" s="344"/>
      <c r="BKA46" s="344"/>
      <c r="BKB46" s="344"/>
      <c r="BKC46" s="344"/>
      <c r="BKD46" s="344"/>
      <c r="BKE46" s="344"/>
      <c r="BKF46" s="344"/>
      <c r="BKG46" s="344"/>
      <c r="BKH46" s="344"/>
      <c r="BKI46" s="344"/>
      <c r="BKJ46" s="344"/>
      <c r="BKK46" s="344"/>
      <c r="BKL46" s="344"/>
      <c r="BKM46" s="344"/>
      <c r="BKN46" s="344"/>
      <c r="BKO46" s="344"/>
      <c r="BKP46" s="344"/>
      <c r="BKQ46" s="344"/>
      <c r="BKR46" s="344"/>
      <c r="BKS46" s="344"/>
      <c r="BKT46" s="344"/>
      <c r="BKU46" s="344"/>
      <c r="BKV46" s="344"/>
      <c r="BKW46" s="344"/>
      <c r="BKX46" s="344"/>
      <c r="BKY46" s="344"/>
      <c r="BKZ46" s="344"/>
      <c r="BLA46" s="344"/>
      <c r="BLB46" s="344"/>
      <c r="BLC46" s="344"/>
      <c r="BLD46" s="344"/>
      <c r="BLE46" s="344"/>
      <c r="BLF46" s="344"/>
      <c r="BLG46" s="344"/>
      <c r="BLH46" s="344"/>
      <c r="BLI46" s="344"/>
      <c r="BLJ46" s="344"/>
      <c r="BLK46" s="344"/>
      <c r="BLL46" s="344"/>
      <c r="BLM46" s="344"/>
      <c r="BLN46" s="344"/>
      <c r="BLO46" s="344"/>
      <c r="BLP46" s="344"/>
      <c r="BLQ46" s="344"/>
      <c r="BLR46" s="344"/>
      <c r="BLS46" s="344"/>
      <c r="BLT46" s="344"/>
      <c r="BLU46" s="344"/>
      <c r="BLV46" s="344"/>
      <c r="BLW46" s="344"/>
      <c r="BLX46" s="344"/>
      <c r="BLY46" s="344"/>
      <c r="BLZ46" s="344"/>
      <c r="BMA46" s="344"/>
      <c r="BMB46" s="344"/>
      <c r="BMC46" s="344"/>
      <c r="BMD46" s="344"/>
      <c r="BME46" s="344"/>
      <c r="BMF46" s="344"/>
      <c r="BMG46" s="344"/>
      <c r="BMH46" s="344"/>
      <c r="BMI46" s="344"/>
      <c r="BMJ46" s="344"/>
      <c r="BMK46" s="344"/>
      <c r="BML46" s="344"/>
      <c r="BMM46" s="344"/>
      <c r="BMN46" s="344"/>
      <c r="BMO46" s="344"/>
      <c r="BMP46" s="344"/>
      <c r="BMQ46" s="344"/>
      <c r="BMR46" s="344"/>
      <c r="BMS46" s="344"/>
      <c r="BMT46" s="344"/>
      <c r="BMU46" s="344"/>
      <c r="BMV46" s="344"/>
      <c r="BMW46" s="344"/>
      <c r="BMX46" s="344"/>
      <c r="BMY46" s="344"/>
      <c r="BMZ46" s="344"/>
      <c r="BNA46" s="344"/>
      <c r="BNB46" s="344"/>
      <c r="BNC46" s="344"/>
      <c r="BND46" s="344"/>
      <c r="BNE46" s="344"/>
      <c r="BNF46" s="344"/>
      <c r="BNG46" s="344"/>
      <c r="BNH46" s="344"/>
      <c r="BNI46" s="344"/>
      <c r="BNJ46" s="344"/>
      <c r="BNK46" s="344"/>
      <c r="BNL46" s="344"/>
      <c r="BNM46" s="344"/>
      <c r="BNN46" s="344"/>
      <c r="BNO46" s="344"/>
      <c r="BNP46" s="344"/>
      <c r="BNQ46" s="344"/>
      <c r="BNR46" s="344"/>
      <c r="BNS46" s="344"/>
      <c r="BNT46" s="344"/>
      <c r="BNU46" s="344"/>
      <c r="BNV46" s="344"/>
      <c r="BNW46" s="344"/>
      <c r="BNX46" s="344"/>
      <c r="BNY46" s="344"/>
      <c r="BNZ46" s="344"/>
      <c r="BOA46" s="344"/>
      <c r="BOB46" s="344"/>
      <c r="BOC46" s="344"/>
      <c r="BOD46" s="344"/>
      <c r="BOE46" s="344"/>
      <c r="BOF46" s="344"/>
      <c r="BOG46" s="344"/>
      <c r="BOH46" s="344"/>
      <c r="BOI46" s="344"/>
      <c r="BOJ46" s="344"/>
      <c r="BOK46" s="344"/>
      <c r="BOL46" s="344"/>
      <c r="BOM46" s="344"/>
      <c r="BON46" s="344"/>
      <c r="BOO46" s="344"/>
      <c r="BOP46" s="344"/>
      <c r="BOQ46" s="344"/>
      <c r="BOR46" s="344"/>
      <c r="BOS46" s="344"/>
      <c r="BOT46" s="344"/>
      <c r="BOU46" s="344"/>
      <c r="BOV46" s="344"/>
      <c r="BOW46" s="344"/>
      <c r="BOX46" s="344"/>
      <c r="BOY46" s="344"/>
      <c r="BOZ46" s="344"/>
      <c r="BPA46" s="344"/>
      <c r="BPB46" s="344"/>
      <c r="BPC46" s="344"/>
      <c r="BPD46" s="344"/>
      <c r="BPE46" s="344"/>
      <c r="BPF46" s="344"/>
      <c r="BPG46" s="344"/>
      <c r="BPH46" s="344"/>
      <c r="BPI46" s="344"/>
      <c r="BPJ46" s="344"/>
      <c r="BPK46" s="344"/>
      <c r="BPL46" s="344"/>
      <c r="BPM46" s="344"/>
      <c r="BPN46" s="344"/>
      <c r="BPO46" s="344"/>
      <c r="BPP46" s="344"/>
      <c r="BPQ46" s="344"/>
      <c r="BPR46" s="344"/>
      <c r="BPS46" s="344"/>
      <c r="BPT46" s="344"/>
      <c r="BPU46" s="344"/>
      <c r="BPV46" s="344"/>
      <c r="BPW46" s="344"/>
      <c r="BPX46" s="344"/>
      <c r="BPY46" s="344"/>
      <c r="BPZ46" s="344"/>
      <c r="BQA46" s="344"/>
      <c r="BQB46" s="344"/>
      <c r="BQC46" s="344"/>
      <c r="BQD46" s="344"/>
      <c r="BQE46" s="344"/>
      <c r="BQF46" s="344"/>
      <c r="BQG46" s="344"/>
      <c r="BQH46" s="344"/>
      <c r="BQI46" s="344"/>
      <c r="BQJ46" s="344"/>
      <c r="BQK46" s="344"/>
      <c r="BQL46" s="344"/>
      <c r="BQM46" s="344"/>
      <c r="BQN46" s="344"/>
      <c r="BQO46" s="344"/>
      <c r="BQP46" s="344"/>
      <c r="BQQ46" s="344"/>
      <c r="BQR46" s="344"/>
      <c r="BQS46" s="344"/>
      <c r="BQT46" s="344"/>
      <c r="BQU46" s="344"/>
      <c r="BQV46" s="344"/>
      <c r="BQW46" s="344"/>
      <c r="BQX46" s="344"/>
      <c r="BQY46" s="344"/>
      <c r="BQZ46" s="344"/>
      <c r="BRA46" s="344"/>
      <c r="BRB46" s="344"/>
      <c r="BRC46" s="344"/>
      <c r="BRD46" s="344"/>
      <c r="BRE46" s="344"/>
      <c r="BRF46" s="344"/>
      <c r="BRG46" s="344"/>
      <c r="BRH46" s="344"/>
      <c r="BRI46" s="344"/>
      <c r="BRJ46" s="344"/>
      <c r="BRK46" s="344"/>
      <c r="BRL46" s="344"/>
      <c r="BRM46" s="344"/>
      <c r="BRN46" s="344"/>
      <c r="BRO46" s="344"/>
      <c r="BRP46" s="344"/>
      <c r="BRQ46" s="344"/>
      <c r="BRR46" s="344"/>
      <c r="BRS46" s="344"/>
      <c r="BRT46" s="344"/>
      <c r="BRU46" s="344"/>
      <c r="BRV46" s="344"/>
      <c r="BRW46" s="344"/>
      <c r="BRX46" s="344"/>
      <c r="BRY46" s="344"/>
      <c r="BRZ46" s="344"/>
      <c r="BSA46" s="344"/>
      <c r="BSB46" s="344"/>
      <c r="BSC46" s="344"/>
      <c r="BSD46" s="344"/>
      <c r="BSE46" s="344"/>
      <c r="BSF46" s="344"/>
      <c r="BSG46" s="344"/>
      <c r="BSH46" s="344"/>
      <c r="BSI46" s="344"/>
      <c r="BSJ46" s="344"/>
      <c r="BSK46" s="344"/>
      <c r="BSL46" s="344"/>
      <c r="BSM46" s="344"/>
      <c r="BSN46" s="344"/>
      <c r="BSO46" s="344"/>
      <c r="BSP46" s="344"/>
      <c r="BSQ46" s="344"/>
      <c r="BSR46" s="344"/>
      <c r="BSS46" s="344"/>
      <c r="BST46" s="344"/>
      <c r="BSU46" s="344"/>
      <c r="BSV46" s="344"/>
      <c r="BSW46" s="344"/>
      <c r="BSX46" s="344"/>
      <c r="BSY46" s="344"/>
      <c r="BSZ46" s="344"/>
      <c r="BTA46" s="344"/>
      <c r="BTB46" s="344"/>
      <c r="BTC46" s="344"/>
      <c r="BTD46" s="344"/>
      <c r="BTE46" s="344"/>
      <c r="BTF46" s="344"/>
      <c r="BTG46" s="344"/>
      <c r="BTH46" s="344"/>
      <c r="BTI46" s="344"/>
      <c r="BTJ46" s="344"/>
      <c r="BTK46" s="344"/>
      <c r="BTL46" s="344"/>
      <c r="BTM46" s="344"/>
      <c r="BTN46" s="344"/>
      <c r="BTO46" s="344"/>
      <c r="BTP46" s="344"/>
      <c r="BTQ46" s="344"/>
      <c r="BTR46" s="344"/>
      <c r="BTS46" s="344"/>
      <c r="BTT46" s="344"/>
      <c r="BTU46" s="344"/>
      <c r="BTV46" s="344"/>
      <c r="BTW46" s="344"/>
      <c r="BTX46" s="344"/>
      <c r="BTY46" s="344"/>
      <c r="BTZ46" s="344"/>
      <c r="BUA46" s="344"/>
      <c r="BUB46" s="344"/>
      <c r="BUC46" s="344"/>
      <c r="BUD46" s="344"/>
      <c r="BUE46" s="344"/>
      <c r="BUF46" s="344"/>
      <c r="BUG46" s="344"/>
      <c r="BUH46" s="344"/>
      <c r="BUI46" s="344"/>
      <c r="BUJ46" s="344"/>
      <c r="BUK46" s="344"/>
      <c r="BUL46" s="344"/>
      <c r="BUM46" s="344"/>
      <c r="BUN46" s="344"/>
      <c r="BUO46" s="344"/>
      <c r="BUP46" s="344"/>
      <c r="BUQ46" s="344"/>
      <c r="BUR46" s="344"/>
      <c r="BUS46" s="344"/>
      <c r="BUT46" s="344"/>
      <c r="BUU46" s="344"/>
      <c r="BUV46" s="344"/>
      <c r="BUW46" s="344"/>
      <c r="BUX46" s="344"/>
      <c r="BUY46" s="344"/>
      <c r="BUZ46" s="344"/>
      <c r="BVA46" s="344"/>
      <c r="BVB46" s="344"/>
      <c r="BVC46" s="344"/>
      <c r="BVD46" s="344"/>
      <c r="BVE46" s="344"/>
      <c r="BVF46" s="344"/>
      <c r="BVG46" s="344"/>
      <c r="BVH46" s="344"/>
      <c r="BVI46" s="344"/>
      <c r="BVJ46" s="344"/>
      <c r="BVK46" s="344"/>
      <c r="BVL46" s="344"/>
      <c r="BVM46" s="344"/>
      <c r="BVN46" s="344"/>
      <c r="BVO46" s="344"/>
      <c r="BVP46" s="344"/>
      <c r="BVQ46" s="344"/>
      <c r="BVR46" s="344"/>
      <c r="BVS46" s="344"/>
      <c r="BVT46" s="344"/>
      <c r="BVU46" s="344"/>
      <c r="BVV46" s="344"/>
      <c r="BVW46" s="344"/>
      <c r="BVX46" s="344"/>
      <c r="BVY46" s="344"/>
      <c r="BVZ46" s="344"/>
      <c r="BWA46" s="344"/>
      <c r="BWB46" s="344"/>
      <c r="BWC46" s="344"/>
      <c r="BWD46" s="344"/>
      <c r="BWE46" s="344"/>
      <c r="BWF46" s="344"/>
      <c r="BWG46" s="344"/>
      <c r="BWH46" s="344"/>
      <c r="BWI46" s="344"/>
      <c r="BWJ46" s="344"/>
      <c r="BWK46" s="344"/>
      <c r="BWL46" s="344"/>
      <c r="BWM46" s="344"/>
      <c r="BWN46" s="344"/>
      <c r="BWO46" s="344"/>
      <c r="BWP46" s="344"/>
      <c r="BWQ46" s="344"/>
      <c r="BWR46" s="344"/>
      <c r="BWS46" s="344"/>
      <c r="BWT46" s="344"/>
      <c r="BWU46" s="344"/>
      <c r="BWV46" s="344"/>
      <c r="BWW46" s="344"/>
      <c r="BWX46" s="344"/>
      <c r="BWY46" s="344"/>
      <c r="BWZ46" s="344"/>
      <c r="BXA46" s="344"/>
      <c r="BXB46" s="344"/>
      <c r="BXC46" s="344"/>
      <c r="BXD46" s="344"/>
      <c r="BXE46" s="344"/>
      <c r="BXF46" s="344"/>
      <c r="BXG46" s="344"/>
      <c r="BXH46" s="344"/>
      <c r="BXI46" s="344"/>
      <c r="BXJ46" s="344"/>
      <c r="BXK46" s="344"/>
      <c r="BXL46" s="344"/>
      <c r="BXM46" s="344"/>
      <c r="BXN46" s="344"/>
      <c r="BXO46" s="344"/>
      <c r="BXP46" s="344"/>
      <c r="BXQ46" s="344"/>
      <c r="BXR46" s="344"/>
      <c r="BXS46" s="344"/>
      <c r="BXT46" s="344"/>
      <c r="BXU46" s="344"/>
      <c r="BXV46" s="344"/>
      <c r="BXW46" s="344"/>
      <c r="BXX46" s="344"/>
      <c r="BXY46" s="344"/>
      <c r="BXZ46" s="344"/>
      <c r="BYA46" s="344"/>
      <c r="BYB46" s="344"/>
      <c r="BYC46" s="344"/>
      <c r="BYD46" s="344"/>
      <c r="BYE46" s="344"/>
      <c r="BYF46" s="344"/>
      <c r="BYG46" s="344"/>
      <c r="BYH46" s="344"/>
      <c r="BYI46" s="344"/>
      <c r="BYJ46" s="344"/>
      <c r="BYK46" s="344"/>
      <c r="BYL46" s="344"/>
      <c r="BYM46" s="344"/>
      <c r="BYN46" s="344"/>
      <c r="BYO46" s="344"/>
      <c r="BYP46" s="344"/>
      <c r="BYQ46" s="344"/>
      <c r="BYR46" s="344"/>
      <c r="BYS46" s="344"/>
      <c r="BYT46" s="344"/>
      <c r="BYU46" s="344"/>
      <c r="BYV46" s="344"/>
      <c r="BYW46" s="344"/>
      <c r="BYX46" s="344"/>
      <c r="BYY46" s="344"/>
      <c r="BYZ46" s="344"/>
      <c r="BZA46" s="344"/>
      <c r="BZB46" s="344"/>
      <c r="BZC46" s="344"/>
      <c r="BZD46" s="344"/>
      <c r="BZE46" s="344"/>
      <c r="BZF46" s="344"/>
      <c r="BZG46" s="344"/>
      <c r="BZH46" s="344"/>
      <c r="BZI46" s="344"/>
      <c r="BZJ46" s="344"/>
      <c r="BZK46" s="344"/>
      <c r="BZL46" s="344"/>
      <c r="BZM46" s="344"/>
      <c r="BZN46" s="344"/>
      <c r="BZO46" s="344"/>
      <c r="BZP46" s="344"/>
      <c r="BZQ46" s="344"/>
      <c r="BZR46" s="344"/>
      <c r="BZS46" s="344"/>
      <c r="BZT46" s="344"/>
      <c r="BZU46" s="344"/>
      <c r="BZV46" s="344"/>
      <c r="BZW46" s="344"/>
      <c r="BZX46" s="344"/>
      <c r="BZY46" s="344"/>
      <c r="BZZ46" s="344"/>
      <c r="CAA46" s="344"/>
      <c r="CAB46" s="344"/>
      <c r="CAC46" s="344"/>
      <c r="CAD46" s="344"/>
      <c r="CAE46" s="344"/>
      <c r="CAF46" s="344"/>
      <c r="CAG46" s="344"/>
      <c r="CAH46" s="344"/>
      <c r="CAI46" s="344"/>
      <c r="CAJ46" s="344"/>
      <c r="CAK46" s="344"/>
      <c r="CAL46" s="344"/>
      <c r="CAM46" s="344"/>
      <c r="CAN46" s="344"/>
      <c r="CAO46" s="344"/>
      <c r="CAP46" s="344"/>
      <c r="CAQ46" s="344"/>
      <c r="CAR46" s="344"/>
      <c r="CAS46" s="344"/>
      <c r="CAT46" s="344"/>
      <c r="CAU46" s="344"/>
      <c r="CAV46" s="344"/>
      <c r="CAW46" s="344"/>
      <c r="CAX46" s="344"/>
      <c r="CAY46" s="344"/>
      <c r="CAZ46" s="344"/>
      <c r="CBA46" s="344"/>
      <c r="CBB46" s="344"/>
      <c r="CBC46" s="344"/>
      <c r="CBD46" s="344"/>
      <c r="CBE46" s="344"/>
      <c r="CBF46" s="344"/>
      <c r="CBG46" s="344"/>
      <c r="CBH46" s="344"/>
      <c r="CBI46" s="344"/>
      <c r="CBJ46" s="344"/>
      <c r="CBK46" s="344"/>
      <c r="CBL46" s="344"/>
      <c r="CBM46" s="344"/>
      <c r="CBN46" s="344"/>
      <c r="CBO46" s="344"/>
      <c r="CBP46" s="344"/>
      <c r="CBQ46" s="344"/>
      <c r="CBR46" s="344"/>
      <c r="CBS46" s="344"/>
      <c r="CBT46" s="344"/>
      <c r="CBU46" s="344"/>
      <c r="CBV46" s="344"/>
      <c r="CBW46" s="344"/>
      <c r="CBX46" s="344"/>
      <c r="CBY46" s="344"/>
      <c r="CBZ46" s="344"/>
      <c r="CCA46" s="344"/>
      <c r="CCB46" s="344"/>
      <c r="CCC46" s="344"/>
      <c r="CCD46" s="344"/>
      <c r="CCE46" s="344"/>
      <c r="CCF46" s="344"/>
      <c r="CCG46" s="344"/>
      <c r="CCH46" s="344"/>
      <c r="CCI46" s="344"/>
      <c r="CCJ46" s="344"/>
      <c r="CCK46" s="344"/>
      <c r="CCL46" s="344"/>
      <c r="CCM46" s="344"/>
      <c r="CCN46" s="344"/>
      <c r="CCO46" s="344"/>
      <c r="CCP46" s="344"/>
      <c r="CCQ46" s="344"/>
      <c r="CCR46" s="344"/>
      <c r="CCS46" s="344"/>
      <c r="CCT46" s="344"/>
      <c r="CCU46" s="344"/>
      <c r="CCV46" s="344"/>
      <c r="CCW46" s="344"/>
      <c r="CCX46" s="344"/>
      <c r="CCY46" s="344"/>
      <c r="CCZ46" s="344"/>
      <c r="CDA46" s="344"/>
      <c r="CDB46" s="344"/>
      <c r="CDC46" s="344"/>
      <c r="CDD46" s="344"/>
      <c r="CDE46" s="344"/>
      <c r="CDF46" s="344"/>
      <c r="CDG46" s="344"/>
      <c r="CDH46" s="344"/>
      <c r="CDI46" s="344"/>
      <c r="CDJ46" s="344"/>
      <c r="CDK46" s="344"/>
      <c r="CDL46" s="344"/>
      <c r="CDM46" s="344"/>
      <c r="CDN46" s="344"/>
      <c r="CDO46" s="344"/>
      <c r="CDP46" s="344"/>
      <c r="CDQ46" s="344"/>
      <c r="CDR46" s="344"/>
      <c r="CDS46" s="344"/>
      <c r="CDT46" s="344"/>
      <c r="CDU46" s="344"/>
      <c r="CDV46" s="344"/>
      <c r="CDW46" s="344"/>
      <c r="CDX46" s="344"/>
      <c r="CDY46" s="344"/>
      <c r="CDZ46" s="344"/>
      <c r="CEA46" s="344"/>
      <c r="CEB46" s="344"/>
      <c r="CEC46" s="344"/>
      <c r="CED46" s="344"/>
      <c r="CEE46" s="344"/>
      <c r="CEF46" s="344"/>
      <c r="CEG46" s="344"/>
      <c r="CEH46" s="344"/>
      <c r="CEI46" s="344"/>
      <c r="CEJ46" s="344"/>
      <c r="CEK46" s="344"/>
      <c r="CEL46" s="344"/>
      <c r="CEM46" s="344"/>
      <c r="CEN46" s="344"/>
      <c r="CEO46" s="344"/>
      <c r="CEP46" s="344"/>
      <c r="CEQ46" s="344"/>
      <c r="CER46" s="344"/>
      <c r="CES46" s="344"/>
      <c r="CET46" s="344"/>
      <c r="CEU46" s="344"/>
      <c r="CEV46" s="344"/>
      <c r="CEW46" s="344"/>
      <c r="CEX46" s="344"/>
      <c r="CEY46" s="344"/>
      <c r="CEZ46" s="344"/>
      <c r="CFA46" s="344"/>
      <c r="CFB46" s="344"/>
      <c r="CFC46" s="344"/>
      <c r="CFD46" s="344"/>
      <c r="CFE46" s="344"/>
      <c r="CFF46" s="344"/>
      <c r="CFG46" s="344"/>
      <c r="CFH46" s="344"/>
      <c r="CFI46" s="344"/>
      <c r="CFJ46" s="344"/>
      <c r="CFK46" s="344"/>
      <c r="CFL46" s="344"/>
      <c r="CFM46" s="344"/>
      <c r="CFN46" s="344"/>
      <c r="CFO46" s="344"/>
      <c r="CFP46" s="344"/>
      <c r="CFQ46" s="344"/>
      <c r="CFR46" s="344"/>
      <c r="CFS46" s="344"/>
      <c r="CFT46" s="344"/>
      <c r="CFU46" s="344"/>
      <c r="CFV46" s="344"/>
      <c r="CFW46" s="344"/>
      <c r="CFX46" s="344"/>
      <c r="CFY46" s="344"/>
      <c r="CFZ46" s="344"/>
      <c r="CGA46" s="344"/>
      <c r="CGB46" s="344"/>
      <c r="CGC46" s="344"/>
      <c r="CGD46" s="344"/>
      <c r="CGE46" s="344"/>
      <c r="CGF46" s="344"/>
      <c r="CGG46" s="344"/>
      <c r="CGH46" s="344"/>
      <c r="CGI46" s="344"/>
      <c r="CGJ46" s="344"/>
      <c r="CGK46" s="344"/>
      <c r="CGL46" s="344"/>
      <c r="CGM46" s="344"/>
      <c r="CGN46" s="344"/>
      <c r="CGO46" s="344"/>
      <c r="CGP46" s="344"/>
      <c r="CGQ46" s="344"/>
      <c r="CGR46" s="344"/>
      <c r="CGS46" s="344"/>
      <c r="CGT46" s="344"/>
      <c r="CGU46" s="344"/>
      <c r="CGV46" s="344"/>
      <c r="CGW46" s="344"/>
      <c r="CGX46" s="344"/>
      <c r="CGY46" s="344"/>
      <c r="CGZ46" s="344"/>
      <c r="CHA46" s="344"/>
      <c r="CHB46" s="344"/>
      <c r="CHC46" s="344"/>
      <c r="CHD46" s="344"/>
      <c r="CHE46" s="344"/>
      <c r="CHF46" s="344"/>
      <c r="CHG46" s="344"/>
      <c r="CHH46" s="344"/>
      <c r="CHI46" s="344"/>
      <c r="CHJ46" s="344"/>
      <c r="CHK46" s="344"/>
      <c r="CHL46" s="344"/>
      <c r="CHM46" s="344"/>
      <c r="CHN46" s="344"/>
      <c r="CHO46" s="344"/>
      <c r="CHP46" s="344"/>
      <c r="CHQ46" s="344"/>
      <c r="CHR46" s="344"/>
      <c r="CHS46" s="344"/>
      <c r="CHT46" s="344"/>
      <c r="CHU46" s="344"/>
      <c r="CHV46" s="344"/>
      <c r="CHW46" s="344"/>
      <c r="CHX46" s="344"/>
      <c r="CHY46" s="344"/>
      <c r="CHZ46" s="344"/>
      <c r="CIA46" s="344"/>
      <c r="CIB46" s="344"/>
      <c r="CIC46" s="344"/>
      <c r="CID46" s="344"/>
      <c r="CIE46" s="344"/>
      <c r="CIF46" s="344"/>
      <c r="CIG46" s="344"/>
      <c r="CIH46" s="344"/>
      <c r="CII46" s="344"/>
      <c r="CIJ46" s="344"/>
      <c r="CIK46" s="344"/>
      <c r="CIL46" s="344"/>
      <c r="CIM46" s="344"/>
      <c r="CIN46" s="344"/>
      <c r="CIO46" s="344"/>
      <c r="CIP46" s="344"/>
      <c r="CIQ46" s="344"/>
      <c r="CIR46" s="344"/>
      <c r="CIS46" s="344"/>
      <c r="CIT46" s="344"/>
      <c r="CIU46" s="344"/>
      <c r="CIV46" s="344"/>
      <c r="CIW46" s="344"/>
      <c r="CIX46" s="344"/>
      <c r="CIY46" s="344"/>
      <c r="CIZ46" s="344"/>
      <c r="CJA46" s="344"/>
      <c r="CJB46" s="344"/>
      <c r="CJC46" s="344"/>
      <c r="CJD46" s="344"/>
      <c r="CJE46" s="344"/>
      <c r="CJF46" s="344"/>
      <c r="CJG46" s="344"/>
      <c r="CJH46" s="344"/>
      <c r="CJI46" s="344"/>
      <c r="CJJ46" s="344"/>
      <c r="CJK46" s="344"/>
      <c r="CJL46" s="344"/>
      <c r="CJM46" s="344"/>
      <c r="CJN46" s="344"/>
      <c r="CJO46" s="344"/>
      <c r="CJP46" s="344"/>
      <c r="CJQ46" s="344"/>
      <c r="CJR46" s="344"/>
      <c r="CJS46" s="344"/>
      <c r="CJT46" s="344"/>
      <c r="CJU46" s="344"/>
      <c r="CJV46" s="344"/>
      <c r="CJW46" s="344"/>
      <c r="CJX46" s="344"/>
      <c r="CJY46" s="344"/>
      <c r="CJZ46" s="344"/>
      <c r="CKA46" s="344"/>
      <c r="CKB46" s="344"/>
      <c r="CKC46" s="344"/>
      <c r="CKD46" s="344"/>
      <c r="CKE46" s="344"/>
      <c r="CKF46" s="344"/>
      <c r="CKG46" s="344"/>
      <c r="CKH46" s="344"/>
      <c r="CKI46" s="344"/>
      <c r="CKJ46" s="344"/>
      <c r="CKK46" s="344"/>
      <c r="CKL46" s="344"/>
      <c r="CKM46" s="344"/>
      <c r="CKN46" s="344"/>
      <c r="CKO46" s="344"/>
      <c r="CKP46" s="344"/>
      <c r="CKQ46" s="344"/>
      <c r="CKR46" s="344"/>
      <c r="CKS46" s="344"/>
      <c r="CKT46" s="344"/>
      <c r="CKU46" s="344"/>
      <c r="CKV46" s="344"/>
      <c r="CKW46" s="344"/>
      <c r="CKX46" s="344"/>
      <c r="CKY46" s="344"/>
      <c r="CKZ46" s="344"/>
      <c r="CLA46" s="344"/>
      <c r="CLB46" s="344"/>
      <c r="CLC46" s="344"/>
      <c r="CLD46" s="344"/>
      <c r="CLE46" s="344"/>
      <c r="CLF46" s="344"/>
      <c r="CLG46" s="344"/>
      <c r="CLH46" s="344"/>
      <c r="CLI46" s="344"/>
      <c r="CLJ46" s="344"/>
      <c r="CLK46" s="344"/>
      <c r="CLL46" s="344"/>
      <c r="CLM46" s="344"/>
      <c r="CLN46" s="344"/>
      <c r="CLO46" s="344"/>
      <c r="CLP46" s="344"/>
      <c r="CLQ46" s="344"/>
      <c r="CLR46" s="344"/>
      <c r="CLS46" s="344"/>
      <c r="CLT46" s="344"/>
      <c r="CLU46" s="344"/>
      <c r="CLV46" s="344"/>
      <c r="CLW46" s="344"/>
      <c r="CLX46" s="344"/>
      <c r="CLY46" s="344"/>
      <c r="CLZ46" s="344"/>
      <c r="CMA46" s="344"/>
      <c r="CMB46" s="344"/>
      <c r="CMC46" s="344"/>
      <c r="CMD46" s="344"/>
      <c r="CME46" s="344"/>
      <c r="CMF46" s="344"/>
      <c r="CMG46" s="344"/>
      <c r="CMH46" s="344"/>
      <c r="CMI46" s="344"/>
      <c r="CMJ46" s="344"/>
      <c r="CMK46" s="344"/>
      <c r="CML46" s="344"/>
      <c r="CMM46" s="344"/>
      <c r="CMN46" s="344"/>
      <c r="CMO46" s="344"/>
      <c r="CMP46" s="344"/>
      <c r="CMQ46" s="344"/>
      <c r="CMR46" s="344"/>
      <c r="CMS46" s="344"/>
      <c r="CMT46" s="344"/>
      <c r="CMU46" s="344"/>
      <c r="CMV46" s="344"/>
      <c r="CMW46" s="344"/>
      <c r="CMX46" s="344"/>
      <c r="CMY46" s="344"/>
      <c r="CMZ46" s="344"/>
      <c r="CNA46" s="344"/>
      <c r="CNB46" s="344"/>
      <c r="CNC46" s="344"/>
      <c r="CND46" s="344"/>
      <c r="CNE46" s="344"/>
      <c r="CNF46" s="344"/>
      <c r="CNG46" s="344"/>
      <c r="CNH46" s="344"/>
      <c r="CNI46" s="344"/>
      <c r="CNJ46" s="344"/>
      <c r="CNK46" s="344"/>
      <c r="CNL46" s="344"/>
      <c r="CNM46" s="344"/>
      <c r="CNN46" s="344"/>
      <c r="CNO46" s="344"/>
      <c r="CNP46" s="344"/>
      <c r="CNQ46" s="344"/>
      <c r="CNR46" s="344"/>
      <c r="CNS46" s="344"/>
      <c r="CNT46" s="344"/>
      <c r="CNU46" s="344"/>
      <c r="CNV46" s="344"/>
      <c r="CNW46" s="344"/>
      <c r="CNX46" s="344"/>
      <c r="CNY46" s="344"/>
      <c r="CNZ46" s="344"/>
      <c r="COA46" s="344"/>
      <c r="COB46" s="344"/>
      <c r="COC46" s="344"/>
      <c r="COD46" s="344"/>
      <c r="COE46" s="344"/>
      <c r="COF46" s="344"/>
      <c r="COG46" s="344"/>
      <c r="COH46" s="344"/>
      <c r="COI46" s="344"/>
      <c r="COJ46" s="344"/>
      <c r="COK46" s="344"/>
      <c r="COL46" s="344"/>
      <c r="COM46" s="344"/>
      <c r="CON46" s="344"/>
      <c r="COO46" s="344"/>
      <c r="COP46" s="344"/>
      <c r="COQ46" s="344"/>
      <c r="COR46" s="344"/>
      <c r="COS46" s="344"/>
      <c r="COT46" s="344"/>
      <c r="COU46" s="344"/>
      <c r="COV46" s="344"/>
      <c r="COW46" s="344"/>
      <c r="COX46" s="344"/>
      <c r="COY46" s="344"/>
      <c r="COZ46" s="344"/>
      <c r="CPA46" s="344"/>
      <c r="CPB46" s="344"/>
      <c r="CPC46" s="344"/>
      <c r="CPD46" s="344"/>
      <c r="CPE46" s="344"/>
      <c r="CPF46" s="344"/>
      <c r="CPG46" s="344"/>
      <c r="CPH46" s="344"/>
      <c r="CPI46" s="344"/>
      <c r="CPJ46" s="344"/>
      <c r="CPK46" s="344"/>
      <c r="CPL46" s="344"/>
      <c r="CPM46" s="344"/>
      <c r="CPN46" s="344"/>
      <c r="CPO46" s="344"/>
      <c r="CPP46" s="344"/>
      <c r="CPQ46" s="344"/>
      <c r="CPR46" s="344"/>
      <c r="CPS46" s="344"/>
      <c r="CPT46" s="344"/>
      <c r="CPU46" s="344"/>
      <c r="CPV46" s="344"/>
      <c r="CPW46" s="344"/>
      <c r="CPX46" s="344"/>
      <c r="CPY46" s="344"/>
      <c r="CPZ46" s="344"/>
      <c r="CQA46" s="344"/>
      <c r="CQB46" s="344"/>
      <c r="CQC46" s="344"/>
      <c r="CQD46" s="344"/>
      <c r="CQE46" s="344"/>
      <c r="CQF46" s="344"/>
      <c r="CQG46" s="344"/>
      <c r="CQH46" s="344"/>
      <c r="CQI46" s="344"/>
      <c r="CQJ46" s="344"/>
      <c r="CQK46" s="344"/>
      <c r="CQL46" s="344"/>
      <c r="CQM46" s="344"/>
      <c r="CQN46" s="344"/>
      <c r="CQO46" s="344"/>
      <c r="CQP46" s="344"/>
      <c r="CQQ46" s="344"/>
      <c r="CQR46" s="344"/>
      <c r="CQS46" s="344"/>
      <c r="CQT46" s="344"/>
      <c r="CQU46" s="344"/>
      <c r="CQV46" s="344"/>
      <c r="CQW46" s="344"/>
      <c r="CQX46" s="344"/>
      <c r="CQY46" s="344"/>
      <c r="CQZ46" s="344"/>
      <c r="CRA46" s="344"/>
      <c r="CRB46" s="344"/>
      <c r="CRC46" s="344"/>
      <c r="CRD46" s="344"/>
      <c r="CRE46" s="344"/>
      <c r="CRF46" s="344"/>
      <c r="CRG46" s="344"/>
      <c r="CRH46" s="344"/>
      <c r="CRI46" s="344"/>
      <c r="CRJ46" s="344"/>
      <c r="CRK46" s="344"/>
      <c r="CRL46" s="344"/>
      <c r="CRM46" s="344"/>
      <c r="CRN46" s="344"/>
      <c r="CRO46" s="344"/>
      <c r="CRP46" s="344"/>
      <c r="CRQ46" s="344"/>
      <c r="CRR46" s="344"/>
      <c r="CRS46" s="344"/>
      <c r="CRT46" s="344"/>
      <c r="CRU46" s="344"/>
      <c r="CRV46" s="344"/>
      <c r="CRW46" s="344"/>
      <c r="CRX46" s="344"/>
      <c r="CRY46" s="344"/>
      <c r="CRZ46" s="344"/>
      <c r="CSA46" s="344"/>
      <c r="CSB46" s="344"/>
      <c r="CSC46" s="344"/>
      <c r="CSD46" s="344"/>
      <c r="CSE46" s="344"/>
      <c r="CSF46" s="344"/>
      <c r="CSG46" s="344"/>
      <c r="CSH46" s="344"/>
      <c r="CSI46" s="344"/>
      <c r="CSJ46" s="344"/>
      <c r="CSK46" s="344"/>
      <c r="CSL46" s="344"/>
      <c r="CSM46" s="344"/>
      <c r="CSN46" s="344"/>
      <c r="CSO46" s="344"/>
      <c r="CSP46" s="344"/>
      <c r="CSQ46" s="344"/>
      <c r="CSR46" s="344"/>
      <c r="CSS46" s="344"/>
      <c r="CST46" s="344"/>
      <c r="CSU46" s="344"/>
      <c r="CSV46" s="344"/>
      <c r="CSW46" s="344"/>
      <c r="CSX46" s="344"/>
      <c r="CSY46" s="344"/>
      <c r="CSZ46" s="344"/>
      <c r="CTA46" s="344"/>
      <c r="CTB46" s="344"/>
      <c r="CTC46" s="344"/>
      <c r="CTD46" s="344"/>
      <c r="CTE46" s="344"/>
      <c r="CTF46" s="344"/>
      <c r="CTG46" s="344"/>
      <c r="CTH46" s="344"/>
      <c r="CTI46" s="344"/>
      <c r="CTJ46" s="344"/>
      <c r="CTK46" s="344"/>
      <c r="CTL46" s="344"/>
      <c r="CTM46" s="344"/>
      <c r="CTN46" s="344"/>
      <c r="CTO46" s="344"/>
      <c r="CTP46" s="344"/>
      <c r="CTQ46" s="344"/>
      <c r="CTR46" s="344"/>
      <c r="CTS46" s="344"/>
      <c r="CTT46" s="344"/>
      <c r="CTU46" s="344"/>
      <c r="CTV46" s="344"/>
      <c r="CTW46" s="344"/>
      <c r="CTX46" s="344"/>
      <c r="CTY46" s="344"/>
      <c r="CTZ46" s="344"/>
      <c r="CUA46" s="344"/>
      <c r="CUB46" s="344"/>
      <c r="CUC46" s="344"/>
      <c r="CUD46" s="344"/>
      <c r="CUE46" s="344"/>
      <c r="CUF46" s="344"/>
      <c r="CUG46" s="344"/>
      <c r="CUH46" s="344"/>
      <c r="CUI46" s="344"/>
      <c r="CUJ46" s="344"/>
      <c r="CUK46" s="344"/>
      <c r="CUL46" s="344"/>
      <c r="CUM46" s="344"/>
      <c r="CUN46" s="344"/>
      <c r="CUO46" s="344"/>
      <c r="CUP46" s="344"/>
      <c r="CUQ46" s="344"/>
      <c r="CUR46" s="344"/>
      <c r="CUS46" s="344"/>
      <c r="CUT46" s="344"/>
      <c r="CUU46" s="344"/>
      <c r="CUV46" s="344"/>
      <c r="CUW46" s="344"/>
      <c r="CUX46" s="344"/>
      <c r="CUY46" s="344"/>
      <c r="CUZ46" s="344"/>
      <c r="CVA46" s="344"/>
      <c r="CVB46" s="344"/>
      <c r="CVC46" s="344"/>
      <c r="CVD46" s="344"/>
      <c r="CVE46" s="344"/>
      <c r="CVF46" s="344"/>
      <c r="CVG46" s="344"/>
      <c r="CVH46" s="344"/>
      <c r="CVI46" s="344"/>
      <c r="CVJ46" s="344"/>
      <c r="CVK46" s="344"/>
      <c r="CVL46" s="344"/>
      <c r="CVM46" s="344"/>
      <c r="CVN46" s="344"/>
      <c r="CVO46" s="344"/>
      <c r="CVP46" s="344"/>
      <c r="CVQ46" s="344"/>
      <c r="CVR46" s="344"/>
      <c r="CVS46" s="344"/>
      <c r="CVT46" s="344"/>
      <c r="CVU46" s="344"/>
      <c r="CVV46" s="344"/>
      <c r="CVW46" s="344"/>
      <c r="CVX46" s="344"/>
      <c r="CVY46" s="344"/>
      <c r="CVZ46" s="344"/>
      <c r="CWA46" s="344"/>
      <c r="CWB46" s="344"/>
      <c r="CWC46" s="344"/>
      <c r="CWD46" s="344"/>
      <c r="CWE46" s="344"/>
      <c r="CWF46" s="344"/>
      <c r="CWG46" s="344"/>
      <c r="CWH46" s="344"/>
      <c r="CWI46" s="344"/>
      <c r="CWJ46" s="344"/>
      <c r="CWK46" s="344"/>
      <c r="CWL46" s="344"/>
      <c r="CWM46" s="344"/>
      <c r="CWN46" s="344"/>
      <c r="CWO46" s="344"/>
      <c r="CWP46" s="344"/>
      <c r="CWQ46" s="344"/>
      <c r="CWR46" s="344"/>
      <c r="CWS46" s="344"/>
      <c r="CWT46" s="344"/>
      <c r="CWU46" s="344"/>
      <c r="CWV46" s="344"/>
      <c r="CWW46" s="344"/>
      <c r="CWX46" s="344"/>
      <c r="CWY46" s="344"/>
      <c r="CWZ46" s="344"/>
      <c r="CXA46" s="344"/>
      <c r="CXB46" s="344"/>
      <c r="CXC46" s="344"/>
      <c r="CXD46" s="344"/>
      <c r="CXE46" s="344"/>
      <c r="CXF46" s="344"/>
      <c r="CXG46" s="344"/>
      <c r="CXH46" s="344"/>
      <c r="CXI46" s="344"/>
      <c r="CXJ46" s="344"/>
      <c r="CXK46" s="344"/>
      <c r="CXL46" s="344"/>
      <c r="CXM46" s="344"/>
      <c r="CXN46" s="344"/>
      <c r="CXO46" s="344"/>
      <c r="CXP46" s="344"/>
      <c r="CXQ46" s="344"/>
      <c r="CXR46" s="344"/>
      <c r="CXS46" s="344"/>
      <c r="CXT46" s="344"/>
      <c r="CXU46" s="344"/>
      <c r="CXV46" s="344"/>
      <c r="CXW46" s="344"/>
      <c r="CXX46" s="344"/>
      <c r="CXY46" s="344"/>
      <c r="CXZ46" s="344"/>
      <c r="CYA46" s="344"/>
      <c r="CYB46" s="344"/>
      <c r="CYC46" s="344"/>
      <c r="CYD46" s="344"/>
      <c r="CYE46" s="344"/>
      <c r="CYF46" s="344"/>
      <c r="CYG46" s="344"/>
      <c r="CYH46" s="344"/>
      <c r="CYI46" s="344"/>
      <c r="CYJ46" s="344"/>
      <c r="CYK46" s="344"/>
      <c r="CYL46" s="344"/>
      <c r="CYM46" s="344"/>
      <c r="CYN46" s="344"/>
      <c r="CYO46" s="344"/>
      <c r="CYP46" s="344"/>
      <c r="CYQ46" s="344"/>
      <c r="CYR46" s="344"/>
      <c r="CYS46" s="344"/>
      <c r="CYT46" s="344"/>
      <c r="CYU46" s="344"/>
      <c r="CYV46" s="344"/>
      <c r="CYW46" s="344"/>
      <c r="CYX46" s="344"/>
      <c r="CYY46" s="344"/>
      <c r="CYZ46" s="344"/>
      <c r="CZA46" s="344"/>
      <c r="CZB46" s="344"/>
      <c r="CZC46" s="344"/>
      <c r="CZD46" s="344"/>
      <c r="CZE46" s="344"/>
      <c r="CZF46" s="344"/>
      <c r="CZG46" s="344"/>
      <c r="CZH46" s="344"/>
      <c r="CZI46" s="344"/>
      <c r="CZJ46" s="344"/>
      <c r="CZK46" s="344"/>
      <c r="CZL46" s="344"/>
      <c r="CZM46" s="344"/>
      <c r="CZN46" s="344"/>
      <c r="CZO46" s="344"/>
      <c r="CZP46" s="344"/>
      <c r="CZQ46" s="344"/>
      <c r="CZR46" s="344"/>
      <c r="CZS46" s="344"/>
      <c r="CZT46" s="344"/>
      <c r="CZU46" s="344"/>
      <c r="CZV46" s="344"/>
      <c r="CZW46" s="344"/>
      <c r="CZX46" s="344"/>
      <c r="CZY46" s="344"/>
      <c r="CZZ46" s="344"/>
      <c r="DAA46" s="344"/>
      <c r="DAB46" s="344"/>
      <c r="DAC46" s="344"/>
      <c r="DAD46" s="344"/>
      <c r="DAE46" s="344"/>
      <c r="DAF46" s="344"/>
      <c r="DAG46" s="344"/>
      <c r="DAH46" s="344"/>
      <c r="DAI46" s="344"/>
      <c r="DAJ46" s="344"/>
      <c r="DAK46" s="344"/>
      <c r="DAL46" s="344"/>
      <c r="DAM46" s="344"/>
      <c r="DAN46" s="344"/>
      <c r="DAO46" s="344"/>
      <c r="DAP46" s="344"/>
      <c r="DAQ46" s="344"/>
      <c r="DAR46" s="344"/>
      <c r="DAS46" s="344"/>
      <c r="DAT46" s="344"/>
      <c r="DAU46" s="344"/>
      <c r="DAV46" s="344"/>
      <c r="DAW46" s="344"/>
      <c r="DAX46" s="344"/>
      <c r="DAY46" s="344"/>
      <c r="DAZ46" s="344"/>
      <c r="DBA46" s="344"/>
      <c r="DBB46" s="344"/>
      <c r="DBC46" s="344"/>
      <c r="DBD46" s="344"/>
      <c r="DBE46" s="344"/>
      <c r="DBF46" s="344"/>
      <c r="DBG46" s="344"/>
      <c r="DBH46" s="344"/>
      <c r="DBI46" s="344"/>
      <c r="DBJ46" s="344"/>
      <c r="DBK46" s="344"/>
      <c r="DBL46" s="344"/>
      <c r="DBM46" s="344"/>
      <c r="DBN46" s="344"/>
      <c r="DBO46" s="344"/>
      <c r="DBP46" s="344"/>
      <c r="DBQ46" s="344"/>
      <c r="DBR46" s="344"/>
      <c r="DBS46" s="344"/>
      <c r="DBT46" s="344"/>
      <c r="DBU46" s="344"/>
      <c r="DBV46" s="344"/>
      <c r="DBW46" s="344"/>
      <c r="DBX46" s="344"/>
      <c r="DBY46" s="344"/>
      <c r="DBZ46" s="344"/>
      <c r="DCA46" s="344"/>
      <c r="DCB46" s="344"/>
      <c r="DCC46" s="344"/>
      <c r="DCD46" s="344"/>
      <c r="DCE46" s="344"/>
      <c r="DCF46" s="344"/>
      <c r="DCG46" s="344"/>
      <c r="DCH46" s="344"/>
      <c r="DCI46" s="344"/>
      <c r="DCJ46" s="344"/>
      <c r="DCK46" s="344"/>
      <c r="DCL46" s="344"/>
      <c r="DCM46" s="344"/>
      <c r="DCN46" s="344"/>
      <c r="DCO46" s="344"/>
      <c r="DCP46" s="344"/>
      <c r="DCQ46" s="344"/>
      <c r="DCR46" s="344"/>
      <c r="DCS46" s="344"/>
      <c r="DCT46" s="344"/>
      <c r="DCU46" s="344"/>
      <c r="DCV46" s="344"/>
      <c r="DCW46" s="344"/>
      <c r="DCX46" s="344"/>
      <c r="DCY46" s="344"/>
      <c r="DCZ46" s="344"/>
      <c r="DDA46" s="344"/>
      <c r="DDB46" s="344"/>
      <c r="DDC46" s="344"/>
      <c r="DDD46" s="344"/>
      <c r="DDE46" s="344"/>
      <c r="DDF46" s="344"/>
      <c r="DDG46" s="344"/>
      <c r="DDH46" s="344"/>
      <c r="DDI46" s="344"/>
      <c r="DDJ46" s="344"/>
      <c r="DDK46" s="344"/>
      <c r="DDL46" s="344"/>
      <c r="DDM46" s="344"/>
      <c r="DDN46" s="344"/>
      <c r="DDO46" s="344"/>
      <c r="DDP46" s="344"/>
      <c r="DDQ46" s="344"/>
      <c r="DDR46" s="344"/>
      <c r="DDS46" s="344"/>
      <c r="DDT46" s="344"/>
      <c r="DDU46" s="344"/>
      <c r="DDV46" s="344"/>
      <c r="DDW46" s="344"/>
      <c r="DDX46" s="344"/>
      <c r="DDY46" s="344"/>
      <c r="DDZ46" s="344"/>
      <c r="DEA46" s="344"/>
      <c r="DEB46" s="344"/>
      <c r="DEC46" s="344"/>
      <c r="DED46" s="344"/>
      <c r="DEE46" s="344"/>
      <c r="DEF46" s="344"/>
      <c r="DEG46" s="344"/>
      <c r="DEH46" s="344"/>
      <c r="DEI46" s="344"/>
      <c r="DEJ46" s="344"/>
      <c r="DEK46" s="344"/>
      <c r="DEL46" s="344"/>
      <c r="DEM46" s="344"/>
      <c r="DEN46" s="344"/>
      <c r="DEO46" s="344"/>
      <c r="DEP46" s="344"/>
      <c r="DEQ46" s="344"/>
      <c r="DER46" s="344"/>
      <c r="DES46" s="344"/>
      <c r="DET46" s="344"/>
      <c r="DEU46" s="344"/>
      <c r="DEV46" s="344"/>
      <c r="DEW46" s="344"/>
      <c r="DEX46" s="344"/>
      <c r="DEY46" s="344"/>
      <c r="DEZ46" s="344"/>
      <c r="DFA46" s="344"/>
      <c r="DFB46" s="344"/>
      <c r="DFC46" s="344"/>
      <c r="DFD46" s="344"/>
      <c r="DFE46" s="344"/>
      <c r="DFF46" s="344"/>
      <c r="DFG46" s="344"/>
      <c r="DFH46" s="344"/>
      <c r="DFI46" s="344"/>
      <c r="DFJ46" s="344"/>
      <c r="DFK46" s="344"/>
      <c r="DFL46" s="344"/>
      <c r="DFM46" s="344"/>
      <c r="DFN46" s="344"/>
      <c r="DFO46" s="344"/>
      <c r="DFP46" s="344"/>
      <c r="DFQ46" s="344"/>
      <c r="DFR46" s="344"/>
      <c r="DFS46" s="344"/>
      <c r="DFT46" s="344"/>
      <c r="DFU46" s="344"/>
      <c r="DFV46" s="344"/>
      <c r="DFW46" s="344"/>
      <c r="DFX46" s="344"/>
      <c r="DFY46" s="344"/>
      <c r="DFZ46" s="344"/>
      <c r="DGA46" s="344"/>
      <c r="DGB46" s="344"/>
      <c r="DGC46" s="344"/>
      <c r="DGD46" s="344"/>
      <c r="DGE46" s="344"/>
      <c r="DGF46" s="344"/>
      <c r="DGG46" s="344"/>
      <c r="DGH46" s="344"/>
      <c r="DGI46" s="344"/>
      <c r="DGJ46" s="344"/>
      <c r="DGK46" s="344"/>
      <c r="DGL46" s="344"/>
      <c r="DGM46" s="344"/>
      <c r="DGN46" s="344"/>
      <c r="DGO46" s="344"/>
      <c r="DGP46" s="344"/>
      <c r="DGQ46" s="344"/>
      <c r="DGR46" s="344"/>
      <c r="DGS46" s="344"/>
      <c r="DGT46" s="344"/>
      <c r="DGU46" s="344"/>
      <c r="DGV46" s="344"/>
      <c r="DGW46" s="344"/>
      <c r="DGX46" s="344"/>
      <c r="DGY46" s="344"/>
      <c r="DGZ46" s="344"/>
      <c r="DHA46" s="344"/>
      <c r="DHB46" s="344"/>
      <c r="DHC46" s="344"/>
      <c r="DHD46" s="344"/>
      <c r="DHE46" s="344"/>
      <c r="DHF46" s="344"/>
      <c r="DHG46" s="344"/>
      <c r="DHH46" s="344"/>
      <c r="DHI46" s="344"/>
      <c r="DHJ46" s="344"/>
      <c r="DHK46" s="344"/>
      <c r="DHL46" s="344"/>
      <c r="DHM46" s="344"/>
      <c r="DHN46" s="344"/>
      <c r="DHO46" s="344"/>
      <c r="DHP46" s="344"/>
      <c r="DHQ46" s="344"/>
      <c r="DHR46" s="344"/>
      <c r="DHS46" s="344"/>
      <c r="DHT46" s="344"/>
      <c r="DHU46" s="344"/>
      <c r="DHV46" s="344"/>
      <c r="DHW46" s="344"/>
      <c r="DHX46" s="344"/>
      <c r="DHY46" s="344"/>
      <c r="DHZ46" s="344"/>
      <c r="DIA46" s="344"/>
      <c r="DIB46" s="344"/>
      <c r="DIC46" s="344"/>
      <c r="DID46" s="344"/>
      <c r="DIE46" s="344"/>
      <c r="DIF46" s="344"/>
      <c r="DIG46" s="344"/>
      <c r="DIH46" s="344"/>
      <c r="DII46" s="344"/>
      <c r="DIJ46" s="344"/>
      <c r="DIK46" s="344"/>
      <c r="DIL46" s="344"/>
      <c r="DIM46" s="344"/>
      <c r="DIN46" s="344"/>
      <c r="DIO46" s="344"/>
      <c r="DIP46" s="344"/>
      <c r="DIQ46" s="344"/>
      <c r="DIR46" s="344"/>
      <c r="DIS46" s="344"/>
      <c r="DIT46" s="344"/>
      <c r="DIU46" s="344"/>
      <c r="DIV46" s="344"/>
      <c r="DIW46" s="344"/>
      <c r="DIX46" s="344"/>
      <c r="DIY46" s="344"/>
      <c r="DIZ46" s="344"/>
      <c r="DJA46" s="344"/>
      <c r="DJB46" s="344"/>
      <c r="DJC46" s="344"/>
      <c r="DJD46" s="344"/>
      <c r="DJE46" s="344"/>
      <c r="DJF46" s="344"/>
      <c r="DJG46" s="344"/>
      <c r="DJH46" s="344"/>
      <c r="DJI46" s="344"/>
      <c r="DJJ46" s="344"/>
      <c r="DJK46" s="344"/>
      <c r="DJL46" s="344"/>
      <c r="DJM46" s="344"/>
      <c r="DJN46" s="344"/>
      <c r="DJO46" s="344"/>
      <c r="DJP46" s="344"/>
      <c r="DJQ46" s="344"/>
      <c r="DJR46" s="344"/>
      <c r="DJS46" s="344"/>
      <c r="DJT46" s="344"/>
      <c r="DJU46" s="344"/>
      <c r="DJV46" s="344"/>
      <c r="DJW46" s="344"/>
      <c r="DJX46" s="344"/>
      <c r="DJY46" s="344"/>
      <c r="DJZ46" s="344"/>
      <c r="DKA46" s="344"/>
      <c r="DKB46" s="344"/>
      <c r="DKC46" s="344"/>
      <c r="DKD46" s="344"/>
      <c r="DKE46" s="344"/>
      <c r="DKF46" s="344"/>
      <c r="DKG46" s="344"/>
      <c r="DKH46" s="344"/>
      <c r="DKI46" s="344"/>
      <c r="DKJ46" s="344"/>
      <c r="DKK46" s="344"/>
      <c r="DKL46" s="344"/>
      <c r="DKM46" s="344"/>
      <c r="DKN46" s="344"/>
      <c r="DKO46" s="344"/>
      <c r="DKP46" s="344"/>
      <c r="DKQ46" s="344"/>
      <c r="DKR46" s="344"/>
      <c r="DKS46" s="344"/>
      <c r="DKT46" s="344"/>
      <c r="DKU46" s="344"/>
      <c r="DKV46" s="344"/>
      <c r="DKW46" s="344"/>
      <c r="DKX46" s="344"/>
      <c r="DKY46" s="344"/>
      <c r="DKZ46" s="344"/>
      <c r="DLA46" s="344"/>
      <c r="DLB46" s="344"/>
      <c r="DLC46" s="344"/>
      <c r="DLD46" s="344"/>
      <c r="DLE46" s="344"/>
      <c r="DLF46" s="344"/>
      <c r="DLG46" s="344"/>
      <c r="DLH46" s="344"/>
      <c r="DLI46" s="344"/>
      <c r="DLJ46" s="344"/>
      <c r="DLK46" s="344"/>
      <c r="DLL46" s="344"/>
      <c r="DLM46" s="344"/>
      <c r="DLN46" s="344"/>
      <c r="DLO46" s="344"/>
      <c r="DLP46" s="344"/>
      <c r="DLQ46" s="344"/>
      <c r="DLR46" s="344"/>
      <c r="DLS46" s="344"/>
      <c r="DLT46" s="344"/>
      <c r="DLU46" s="344"/>
      <c r="DLV46" s="344"/>
      <c r="DLW46" s="344"/>
      <c r="DLX46" s="344"/>
      <c r="DLY46" s="344"/>
      <c r="DLZ46" s="344"/>
      <c r="DMA46" s="344"/>
      <c r="DMB46" s="344"/>
      <c r="DMC46" s="344"/>
      <c r="DMD46" s="344"/>
      <c r="DME46" s="344"/>
      <c r="DMF46" s="344"/>
      <c r="DMG46" s="344"/>
      <c r="DMH46" s="344"/>
      <c r="DMI46" s="344"/>
      <c r="DMJ46" s="344"/>
      <c r="DMK46" s="344"/>
      <c r="DML46" s="344"/>
      <c r="DMM46" s="344"/>
      <c r="DMN46" s="344"/>
      <c r="DMO46" s="344"/>
      <c r="DMP46" s="344"/>
      <c r="DMQ46" s="344"/>
      <c r="DMR46" s="344"/>
      <c r="DMS46" s="344"/>
      <c r="DMT46" s="344"/>
      <c r="DMU46" s="344"/>
      <c r="DMV46" s="344"/>
      <c r="DMW46" s="344"/>
      <c r="DMX46" s="344"/>
      <c r="DMY46" s="344"/>
      <c r="DMZ46" s="344"/>
      <c r="DNA46" s="344"/>
      <c r="DNB46" s="344"/>
      <c r="DNC46" s="344"/>
      <c r="DND46" s="344"/>
      <c r="DNE46" s="344"/>
      <c r="DNF46" s="344"/>
      <c r="DNG46" s="344"/>
      <c r="DNH46" s="344"/>
      <c r="DNI46" s="344"/>
      <c r="DNJ46" s="344"/>
      <c r="DNK46" s="344"/>
      <c r="DNL46" s="344"/>
      <c r="DNM46" s="344"/>
      <c r="DNN46" s="344"/>
      <c r="DNO46" s="344"/>
      <c r="DNP46" s="344"/>
      <c r="DNQ46" s="344"/>
      <c r="DNR46" s="344"/>
      <c r="DNS46" s="344"/>
      <c r="DNT46" s="344"/>
      <c r="DNU46" s="344"/>
      <c r="DNV46" s="344"/>
      <c r="DNW46" s="344"/>
      <c r="DNX46" s="344"/>
      <c r="DNY46" s="344"/>
      <c r="DNZ46" s="344"/>
      <c r="DOA46" s="344"/>
      <c r="DOB46" s="344"/>
      <c r="DOC46" s="344"/>
      <c r="DOD46" s="344"/>
      <c r="DOE46" s="344"/>
      <c r="DOF46" s="344"/>
      <c r="DOG46" s="344"/>
      <c r="DOH46" s="344"/>
      <c r="DOI46" s="344"/>
      <c r="DOJ46" s="344"/>
      <c r="DOK46" s="344"/>
      <c r="DOL46" s="344"/>
      <c r="DOM46" s="344"/>
      <c r="DON46" s="344"/>
      <c r="DOO46" s="344"/>
      <c r="DOP46" s="344"/>
      <c r="DOQ46" s="344"/>
      <c r="DOR46" s="344"/>
      <c r="DOS46" s="344"/>
      <c r="DOT46" s="344"/>
      <c r="DOU46" s="344"/>
      <c r="DOV46" s="344"/>
      <c r="DOW46" s="344"/>
      <c r="DOX46" s="344"/>
      <c r="DOY46" s="344"/>
      <c r="DOZ46" s="344"/>
      <c r="DPA46" s="344"/>
      <c r="DPB46" s="344"/>
      <c r="DPC46" s="344"/>
      <c r="DPD46" s="344"/>
      <c r="DPE46" s="344"/>
      <c r="DPF46" s="344"/>
      <c r="DPG46" s="344"/>
      <c r="DPH46" s="344"/>
      <c r="DPI46" s="344"/>
      <c r="DPJ46" s="344"/>
      <c r="DPK46" s="344"/>
      <c r="DPL46" s="344"/>
      <c r="DPM46" s="344"/>
      <c r="DPN46" s="344"/>
      <c r="DPO46" s="344"/>
      <c r="DPP46" s="344"/>
      <c r="DPQ46" s="344"/>
      <c r="DPR46" s="344"/>
      <c r="DPS46" s="344"/>
      <c r="DPT46" s="344"/>
      <c r="DPU46" s="344"/>
      <c r="DPV46" s="344"/>
      <c r="DPW46" s="344"/>
      <c r="DPX46" s="344"/>
      <c r="DPY46" s="344"/>
      <c r="DPZ46" s="344"/>
      <c r="DQA46" s="344"/>
      <c r="DQB46" s="344"/>
      <c r="DQC46" s="344"/>
      <c r="DQD46" s="344"/>
      <c r="DQE46" s="344"/>
      <c r="DQF46" s="344"/>
      <c r="DQG46" s="344"/>
      <c r="DQH46" s="344"/>
      <c r="DQI46" s="344"/>
      <c r="DQJ46" s="344"/>
      <c r="DQK46" s="344"/>
      <c r="DQL46" s="344"/>
      <c r="DQM46" s="344"/>
      <c r="DQN46" s="344"/>
      <c r="DQO46" s="344"/>
      <c r="DQP46" s="344"/>
      <c r="DQQ46" s="344"/>
      <c r="DQR46" s="344"/>
      <c r="DQS46" s="344"/>
      <c r="DQT46" s="344"/>
      <c r="DQU46" s="344"/>
      <c r="DQV46" s="344"/>
      <c r="DQW46" s="344"/>
      <c r="DQX46" s="344"/>
      <c r="DQY46" s="344"/>
      <c r="DQZ46" s="344"/>
      <c r="DRA46" s="344"/>
      <c r="DRB46" s="344"/>
      <c r="DRC46" s="344"/>
      <c r="DRD46" s="344"/>
      <c r="DRE46" s="344"/>
      <c r="DRF46" s="344"/>
      <c r="DRG46" s="344"/>
      <c r="DRH46" s="344"/>
      <c r="DRI46" s="344"/>
      <c r="DRJ46" s="344"/>
      <c r="DRK46" s="344"/>
      <c r="DRL46" s="344"/>
      <c r="DRM46" s="344"/>
      <c r="DRN46" s="344"/>
      <c r="DRO46" s="344"/>
      <c r="DRP46" s="344"/>
      <c r="DRQ46" s="344"/>
      <c r="DRR46" s="344"/>
      <c r="DRS46" s="344"/>
      <c r="DRT46" s="344"/>
      <c r="DRU46" s="344"/>
      <c r="DRV46" s="344"/>
      <c r="DRW46" s="344"/>
      <c r="DRX46" s="344"/>
      <c r="DRY46" s="344"/>
      <c r="DRZ46" s="344"/>
      <c r="DSA46" s="344"/>
      <c r="DSB46" s="344"/>
      <c r="DSC46" s="344"/>
      <c r="DSD46" s="344"/>
      <c r="DSE46" s="344"/>
      <c r="DSF46" s="344"/>
      <c r="DSG46" s="344"/>
      <c r="DSH46" s="344"/>
      <c r="DSI46" s="344"/>
      <c r="DSJ46" s="344"/>
      <c r="DSK46" s="344"/>
      <c r="DSL46" s="344"/>
      <c r="DSM46" s="344"/>
      <c r="DSN46" s="344"/>
      <c r="DSO46" s="344"/>
      <c r="DSP46" s="344"/>
      <c r="DSQ46" s="344"/>
      <c r="DSR46" s="344"/>
      <c r="DSS46" s="344"/>
      <c r="DST46" s="344"/>
      <c r="DSU46" s="344"/>
      <c r="DSV46" s="344"/>
      <c r="DSW46" s="344"/>
      <c r="DSX46" s="344"/>
      <c r="DSY46" s="344"/>
      <c r="DSZ46" s="344"/>
      <c r="DTA46" s="344"/>
      <c r="DTB46" s="344"/>
      <c r="DTC46" s="344"/>
      <c r="DTD46" s="344"/>
      <c r="DTE46" s="344"/>
      <c r="DTF46" s="344"/>
      <c r="DTG46" s="344"/>
      <c r="DTH46" s="344"/>
      <c r="DTI46" s="344"/>
      <c r="DTJ46" s="344"/>
      <c r="DTK46" s="344"/>
      <c r="DTL46" s="344"/>
      <c r="DTM46" s="344"/>
      <c r="DTN46" s="344"/>
      <c r="DTO46" s="344"/>
      <c r="DTP46" s="344"/>
      <c r="DTQ46" s="344"/>
      <c r="DTR46" s="344"/>
      <c r="DTS46" s="344"/>
      <c r="DTT46" s="344"/>
      <c r="DTU46" s="344"/>
      <c r="DTV46" s="344"/>
      <c r="DTW46" s="344"/>
      <c r="DTX46" s="344"/>
      <c r="DTY46" s="344"/>
      <c r="DTZ46" s="344"/>
      <c r="DUA46" s="344"/>
      <c r="DUB46" s="344"/>
      <c r="DUC46" s="344"/>
      <c r="DUD46" s="344"/>
      <c r="DUE46" s="344"/>
      <c r="DUF46" s="344"/>
      <c r="DUG46" s="344"/>
      <c r="DUH46" s="344"/>
      <c r="DUI46" s="344"/>
      <c r="DUJ46" s="344"/>
      <c r="DUK46" s="344"/>
      <c r="DUL46" s="344"/>
      <c r="DUM46" s="344"/>
      <c r="DUN46" s="344"/>
      <c r="DUO46" s="344"/>
      <c r="DUP46" s="344"/>
      <c r="DUQ46" s="344"/>
      <c r="DUR46" s="344"/>
      <c r="DUS46" s="344"/>
      <c r="DUT46" s="344"/>
      <c r="DUU46" s="344"/>
      <c r="DUV46" s="344"/>
      <c r="DUW46" s="344"/>
      <c r="DUX46" s="344"/>
      <c r="DUY46" s="344"/>
      <c r="DUZ46" s="344"/>
      <c r="DVA46" s="344"/>
      <c r="DVB46" s="344"/>
      <c r="DVC46" s="344"/>
      <c r="DVD46" s="344"/>
      <c r="DVE46" s="344"/>
      <c r="DVF46" s="344"/>
      <c r="DVG46" s="344"/>
      <c r="DVH46" s="344"/>
      <c r="DVI46" s="344"/>
      <c r="DVJ46" s="344"/>
      <c r="DVK46" s="344"/>
      <c r="DVL46" s="344"/>
      <c r="DVM46" s="344"/>
      <c r="DVN46" s="344"/>
      <c r="DVO46" s="344"/>
      <c r="DVP46" s="344"/>
      <c r="DVQ46" s="344"/>
      <c r="DVR46" s="344"/>
      <c r="DVS46" s="344"/>
      <c r="DVT46" s="344"/>
      <c r="DVU46" s="344"/>
      <c r="DVV46" s="344"/>
      <c r="DVW46" s="344"/>
      <c r="DVX46" s="344"/>
      <c r="DVY46" s="344"/>
      <c r="DVZ46" s="344"/>
      <c r="DWA46" s="344"/>
      <c r="DWB46" s="344"/>
      <c r="DWC46" s="344"/>
      <c r="DWD46" s="344"/>
      <c r="DWE46" s="344"/>
      <c r="DWF46" s="344"/>
      <c r="DWG46" s="344"/>
      <c r="DWH46" s="344"/>
      <c r="DWI46" s="344"/>
      <c r="DWJ46" s="344"/>
      <c r="DWK46" s="344"/>
      <c r="DWL46" s="344"/>
      <c r="DWM46" s="344"/>
      <c r="DWN46" s="344"/>
      <c r="DWO46" s="344"/>
      <c r="DWP46" s="344"/>
      <c r="DWQ46" s="344"/>
      <c r="DWR46" s="344"/>
      <c r="DWS46" s="344"/>
      <c r="DWT46" s="344"/>
      <c r="DWU46" s="344"/>
      <c r="DWV46" s="344"/>
      <c r="DWW46" s="344"/>
      <c r="DWX46" s="344"/>
      <c r="DWY46" s="344"/>
      <c r="DWZ46" s="344"/>
      <c r="DXA46" s="344"/>
      <c r="DXB46" s="344"/>
      <c r="DXC46" s="344"/>
      <c r="DXD46" s="344"/>
      <c r="DXE46" s="344"/>
      <c r="DXF46" s="344"/>
      <c r="DXG46" s="344"/>
      <c r="DXH46" s="344"/>
      <c r="DXI46" s="344"/>
      <c r="DXJ46" s="344"/>
      <c r="DXK46" s="344"/>
      <c r="DXL46" s="344"/>
      <c r="DXM46" s="344"/>
      <c r="DXN46" s="344"/>
      <c r="DXO46" s="344"/>
      <c r="DXP46" s="344"/>
      <c r="DXQ46" s="344"/>
      <c r="DXR46" s="344"/>
      <c r="DXS46" s="344"/>
      <c r="DXT46" s="344"/>
      <c r="DXU46" s="344"/>
      <c r="DXV46" s="344"/>
      <c r="DXW46" s="344"/>
      <c r="DXX46" s="344"/>
      <c r="DXY46" s="344"/>
      <c r="DXZ46" s="344"/>
      <c r="DYA46" s="344"/>
      <c r="DYB46" s="344"/>
      <c r="DYC46" s="344"/>
      <c r="DYD46" s="344"/>
      <c r="DYE46" s="344"/>
      <c r="DYF46" s="344"/>
      <c r="DYG46" s="344"/>
      <c r="DYH46" s="344"/>
      <c r="DYI46" s="344"/>
      <c r="DYJ46" s="344"/>
      <c r="DYK46" s="344"/>
      <c r="DYL46" s="344"/>
      <c r="DYM46" s="344"/>
      <c r="DYN46" s="344"/>
      <c r="DYO46" s="344"/>
      <c r="DYP46" s="344"/>
      <c r="DYQ46" s="344"/>
      <c r="DYR46" s="344"/>
      <c r="DYS46" s="344"/>
      <c r="DYT46" s="344"/>
      <c r="DYU46" s="344"/>
      <c r="DYV46" s="344"/>
      <c r="DYW46" s="344"/>
      <c r="DYX46" s="344"/>
      <c r="DYY46" s="344"/>
      <c r="DYZ46" s="344"/>
      <c r="DZA46" s="344"/>
      <c r="DZB46" s="344"/>
      <c r="DZC46" s="344"/>
      <c r="DZD46" s="344"/>
      <c r="DZE46" s="344"/>
      <c r="DZF46" s="344"/>
      <c r="DZG46" s="344"/>
      <c r="DZH46" s="344"/>
      <c r="DZI46" s="344"/>
      <c r="DZJ46" s="344"/>
      <c r="DZK46" s="344"/>
      <c r="DZL46" s="344"/>
      <c r="DZM46" s="344"/>
      <c r="DZN46" s="344"/>
      <c r="DZO46" s="344"/>
      <c r="DZP46" s="344"/>
      <c r="DZQ46" s="344"/>
      <c r="DZR46" s="344"/>
      <c r="DZS46" s="344"/>
      <c r="DZT46" s="344"/>
      <c r="DZU46" s="344"/>
      <c r="DZV46" s="344"/>
      <c r="DZW46" s="344"/>
      <c r="DZX46" s="344"/>
      <c r="DZY46" s="344"/>
      <c r="DZZ46" s="344"/>
      <c r="EAA46" s="344"/>
      <c r="EAB46" s="344"/>
      <c r="EAC46" s="344"/>
      <c r="EAD46" s="344"/>
      <c r="EAE46" s="344"/>
      <c r="EAF46" s="344"/>
      <c r="EAG46" s="344"/>
      <c r="EAH46" s="344"/>
      <c r="EAI46" s="344"/>
      <c r="EAJ46" s="344"/>
      <c r="EAK46" s="344"/>
      <c r="EAL46" s="344"/>
      <c r="EAM46" s="344"/>
      <c r="EAN46" s="344"/>
      <c r="EAO46" s="344"/>
      <c r="EAP46" s="344"/>
      <c r="EAQ46" s="344"/>
      <c r="EAR46" s="344"/>
      <c r="EAS46" s="344"/>
      <c r="EAT46" s="344"/>
      <c r="EAU46" s="344"/>
      <c r="EAV46" s="344"/>
      <c r="EAW46" s="344"/>
      <c r="EAX46" s="344"/>
      <c r="EAY46" s="344"/>
      <c r="EAZ46" s="344"/>
      <c r="EBA46" s="344"/>
      <c r="EBB46" s="344"/>
      <c r="EBC46" s="344"/>
      <c r="EBD46" s="344"/>
      <c r="EBE46" s="344"/>
      <c r="EBF46" s="344"/>
      <c r="EBG46" s="344"/>
      <c r="EBH46" s="344"/>
      <c r="EBI46" s="344"/>
      <c r="EBJ46" s="344"/>
      <c r="EBK46" s="344"/>
      <c r="EBL46" s="344"/>
      <c r="EBM46" s="344"/>
      <c r="EBN46" s="344"/>
      <c r="EBO46" s="344"/>
      <c r="EBP46" s="344"/>
      <c r="EBQ46" s="344"/>
      <c r="EBR46" s="344"/>
      <c r="EBS46" s="344"/>
      <c r="EBT46" s="344"/>
      <c r="EBU46" s="344"/>
      <c r="EBV46" s="344"/>
      <c r="EBW46" s="344"/>
      <c r="EBX46" s="344"/>
      <c r="EBY46" s="344"/>
      <c r="EBZ46" s="344"/>
      <c r="ECA46" s="344"/>
      <c r="ECB46" s="344"/>
      <c r="ECC46" s="344"/>
      <c r="ECD46" s="344"/>
      <c r="ECE46" s="344"/>
      <c r="ECF46" s="344"/>
      <c r="ECG46" s="344"/>
      <c r="ECH46" s="344"/>
      <c r="ECI46" s="344"/>
      <c r="ECJ46" s="344"/>
      <c r="ECK46" s="344"/>
      <c r="ECL46" s="344"/>
      <c r="ECM46" s="344"/>
      <c r="ECN46" s="344"/>
      <c r="ECO46" s="344"/>
      <c r="ECP46" s="344"/>
      <c r="ECQ46" s="344"/>
      <c r="ECR46" s="344"/>
      <c r="ECS46" s="344"/>
      <c r="ECT46" s="344"/>
      <c r="ECU46" s="344"/>
      <c r="ECV46" s="344"/>
      <c r="ECW46" s="344"/>
      <c r="ECX46" s="344"/>
      <c r="ECY46" s="344"/>
      <c r="ECZ46" s="344"/>
      <c r="EDA46" s="344"/>
      <c r="EDB46" s="344"/>
      <c r="EDC46" s="344"/>
      <c r="EDD46" s="344"/>
      <c r="EDE46" s="344"/>
      <c r="EDF46" s="344"/>
      <c r="EDG46" s="344"/>
      <c r="EDH46" s="344"/>
      <c r="EDI46" s="344"/>
      <c r="EDJ46" s="344"/>
      <c r="EDK46" s="344"/>
      <c r="EDL46" s="344"/>
      <c r="EDM46" s="344"/>
      <c r="EDN46" s="344"/>
      <c r="EDO46" s="344"/>
      <c r="EDP46" s="344"/>
      <c r="EDQ46" s="344"/>
      <c r="EDR46" s="344"/>
      <c r="EDS46" s="344"/>
      <c r="EDT46" s="344"/>
      <c r="EDU46" s="344"/>
      <c r="EDV46" s="344"/>
      <c r="EDW46" s="344"/>
      <c r="EDX46" s="344"/>
      <c r="EDY46" s="344"/>
      <c r="EDZ46" s="344"/>
      <c r="EEA46" s="344"/>
      <c r="EEB46" s="344"/>
      <c r="EEC46" s="344"/>
      <c r="EED46" s="344"/>
      <c r="EEE46" s="344"/>
      <c r="EEF46" s="344"/>
      <c r="EEG46" s="344"/>
      <c r="EEH46" s="344"/>
      <c r="EEI46" s="344"/>
      <c r="EEJ46" s="344"/>
      <c r="EEK46" s="344"/>
      <c r="EEL46" s="344"/>
      <c r="EEM46" s="344"/>
      <c r="EEN46" s="344"/>
      <c r="EEO46" s="344"/>
      <c r="EEP46" s="344"/>
      <c r="EEQ46" s="344"/>
      <c r="EER46" s="344"/>
      <c r="EES46" s="344"/>
      <c r="EET46" s="344"/>
      <c r="EEU46" s="344"/>
      <c r="EEV46" s="344"/>
      <c r="EEW46" s="344"/>
      <c r="EEX46" s="344"/>
      <c r="EEY46" s="344"/>
      <c r="EEZ46" s="344"/>
      <c r="EFA46" s="344"/>
      <c r="EFB46" s="344"/>
      <c r="EFC46" s="344"/>
      <c r="EFD46" s="344"/>
      <c r="EFE46" s="344"/>
      <c r="EFF46" s="344"/>
      <c r="EFG46" s="344"/>
      <c r="EFH46" s="344"/>
      <c r="EFI46" s="344"/>
      <c r="EFJ46" s="344"/>
      <c r="EFK46" s="344"/>
      <c r="EFL46" s="344"/>
      <c r="EFM46" s="344"/>
      <c r="EFN46" s="344"/>
      <c r="EFO46" s="344"/>
      <c r="EFP46" s="344"/>
      <c r="EFQ46" s="344"/>
      <c r="EFR46" s="344"/>
      <c r="EFS46" s="344"/>
      <c r="EFT46" s="344"/>
      <c r="EFU46" s="344"/>
      <c r="EFV46" s="344"/>
      <c r="EFW46" s="344"/>
      <c r="EFX46" s="344"/>
      <c r="EFY46" s="344"/>
      <c r="EFZ46" s="344"/>
      <c r="EGA46" s="344"/>
      <c r="EGB46" s="344"/>
      <c r="EGC46" s="344"/>
      <c r="EGD46" s="344"/>
      <c r="EGE46" s="344"/>
      <c r="EGF46" s="344"/>
      <c r="EGG46" s="344"/>
      <c r="EGH46" s="344"/>
      <c r="EGI46" s="344"/>
      <c r="EGJ46" s="344"/>
      <c r="EGK46" s="344"/>
      <c r="EGL46" s="344"/>
      <c r="EGM46" s="344"/>
      <c r="EGN46" s="344"/>
      <c r="EGO46" s="344"/>
      <c r="EGP46" s="344"/>
      <c r="EGQ46" s="344"/>
      <c r="EGR46" s="344"/>
      <c r="EGS46" s="344"/>
      <c r="EGT46" s="344"/>
      <c r="EGU46" s="344"/>
      <c r="EGV46" s="344"/>
      <c r="EGW46" s="344"/>
      <c r="EGX46" s="344"/>
      <c r="EGY46" s="344"/>
      <c r="EGZ46" s="344"/>
      <c r="EHA46" s="344"/>
      <c r="EHB46" s="344"/>
      <c r="EHC46" s="344"/>
      <c r="EHD46" s="344"/>
      <c r="EHE46" s="344"/>
      <c r="EHF46" s="344"/>
      <c r="EHG46" s="344"/>
      <c r="EHH46" s="344"/>
      <c r="EHI46" s="344"/>
      <c r="EHJ46" s="344"/>
      <c r="EHK46" s="344"/>
      <c r="EHL46" s="344"/>
      <c r="EHM46" s="344"/>
      <c r="EHN46" s="344"/>
      <c r="EHO46" s="344"/>
      <c r="EHP46" s="344"/>
      <c r="EHQ46" s="344"/>
      <c r="EHR46" s="344"/>
      <c r="EHS46" s="344"/>
      <c r="EHT46" s="344"/>
      <c r="EHU46" s="344"/>
      <c r="EHV46" s="344"/>
      <c r="EHW46" s="344"/>
      <c r="EHX46" s="344"/>
      <c r="EHY46" s="344"/>
      <c r="EHZ46" s="344"/>
      <c r="EIA46" s="344"/>
      <c r="EIB46" s="344"/>
      <c r="EIC46" s="344"/>
      <c r="EID46" s="344"/>
      <c r="EIE46" s="344"/>
      <c r="EIF46" s="344"/>
      <c r="EIG46" s="344"/>
      <c r="EIH46" s="344"/>
      <c r="EII46" s="344"/>
      <c r="EIJ46" s="344"/>
      <c r="EIK46" s="344"/>
      <c r="EIL46" s="344"/>
      <c r="EIM46" s="344"/>
      <c r="EIN46" s="344"/>
      <c r="EIO46" s="344"/>
      <c r="EIP46" s="344"/>
      <c r="EIQ46" s="344"/>
      <c r="EIR46" s="344"/>
      <c r="EIS46" s="344"/>
      <c r="EIT46" s="344"/>
      <c r="EIU46" s="344"/>
      <c r="EIV46" s="344"/>
      <c r="EIW46" s="344"/>
      <c r="EIX46" s="344"/>
      <c r="EIY46" s="344"/>
      <c r="EIZ46" s="344"/>
      <c r="EJA46" s="344"/>
      <c r="EJB46" s="344"/>
      <c r="EJC46" s="344"/>
      <c r="EJD46" s="344"/>
      <c r="EJE46" s="344"/>
      <c r="EJF46" s="344"/>
      <c r="EJG46" s="344"/>
      <c r="EJH46" s="344"/>
      <c r="EJI46" s="344"/>
      <c r="EJJ46" s="344"/>
      <c r="EJK46" s="344"/>
      <c r="EJL46" s="344"/>
      <c r="EJM46" s="344"/>
      <c r="EJN46" s="344"/>
      <c r="EJO46" s="344"/>
      <c r="EJP46" s="344"/>
      <c r="EJQ46" s="344"/>
      <c r="EJR46" s="344"/>
      <c r="EJS46" s="344"/>
      <c r="EJT46" s="344"/>
      <c r="EJU46" s="344"/>
      <c r="EJV46" s="344"/>
      <c r="EJW46" s="344"/>
      <c r="EJX46" s="344"/>
      <c r="EJY46" s="344"/>
      <c r="EJZ46" s="344"/>
      <c r="EKA46" s="344"/>
      <c r="EKB46" s="344"/>
      <c r="EKC46" s="344"/>
      <c r="EKD46" s="344"/>
      <c r="EKE46" s="344"/>
      <c r="EKF46" s="344"/>
      <c r="EKG46" s="344"/>
      <c r="EKH46" s="344"/>
      <c r="EKI46" s="344"/>
      <c r="EKJ46" s="344"/>
      <c r="EKK46" s="344"/>
      <c r="EKL46" s="344"/>
      <c r="EKM46" s="344"/>
      <c r="EKN46" s="344"/>
      <c r="EKO46" s="344"/>
      <c r="EKP46" s="344"/>
      <c r="EKQ46" s="344"/>
      <c r="EKR46" s="344"/>
      <c r="EKS46" s="344"/>
      <c r="EKT46" s="344"/>
      <c r="EKU46" s="344"/>
      <c r="EKV46" s="344"/>
      <c r="EKW46" s="344"/>
      <c r="EKX46" s="344"/>
      <c r="EKY46" s="344"/>
      <c r="EKZ46" s="344"/>
      <c r="ELA46" s="344"/>
      <c r="ELB46" s="344"/>
      <c r="ELC46" s="344"/>
      <c r="ELD46" s="344"/>
      <c r="ELE46" s="344"/>
      <c r="ELF46" s="344"/>
      <c r="ELG46" s="344"/>
      <c r="ELH46" s="344"/>
      <c r="ELI46" s="344"/>
      <c r="ELJ46" s="344"/>
      <c r="ELK46" s="344"/>
      <c r="ELL46" s="344"/>
      <c r="ELM46" s="344"/>
      <c r="ELN46" s="344"/>
      <c r="ELO46" s="344"/>
      <c r="ELP46" s="344"/>
      <c r="ELQ46" s="344"/>
      <c r="ELR46" s="344"/>
      <c r="ELS46" s="344"/>
      <c r="ELT46" s="344"/>
      <c r="ELU46" s="344"/>
      <c r="ELV46" s="344"/>
      <c r="ELW46" s="344"/>
      <c r="ELX46" s="344"/>
      <c r="ELY46" s="344"/>
      <c r="ELZ46" s="344"/>
      <c r="EMA46" s="344"/>
      <c r="EMB46" s="344"/>
      <c r="EMC46" s="344"/>
      <c r="EMD46" s="344"/>
      <c r="EME46" s="344"/>
      <c r="EMF46" s="344"/>
      <c r="EMG46" s="344"/>
      <c r="EMH46" s="344"/>
      <c r="EMI46" s="344"/>
      <c r="EMJ46" s="344"/>
      <c r="EMK46" s="344"/>
      <c r="EML46" s="344"/>
      <c r="EMM46" s="344"/>
      <c r="EMN46" s="344"/>
      <c r="EMO46" s="344"/>
      <c r="EMP46" s="344"/>
      <c r="EMQ46" s="344"/>
      <c r="EMR46" s="344"/>
      <c r="EMS46" s="344"/>
      <c r="EMT46" s="344"/>
      <c r="EMU46" s="344"/>
      <c r="EMV46" s="344"/>
      <c r="EMW46" s="344"/>
      <c r="EMX46" s="344"/>
      <c r="EMY46" s="344"/>
      <c r="EMZ46" s="344"/>
      <c r="ENA46" s="344"/>
      <c r="ENB46" s="344"/>
      <c r="ENC46" s="344"/>
      <c r="END46" s="344"/>
      <c r="ENE46" s="344"/>
      <c r="ENF46" s="344"/>
      <c r="ENG46" s="344"/>
      <c r="ENH46" s="344"/>
      <c r="ENI46" s="344"/>
      <c r="ENJ46" s="344"/>
      <c r="ENK46" s="344"/>
      <c r="ENL46" s="344"/>
      <c r="ENM46" s="344"/>
      <c r="ENN46" s="344"/>
      <c r="ENO46" s="344"/>
      <c r="ENP46" s="344"/>
      <c r="ENQ46" s="344"/>
      <c r="ENR46" s="344"/>
      <c r="ENS46" s="344"/>
      <c r="ENT46" s="344"/>
      <c r="ENU46" s="344"/>
      <c r="ENV46" s="344"/>
      <c r="ENW46" s="344"/>
      <c r="ENX46" s="344"/>
      <c r="ENY46" s="344"/>
      <c r="ENZ46" s="344"/>
      <c r="EOA46" s="344"/>
      <c r="EOB46" s="344"/>
      <c r="EOC46" s="344"/>
      <c r="EOD46" s="344"/>
      <c r="EOE46" s="344"/>
      <c r="EOF46" s="344"/>
      <c r="EOG46" s="344"/>
      <c r="EOH46" s="344"/>
      <c r="EOI46" s="344"/>
      <c r="EOJ46" s="344"/>
      <c r="EOK46" s="344"/>
      <c r="EOL46" s="344"/>
      <c r="EOM46" s="344"/>
      <c r="EON46" s="344"/>
      <c r="EOO46" s="344"/>
      <c r="EOP46" s="344"/>
      <c r="EOQ46" s="344"/>
      <c r="EOR46" s="344"/>
      <c r="EOS46" s="344"/>
      <c r="EOT46" s="344"/>
      <c r="EOU46" s="344"/>
      <c r="EOV46" s="344"/>
      <c r="EOW46" s="344"/>
      <c r="EOX46" s="344"/>
      <c r="EOY46" s="344"/>
      <c r="EOZ46" s="344"/>
      <c r="EPA46" s="344"/>
      <c r="EPB46" s="344"/>
      <c r="EPC46" s="344"/>
      <c r="EPD46" s="344"/>
      <c r="EPE46" s="344"/>
      <c r="EPF46" s="344"/>
      <c r="EPG46" s="344"/>
      <c r="EPH46" s="344"/>
      <c r="EPI46" s="344"/>
      <c r="EPJ46" s="344"/>
      <c r="EPK46" s="344"/>
      <c r="EPL46" s="344"/>
      <c r="EPM46" s="344"/>
      <c r="EPN46" s="344"/>
      <c r="EPO46" s="344"/>
      <c r="EPP46" s="344"/>
      <c r="EPQ46" s="344"/>
      <c r="EPR46" s="344"/>
      <c r="EPS46" s="344"/>
      <c r="EPT46" s="344"/>
      <c r="EPU46" s="344"/>
      <c r="EPV46" s="344"/>
      <c r="EPW46" s="344"/>
      <c r="EPX46" s="344"/>
      <c r="EPY46" s="344"/>
      <c r="EPZ46" s="344"/>
      <c r="EQA46" s="344"/>
      <c r="EQB46" s="344"/>
      <c r="EQC46" s="344"/>
      <c r="EQD46" s="344"/>
      <c r="EQE46" s="344"/>
      <c r="EQF46" s="344"/>
      <c r="EQG46" s="344"/>
      <c r="EQH46" s="344"/>
      <c r="EQI46" s="344"/>
      <c r="EQJ46" s="344"/>
      <c r="EQK46" s="344"/>
      <c r="EQL46" s="344"/>
      <c r="EQM46" s="344"/>
      <c r="EQN46" s="344"/>
      <c r="EQO46" s="344"/>
      <c r="EQP46" s="344"/>
      <c r="EQQ46" s="344"/>
      <c r="EQR46" s="344"/>
      <c r="EQS46" s="344"/>
      <c r="EQT46" s="344"/>
      <c r="EQU46" s="344"/>
      <c r="EQV46" s="344"/>
      <c r="EQW46" s="344"/>
      <c r="EQX46" s="344"/>
      <c r="EQY46" s="344"/>
      <c r="EQZ46" s="344"/>
      <c r="ERA46" s="344"/>
      <c r="ERB46" s="344"/>
      <c r="ERC46" s="344"/>
      <c r="ERD46" s="344"/>
      <c r="ERE46" s="344"/>
      <c r="ERF46" s="344"/>
      <c r="ERG46" s="344"/>
      <c r="ERH46" s="344"/>
      <c r="ERI46" s="344"/>
      <c r="ERJ46" s="344"/>
      <c r="ERK46" s="344"/>
      <c r="ERL46" s="344"/>
      <c r="ERM46" s="344"/>
      <c r="ERN46" s="344"/>
      <c r="ERO46" s="344"/>
      <c r="ERP46" s="344"/>
      <c r="ERQ46" s="344"/>
      <c r="ERR46" s="344"/>
      <c r="ERS46" s="344"/>
      <c r="ERT46" s="344"/>
      <c r="ERU46" s="344"/>
      <c r="ERV46" s="344"/>
      <c r="ERW46" s="344"/>
      <c r="ERX46" s="344"/>
      <c r="ERY46" s="344"/>
      <c r="ERZ46" s="344"/>
      <c r="ESA46" s="344"/>
      <c r="ESB46" s="344"/>
      <c r="ESC46" s="344"/>
      <c r="ESD46" s="344"/>
      <c r="ESE46" s="344"/>
      <c r="ESF46" s="344"/>
      <c r="ESG46" s="344"/>
      <c r="ESH46" s="344"/>
      <c r="ESI46" s="344"/>
      <c r="ESJ46" s="344"/>
      <c r="ESK46" s="344"/>
      <c r="ESL46" s="344"/>
      <c r="ESM46" s="344"/>
      <c r="ESN46" s="344"/>
      <c r="ESO46" s="344"/>
      <c r="ESP46" s="344"/>
      <c r="ESQ46" s="344"/>
      <c r="ESR46" s="344"/>
      <c r="ESS46" s="344"/>
      <c r="EST46" s="344"/>
      <c r="ESU46" s="344"/>
      <c r="ESV46" s="344"/>
      <c r="ESW46" s="344"/>
      <c r="ESX46" s="344"/>
      <c r="ESY46" s="344"/>
      <c r="ESZ46" s="344"/>
      <c r="ETA46" s="344"/>
      <c r="ETB46" s="344"/>
      <c r="ETC46" s="344"/>
      <c r="ETD46" s="344"/>
      <c r="ETE46" s="344"/>
      <c r="ETF46" s="344"/>
      <c r="ETG46" s="344"/>
      <c r="ETH46" s="344"/>
      <c r="ETI46" s="344"/>
      <c r="ETJ46" s="344"/>
      <c r="ETK46" s="344"/>
      <c r="ETL46" s="344"/>
      <c r="ETM46" s="344"/>
      <c r="ETN46" s="344"/>
      <c r="ETO46" s="344"/>
      <c r="ETP46" s="344"/>
      <c r="ETQ46" s="344"/>
      <c r="ETR46" s="344"/>
      <c r="ETS46" s="344"/>
      <c r="ETT46" s="344"/>
      <c r="ETU46" s="344"/>
      <c r="ETV46" s="344"/>
      <c r="ETW46" s="344"/>
      <c r="ETX46" s="344"/>
      <c r="ETY46" s="344"/>
      <c r="ETZ46" s="344"/>
      <c r="EUA46" s="344"/>
      <c r="EUB46" s="344"/>
      <c r="EUC46" s="344"/>
      <c r="EUD46" s="344"/>
      <c r="EUE46" s="344"/>
      <c r="EUF46" s="344"/>
      <c r="EUG46" s="344"/>
      <c r="EUH46" s="344"/>
      <c r="EUI46" s="344"/>
      <c r="EUJ46" s="344"/>
      <c r="EUK46" s="344"/>
      <c r="EUL46" s="344"/>
      <c r="EUM46" s="344"/>
      <c r="EUN46" s="344"/>
      <c r="EUO46" s="344"/>
      <c r="EUP46" s="344"/>
      <c r="EUQ46" s="344"/>
      <c r="EUR46" s="344"/>
      <c r="EUS46" s="344"/>
      <c r="EUT46" s="344"/>
      <c r="EUU46" s="344"/>
      <c r="EUV46" s="344"/>
      <c r="EUW46" s="344"/>
      <c r="EUX46" s="344"/>
      <c r="EUY46" s="344"/>
      <c r="EUZ46" s="344"/>
      <c r="EVA46" s="344"/>
      <c r="EVB46" s="344"/>
      <c r="EVC46" s="344"/>
      <c r="EVD46" s="344"/>
      <c r="EVE46" s="344"/>
      <c r="EVF46" s="344"/>
      <c r="EVG46" s="344"/>
      <c r="EVH46" s="344"/>
      <c r="EVI46" s="344"/>
      <c r="EVJ46" s="344"/>
      <c r="EVK46" s="344"/>
      <c r="EVL46" s="344"/>
      <c r="EVM46" s="344"/>
      <c r="EVN46" s="344"/>
      <c r="EVO46" s="344"/>
      <c r="EVP46" s="344"/>
      <c r="EVQ46" s="344"/>
      <c r="EVR46" s="344"/>
      <c r="EVS46" s="344"/>
      <c r="EVT46" s="344"/>
      <c r="EVU46" s="344"/>
      <c r="EVV46" s="344"/>
      <c r="EVW46" s="344"/>
      <c r="EVX46" s="344"/>
      <c r="EVY46" s="344"/>
      <c r="EVZ46" s="344"/>
      <c r="EWA46" s="344"/>
      <c r="EWB46" s="344"/>
      <c r="EWC46" s="344"/>
      <c r="EWD46" s="344"/>
      <c r="EWE46" s="344"/>
      <c r="EWF46" s="344"/>
      <c r="EWG46" s="344"/>
      <c r="EWH46" s="344"/>
      <c r="EWI46" s="344"/>
      <c r="EWJ46" s="344"/>
      <c r="EWK46" s="344"/>
      <c r="EWL46" s="344"/>
      <c r="EWM46" s="344"/>
      <c r="EWN46" s="344"/>
      <c r="EWO46" s="344"/>
      <c r="EWP46" s="344"/>
      <c r="EWQ46" s="344"/>
      <c r="EWR46" s="344"/>
      <c r="EWS46" s="344"/>
      <c r="EWT46" s="344"/>
      <c r="EWU46" s="344"/>
      <c r="EWV46" s="344"/>
      <c r="EWW46" s="344"/>
      <c r="EWX46" s="344"/>
      <c r="EWY46" s="344"/>
      <c r="EWZ46" s="344"/>
      <c r="EXA46" s="344"/>
      <c r="EXB46" s="344"/>
      <c r="EXC46" s="344"/>
      <c r="EXD46" s="344"/>
      <c r="EXE46" s="344"/>
      <c r="EXF46" s="344"/>
      <c r="EXG46" s="344"/>
      <c r="EXH46" s="344"/>
      <c r="EXI46" s="344"/>
      <c r="EXJ46" s="344"/>
      <c r="EXK46" s="344"/>
      <c r="EXL46" s="344"/>
      <c r="EXM46" s="344"/>
      <c r="EXN46" s="344"/>
      <c r="EXO46" s="344"/>
      <c r="EXP46" s="344"/>
      <c r="EXQ46" s="344"/>
      <c r="EXR46" s="344"/>
      <c r="EXS46" s="344"/>
      <c r="EXT46" s="344"/>
      <c r="EXU46" s="344"/>
      <c r="EXV46" s="344"/>
      <c r="EXW46" s="344"/>
      <c r="EXX46" s="344"/>
      <c r="EXY46" s="344"/>
      <c r="EXZ46" s="344"/>
      <c r="EYA46" s="344"/>
      <c r="EYB46" s="344"/>
      <c r="EYC46" s="344"/>
      <c r="EYD46" s="344"/>
      <c r="EYE46" s="344"/>
      <c r="EYF46" s="344"/>
      <c r="EYG46" s="344"/>
      <c r="EYH46" s="344"/>
      <c r="EYI46" s="344"/>
      <c r="EYJ46" s="344"/>
      <c r="EYK46" s="344"/>
      <c r="EYL46" s="344"/>
      <c r="EYM46" s="344"/>
      <c r="EYN46" s="344"/>
      <c r="EYO46" s="344"/>
      <c r="EYP46" s="344"/>
      <c r="EYQ46" s="344"/>
      <c r="EYR46" s="344"/>
      <c r="EYS46" s="344"/>
      <c r="EYT46" s="344"/>
      <c r="EYU46" s="344"/>
      <c r="EYV46" s="344"/>
      <c r="EYW46" s="344"/>
      <c r="EYX46" s="344"/>
      <c r="EYY46" s="344"/>
      <c r="EYZ46" s="344"/>
      <c r="EZA46" s="344"/>
      <c r="EZB46" s="344"/>
      <c r="EZC46" s="344"/>
      <c r="EZD46" s="344"/>
      <c r="EZE46" s="344"/>
      <c r="EZF46" s="344"/>
      <c r="EZG46" s="344"/>
      <c r="EZH46" s="344"/>
      <c r="EZI46" s="344"/>
      <c r="EZJ46" s="344"/>
      <c r="EZK46" s="344"/>
      <c r="EZL46" s="344"/>
      <c r="EZM46" s="344"/>
      <c r="EZN46" s="344"/>
      <c r="EZO46" s="344"/>
      <c r="EZP46" s="344"/>
      <c r="EZQ46" s="344"/>
      <c r="EZR46" s="344"/>
      <c r="EZS46" s="344"/>
      <c r="EZT46" s="344"/>
      <c r="EZU46" s="344"/>
      <c r="EZV46" s="344"/>
      <c r="EZW46" s="344"/>
      <c r="EZX46" s="344"/>
      <c r="EZY46" s="344"/>
      <c r="EZZ46" s="344"/>
      <c r="FAA46" s="344"/>
      <c r="FAB46" s="344"/>
      <c r="FAC46" s="344"/>
      <c r="FAD46" s="344"/>
      <c r="FAE46" s="344"/>
      <c r="FAF46" s="344"/>
      <c r="FAG46" s="344"/>
      <c r="FAH46" s="344"/>
      <c r="FAI46" s="344"/>
      <c r="FAJ46" s="344"/>
      <c r="FAK46" s="344"/>
      <c r="FAL46" s="344"/>
      <c r="FAM46" s="344"/>
      <c r="FAN46" s="344"/>
      <c r="FAO46" s="344"/>
      <c r="FAP46" s="344"/>
      <c r="FAQ46" s="344"/>
      <c r="FAR46" s="344"/>
      <c r="FAS46" s="344"/>
      <c r="FAT46" s="344"/>
      <c r="FAU46" s="344"/>
      <c r="FAV46" s="344"/>
      <c r="FAW46" s="344"/>
      <c r="FAX46" s="344"/>
      <c r="FAY46" s="344"/>
      <c r="FAZ46" s="344"/>
      <c r="FBA46" s="344"/>
      <c r="FBB46" s="344"/>
      <c r="FBC46" s="344"/>
      <c r="FBD46" s="344"/>
      <c r="FBE46" s="344"/>
      <c r="FBF46" s="344"/>
      <c r="FBG46" s="344"/>
      <c r="FBH46" s="344"/>
      <c r="FBI46" s="344"/>
      <c r="FBJ46" s="344"/>
      <c r="FBK46" s="344"/>
      <c r="FBL46" s="344"/>
      <c r="FBM46" s="344"/>
      <c r="FBN46" s="344"/>
      <c r="FBO46" s="344"/>
      <c r="FBP46" s="344"/>
      <c r="FBQ46" s="344"/>
      <c r="FBR46" s="344"/>
      <c r="FBS46" s="344"/>
      <c r="FBT46" s="344"/>
      <c r="FBU46" s="344"/>
      <c r="FBV46" s="344"/>
      <c r="FBW46" s="344"/>
      <c r="FBX46" s="344"/>
      <c r="FBY46" s="344"/>
      <c r="FBZ46" s="344"/>
      <c r="FCA46" s="344"/>
      <c r="FCB46" s="344"/>
      <c r="FCC46" s="344"/>
      <c r="FCD46" s="344"/>
      <c r="FCE46" s="344"/>
      <c r="FCF46" s="344"/>
      <c r="FCG46" s="344"/>
      <c r="FCH46" s="344"/>
      <c r="FCI46" s="344"/>
      <c r="FCJ46" s="344"/>
      <c r="FCK46" s="344"/>
      <c r="FCL46" s="344"/>
      <c r="FCM46" s="344"/>
      <c r="FCN46" s="344"/>
      <c r="FCO46" s="344"/>
      <c r="FCP46" s="344"/>
      <c r="FCQ46" s="344"/>
      <c r="FCR46" s="344"/>
      <c r="FCS46" s="344"/>
      <c r="FCT46" s="344"/>
      <c r="FCU46" s="344"/>
      <c r="FCV46" s="344"/>
      <c r="FCW46" s="344"/>
      <c r="FCX46" s="344"/>
      <c r="FCY46" s="344"/>
      <c r="FCZ46" s="344"/>
      <c r="FDA46" s="344"/>
      <c r="FDB46" s="344"/>
      <c r="FDC46" s="344"/>
      <c r="FDD46" s="344"/>
      <c r="FDE46" s="344"/>
      <c r="FDF46" s="344"/>
      <c r="FDG46" s="344"/>
      <c r="FDH46" s="344"/>
      <c r="FDI46" s="344"/>
      <c r="FDJ46" s="344"/>
      <c r="FDK46" s="344"/>
      <c r="FDL46" s="344"/>
      <c r="FDM46" s="344"/>
      <c r="FDN46" s="344"/>
      <c r="FDO46" s="344"/>
      <c r="FDP46" s="344"/>
      <c r="FDQ46" s="344"/>
      <c r="FDR46" s="344"/>
      <c r="FDS46" s="344"/>
      <c r="FDT46" s="344"/>
      <c r="FDU46" s="344"/>
      <c r="FDV46" s="344"/>
      <c r="FDW46" s="344"/>
      <c r="FDX46" s="344"/>
      <c r="FDY46" s="344"/>
      <c r="FDZ46" s="344"/>
      <c r="FEA46" s="344"/>
      <c r="FEB46" s="344"/>
      <c r="FEC46" s="344"/>
      <c r="FED46" s="344"/>
      <c r="FEE46" s="344"/>
      <c r="FEF46" s="344"/>
      <c r="FEG46" s="344"/>
      <c r="FEH46" s="344"/>
      <c r="FEI46" s="344"/>
      <c r="FEJ46" s="344"/>
      <c r="FEK46" s="344"/>
      <c r="FEL46" s="344"/>
      <c r="FEM46" s="344"/>
      <c r="FEN46" s="344"/>
      <c r="FEO46" s="344"/>
      <c r="FEP46" s="344"/>
      <c r="FEQ46" s="344"/>
      <c r="FER46" s="344"/>
      <c r="FES46" s="344"/>
      <c r="FET46" s="344"/>
      <c r="FEU46" s="344"/>
      <c r="FEV46" s="344"/>
      <c r="FEW46" s="344"/>
      <c r="FEX46" s="344"/>
      <c r="FEY46" s="344"/>
      <c r="FEZ46" s="344"/>
      <c r="FFA46" s="344"/>
      <c r="FFB46" s="344"/>
      <c r="FFC46" s="344"/>
      <c r="FFD46" s="344"/>
      <c r="FFE46" s="344"/>
      <c r="FFF46" s="344"/>
      <c r="FFG46" s="344"/>
      <c r="FFH46" s="344"/>
      <c r="FFI46" s="344"/>
      <c r="FFJ46" s="344"/>
      <c r="FFK46" s="344"/>
      <c r="FFL46" s="344"/>
      <c r="FFM46" s="344"/>
      <c r="FFN46" s="344"/>
      <c r="FFO46" s="344"/>
      <c r="FFP46" s="344"/>
      <c r="FFQ46" s="344"/>
      <c r="FFR46" s="344"/>
      <c r="FFS46" s="344"/>
      <c r="FFT46" s="344"/>
      <c r="FFU46" s="344"/>
      <c r="FFV46" s="344"/>
      <c r="FFW46" s="344"/>
      <c r="FFX46" s="344"/>
      <c r="FFY46" s="344"/>
      <c r="FFZ46" s="344"/>
      <c r="FGA46" s="344"/>
      <c r="FGB46" s="344"/>
      <c r="FGC46" s="344"/>
      <c r="FGD46" s="344"/>
      <c r="FGE46" s="344"/>
      <c r="FGF46" s="344"/>
      <c r="FGG46" s="344"/>
      <c r="FGH46" s="344"/>
      <c r="FGI46" s="344"/>
      <c r="FGJ46" s="344"/>
      <c r="FGK46" s="344"/>
      <c r="FGL46" s="344"/>
      <c r="FGM46" s="344"/>
      <c r="FGN46" s="344"/>
      <c r="FGO46" s="344"/>
      <c r="FGP46" s="344"/>
      <c r="FGQ46" s="344"/>
      <c r="FGR46" s="344"/>
      <c r="FGS46" s="344"/>
      <c r="FGT46" s="344"/>
      <c r="FGU46" s="344"/>
      <c r="FGV46" s="344"/>
      <c r="FGW46" s="344"/>
      <c r="FGX46" s="344"/>
      <c r="FGY46" s="344"/>
      <c r="FGZ46" s="344"/>
      <c r="FHA46" s="344"/>
      <c r="FHB46" s="344"/>
      <c r="FHC46" s="344"/>
      <c r="FHD46" s="344"/>
      <c r="FHE46" s="344"/>
      <c r="FHF46" s="344"/>
      <c r="FHG46" s="344"/>
      <c r="FHH46" s="344"/>
      <c r="FHI46" s="344"/>
      <c r="FHJ46" s="344"/>
      <c r="FHK46" s="344"/>
      <c r="FHL46" s="344"/>
      <c r="FHM46" s="344"/>
      <c r="FHN46" s="344"/>
      <c r="FHO46" s="344"/>
      <c r="FHP46" s="344"/>
      <c r="FHQ46" s="344"/>
      <c r="FHR46" s="344"/>
      <c r="FHS46" s="344"/>
      <c r="FHT46" s="344"/>
      <c r="FHU46" s="344"/>
      <c r="FHV46" s="344"/>
      <c r="FHW46" s="344"/>
      <c r="FHX46" s="344"/>
      <c r="FHY46" s="344"/>
      <c r="FHZ46" s="344"/>
      <c r="FIA46" s="344"/>
      <c r="FIB46" s="344"/>
      <c r="FIC46" s="344"/>
      <c r="FID46" s="344"/>
      <c r="FIE46" s="344"/>
      <c r="FIF46" s="344"/>
      <c r="FIG46" s="344"/>
      <c r="FIH46" s="344"/>
      <c r="FII46" s="344"/>
      <c r="FIJ46" s="344"/>
      <c r="FIK46" s="344"/>
      <c r="FIL46" s="344"/>
      <c r="FIM46" s="344"/>
      <c r="FIN46" s="344"/>
      <c r="FIO46" s="344"/>
      <c r="FIP46" s="344"/>
      <c r="FIQ46" s="344"/>
      <c r="FIR46" s="344"/>
      <c r="FIS46" s="344"/>
      <c r="FIT46" s="344"/>
      <c r="FIU46" s="344"/>
      <c r="FIV46" s="344"/>
      <c r="FIW46" s="344"/>
      <c r="FIX46" s="344"/>
      <c r="FIY46" s="344"/>
      <c r="FIZ46" s="344"/>
      <c r="FJA46" s="344"/>
      <c r="FJB46" s="344"/>
      <c r="FJC46" s="344"/>
      <c r="FJD46" s="344"/>
      <c r="FJE46" s="344"/>
      <c r="FJF46" s="344"/>
      <c r="FJG46" s="344"/>
      <c r="FJH46" s="344"/>
      <c r="FJI46" s="344"/>
      <c r="FJJ46" s="344"/>
      <c r="FJK46" s="344"/>
      <c r="FJL46" s="344"/>
      <c r="FJM46" s="344"/>
      <c r="FJN46" s="344"/>
      <c r="FJO46" s="344"/>
      <c r="FJP46" s="344"/>
      <c r="FJQ46" s="344"/>
      <c r="FJR46" s="344"/>
      <c r="FJS46" s="344"/>
      <c r="FJT46" s="344"/>
      <c r="FJU46" s="344"/>
      <c r="FJV46" s="344"/>
      <c r="FJW46" s="344"/>
      <c r="FJX46" s="344"/>
      <c r="FJY46" s="344"/>
      <c r="FJZ46" s="344"/>
      <c r="FKA46" s="344"/>
      <c r="FKB46" s="344"/>
      <c r="FKC46" s="344"/>
      <c r="FKD46" s="344"/>
      <c r="FKE46" s="344"/>
      <c r="FKF46" s="344"/>
      <c r="FKG46" s="344"/>
      <c r="FKH46" s="344"/>
      <c r="FKI46" s="344"/>
      <c r="FKJ46" s="344"/>
      <c r="FKK46" s="344"/>
      <c r="FKL46" s="344"/>
      <c r="FKM46" s="344"/>
      <c r="FKN46" s="344"/>
      <c r="FKO46" s="344"/>
      <c r="FKP46" s="344"/>
      <c r="FKQ46" s="344"/>
      <c r="FKR46" s="344"/>
      <c r="FKS46" s="344"/>
      <c r="FKT46" s="344"/>
      <c r="FKU46" s="344"/>
      <c r="FKV46" s="344"/>
      <c r="FKW46" s="344"/>
      <c r="FKX46" s="344"/>
      <c r="FKY46" s="344"/>
      <c r="FKZ46" s="344"/>
      <c r="FLA46" s="344"/>
      <c r="FLB46" s="344"/>
      <c r="FLC46" s="344"/>
      <c r="FLD46" s="344"/>
      <c r="FLE46" s="344"/>
      <c r="FLF46" s="344"/>
      <c r="FLG46" s="344"/>
      <c r="FLH46" s="344"/>
      <c r="FLI46" s="344"/>
      <c r="FLJ46" s="344"/>
      <c r="FLK46" s="344"/>
      <c r="FLL46" s="344"/>
      <c r="FLM46" s="344"/>
      <c r="FLN46" s="344"/>
      <c r="FLO46" s="344"/>
      <c r="FLP46" s="344"/>
      <c r="FLQ46" s="344"/>
      <c r="FLR46" s="344"/>
      <c r="FLS46" s="344"/>
      <c r="FLT46" s="344"/>
      <c r="FLU46" s="344"/>
      <c r="FLV46" s="344"/>
      <c r="FLW46" s="344"/>
      <c r="FLX46" s="344"/>
      <c r="FLY46" s="344"/>
      <c r="FLZ46" s="344"/>
      <c r="FMA46" s="344"/>
      <c r="FMB46" s="344"/>
      <c r="FMC46" s="344"/>
      <c r="FMD46" s="344"/>
      <c r="FME46" s="344"/>
      <c r="FMF46" s="344"/>
      <c r="FMG46" s="344"/>
      <c r="FMH46" s="344"/>
      <c r="FMI46" s="344"/>
      <c r="FMJ46" s="344"/>
      <c r="FMK46" s="344"/>
      <c r="FML46" s="344"/>
      <c r="FMM46" s="344"/>
      <c r="FMN46" s="344"/>
      <c r="FMO46" s="344"/>
      <c r="FMP46" s="344"/>
      <c r="FMQ46" s="344"/>
      <c r="FMR46" s="344"/>
      <c r="FMS46" s="344"/>
      <c r="FMT46" s="344"/>
      <c r="FMU46" s="344"/>
      <c r="FMV46" s="344"/>
      <c r="FMW46" s="344"/>
      <c r="FMX46" s="344"/>
      <c r="FMY46" s="344"/>
      <c r="FMZ46" s="344"/>
      <c r="FNA46" s="344"/>
      <c r="FNB46" s="344"/>
      <c r="FNC46" s="344"/>
      <c r="FND46" s="344"/>
      <c r="FNE46" s="344"/>
      <c r="FNF46" s="344"/>
      <c r="FNG46" s="344"/>
      <c r="FNH46" s="344"/>
      <c r="FNI46" s="344"/>
      <c r="FNJ46" s="344"/>
      <c r="FNK46" s="344"/>
      <c r="FNL46" s="344"/>
      <c r="FNM46" s="344"/>
      <c r="FNN46" s="344"/>
      <c r="FNO46" s="344"/>
      <c r="FNP46" s="344"/>
      <c r="FNQ46" s="344"/>
      <c r="FNR46" s="344"/>
      <c r="FNS46" s="344"/>
      <c r="FNT46" s="344"/>
      <c r="FNU46" s="344"/>
      <c r="FNV46" s="344"/>
      <c r="FNW46" s="344"/>
      <c r="FNX46" s="344"/>
      <c r="FNY46" s="344"/>
      <c r="FNZ46" s="344"/>
      <c r="FOA46" s="344"/>
      <c r="FOB46" s="344"/>
      <c r="FOC46" s="344"/>
      <c r="FOD46" s="344"/>
      <c r="FOE46" s="344"/>
      <c r="FOF46" s="344"/>
      <c r="FOG46" s="344"/>
      <c r="FOH46" s="344"/>
      <c r="FOI46" s="344"/>
      <c r="FOJ46" s="344"/>
      <c r="FOK46" s="344"/>
      <c r="FOL46" s="344"/>
      <c r="FOM46" s="344"/>
      <c r="FON46" s="344"/>
      <c r="FOO46" s="344"/>
      <c r="FOP46" s="344"/>
      <c r="FOQ46" s="344"/>
      <c r="FOR46" s="344"/>
      <c r="FOS46" s="344"/>
      <c r="FOT46" s="344"/>
      <c r="FOU46" s="344"/>
      <c r="FOV46" s="344"/>
      <c r="FOW46" s="344"/>
      <c r="FOX46" s="344"/>
      <c r="FOY46" s="344"/>
      <c r="FOZ46" s="344"/>
      <c r="FPA46" s="344"/>
      <c r="FPB46" s="344"/>
      <c r="FPC46" s="344"/>
      <c r="FPD46" s="344"/>
      <c r="FPE46" s="344"/>
      <c r="FPF46" s="344"/>
      <c r="FPG46" s="344"/>
      <c r="FPH46" s="344"/>
      <c r="FPI46" s="344"/>
      <c r="FPJ46" s="344"/>
      <c r="FPK46" s="344"/>
      <c r="FPL46" s="344"/>
      <c r="FPM46" s="344"/>
      <c r="FPN46" s="344"/>
      <c r="FPO46" s="344"/>
      <c r="FPP46" s="344"/>
      <c r="FPQ46" s="344"/>
      <c r="FPR46" s="344"/>
      <c r="FPS46" s="344"/>
      <c r="FPT46" s="344"/>
      <c r="FPU46" s="344"/>
      <c r="FPV46" s="344"/>
      <c r="FPW46" s="344"/>
      <c r="FPX46" s="344"/>
      <c r="FPY46" s="344"/>
      <c r="FPZ46" s="344"/>
      <c r="FQA46" s="344"/>
      <c r="FQB46" s="344"/>
      <c r="FQC46" s="344"/>
      <c r="FQD46" s="344"/>
      <c r="FQE46" s="344"/>
      <c r="FQF46" s="344"/>
      <c r="FQG46" s="344"/>
      <c r="FQH46" s="344"/>
      <c r="FQI46" s="344"/>
      <c r="FQJ46" s="344"/>
      <c r="FQK46" s="344"/>
      <c r="FQL46" s="344"/>
      <c r="FQM46" s="344"/>
      <c r="FQN46" s="344"/>
      <c r="FQO46" s="344"/>
      <c r="FQP46" s="344"/>
      <c r="FQQ46" s="344"/>
      <c r="FQR46" s="344"/>
      <c r="FQS46" s="344"/>
      <c r="FQT46" s="344"/>
      <c r="FQU46" s="344"/>
      <c r="FQV46" s="344"/>
      <c r="FQW46" s="344"/>
      <c r="FQX46" s="344"/>
      <c r="FQY46" s="344"/>
      <c r="FQZ46" s="344"/>
      <c r="FRA46" s="344"/>
      <c r="FRB46" s="344"/>
      <c r="FRC46" s="344"/>
      <c r="FRD46" s="344"/>
      <c r="FRE46" s="344"/>
      <c r="FRF46" s="344"/>
      <c r="FRG46" s="344"/>
      <c r="FRH46" s="344"/>
      <c r="FRI46" s="344"/>
      <c r="FRJ46" s="344"/>
      <c r="FRK46" s="344"/>
      <c r="FRL46" s="344"/>
      <c r="FRM46" s="344"/>
      <c r="FRN46" s="344"/>
      <c r="FRO46" s="344"/>
      <c r="FRP46" s="344"/>
      <c r="FRQ46" s="344"/>
      <c r="FRR46" s="344"/>
      <c r="FRS46" s="344"/>
      <c r="FRT46" s="344"/>
      <c r="FRU46" s="344"/>
      <c r="FRV46" s="344"/>
      <c r="FRW46" s="344"/>
      <c r="FRX46" s="344"/>
      <c r="FRY46" s="344"/>
      <c r="FRZ46" s="344"/>
      <c r="FSA46" s="344"/>
      <c r="FSB46" s="344"/>
      <c r="FSC46" s="344"/>
      <c r="FSD46" s="344"/>
      <c r="FSE46" s="344"/>
      <c r="FSF46" s="344"/>
      <c r="FSG46" s="344"/>
      <c r="FSH46" s="344"/>
      <c r="FSI46" s="344"/>
      <c r="FSJ46" s="344"/>
      <c r="FSK46" s="344"/>
      <c r="FSL46" s="344"/>
      <c r="FSM46" s="344"/>
      <c r="FSN46" s="344"/>
      <c r="FSO46" s="344"/>
      <c r="FSP46" s="344"/>
      <c r="FSQ46" s="344"/>
      <c r="FSR46" s="344"/>
      <c r="FSS46" s="344"/>
      <c r="FST46" s="344"/>
      <c r="FSU46" s="344"/>
      <c r="FSV46" s="344"/>
      <c r="FSW46" s="344"/>
      <c r="FSX46" s="344"/>
      <c r="FSY46" s="344"/>
      <c r="FSZ46" s="344"/>
      <c r="FTA46" s="344"/>
      <c r="FTB46" s="344"/>
      <c r="FTC46" s="344"/>
      <c r="FTD46" s="344"/>
      <c r="FTE46" s="344"/>
      <c r="FTF46" s="344"/>
      <c r="FTG46" s="344"/>
      <c r="FTH46" s="344"/>
      <c r="FTI46" s="344"/>
      <c r="FTJ46" s="344"/>
      <c r="FTK46" s="344"/>
      <c r="FTL46" s="344"/>
      <c r="FTM46" s="344"/>
      <c r="FTN46" s="344"/>
      <c r="FTO46" s="344"/>
      <c r="FTP46" s="344"/>
      <c r="FTQ46" s="344"/>
      <c r="FTR46" s="344"/>
      <c r="FTS46" s="344"/>
      <c r="FTT46" s="344"/>
      <c r="FTU46" s="344"/>
      <c r="FTV46" s="344"/>
      <c r="FTW46" s="344"/>
      <c r="FTX46" s="344"/>
      <c r="FTY46" s="344"/>
      <c r="FTZ46" s="344"/>
      <c r="FUA46" s="344"/>
      <c r="FUB46" s="344"/>
      <c r="FUC46" s="344"/>
      <c r="FUD46" s="344"/>
      <c r="FUE46" s="344"/>
      <c r="FUF46" s="344"/>
      <c r="FUG46" s="344"/>
      <c r="FUH46" s="344"/>
      <c r="FUI46" s="344"/>
      <c r="FUJ46" s="344"/>
      <c r="FUK46" s="344"/>
      <c r="FUL46" s="344"/>
      <c r="FUM46" s="344"/>
      <c r="FUN46" s="344"/>
      <c r="FUO46" s="344"/>
      <c r="FUP46" s="344"/>
      <c r="FUQ46" s="344"/>
      <c r="FUR46" s="344"/>
      <c r="FUS46" s="344"/>
      <c r="FUT46" s="344"/>
      <c r="FUU46" s="344"/>
      <c r="FUV46" s="344"/>
      <c r="FUW46" s="344"/>
      <c r="FUX46" s="344"/>
      <c r="FUY46" s="344"/>
      <c r="FUZ46" s="344"/>
      <c r="FVA46" s="344"/>
      <c r="FVB46" s="344"/>
      <c r="FVC46" s="344"/>
      <c r="FVD46" s="344"/>
      <c r="FVE46" s="344"/>
      <c r="FVF46" s="344"/>
      <c r="FVG46" s="344"/>
      <c r="FVH46" s="344"/>
      <c r="FVI46" s="344"/>
      <c r="FVJ46" s="344"/>
      <c r="FVK46" s="344"/>
      <c r="FVL46" s="344"/>
      <c r="FVM46" s="344"/>
      <c r="FVN46" s="344"/>
      <c r="FVO46" s="344"/>
      <c r="FVP46" s="344"/>
      <c r="FVQ46" s="344"/>
      <c r="FVR46" s="344"/>
      <c r="FVS46" s="344"/>
      <c r="FVT46" s="344"/>
      <c r="FVU46" s="344"/>
      <c r="FVV46" s="344"/>
      <c r="FVW46" s="344"/>
      <c r="FVX46" s="344"/>
      <c r="FVY46" s="344"/>
      <c r="FVZ46" s="344"/>
      <c r="FWA46" s="344"/>
      <c r="FWB46" s="344"/>
      <c r="FWC46" s="344"/>
      <c r="FWD46" s="344"/>
      <c r="FWE46" s="344"/>
      <c r="FWF46" s="344"/>
      <c r="FWG46" s="344"/>
      <c r="FWH46" s="344"/>
      <c r="FWI46" s="344"/>
      <c r="FWJ46" s="344"/>
      <c r="FWK46" s="344"/>
      <c r="FWL46" s="344"/>
      <c r="FWM46" s="344"/>
      <c r="FWN46" s="344"/>
      <c r="FWO46" s="344"/>
      <c r="FWP46" s="344"/>
      <c r="FWQ46" s="344"/>
      <c r="FWR46" s="344"/>
      <c r="FWS46" s="344"/>
      <c r="FWT46" s="344"/>
      <c r="FWU46" s="344"/>
      <c r="FWV46" s="344"/>
      <c r="FWW46" s="344"/>
      <c r="FWX46" s="344"/>
      <c r="FWY46" s="344"/>
      <c r="FWZ46" s="344"/>
      <c r="FXA46" s="344"/>
      <c r="FXB46" s="344"/>
      <c r="FXC46" s="344"/>
      <c r="FXD46" s="344"/>
      <c r="FXE46" s="344"/>
      <c r="FXF46" s="344"/>
      <c r="FXG46" s="344"/>
      <c r="FXH46" s="344"/>
      <c r="FXI46" s="344"/>
      <c r="FXJ46" s="344"/>
      <c r="FXK46" s="344"/>
      <c r="FXL46" s="344"/>
      <c r="FXM46" s="344"/>
      <c r="FXN46" s="344"/>
      <c r="FXO46" s="344"/>
      <c r="FXP46" s="344"/>
      <c r="FXQ46" s="344"/>
      <c r="FXR46" s="344"/>
      <c r="FXS46" s="344"/>
      <c r="FXT46" s="344"/>
      <c r="FXU46" s="344"/>
      <c r="FXV46" s="344"/>
      <c r="FXW46" s="344"/>
      <c r="FXX46" s="344"/>
      <c r="FXY46" s="344"/>
      <c r="FXZ46" s="344"/>
      <c r="FYA46" s="344"/>
      <c r="FYB46" s="344"/>
      <c r="FYC46" s="344"/>
      <c r="FYD46" s="344"/>
      <c r="FYE46" s="344"/>
      <c r="FYF46" s="344"/>
      <c r="FYG46" s="344"/>
      <c r="FYH46" s="344"/>
      <c r="FYI46" s="344"/>
      <c r="FYJ46" s="344"/>
      <c r="FYK46" s="344"/>
      <c r="FYL46" s="344"/>
      <c r="FYM46" s="344"/>
      <c r="FYN46" s="344"/>
      <c r="FYO46" s="344"/>
      <c r="FYP46" s="344"/>
      <c r="FYQ46" s="344"/>
      <c r="FYR46" s="344"/>
      <c r="FYS46" s="344"/>
      <c r="FYT46" s="344"/>
      <c r="FYU46" s="344"/>
      <c r="FYV46" s="344"/>
      <c r="FYW46" s="344"/>
      <c r="FYX46" s="344"/>
      <c r="FYY46" s="344"/>
      <c r="FYZ46" s="344"/>
      <c r="FZA46" s="344"/>
      <c r="FZB46" s="344"/>
      <c r="FZC46" s="344"/>
      <c r="FZD46" s="344"/>
      <c r="FZE46" s="344"/>
      <c r="FZF46" s="344"/>
      <c r="FZG46" s="344"/>
      <c r="FZH46" s="344"/>
      <c r="FZI46" s="344"/>
      <c r="FZJ46" s="344"/>
      <c r="FZK46" s="344"/>
      <c r="FZL46" s="344"/>
      <c r="FZM46" s="344"/>
      <c r="FZN46" s="344"/>
      <c r="FZO46" s="344"/>
      <c r="FZP46" s="344"/>
      <c r="FZQ46" s="344"/>
      <c r="FZR46" s="344"/>
      <c r="FZS46" s="344"/>
      <c r="FZT46" s="344"/>
      <c r="FZU46" s="344"/>
      <c r="FZV46" s="344"/>
      <c r="FZW46" s="344"/>
      <c r="FZX46" s="344"/>
      <c r="FZY46" s="344"/>
      <c r="FZZ46" s="344"/>
      <c r="GAA46" s="344"/>
      <c r="GAB46" s="344"/>
      <c r="GAC46" s="344"/>
      <c r="GAD46" s="344"/>
      <c r="GAE46" s="344"/>
      <c r="GAF46" s="344"/>
      <c r="GAG46" s="344"/>
      <c r="GAH46" s="344"/>
      <c r="GAI46" s="344"/>
      <c r="GAJ46" s="344"/>
      <c r="GAK46" s="344"/>
      <c r="GAL46" s="344"/>
      <c r="GAM46" s="344"/>
      <c r="GAN46" s="344"/>
      <c r="GAO46" s="344"/>
      <c r="GAP46" s="344"/>
      <c r="GAQ46" s="344"/>
      <c r="GAR46" s="344"/>
      <c r="GAS46" s="344"/>
      <c r="GAT46" s="344"/>
      <c r="GAU46" s="344"/>
      <c r="GAV46" s="344"/>
      <c r="GAW46" s="344"/>
      <c r="GAX46" s="344"/>
      <c r="GAY46" s="344"/>
      <c r="GAZ46" s="344"/>
      <c r="GBA46" s="344"/>
      <c r="GBB46" s="344"/>
      <c r="GBC46" s="344"/>
      <c r="GBD46" s="344"/>
      <c r="GBE46" s="344"/>
      <c r="GBF46" s="344"/>
      <c r="GBG46" s="344"/>
      <c r="GBH46" s="344"/>
      <c r="GBI46" s="344"/>
      <c r="GBJ46" s="344"/>
      <c r="GBK46" s="344"/>
      <c r="GBL46" s="344"/>
      <c r="GBM46" s="344"/>
      <c r="GBN46" s="344"/>
      <c r="GBO46" s="344"/>
      <c r="GBP46" s="344"/>
      <c r="GBQ46" s="344"/>
      <c r="GBR46" s="344"/>
      <c r="GBS46" s="344"/>
      <c r="GBT46" s="344"/>
      <c r="GBU46" s="344"/>
      <c r="GBV46" s="344"/>
      <c r="GBW46" s="344"/>
      <c r="GBX46" s="344"/>
      <c r="GBY46" s="344"/>
      <c r="GBZ46" s="344"/>
      <c r="GCA46" s="344"/>
      <c r="GCB46" s="344"/>
      <c r="GCC46" s="344"/>
      <c r="GCD46" s="344"/>
      <c r="GCE46" s="344"/>
      <c r="GCF46" s="344"/>
      <c r="GCG46" s="344"/>
      <c r="GCH46" s="344"/>
      <c r="GCI46" s="344"/>
      <c r="GCJ46" s="344"/>
      <c r="GCK46" s="344"/>
      <c r="GCL46" s="344"/>
      <c r="GCM46" s="344"/>
      <c r="GCN46" s="344"/>
      <c r="GCO46" s="344"/>
      <c r="GCP46" s="344"/>
      <c r="GCQ46" s="344"/>
      <c r="GCR46" s="344"/>
      <c r="GCS46" s="344"/>
      <c r="GCT46" s="344"/>
      <c r="GCU46" s="344"/>
      <c r="GCV46" s="344"/>
      <c r="GCW46" s="344"/>
      <c r="GCX46" s="344"/>
      <c r="GCY46" s="344"/>
      <c r="GCZ46" s="344"/>
      <c r="GDA46" s="344"/>
      <c r="GDB46" s="344"/>
      <c r="GDC46" s="344"/>
      <c r="GDD46" s="344"/>
      <c r="GDE46" s="344"/>
      <c r="GDF46" s="344"/>
      <c r="GDG46" s="344"/>
      <c r="GDH46" s="344"/>
      <c r="GDI46" s="344"/>
      <c r="GDJ46" s="344"/>
      <c r="GDK46" s="344"/>
      <c r="GDL46" s="344"/>
      <c r="GDM46" s="344"/>
      <c r="GDN46" s="344"/>
      <c r="GDO46" s="344"/>
      <c r="GDP46" s="344"/>
      <c r="GDQ46" s="344"/>
      <c r="GDR46" s="344"/>
      <c r="GDS46" s="344"/>
      <c r="GDT46" s="344"/>
      <c r="GDU46" s="344"/>
      <c r="GDV46" s="344"/>
      <c r="GDW46" s="344"/>
      <c r="GDX46" s="344"/>
      <c r="GDY46" s="344"/>
      <c r="GDZ46" s="344"/>
      <c r="GEA46" s="344"/>
      <c r="GEB46" s="344"/>
      <c r="GEC46" s="344"/>
      <c r="GED46" s="344"/>
      <c r="GEE46" s="344"/>
      <c r="GEF46" s="344"/>
      <c r="GEG46" s="344"/>
      <c r="GEH46" s="344"/>
      <c r="GEI46" s="344"/>
      <c r="GEJ46" s="344"/>
      <c r="GEK46" s="344"/>
      <c r="GEL46" s="344"/>
      <c r="GEM46" s="344"/>
      <c r="GEN46" s="344"/>
      <c r="GEO46" s="344"/>
      <c r="GEP46" s="344"/>
      <c r="GEQ46" s="344"/>
      <c r="GER46" s="344"/>
      <c r="GES46" s="344"/>
      <c r="GET46" s="344"/>
      <c r="GEU46" s="344"/>
      <c r="GEV46" s="344"/>
      <c r="GEW46" s="344"/>
      <c r="GEX46" s="344"/>
      <c r="GEY46" s="344"/>
      <c r="GEZ46" s="344"/>
      <c r="GFA46" s="344"/>
      <c r="GFB46" s="344"/>
      <c r="GFC46" s="344"/>
      <c r="GFD46" s="344"/>
      <c r="GFE46" s="344"/>
      <c r="GFF46" s="344"/>
      <c r="GFG46" s="344"/>
      <c r="GFH46" s="344"/>
      <c r="GFI46" s="344"/>
      <c r="GFJ46" s="344"/>
      <c r="GFK46" s="344"/>
      <c r="GFL46" s="344"/>
      <c r="GFM46" s="344"/>
      <c r="GFN46" s="344"/>
      <c r="GFO46" s="344"/>
      <c r="GFP46" s="344"/>
      <c r="GFQ46" s="344"/>
      <c r="GFR46" s="344"/>
      <c r="GFS46" s="344"/>
      <c r="GFT46" s="344"/>
      <c r="GFU46" s="344"/>
      <c r="GFV46" s="344"/>
      <c r="GFW46" s="344"/>
      <c r="GFX46" s="344"/>
      <c r="GFY46" s="344"/>
      <c r="GFZ46" s="344"/>
      <c r="GGA46" s="344"/>
      <c r="GGB46" s="344"/>
      <c r="GGC46" s="344"/>
      <c r="GGD46" s="344"/>
      <c r="GGE46" s="344"/>
      <c r="GGF46" s="344"/>
      <c r="GGG46" s="344"/>
      <c r="GGH46" s="344"/>
      <c r="GGI46" s="344"/>
      <c r="GGJ46" s="344"/>
      <c r="GGK46" s="344"/>
      <c r="GGL46" s="344"/>
      <c r="GGM46" s="344"/>
      <c r="GGN46" s="344"/>
      <c r="GGO46" s="344"/>
      <c r="GGP46" s="344"/>
      <c r="GGQ46" s="344"/>
      <c r="GGR46" s="344"/>
      <c r="GGS46" s="344"/>
      <c r="GGT46" s="344"/>
      <c r="GGU46" s="344"/>
      <c r="GGV46" s="344"/>
      <c r="GGW46" s="344"/>
      <c r="GGX46" s="344"/>
      <c r="GGY46" s="344"/>
      <c r="GGZ46" s="344"/>
      <c r="GHA46" s="344"/>
      <c r="GHB46" s="344"/>
      <c r="GHC46" s="344"/>
      <c r="GHD46" s="344"/>
      <c r="GHE46" s="344"/>
      <c r="GHF46" s="344"/>
      <c r="GHG46" s="344"/>
      <c r="GHH46" s="344"/>
      <c r="GHI46" s="344"/>
      <c r="GHJ46" s="344"/>
      <c r="GHK46" s="344"/>
      <c r="GHL46" s="344"/>
      <c r="GHM46" s="344"/>
      <c r="GHN46" s="344"/>
      <c r="GHO46" s="344"/>
      <c r="GHP46" s="344"/>
      <c r="GHQ46" s="344"/>
      <c r="GHR46" s="344"/>
      <c r="GHS46" s="344"/>
      <c r="GHT46" s="344"/>
      <c r="GHU46" s="344"/>
      <c r="GHV46" s="344"/>
      <c r="GHW46" s="344"/>
      <c r="GHX46" s="344"/>
      <c r="GHY46" s="344"/>
      <c r="GHZ46" s="344"/>
      <c r="GIA46" s="344"/>
      <c r="GIB46" s="344"/>
      <c r="GIC46" s="344"/>
      <c r="GID46" s="344"/>
      <c r="GIE46" s="344"/>
      <c r="GIF46" s="344"/>
      <c r="GIG46" s="344"/>
      <c r="GIH46" s="344"/>
      <c r="GII46" s="344"/>
      <c r="GIJ46" s="344"/>
      <c r="GIK46" s="344"/>
      <c r="GIL46" s="344"/>
      <c r="GIM46" s="344"/>
      <c r="GIN46" s="344"/>
      <c r="GIO46" s="344"/>
      <c r="GIP46" s="344"/>
      <c r="GIQ46" s="344"/>
      <c r="GIR46" s="344"/>
      <c r="GIS46" s="344"/>
      <c r="GIT46" s="344"/>
      <c r="GIU46" s="344"/>
      <c r="GIV46" s="344"/>
      <c r="GIW46" s="344"/>
      <c r="GIX46" s="344"/>
      <c r="GIY46" s="344"/>
      <c r="GIZ46" s="344"/>
      <c r="GJA46" s="344"/>
      <c r="GJB46" s="344"/>
      <c r="GJC46" s="344"/>
      <c r="GJD46" s="344"/>
      <c r="GJE46" s="344"/>
      <c r="GJF46" s="344"/>
      <c r="GJG46" s="344"/>
      <c r="GJH46" s="344"/>
      <c r="GJI46" s="344"/>
      <c r="GJJ46" s="344"/>
      <c r="GJK46" s="344"/>
      <c r="GJL46" s="344"/>
      <c r="GJM46" s="344"/>
      <c r="GJN46" s="344"/>
      <c r="GJO46" s="344"/>
      <c r="GJP46" s="344"/>
      <c r="GJQ46" s="344"/>
      <c r="GJR46" s="344"/>
      <c r="GJS46" s="344"/>
      <c r="GJT46" s="344"/>
      <c r="GJU46" s="344"/>
      <c r="GJV46" s="344"/>
      <c r="GJW46" s="344"/>
      <c r="GJX46" s="344"/>
      <c r="GJY46" s="344"/>
      <c r="GJZ46" s="344"/>
      <c r="GKA46" s="344"/>
      <c r="GKB46" s="344"/>
      <c r="GKC46" s="344"/>
      <c r="GKD46" s="344"/>
      <c r="GKE46" s="344"/>
      <c r="GKF46" s="344"/>
      <c r="GKG46" s="344"/>
      <c r="GKH46" s="344"/>
      <c r="GKI46" s="344"/>
      <c r="GKJ46" s="344"/>
      <c r="GKK46" s="344"/>
      <c r="GKL46" s="344"/>
      <c r="GKM46" s="344"/>
      <c r="GKN46" s="344"/>
      <c r="GKO46" s="344"/>
      <c r="GKP46" s="344"/>
      <c r="GKQ46" s="344"/>
      <c r="GKR46" s="344"/>
      <c r="GKS46" s="344"/>
      <c r="GKT46" s="344"/>
      <c r="GKU46" s="344"/>
      <c r="GKV46" s="344"/>
      <c r="GKW46" s="344"/>
      <c r="GKX46" s="344"/>
      <c r="GKY46" s="344"/>
      <c r="GKZ46" s="344"/>
      <c r="GLA46" s="344"/>
      <c r="GLB46" s="344"/>
      <c r="GLC46" s="344"/>
      <c r="GLD46" s="344"/>
      <c r="GLE46" s="344"/>
      <c r="GLF46" s="344"/>
      <c r="GLG46" s="344"/>
      <c r="GLH46" s="344"/>
      <c r="GLI46" s="344"/>
      <c r="GLJ46" s="344"/>
      <c r="GLK46" s="344"/>
      <c r="GLL46" s="344"/>
      <c r="GLM46" s="344"/>
      <c r="GLN46" s="344"/>
      <c r="GLO46" s="344"/>
      <c r="GLP46" s="344"/>
      <c r="GLQ46" s="344"/>
      <c r="GLR46" s="344"/>
      <c r="GLS46" s="344"/>
      <c r="GLT46" s="344"/>
      <c r="GLU46" s="344"/>
      <c r="GLV46" s="344"/>
      <c r="GLW46" s="344"/>
      <c r="GLX46" s="344"/>
      <c r="GLY46" s="344"/>
      <c r="GLZ46" s="344"/>
      <c r="GMA46" s="344"/>
      <c r="GMB46" s="344"/>
      <c r="GMC46" s="344"/>
      <c r="GMD46" s="344"/>
      <c r="GME46" s="344"/>
      <c r="GMF46" s="344"/>
      <c r="GMG46" s="344"/>
      <c r="GMH46" s="344"/>
      <c r="GMI46" s="344"/>
      <c r="GMJ46" s="344"/>
      <c r="GMK46" s="344"/>
      <c r="GML46" s="344"/>
      <c r="GMM46" s="344"/>
      <c r="GMN46" s="344"/>
      <c r="GMO46" s="344"/>
      <c r="GMP46" s="344"/>
      <c r="GMQ46" s="344"/>
      <c r="GMR46" s="344"/>
      <c r="GMS46" s="344"/>
      <c r="GMT46" s="344"/>
      <c r="GMU46" s="344"/>
      <c r="GMV46" s="344"/>
      <c r="GMW46" s="344"/>
      <c r="GMX46" s="344"/>
      <c r="GMY46" s="344"/>
      <c r="GMZ46" s="344"/>
      <c r="GNA46" s="344"/>
      <c r="GNB46" s="344"/>
      <c r="GNC46" s="344"/>
      <c r="GND46" s="344"/>
      <c r="GNE46" s="344"/>
      <c r="GNF46" s="344"/>
      <c r="GNG46" s="344"/>
      <c r="GNH46" s="344"/>
      <c r="GNI46" s="344"/>
      <c r="GNJ46" s="344"/>
      <c r="GNK46" s="344"/>
      <c r="GNL46" s="344"/>
      <c r="GNM46" s="344"/>
      <c r="GNN46" s="344"/>
      <c r="GNO46" s="344"/>
      <c r="GNP46" s="344"/>
      <c r="GNQ46" s="344"/>
      <c r="GNR46" s="344"/>
      <c r="GNS46" s="344"/>
      <c r="GNT46" s="344"/>
      <c r="GNU46" s="344"/>
      <c r="GNV46" s="344"/>
      <c r="GNW46" s="344"/>
      <c r="GNX46" s="344"/>
      <c r="GNY46" s="344"/>
      <c r="GNZ46" s="344"/>
      <c r="GOA46" s="344"/>
      <c r="GOB46" s="344"/>
      <c r="GOC46" s="344"/>
      <c r="GOD46" s="344"/>
      <c r="GOE46" s="344"/>
      <c r="GOF46" s="344"/>
      <c r="GOG46" s="344"/>
      <c r="GOH46" s="344"/>
      <c r="GOI46" s="344"/>
      <c r="GOJ46" s="344"/>
      <c r="GOK46" s="344"/>
      <c r="GOL46" s="344"/>
      <c r="GOM46" s="344"/>
      <c r="GON46" s="344"/>
      <c r="GOO46" s="344"/>
      <c r="GOP46" s="344"/>
      <c r="GOQ46" s="344"/>
      <c r="GOR46" s="344"/>
      <c r="GOS46" s="344"/>
      <c r="GOT46" s="344"/>
      <c r="GOU46" s="344"/>
      <c r="GOV46" s="344"/>
      <c r="GOW46" s="344"/>
      <c r="GOX46" s="344"/>
      <c r="GOY46" s="344"/>
      <c r="GOZ46" s="344"/>
      <c r="GPA46" s="344"/>
      <c r="GPB46" s="344"/>
      <c r="GPC46" s="344"/>
      <c r="GPD46" s="344"/>
      <c r="GPE46" s="344"/>
      <c r="GPF46" s="344"/>
      <c r="GPG46" s="344"/>
      <c r="GPH46" s="344"/>
      <c r="GPI46" s="344"/>
      <c r="GPJ46" s="344"/>
      <c r="GPK46" s="344"/>
      <c r="GPL46" s="344"/>
      <c r="GPM46" s="344"/>
      <c r="GPN46" s="344"/>
      <c r="GPO46" s="344"/>
      <c r="GPP46" s="344"/>
      <c r="GPQ46" s="344"/>
      <c r="GPR46" s="344"/>
      <c r="GPS46" s="344"/>
      <c r="GPT46" s="344"/>
      <c r="GPU46" s="344"/>
      <c r="GPV46" s="344"/>
      <c r="GPW46" s="344"/>
      <c r="GPX46" s="344"/>
      <c r="GPY46" s="344"/>
      <c r="GPZ46" s="344"/>
      <c r="GQA46" s="344"/>
      <c r="GQB46" s="344"/>
      <c r="GQC46" s="344"/>
      <c r="GQD46" s="344"/>
      <c r="GQE46" s="344"/>
      <c r="GQF46" s="344"/>
      <c r="GQG46" s="344"/>
      <c r="GQH46" s="344"/>
      <c r="GQI46" s="344"/>
      <c r="GQJ46" s="344"/>
      <c r="GQK46" s="344"/>
      <c r="GQL46" s="344"/>
      <c r="GQM46" s="344"/>
      <c r="GQN46" s="344"/>
      <c r="GQO46" s="344"/>
      <c r="GQP46" s="344"/>
      <c r="GQQ46" s="344"/>
      <c r="GQR46" s="344"/>
      <c r="GQS46" s="344"/>
      <c r="GQT46" s="344"/>
      <c r="GQU46" s="344"/>
      <c r="GQV46" s="344"/>
      <c r="GQW46" s="344"/>
      <c r="GQX46" s="344"/>
      <c r="GQY46" s="344"/>
      <c r="GQZ46" s="344"/>
      <c r="GRA46" s="344"/>
      <c r="GRB46" s="344"/>
      <c r="GRC46" s="344"/>
      <c r="GRD46" s="344"/>
      <c r="GRE46" s="344"/>
      <c r="GRF46" s="344"/>
      <c r="GRG46" s="344"/>
      <c r="GRH46" s="344"/>
      <c r="GRI46" s="344"/>
      <c r="GRJ46" s="344"/>
      <c r="GRK46" s="344"/>
      <c r="GRL46" s="344"/>
      <c r="GRM46" s="344"/>
      <c r="GRN46" s="344"/>
      <c r="GRO46" s="344"/>
      <c r="GRP46" s="344"/>
      <c r="GRQ46" s="344"/>
      <c r="GRR46" s="344"/>
      <c r="GRS46" s="344"/>
      <c r="GRT46" s="344"/>
      <c r="GRU46" s="344"/>
      <c r="GRV46" s="344"/>
      <c r="GRW46" s="344"/>
      <c r="GRX46" s="344"/>
      <c r="GRY46" s="344"/>
      <c r="GRZ46" s="344"/>
      <c r="GSA46" s="344"/>
      <c r="GSB46" s="344"/>
      <c r="GSC46" s="344"/>
      <c r="GSD46" s="344"/>
      <c r="GSE46" s="344"/>
      <c r="GSF46" s="344"/>
      <c r="GSG46" s="344"/>
      <c r="GSH46" s="344"/>
      <c r="GSI46" s="344"/>
      <c r="GSJ46" s="344"/>
      <c r="GSK46" s="344"/>
      <c r="GSL46" s="344"/>
      <c r="GSM46" s="344"/>
      <c r="GSN46" s="344"/>
      <c r="GSO46" s="344"/>
      <c r="GSP46" s="344"/>
      <c r="GSQ46" s="344"/>
      <c r="GSR46" s="344"/>
      <c r="GSS46" s="344"/>
      <c r="GST46" s="344"/>
      <c r="GSU46" s="344"/>
      <c r="GSV46" s="344"/>
      <c r="GSW46" s="344"/>
      <c r="GSX46" s="344"/>
      <c r="GSY46" s="344"/>
      <c r="GSZ46" s="344"/>
      <c r="GTA46" s="344"/>
      <c r="GTB46" s="344"/>
      <c r="GTC46" s="344"/>
      <c r="GTD46" s="344"/>
      <c r="GTE46" s="344"/>
      <c r="GTF46" s="344"/>
      <c r="GTG46" s="344"/>
      <c r="GTH46" s="344"/>
      <c r="GTI46" s="344"/>
      <c r="GTJ46" s="344"/>
      <c r="GTK46" s="344"/>
      <c r="GTL46" s="344"/>
      <c r="GTM46" s="344"/>
      <c r="GTN46" s="344"/>
      <c r="GTO46" s="344"/>
      <c r="GTP46" s="344"/>
      <c r="GTQ46" s="344"/>
      <c r="GTR46" s="344"/>
      <c r="GTS46" s="344"/>
      <c r="GTT46" s="344"/>
      <c r="GTU46" s="344"/>
      <c r="GTV46" s="344"/>
      <c r="GTW46" s="344"/>
      <c r="GTX46" s="344"/>
      <c r="GTY46" s="344"/>
      <c r="GTZ46" s="344"/>
      <c r="GUA46" s="344"/>
      <c r="GUB46" s="344"/>
      <c r="GUC46" s="344"/>
      <c r="GUD46" s="344"/>
      <c r="GUE46" s="344"/>
      <c r="GUF46" s="344"/>
      <c r="GUG46" s="344"/>
      <c r="GUH46" s="344"/>
      <c r="GUI46" s="344"/>
      <c r="GUJ46" s="344"/>
      <c r="GUK46" s="344"/>
      <c r="GUL46" s="344"/>
      <c r="GUM46" s="344"/>
      <c r="GUN46" s="344"/>
      <c r="GUO46" s="344"/>
      <c r="GUP46" s="344"/>
      <c r="GUQ46" s="344"/>
      <c r="GUR46" s="344"/>
      <c r="GUS46" s="344"/>
      <c r="GUT46" s="344"/>
      <c r="GUU46" s="344"/>
      <c r="GUV46" s="344"/>
      <c r="GUW46" s="344"/>
      <c r="GUX46" s="344"/>
      <c r="GUY46" s="344"/>
      <c r="GUZ46" s="344"/>
      <c r="GVA46" s="344"/>
      <c r="GVB46" s="344"/>
      <c r="GVC46" s="344"/>
      <c r="GVD46" s="344"/>
      <c r="GVE46" s="344"/>
      <c r="GVF46" s="344"/>
      <c r="GVG46" s="344"/>
      <c r="GVH46" s="344"/>
      <c r="GVI46" s="344"/>
      <c r="GVJ46" s="344"/>
      <c r="GVK46" s="344"/>
      <c r="GVL46" s="344"/>
      <c r="GVM46" s="344"/>
      <c r="GVN46" s="344"/>
      <c r="GVO46" s="344"/>
      <c r="GVP46" s="344"/>
      <c r="GVQ46" s="344"/>
      <c r="GVR46" s="344"/>
      <c r="GVS46" s="344"/>
      <c r="GVT46" s="344"/>
      <c r="GVU46" s="344"/>
      <c r="GVV46" s="344"/>
      <c r="GVW46" s="344"/>
      <c r="GVX46" s="344"/>
      <c r="GVY46" s="344"/>
      <c r="GVZ46" s="344"/>
      <c r="GWA46" s="344"/>
      <c r="GWB46" s="344"/>
      <c r="GWC46" s="344"/>
      <c r="GWD46" s="344"/>
      <c r="GWE46" s="344"/>
      <c r="GWF46" s="344"/>
      <c r="GWG46" s="344"/>
      <c r="GWH46" s="344"/>
      <c r="GWI46" s="344"/>
      <c r="GWJ46" s="344"/>
      <c r="GWK46" s="344"/>
      <c r="GWL46" s="344"/>
      <c r="GWM46" s="344"/>
      <c r="GWN46" s="344"/>
      <c r="GWO46" s="344"/>
      <c r="GWP46" s="344"/>
      <c r="GWQ46" s="344"/>
      <c r="GWR46" s="344"/>
      <c r="GWS46" s="344"/>
      <c r="GWT46" s="344"/>
      <c r="GWU46" s="344"/>
      <c r="GWV46" s="344"/>
      <c r="GWW46" s="344"/>
      <c r="GWX46" s="344"/>
      <c r="GWY46" s="344"/>
      <c r="GWZ46" s="344"/>
      <c r="GXA46" s="344"/>
      <c r="GXB46" s="344"/>
      <c r="GXC46" s="344"/>
      <c r="GXD46" s="344"/>
      <c r="GXE46" s="344"/>
      <c r="GXF46" s="344"/>
      <c r="GXG46" s="344"/>
      <c r="GXH46" s="344"/>
      <c r="GXI46" s="344"/>
      <c r="GXJ46" s="344"/>
      <c r="GXK46" s="344"/>
      <c r="GXL46" s="344"/>
      <c r="GXM46" s="344"/>
      <c r="GXN46" s="344"/>
      <c r="GXO46" s="344"/>
      <c r="GXP46" s="344"/>
      <c r="GXQ46" s="344"/>
      <c r="GXR46" s="344"/>
      <c r="GXS46" s="344"/>
      <c r="GXT46" s="344"/>
      <c r="GXU46" s="344"/>
      <c r="GXV46" s="344"/>
      <c r="GXW46" s="344"/>
      <c r="GXX46" s="344"/>
      <c r="GXY46" s="344"/>
      <c r="GXZ46" s="344"/>
      <c r="GYA46" s="344"/>
      <c r="GYB46" s="344"/>
      <c r="GYC46" s="344"/>
      <c r="GYD46" s="344"/>
      <c r="GYE46" s="344"/>
      <c r="GYF46" s="344"/>
      <c r="GYG46" s="344"/>
      <c r="GYH46" s="344"/>
      <c r="GYI46" s="344"/>
      <c r="GYJ46" s="344"/>
      <c r="GYK46" s="344"/>
      <c r="GYL46" s="344"/>
      <c r="GYM46" s="344"/>
      <c r="GYN46" s="344"/>
      <c r="GYO46" s="344"/>
      <c r="GYP46" s="344"/>
      <c r="GYQ46" s="344"/>
      <c r="GYR46" s="344"/>
      <c r="GYS46" s="344"/>
      <c r="GYT46" s="344"/>
      <c r="GYU46" s="344"/>
      <c r="GYV46" s="344"/>
      <c r="GYW46" s="344"/>
      <c r="GYX46" s="344"/>
      <c r="GYY46" s="344"/>
      <c r="GYZ46" s="344"/>
      <c r="GZA46" s="344"/>
      <c r="GZB46" s="344"/>
      <c r="GZC46" s="344"/>
      <c r="GZD46" s="344"/>
      <c r="GZE46" s="344"/>
      <c r="GZF46" s="344"/>
      <c r="GZG46" s="344"/>
      <c r="GZH46" s="344"/>
      <c r="GZI46" s="344"/>
      <c r="GZJ46" s="344"/>
      <c r="GZK46" s="344"/>
      <c r="GZL46" s="344"/>
      <c r="GZM46" s="344"/>
      <c r="GZN46" s="344"/>
      <c r="GZO46" s="344"/>
      <c r="GZP46" s="344"/>
      <c r="GZQ46" s="344"/>
      <c r="GZR46" s="344"/>
      <c r="GZS46" s="344"/>
      <c r="GZT46" s="344"/>
      <c r="GZU46" s="344"/>
      <c r="GZV46" s="344"/>
      <c r="GZW46" s="344"/>
      <c r="GZX46" s="344"/>
      <c r="GZY46" s="344"/>
      <c r="GZZ46" s="344"/>
      <c r="HAA46" s="344"/>
      <c r="HAB46" s="344"/>
      <c r="HAC46" s="344"/>
      <c r="HAD46" s="344"/>
      <c r="HAE46" s="344"/>
      <c r="HAF46" s="344"/>
      <c r="HAG46" s="344"/>
      <c r="HAH46" s="344"/>
      <c r="HAI46" s="344"/>
      <c r="HAJ46" s="344"/>
      <c r="HAK46" s="344"/>
      <c r="HAL46" s="344"/>
      <c r="HAM46" s="344"/>
      <c r="HAN46" s="344"/>
      <c r="HAO46" s="344"/>
      <c r="HAP46" s="344"/>
      <c r="HAQ46" s="344"/>
      <c r="HAR46" s="344"/>
      <c r="HAS46" s="344"/>
      <c r="HAT46" s="344"/>
      <c r="HAU46" s="344"/>
      <c r="HAV46" s="344"/>
      <c r="HAW46" s="344"/>
      <c r="HAX46" s="344"/>
      <c r="HAY46" s="344"/>
      <c r="HAZ46" s="344"/>
      <c r="HBA46" s="344"/>
      <c r="HBB46" s="344"/>
      <c r="HBC46" s="344"/>
      <c r="HBD46" s="344"/>
      <c r="HBE46" s="344"/>
      <c r="HBF46" s="344"/>
      <c r="HBG46" s="344"/>
      <c r="HBH46" s="344"/>
      <c r="HBI46" s="344"/>
      <c r="HBJ46" s="344"/>
      <c r="HBK46" s="344"/>
      <c r="HBL46" s="344"/>
      <c r="HBM46" s="344"/>
      <c r="HBN46" s="344"/>
      <c r="HBO46" s="344"/>
      <c r="HBP46" s="344"/>
      <c r="HBQ46" s="344"/>
      <c r="HBR46" s="344"/>
      <c r="HBS46" s="344"/>
      <c r="HBT46" s="344"/>
      <c r="HBU46" s="344"/>
      <c r="HBV46" s="344"/>
      <c r="HBW46" s="344"/>
      <c r="HBX46" s="344"/>
      <c r="HBY46" s="344"/>
      <c r="HBZ46" s="344"/>
      <c r="HCA46" s="344"/>
      <c r="HCB46" s="344"/>
      <c r="HCC46" s="344"/>
      <c r="HCD46" s="344"/>
      <c r="HCE46" s="344"/>
      <c r="HCF46" s="344"/>
      <c r="HCG46" s="344"/>
      <c r="HCH46" s="344"/>
      <c r="HCI46" s="344"/>
      <c r="HCJ46" s="344"/>
      <c r="HCK46" s="344"/>
      <c r="HCL46" s="344"/>
      <c r="HCM46" s="344"/>
      <c r="HCN46" s="344"/>
      <c r="HCO46" s="344"/>
      <c r="HCP46" s="344"/>
      <c r="HCQ46" s="344"/>
      <c r="HCR46" s="344"/>
      <c r="HCS46" s="344"/>
      <c r="HCT46" s="344"/>
      <c r="HCU46" s="344"/>
      <c r="HCV46" s="344"/>
      <c r="HCW46" s="344"/>
      <c r="HCX46" s="344"/>
      <c r="HCY46" s="344"/>
      <c r="HCZ46" s="344"/>
      <c r="HDA46" s="344"/>
      <c r="HDB46" s="344"/>
      <c r="HDC46" s="344"/>
      <c r="HDD46" s="344"/>
      <c r="HDE46" s="344"/>
      <c r="HDF46" s="344"/>
      <c r="HDG46" s="344"/>
      <c r="HDH46" s="344"/>
      <c r="HDI46" s="344"/>
      <c r="HDJ46" s="344"/>
      <c r="HDK46" s="344"/>
      <c r="HDL46" s="344"/>
      <c r="HDM46" s="344"/>
      <c r="HDN46" s="344"/>
      <c r="HDO46" s="344"/>
      <c r="HDP46" s="344"/>
      <c r="HDQ46" s="344"/>
      <c r="HDR46" s="344"/>
      <c r="HDS46" s="344"/>
      <c r="HDT46" s="344"/>
      <c r="HDU46" s="344"/>
      <c r="HDV46" s="344"/>
      <c r="HDW46" s="344"/>
      <c r="HDX46" s="344"/>
      <c r="HDY46" s="344"/>
      <c r="HDZ46" s="344"/>
      <c r="HEA46" s="344"/>
      <c r="HEB46" s="344"/>
      <c r="HEC46" s="344"/>
      <c r="HED46" s="344"/>
      <c r="HEE46" s="344"/>
      <c r="HEF46" s="344"/>
      <c r="HEG46" s="344"/>
      <c r="HEH46" s="344"/>
      <c r="HEI46" s="344"/>
      <c r="HEJ46" s="344"/>
      <c r="HEK46" s="344"/>
      <c r="HEL46" s="344"/>
      <c r="HEM46" s="344"/>
      <c r="HEN46" s="344"/>
      <c r="HEO46" s="344"/>
      <c r="HEP46" s="344"/>
      <c r="HEQ46" s="344"/>
      <c r="HER46" s="344"/>
      <c r="HES46" s="344"/>
      <c r="HET46" s="344"/>
      <c r="HEU46" s="344"/>
      <c r="HEV46" s="344"/>
      <c r="HEW46" s="344"/>
      <c r="HEX46" s="344"/>
      <c r="HEY46" s="344"/>
      <c r="HEZ46" s="344"/>
      <c r="HFA46" s="344"/>
      <c r="HFB46" s="344"/>
      <c r="HFC46" s="344"/>
      <c r="HFD46" s="344"/>
      <c r="HFE46" s="344"/>
      <c r="HFF46" s="344"/>
      <c r="HFG46" s="344"/>
      <c r="HFH46" s="344"/>
      <c r="HFI46" s="344"/>
      <c r="HFJ46" s="344"/>
      <c r="HFK46" s="344"/>
      <c r="HFL46" s="344"/>
      <c r="HFM46" s="344"/>
      <c r="HFN46" s="344"/>
      <c r="HFO46" s="344"/>
      <c r="HFP46" s="344"/>
      <c r="HFQ46" s="344"/>
      <c r="HFR46" s="344"/>
      <c r="HFS46" s="344"/>
      <c r="HFT46" s="344"/>
      <c r="HFU46" s="344"/>
      <c r="HFV46" s="344"/>
      <c r="HFW46" s="344"/>
      <c r="HFX46" s="344"/>
      <c r="HFY46" s="344"/>
      <c r="HFZ46" s="344"/>
      <c r="HGA46" s="344"/>
      <c r="HGB46" s="344"/>
      <c r="HGC46" s="344"/>
      <c r="HGD46" s="344"/>
      <c r="HGE46" s="344"/>
      <c r="HGF46" s="344"/>
      <c r="HGG46" s="344"/>
      <c r="HGH46" s="344"/>
      <c r="HGI46" s="344"/>
      <c r="HGJ46" s="344"/>
      <c r="HGK46" s="344"/>
      <c r="HGL46" s="344"/>
      <c r="HGM46" s="344"/>
      <c r="HGN46" s="344"/>
      <c r="HGO46" s="344"/>
      <c r="HGP46" s="344"/>
      <c r="HGQ46" s="344"/>
      <c r="HGR46" s="344"/>
      <c r="HGS46" s="344"/>
      <c r="HGT46" s="344"/>
      <c r="HGU46" s="344"/>
      <c r="HGV46" s="344"/>
      <c r="HGW46" s="344"/>
      <c r="HGX46" s="344"/>
      <c r="HGY46" s="344"/>
      <c r="HGZ46" s="344"/>
      <c r="HHA46" s="344"/>
      <c r="HHB46" s="344"/>
      <c r="HHC46" s="344"/>
      <c r="HHD46" s="344"/>
      <c r="HHE46" s="344"/>
      <c r="HHF46" s="344"/>
      <c r="HHG46" s="344"/>
      <c r="HHH46" s="344"/>
      <c r="HHI46" s="344"/>
      <c r="HHJ46" s="344"/>
      <c r="HHK46" s="344"/>
      <c r="HHL46" s="344"/>
      <c r="HHM46" s="344"/>
      <c r="HHN46" s="344"/>
      <c r="HHO46" s="344"/>
      <c r="HHP46" s="344"/>
      <c r="HHQ46" s="344"/>
      <c r="HHR46" s="344"/>
      <c r="HHS46" s="344"/>
      <c r="HHT46" s="344"/>
      <c r="HHU46" s="344"/>
      <c r="HHV46" s="344"/>
      <c r="HHW46" s="344"/>
      <c r="HHX46" s="344"/>
      <c r="HHY46" s="344"/>
      <c r="HHZ46" s="344"/>
      <c r="HIA46" s="344"/>
      <c r="HIB46" s="344"/>
      <c r="HIC46" s="344"/>
      <c r="HID46" s="344"/>
      <c r="HIE46" s="344"/>
      <c r="HIF46" s="344"/>
      <c r="HIG46" s="344"/>
      <c r="HIH46" s="344"/>
      <c r="HII46" s="344"/>
      <c r="HIJ46" s="344"/>
      <c r="HIK46" s="344"/>
      <c r="HIL46" s="344"/>
      <c r="HIM46" s="344"/>
      <c r="HIN46" s="344"/>
      <c r="HIO46" s="344"/>
      <c r="HIP46" s="344"/>
      <c r="HIQ46" s="344"/>
      <c r="HIR46" s="344"/>
      <c r="HIS46" s="344"/>
      <c r="HIT46" s="344"/>
      <c r="HIU46" s="344"/>
      <c r="HIV46" s="344"/>
      <c r="HIW46" s="344"/>
      <c r="HIX46" s="344"/>
      <c r="HIY46" s="344"/>
      <c r="HIZ46" s="344"/>
      <c r="HJA46" s="344"/>
      <c r="HJB46" s="344"/>
      <c r="HJC46" s="344"/>
      <c r="HJD46" s="344"/>
      <c r="HJE46" s="344"/>
      <c r="HJF46" s="344"/>
      <c r="HJG46" s="344"/>
      <c r="HJH46" s="344"/>
      <c r="HJI46" s="344"/>
      <c r="HJJ46" s="344"/>
      <c r="HJK46" s="344"/>
      <c r="HJL46" s="344"/>
      <c r="HJM46" s="344"/>
      <c r="HJN46" s="344"/>
      <c r="HJO46" s="344"/>
      <c r="HJP46" s="344"/>
      <c r="HJQ46" s="344"/>
      <c r="HJR46" s="344"/>
      <c r="HJS46" s="344"/>
      <c r="HJT46" s="344"/>
      <c r="HJU46" s="344"/>
      <c r="HJV46" s="344"/>
      <c r="HJW46" s="344"/>
      <c r="HJX46" s="344"/>
      <c r="HJY46" s="344"/>
      <c r="HJZ46" s="344"/>
      <c r="HKA46" s="344"/>
      <c r="HKB46" s="344"/>
      <c r="HKC46" s="344"/>
      <c r="HKD46" s="344"/>
      <c r="HKE46" s="344"/>
      <c r="HKF46" s="344"/>
      <c r="HKG46" s="344"/>
      <c r="HKH46" s="344"/>
      <c r="HKI46" s="344"/>
      <c r="HKJ46" s="344"/>
      <c r="HKK46" s="344"/>
      <c r="HKL46" s="344"/>
      <c r="HKM46" s="344"/>
      <c r="HKN46" s="344"/>
      <c r="HKO46" s="344"/>
      <c r="HKP46" s="344"/>
      <c r="HKQ46" s="344"/>
      <c r="HKR46" s="344"/>
      <c r="HKS46" s="344"/>
      <c r="HKT46" s="344"/>
      <c r="HKU46" s="344"/>
      <c r="HKV46" s="344"/>
      <c r="HKW46" s="344"/>
      <c r="HKX46" s="344"/>
      <c r="HKY46" s="344"/>
      <c r="HKZ46" s="344"/>
      <c r="HLA46" s="344"/>
      <c r="HLB46" s="344"/>
      <c r="HLC46" s="344"/>
      <c r="HLD46" s="344"/>
      <c r="HLE46" s="344"/>
      <c r="HLF46" s="344"/>
      <c r="HLG46" s="344"/>
      <c r="HLH46" s="344"/>
      <c r="HLI46" s="344"/>
      <c r="HLJ46" s="344"/>
      <c r="HLK46" s="344"/>
      <c r="HLL46" s="344"/>
      <c r="HLM46" s="344"/>
      <c r="HLN46" s="344"/>
      <c r="HLO46" s="344"/>
      <c r="HLP46" s="344"/>
      <c r="HLQ46" s="344"/>
      <c r="HLR46" s="344"/>
      <c r="HLS46" s="344"/>
      <c r="HLT46" s="344"/>
      <c r="HLU46" s="344"/>
      <c r="HLV46" s="344"/>
      <c r="HLW46" s="344"/>
      <c r="HLX46" s="344"/>
      <c r="HLY46" s="344"/>
      <c r="HLZ46" s="344"/>
      <c r="HMA46" s="344"/>
      <c r="HMB46" s="344"/>
      <c r="HMC46" s="344"/>
      <c r="HMD46" s="344"/>
      <c r="HME46" s="344"/>
      <c r="HMF46" s="344"/>
      <c r="HMG46" s="344"/>
      <c r="HMH46" s="344"/>
      <c r="HMI46" s="344"/>
      <c r="HMJ46" s="344"/>
      <c r="HMK46" s="344"/>
      <c r="HML46" s="344"/>
      <c r="HMM46" s="344"/>
      <c r="HMN46" s="344"/>
      <c r="HMO46" s="344"/>
      <c r="HMP46" s="344"/>
      <c r="HMQ46" s="344"/>
      <c r="HMR46" s="344"/>
      <c r="HMS46" s="344"/>
      <c r="HMT46" s="344"/>
      <c r="HMU46" s="344"/>
      <c r="HMV46" s="344"/>
      <c r="HMW46" s="344"/>
      <c r="HMX46" s="344"/>
      <c r="HMY46" s="344"/>
      <c r="HMZ46" s="344"/>
      <c r="HNA46" s="344"/>
      <c r="HNB46" s="344"/>
      <c r="HNC46" s="344"/>
      <c r="HND46" s="344"/>
      <c r="HNE46" s="344"/>
      <c r="HNF46" s="344"/>
      <c r="HNG46" s="344"/>
      <c r="HNH46" s="344"/>
      <c r="HNI46" s="344"/>
      <c r="HNJ46" s="344"/>
      <c r="HNK46" s="344"/>
      <c r="HNL46" s="344"/>
      <c r="HNM46" s="344"/>
      <c r="HNN46" s="344"/>
      <c r="HNO46" s="344"/>
      <c r="HNP46" s="344"/>
      <c r="HNQ46" s="344"/>
      <c r="HNR46" s="344"/>
      <c r="HNS46" s="344"/>
      <c r="HNT46" s="344"/>
      <c r="HNU46" s="344"/>
      <c r="HNV46" s="344"/>
      <c r="HNW46" s="344"/>
      <c r="HNX46" s="344"/>
      <c r="HNY46" s="344"/>
      <c r="HNZ46" s="344"/>
      <c r="HOA46" s="344"/>
      <c r="HOB46" s="344"/>
      <c r="HOC46" s="344"/>
      <c r="HOD46" s="344"/>
      <c r="HOE46" s="344"/>
      <c r="HOF46" s="344"/>
      <c r="HOG46" s="344"/>
      <c r="HOH46" s="344"/>
      <c r="HOI46" s="344"/>
      <c r="HOJ46" s="344"/>
      <c r="HOK46" s="344"/>
      <c r="HOL46" s="344"/>
      <c r="HOM46" s="344"/>
      <c r="HON46" s="344"/>
      <c r="HOO46" s="344"/>
      <c r="HOP46" s="344"/>
      <c r="HOQ46" s="344"/>
      <c r="HOR46" s="344"/>
      <c r="HOS46" s="344"/>
      <c r="HOT46" s="344"/>
      <c r="HOU46" s="344"/>
      <c r="HOV46" s="344"/>
      <c r="HOW46" s="344"/>
      <c r="HOX46" s="344"/>
      <c r="HOY46" s="344"/>
      <c r="HOZ46" s="344"/>
      <c r="HPA46" s="344"/>
      <c r="HPB46" s="344"/>
      <c r="HPC46" s="344"/>
      <c r="HPD46" s="344"/>
      <c r="HPE46" s="344"/>
      <c r="HPF46" s="344"/>
      <c r="HPG46" s="344"/>
      <c r="HPH46" s="344"/>
      <c r="HPI46" s="344"/>
      <c r="HPJ46" s="344"/>
      <c r="HPK46" s="344"/>
      <c r="HPL46" s="344"/>
      <c r="HPM46" s="344"/>
      <c r="HPN46" s="344"/>
      <c r="HPO46" s="344"/>
      <c r="HPP46" s="344"/>
      <c r="HPQ46" s="344"/>
      <c r="HPR46" s="344"/>
      <c r="HPS46" s="344"/>
      <c r="HPT46" s="344"/>
      <c r="HPU46" s="344"/>
      <c r="HPV46" s="344"/>
      <c r="HPW46" s="344"/>
      <c r="HPX46" s="344"/>
      <c r="HPY46" s="344"/>
      <c r="HPZ46" s="344"/>
      <c r="HQA46" s="344"/>
      <c r="HQB46" s="344"/>
      <c r="HQC46" s="344"/>
      <c r="HQD46" s="344"/>
      <c r="HQE46" s="344"/>
      <c r="HQF46" s="344"/>
      <c r="HQG46" s="344"/>
      <c r="HQH46" s="344"/>
      <c r="HQI46" s="344"/>
      <c r="HQJ46" s="344"/>
      <c r="HQK46" s="344"/>
      <c r="HQL46" s="344"/>
      <c r="HQM46" s="344"/>
      <c r="HQN46" s="344"/>
      <c r="HQO46" s="344"/>
      <c r="HQP46" s="344"/>
      <c r="HQQ46" s="344"/>
      <c r="HQR46" s="344"/>
      <c r="HQS46" s="344"/>
      <c r="HQT46" s="344"/>
      <c r="HQU46" s="344"/>
      <c r="HQV46" s="344"/>
      <c r="HQW46" s="344"/>
      <c r="HQX46" s="344"/>
      <c r="HQY46" s="344"/>
      <c r="HQZ46" s="344"/>
      <c r="HRA46" s="344"/>
      <c r="HRB46" s="344"/>
      <c r="HRC46" s="344"/>
      <c r="HRD46" s="344"/>
      <c r="HRE46" s="344"/>
      <c r="HRF46" s="344"/>
      <c r="HRG46" s="344"/>
      <c r="HRH46" s="344"/>
      <c r="HRI46" s="344"/>
      <c r="HRJ46" s="344"/>
      <c r="HRK46" s="344"/>
      <c r="HRL46" s="344"/>
      <c r="HRM46" s="344"/>
      <c r="HRN46" s="344"/>
      <c r="HRO46" s="344"/>
      <c r="HRP46" s="344"/>
      <c r="HRQ46" s="344"/>
      <c r="HRR46" s="344"/>
      <c r="HRS46" s="344"/>
      <c r="HRT46" s="344"/>
      <c r="HRU46" s="344"/>
      <c r="HRV46" s="344"/>
      <c r="HRW46" s="344"/>
      <c r="HRX46" s="344"/>
      <c r="HRY46" s="344"/>
      <c r="HRZ46" s="344"/>
      <c r="HSA46" s="344"/>
      <c r="HSB46" s="344"/>
      <c r="HSC46" s="344"/>
      <c r="HSD46" s="344"/>
      <c r="HSE46" s="344"/>
      <c r="HSF46" s="344"/>
      <c r="HSG46" s="344"/>
      <c r="HSH46" s="344"/>
      <c r="HSI46" s="344"/>
      <c r="HSJ46" s="344"/>
      <c r="HSK46" s="344"/>
      <c r="HSL46" s="344"/>
      <c r="HSM46" s="344"/>
      <c r="HSN46" s="344"/>
      <c r="HSO46" s="344"/>
      <c r="HSP46" s="344"/>
      <c r="HSQ46" s="344"/>
      <c r="HSR46" s="344"/>
      <c r="HSS46" s="344"/>
      <c r="HST46" s="344"/>
      <c r="HSU46" s="344"/>
      <c r="HSV46" s="344"/>
      <c r="HSW46" s="344"/>
      <c r="HSX46" s="344"/>
      <c r="HSY46" s="344"/>
      <c r="HSZ46" s="344"/>
      <c r="HTA46" s="344"/>
      <c r="HTB46" s="344"/>
      <c r="HTC46" s="344"/>
      <c r="HTD46" s="344"/>
      <c r="HTE46" s="344"/>
      <c r="HTF46" s="344"/>
      <c r="HTG46" s="344"/>
      <c r="HTH46" s="344"/>
      <c r="HTI46" s="344"/>
      <c r="HTJ46" s="344"/>
      <c r="HTK46" s="344"/>
      <c r="HTL46" s="344"/>
      <c r="HTM46" s="344"/>
      <c r="HTN46" s="344"/>
      <c r="HTO46" s="344"/>
      <c r="HTP46" s="344"/>
      <c r="HTQ46" s="344"/>
      <c r="HTR46" s="344"/>
      <c r="HTS46" s="344"/>
      <c r="HTT46" s="344"/>
      <c r="HTU46" s="344"/>
      <c r="HTV46" s="344"/>
      <c r="HTW46" s="344"/>
      <c r="HTX46" s="344"/>
      <c r="HTY46" s="344"/>
      <c r="HTZ46" s="344"/>
      <c r="HUA46" s="344"/>
      <c r="HUB46" s="344"/>
      <c r="HUC46" s="344"/>
      <c r="HUD46" s="344"/>
      <c r="HUE46" s="344"/>
      <c r="HUF46" s="344"/>
      <c r="HUG46" s="344"/>
      <c r="HUH46" s="344"/>
      <c r="HUI46" s="344"/>
      <c r="HUJ46" s="344"/>
      <c r="HUK46" s="344"/>
      <c r="HUL46" s="344"/>
      <c r="HUM46" s="344"/>
      <c r="HUN46" s="344"/>
      <c r="HUO46" s="344"/>
      <c r="HUP46" s="344"/>
      <c r="HUQ46" s="344"/>
      <c r="HUR46" s="344"/>
      <c r="HUS46" s="344"/>
      <c r="HUT46" s="344"/>
      <c r="HUU46" s="344"/>
      <c r="HUV46" s="344"/>
      <c r="HUW46" s="344"/>
      <c r="HUX46" s="344"/>
      <c r="HUY46" s="344"/>
      <c r="HUZ46" s="344"/>
      <c r="HVA46" s="344"/>
      <c r="HVB46" s="344"/>
      <c r="HVC46" s="344"/>
      <c r="HVD46" s="344"/>
      <c r="HVE46" s="344"/>
      <c r="HVF46" s="344"/>
      <c r="HVG46" s="344"/>
      <c r="HVH46" s="344"/>
      <c r="HVI46" s="344"/>
      <c r="HVJ46" s="344"/>
      <c r="HVK46" s="344"/>
      <c r="HVL46" s="344"/>
      <c r="HVM46" s="344"/>
      <c r="HVN46" s="344"/>
      <c r="HVO46" s="344"/>
      <c r="HVP46" s="344"/>
      <c r="HVQ46" s="344"/>
      <c r="HVR46" s="344"/>
      <c r="HVS46" s="344"/>
      <c r="HVT46" s="344"/>
      <c r="HVU46" s="344"/>
      <c r="HVV46" s="344"/>
      <c r="HVW46" s="344"/>
      <c r="HVX46" s="344"/>
      <c r="HVY46" s="344"/>
      <c r="HVZ46" s="344"/>
      <c r="HWA46" s="344"/>
      <c r="HWB46" s="344"/>
      <c r="HWC46" s="344"/>
      <c r="HWD46" s="344"/>
      <c r="HWE46" s="344"/>
      <c r="HWF46" s="344"/>
      <c r="HWG46" s="344"/>
      <c r="HWH46" s="344"/>
      <c r="HWI46" s="344"/>
      <c r="HWJ46" s="344"/>
      <c r="HWK46" s="344"/>
      <c r="HWL46" s="344"/>
      <c r="HWM46" s="344"/>
      <c r="HWN46" s="344"/>
      <c r="HWO46" s="344"/>
      <c r="HWP46" s="344"/>
      <c r="HWQ46" s="344"/>
      <c r="HWR46" s="344"/>
      <c r="HWS46" s="344"/>
      <c r="HWT46" s="344"/>
      <c r="HWU46" s="344"/>
      <c r="HWV46" s="344"/>
      <c r="HWW46" s="344"/>
      <c r="HWX46" s="344"/>
      <c r="HWY46" s="344"/>
      <c r="HWZ46" s="344"/>
      <c r="HXA46" s="344"/>
      <c r="HXB46" s="344"/>
      <c r="HXC46" s="344"/>
      <c r="HXD46" s="344"/>
      <c r="HXE46" s="344"/>
      <c r="HXF46" s="344"/>
      <c r="HXG46" s="344"/>
      <c r="HXH46" s="344"/>
      <c r="HXI46" s="344"/>
      <c r="HXJ46" s="344"/>
      <c r="HXK46" s="344"/>
      <c r="HXL46" s="344"/>
      <c r="HXM46" s="344"/>
      <c r="HXN46" s="344"/>
      <c r="HXO46" s="344"/>
      <c r="HXP46" s="344"/>
      <c r="HXQ46" s="344"/>
      <c r="HXR46" s="344"/>
      <c r="HXS46" s="344"/>
      <c r="HXT46" s="344"/>
      <c r="HXU46" s="344"/>
      <c r="HXV46" s="344"/>
      <c r="HXW46" s="344"/>
      <c r="HXX46" s="344"/>
      <c r="HXY46" s="344"/>
      <c r="HXZ46" s="344"/>
      <c r="HYA46" s="344"/>
      <c r="HYB46" s="344"/>
      <c r="HYC46" s="344"/>
      <c r="HYD46" s="344"/>
      <c r="HYE46" s="344"/>
      <c r="HYF46" s="344"/>
      <c r="HYG46" s="344"/>
      <c r="HYH46" s="344"/>
      <c r="HYI46" s="344"/>
      <c r="HYJ46" s="344"/>
      <c r="HYK46" s="344"/>
      <c r="HYL46" s="344"/>
      <c r="HYM46" s="344"/>
      <c r="HYN46" s="344"/>
      <c r="HYO46" s="344"/>
      <c r="HYP46" s="344"/>
      <c r="HYQ46" s="344"/>
      <c r="HYR46" s="344"/>
      <c r="HYS46" s="344"/>
      <c r="HYT46" s="344"/>
      <c r="HYU46" s="344"/>
      <c r="HYV46" s="344"/>
      <c r="HYW46" s="344"/>
      <c r="HYX46" s="344"/>
      <c r="HYY46" s="344"/>
      <c r="HYZ46" s="344"/>
      <c r="HZA46" s="344"/>
      <c r="HZB46" s="344"/>
      <c r="HZC46" s="344"/>
      <c r="HZD46" s="344"/>
      <c r="HZE46" s="344"/>
      <c r="HZF46" s="344"/>
      <c r="HZG46" s="344"/>
      <c r="HZH46" s="344"/>
      <c r="HZI46" s="344"/>
      <c r="HZJ46" s="344"/>
      <c r="HZK46" s="344"/>
      <c r="HZL46" s="344"/>
      <c r="HZM46" s="344"/>
      <c r="HZN46" s="344"/>
      <c r="HZO46" s="344"/>
      <c r="HZP46" s="344"/>
      <c r="HZQ46" s="344"/>
      <c r="HZR46" s="344"/>
      <c r="HZS46" s="344"/>
      <c r="HZT46" s="344"/>
      <c r="HZU46" s="344"/>
      <c r="HZV46" s="344"/>
      <c r="HZW46" s="344"/>
      <c r="HZX46" s="344"/>
      <c r="HZY46" s="344"/>
      <c r="HZZ46" s="344"/>
      <c r="IAA46" s="344"/>
      <c r="IAB46" s="344"/>
      <c r="IAC46" s="344"/>
      <c r="IAD46" s="344"/>
      <c r="IAE46" s="344"/>
      <c r="IAF46" s="344"/>
      <c r="IAG46" s="344"/>
      <c r="IAH46" s="344"/>
      <c r="IAI46" s="344"/>
      <c r="IAJ46" s="344"/>
      <c r="IAK46" s="344"/>
      <c r="IAL46" s="344"/>
      <c r="IAM46" s="344"/>
      <c r="IAN46" s="344"/>
      <c r="IAO46" s="344"/>
      <c r="IAP46" s="344"/>
      <c r="IAQ46" s="344"/>
      <c r="IAR46" s="344"/>
      <c r="IAS46" s="344"/>
      <c r="IAT46" s="344"/>
      <c r="IAU46" s="344"/>
      <c r="IAV46" s="344"/>
      <c r="IAW46" s="344"/>
      <c r="IAX46" s="344"/>
      <c r="IAY46" s="344"/>
      <c r="IAZ46" s="344"/>
      <c r="IBA46" s="344"/>
      <c r="IBB46" s="344"/>
      <c r="IBC46" s="344"/>
      <c r="IBD46" s="344"/>
      <c r="IBE46" s="344"/>
      <c r="IBF46" s="344"/>
      <c r="IBG46" s="344"/>
      <c r="IBH46" s="344"/>
      <c r="IBI46" s="344"/>
      <c r="IBJ46" s="344"/>
      <c r="IBK46" s="344"/>
      <c r="IBL46" s="344"/>
      <c r="IBM46" s="344"/>
      <c r="IBN46" s="344"/>
      <c r="IBO46" s="344"/>
      <c r="IBP46" s="344"/>
      <c r="IBQ46" s="344"/>
      <c r="IBR46" s="344"/>
      <c r="IBS46" s="344"/>
      <c r="IBT46" s="344"/>
      <c r="IBU46" s="344"/>
      <c r="IBV46" s="344"/>
      <c r="IBW46" s="344"/>
      <c r="IBX46" s="344"/>
      <c r="IBY46" s="344"/>
      <c r="IBZ46" s="344"/>
      <c r="ICA46" s="344"/>
      <c r="ICB46" s="344"/>
      <c r="ICC46" s="344"/>
      <c r="ICD46" s="344"/>
      <c r="ICE46" s="344"/>
      <c r="ICF46" s="344"/>
      <c r="ICG46" s="344"/>
      <c r="ICH46" s="344"/>
      <c r="ICI46" s="344"/>
      <c r="ICJ46" s="344"/>
      <c r="ICK46" s="344"/>
      <c r="ICL46" s="344"/>
      <c r="ICM46" s="344"/>
      <c r="ICN46" s="344"/>
      <c r="ICO46" s="344"/>
      <c r="ICP46" s="344"/>
      <c r="ICQ46" s="344"/>
      <c r="ICR46" s="344"/>
      <c r="ICS46" s="344"/>
      <c r="ICT46" s="344"/>
      <c r="ICU46" s="344"/>
      <c r="ICV46" s="344"/>
      <c r="ICW46" s="344"/>
      <c r="ICX46" s="344"/>
      <c r="ICY46" s="344"/>
      <c r="ICZ46" s="344"/>
      <c r="IDA46" s="344"/>
      <c r="IDB46" s="344"/>
      <c r="IDC46" s="344"/>
      <c r="IDD46" s="344"/>
      <c r="IDE46" s="344"/>
      <c r="IDF46" s="344"/>
      <c r="IDG46" s="344"/>
      <c r="IDH46" s="344"/>
      <c r="IDI46" s="344"/>
      <c r="IDJ46" s="344"/>
      <c r="IDK46" s="344"/>
      <c r="IDL46" s="344"/>
      <c r="IDM46" s="344"/>
      <c r="IDN46" s="344"/>
      <c r="IDO46" s="344"/>
      <c r="IDP46" s="344"/>
      <c r="IDQ46" s="344"/>
      <c r="IDR46" s="344"/>
      <c r="IDS46" s="344"/>
      <c r="IDT46" s="344"/>
      <c r="IDU46" s="344"/>
      <c r="IDV46" s="344"/>
      <c r="IDW46" s="344"/>
      <c r="IDX46" s="344"/>
      <c r="IDY46" s="344"/>
      <c r="IDZ46" s="344"/>
      <c r="IEA46" s="344"/>
      <c r="IEB46" s="344"/>
      <c r="IEC46" s="344"/>
      <c r="IED46" s="344"/>
      <c r="IEE46" s="344"/>
      <c r="IEF46" s="344"/>
      <c r="IEG46" s="344"/>
      <c r="IEH46" s="344"/>
      <c r="IEI46" s="344"/>
      <c r="IEJ46" s="344"/>
      <c r="IEK46" s="344"/>
      <c r="IEL46" s="344"/>
      <c r="IEM46" s="344"/>
      <c r="IEN46" s="344"/>
      <c r="IEO46" s="344"/>
      <c r="IEP46" s="344"/>
      <c r="IEQ46" s="344"/>
      <c r="IER46" s="344"/>
      <c r="IES46" s="344"/>
      <c r="IET46" s="344"/>
      <c r="IEU46" s="344"/>
      <c r="IEV46" s="344"/>
      <c r="IEW46" s="344"/>
      <c r="IEX46" s="344"/>
      <c r="IEY46" s="344"/>
      <c r="IEZ46" s="344"/>
      <c r="IFA46" s="344"/>
      <c r="IFB46" s="344"/>
      <c r="IFC46" s="344"/>
      <c r="IFD46" s="344"/>
      <c r="IFE46" s="344"/>
      <c r="IFF46" s="344"/>
      <c r="IFG46" s="344"/>
      <c r="IFH46" s="344"/>
      <c r="IFI46" s="344"/>
      <c r="IFJ46" s="344"/>
      <c r="IFK46" s="344"/>
      <c r="IFL46" s="344"/>
      <c r="IFM46" s="344"/>
      <c r="IFN46" s="344"/>
      <c r="IFO46" s="344"/>
      <c r="IFP46" s="344"/>
      <c r="IFQ46" s="344"/>
      <c r="IFR46" s="344"/>
      <c r="IFS46" s="344"/>
      <c r="IFT46" s="344"/>
      <c r="IFU46" s="344"/>
      <c r="IFV46" s="344"/>
      <c r="IFW46" s="344"/>
      <c r="IFX46" s="344"/>
      <c r="IFY46" s="344"/>
      <c r="IFZ46" s="344"/>
      <c r="IGA46" s="344"/>
      <c r="IGB46" s="344"/>
      <c r="IGC46" s="344"/>
      <c r="IGD46" s="344"/>
      <c r="IGE46" s="344"/>
      <c r="IGF46" s="344"/>
      <c r="IGG46" s="344"/>
      <c r="IGH46" s="344"/>
      <c r="IGI46" s="344"/>
      <c r="IGJ46" s="344"/>
      <c r="IGK46" s="344"/>
      <c r="IGL46" s="344"/>
      <c r="IGM46" s="344"/>
      <c r="IGN46" s="344"/>
      <c r="IGO46" s="344"/>
      <c r="IGP46" s="344"/>
      <c r="IGQ46" s="344"/>
      <c r="IGR46" s="344"/>
      <c r="IGS46" s="344"/>
      <c r="IGT46" s="344"/>
      <c r="IGU46" s="344"/>
      <c r="IGV46" s="344"/>
      <c r="IGW46" s="344"/>
      <c r="IGX46" s="344"/>
      <c r="IGY46" s="344"/>
      <c r="IGZ46" s="344"/>
      <c r="IHA46" s="344"/>
      <c r="IHB46" s="344"/>
      <c r="IHC46" s="344"/>
      <c r="IHD46" s="344"/>
      <c r="IHE46" s="344"/>
      <c r="IHF46" s="344"/>
      <c r="IHG46" s="344"/>
      <c r="IHH46" s="344"/>
      <c r="IHI46" s="344"/>
      <c r="IHJ46" s="344"/>
      <c r="IHK46" s="344"/>
      <c r="IHL46" s="344"/>
      <c r="IHM46" s="344"/>
      <c r="IHN46" s="344"/>
      <c r="IHO46" s="344"/>
      <c r="IHP46" s="344"/>
      <c r="IHQ46" s="344"/>
      <c r="IHR46" s="344"/>
      <c r="IHS46" s="344"/>
      <c r="IHT46" s="344"/>
      <c r="IHU46" s="344"/>
      <c r="IHV46" s="344"/>
      <c r="IHW46" s="344"/>
      <c r="IHX46" s="344"/>
      <c r="IHY46" s="344"/>
      <c r="IHZ46" s="344"/>
      <c r="IIA46" s="344"/>
      <c r="IIB46" s="344"/>
      <c r="IIC46" s="344"/>
      <c r="IID46" s="344"/>
      <c r="IIE46" s="344"/>
      <c r="IIF46" s="344"/>
      <c r="IIG46" s="344"/>
      <c r="IIH46" s="344"/>
      <c r="III46" s="344"/>
      <c r="IIJ46" s="344"/>
      <c r="IIK46" s="344"/>
      <c r="IIL46" s="344"/>
      <c r="IIM46" s="344"/>
      <c r="IIN46" s="344"/>
      <c r="IIO46" s="344"/>
      <c r="IIP46" s="344"/>
      <c r="IIQ46" s="344"/>
      <c r="IIR46" s="344"/>
      <c r="IIS46" s="344"/>
      <c r="IIT46" s="344"/>
      <c r="IIU46" s="344"/>
      <c r="IIV46" s="344"/>
      <c r="IIW46" s="344"/>
      <c r="IIX46" s="344"/>
      <c r="IIY46" s="344"/>
      <c r="IIZ46" s="344"/>
      <c r="IJA46" s="344"/>
      <c r="IJB46" s="344"/>
      <c r="IJC46" s="344"/>
      <c r="IJD46" s="344"/>
      <c r="IJE46" s="344"/>
      <c r="IJF46" s="344"/>
      <c r="IJG46" s="344"/>
      <c r="IJH46" s="344"/>
      <c r="IJI46" s="344"/>
      <c r="IJJ46" s="344"/>
      <c r="IJK46" s="344"/>
      <c r="IJL46" s="344"/>
      <c r="IJM46" s="344"/>
      <c r="IJN46" s="344"/>
      <c r="IJO46" s="344"/>
      <c r="IJP46" s="344"/>
      <c r="IJQ46" s="344"/>
      <c r="IJR46" s="344"/>
      <c r="IJS46" s="344"/>
      <c r="IJT46" s="344"/>
      <c r="IJU46" s="344"/>
      <c r="IJV46" s="344"/>
      <c r="IJW46" s="344"/>
      <c r="IJX46" s="344"/>
      <c r="IJY46" s="344"/>
      <c r="IJZ46" s="344"/>
      <c r="IKA46" s="344"/>
      <c r="IKB46" s="344"/>
      <c r="IKC46" s="344"/>
      <c r="IKD46" s="344"/>
      <c r="IKE46" s="344"/>
      <c r="IKF46" s="344"/>
      <c r="IKG46" s="344"/>
      <c r="IKH46" s="344"/>
      <c r="IKI46" s="344"/>
      <c r="IKJ46" s="344"/>
      <c r="IKK46" s="344"/>
      <c r="IKL46" s="344"/>
      <c r="IKM46" s="344"/>
      <c r="IKN46" s="344"/>
      <c r="IKO46" s="344"/>
      <c r="IKP46" s="344"/>
      <c r="IKQ46" s="344"/>
      <c r="IKR46" s="344"/>
      <c r="IKS46" s="344"/>
      <c r="IKT46" s="344"/>
      <c r="IKU46" s="344"/>
      <c r="IKV46" s="344"/>
      <c r="IKW46" s="344"/>
      <c r="IKX46" s="344"/>
      <c r="IKY46" s="344"/>
      <c r="IKZ46" s="344"/>
      <c r="ILA46" s="344"/>
      <c r="ILB46" s="344"/>
      <c r="ILC46" s="344"/>
      <c r="ILD46" s="344"/>
      <c r="ILE46" s="344"/>
      <c r="ILF46" s="344"/>
      <c r="ILG46" s="344"/>
      <c r="ILH46" s="344"/>
      <c r="ILI46" s="344"/>
      <c r="ILJ46" s="344"/>
      <c r="ILK46" s="344"/>
      <c r="ILL46" s="344"/>
      <c r="ILM46" s="344"/>
      <c r="ILN46" s="344"/>
      <c r="ILO46" s="344"/>
      <c r="ILP46" s="344"/>
      <c r="ILQ46" s="344"/>
      <c r="ILR46" s="344"/>
      <c r="ILS46" s="344"/>
      <c r="ILT46" s="344"/>
      <c r="ILU46" s="344"/>
      <c r="ILV46" s="344"/>
      <c r="ILW46" s="344"/>
      <c r="ILX46" s="344"/>
      <c r="ILY46" s="344"/>
      <c r="ILZ46" s="344"/>
      <c r="IMA46" s="344"/>
      <c r="IMB46" s="344"/>
      <c r="IMC46" s="344"/>
      <c r="IMD46" s="344"/>
      <c r="IME46" s="344"/>
      <c r="IMF46" s="344"/>
      <c r="IMG46" s="344"/>
      <c r="IMH46" s="344"/>
      <c r="IMI46" s="344"/>
      <c r="IMJ46" s="344"/>
      <c r="IMK46" s="344"/>
      <c r="IML46" s="344"/>
      <c r="IMM46" s="344"/>
      <c r="IMN46" s="344"/>
      <c r="IMO46" s="344"/>
      <c r="IMP46" s="344"/>
      <c r="IMQ46" s="344"/>
      <c r="IMR46" s="344"/>
      <c r="IMS46" s="344"/>
      <c r="IMT46" s="344"/>
      <c r="IMU46" s="344"/>
      <c r="IMV46" s="344"/>
      <c r="IMW46" s="344"/>
      <c r="IMX46" s="344"/>
      <c r="IMY46" s="344"/>
      <c r="IMZ46" s="344"/>
      <c r="INA46" s="344"/>
      <c r="INB46" s="344"/>
      <c r="INC46" s="344"/>
      <c r="IND46" s="344"/>
      <c r="INE46" s="344"/>
      <c r="INF46" s="344"/>
      <c r="ING46" s="344"/>
      <c r="INH46" s="344"/>
      <c r="INI46" s="344"/>
      <c r="INJ46" s="344"/>
      <c r="INK46" s="344"/>
      <c r="INL46" s="344"/>
      <c r="INM46" s="344"/>
      <c r="INN46" s="344"/>
      <c r="INO46" s="344"/>
      <c r="INP46" s="344"/>
      <c r="INQ46" s="344"/>
      <c r="INR46" s="344"/>
      <c r="INS46" s="344"/>
      <c r="INT46" s="344"/>
      <c r="INU46" s="344"/>
      <c r="INV46" s="344"/>
      <c r="INW46" s="344"/>
      <c r="INX46" s="344"/>
      <c r="INY46" s="344"/>
      <c r="INZ46" s="344"/>
      <c r="IOA46" s="344"/>
      <c r="IOB46" s="344"/>
      <c r="IOC46" s="344"/>
      <c r="IOD46" s="344"/>
      <c r="IOE46" s="344"/>
      <c r="IOF46" s="344"/>
      <c r="IOG46" s="344"/>
      <c r="IOH46" s="344"/>
      <c r="IOI46" s="344"/>
      <c r="IOJ46" s="344"/>
      <c r="IOK46" s="344"/>
      <c r="IOL46" s="344"/>
      <c r="IOM46" s="344"/>
      <c r="ION46" s="344"/>
      <c r="IOO46" s="344"/>
      <c r="IOP46" s="344"/>
      <c r="IOQ46" s="344"/>
      <c r="IOR46" s="344"/>
      <c r="IOS46" s="344"/>
      <c r="IOT46" s="344"/>
      <c r="IOU46" s="344"/>
      <c r="IOV46" s="344"/>
      <c r="IOW46" s="344"/>
      <c r="IOX46" s="344"/>
      <c r="IOY46" s="344"/>
      <c r="IOZ46" s="344"/>
      <c r="IPA46" s="344"/>
      <c r="IPB46" s="344"/>
      <c r="IPC46" s="344"/>
      <c r="IPD46" s="344"/>
      <c r="IPE46" s="344"/>
      <c r="IPF46" s="344"/>
      <c r="IPG46" s="344"/>
      <c r="IPH46" s="344"/>
      <c r="IPI46" s="344"/>
      <c r="IPJ46" s="344"/>
      <c r="IPK46" s="344"/>
      <c r="IPL46" s="344"/>
      <c r="IPM46" s="344"/>
      <c r="IPN46" s="344"/>
      <c r="IPO46" s="344"/>
      <c r="IPP46" s="344"/>
      <c r="IPQ46" s="344"/>
      <c r="IPR46" s="344"/>
      <c r="IPS46" s="344"/>
      <c r="IPT46" s="344"/>
      <c r="IPU46" s="344"/>
      <c r="IPV46" s="344"/>
      <c r="IPW46" s="344"/>
      <c r="IPX46" s="344"/>
      <c r="IPY46" s="344"/>
      <c r="IPZ46" s="344"/>
      <c r="IQA46" s="344"/>
      <c r="IQB46" s="344"/>
      <c r="IQC46" s="344"/>
      <c r="IQD46" s="344"/>
      <c r="IQE46" s="344"/>
      <c r="IQF46" s="344"/>
      <c r="IQG46" s="344"/>
      <c r="IQH46" s="344"/>
      <c r="IQI46" s="344"/>
      <c r="IQJ46" s="344"/>
      <c r="IQK46" s="344"/>
      <c r="IQL46" s="344"/>
      <c r="IQM46" s="344"/>
      <c r="IQN46" s="344"/>
      <c r="IQO46" s="344"/>
      <c r="IQP46" s="344"/>
      <c r="IQQ46" s="344"/>
      <c r="IQR46" s="344"/>
      <c r="IQS46" s="344"/>
      <c r="IQT46" s="344"/>
      <c r="IQU46" s="344"/>
      <c r="IQV46" s="344"/>
      <c r="IQW46" s="344"/>
      <c r="IQX46" s="344"/>
      <c r="IQY46" s="344"/>
      <c r="IQZ46" s="344"/>
      <c r="IRA46" s="344"/>
      <c r="IRB46" s="344"/>
      <c r="IRC46" s="344"/>
      <c r="IRD46" s="344"/>
      <c r="IRE46" s="344"/>
      <c r="IRF46" s="344"/>
      <c r="IRG46" s="344"/>
      <c r="IRH46" s="344"/>
      <c r="IRI46" s="344"/>
      <c r="IRJ46" s="344"/>
      <c r="IRK46" s="344"/>
      <c r="IRL46" s="344"/>
      <c r="IRM46" s="344"/>
      <c r="IRN46" s="344"/>
      <c r="IRO46" s="344"/>
      <c r="IRP46" s="344"/>
      <c r="IRQ46" s="344"/>
      <c r="IRR46" s="344"/>
      <c r="IRS46" s="344"/>
      <c r="IRT46" s="344"/>
      <c r="IRU46" s="344"/>
      <c r="IRV46" s="344"/>
      <c r="IRW46" s="344"/>
      <c r="IRX46" s="344"/>
      <c r="IRY46" s="344"/>
      <c r="IRZ46" s="344"/>
      <c r="ISA46" s="344"/>
      <c r="ISB46" s="344"/>
      <c r="ISC46" s="344"/>
      <c r="ISD46" s="344"/>
      <c r="ISE46" s="344"/>
      <c r="ISF46" s="344"/>
      <c r="ISG46" s="344"/>
      <c r="ISH46" s="344"/>
      <c r="ISI46" s="344"/>
      <c r="ISJ46" s="344"/>
      <c r="ISK46" s="344"/>
      <c r="ISL46" s="344"/>
      <c r="ISM46" s="344"/>
      <c r="ISN46" s="344"/>
      <c r="ISO46" s="344"/>
      <c r="ISP46" s="344"/>
      <c r="ISQ46" s="344"/>
      <c r="ISR46" s="344"/>
      <c r="ISS46" s="344"/>
      <c r="IST46" s="344"/>
      <c r="ISU46" s="344"/>
      <c r="ISV46" s="344"/>
      <c r="ISW46" s="344"/>
      <c r="ISX46" s="344"/>
      <c r="ISY46" s="344"/>
      <c r="ISZ46" s="344"/>
      <c r="ITA46" s="344"/>
      <c r="ITB46" s="344"/>
      <c r="ITC46" s="344"/>
      <c r="ITD46" s="344"/>
      <c r="ITE46" s="344"/>
      <c r="ITF46" s="344"/>
      <c r="ITG46" s="344"/>
      <c r="ITH46" s="344"/>
      <c r="ITI46" s="344"/>
      <c r="ITJ46" s="344"/>
      <c r="ITK46" s="344"/>
      <c r="ITL46" s="344"/>
      <c r="ITM46" s="344"/>
      <c r="ITN46" s="344"/>
      <c r="ITO46" s="344"/>
      <c r="ITP46" s="344"/>
      <c r="ITQ46" s="344"/>
      <c r="ITR46" s="344"/>
      <c r="ITS46" s="344"/>
      <c r="ITT46" s="344"/>
      <c r="ITU46" s="344"/>
      <c r="ITV46" s="344"/>
      <c r="ITW46" s="344"/>
      <c r="ITX46" s="344"/>
      <c r="ITY46" s="344"/>
      <c r="ITZ46" s="344"/>
      <c r="IUA46" s="344"/>
      <c r="IUB46" s="344"/>
      <c r="IUC46" s="344"/>
      <c r="IUD46" s="344"/>
      <c r="IUE46" s="344"/>
      <c r="IUF46" s="344"/>
      <c r="IUG46" s="344"/>
      <c r="IUH46" s="344"/>
      <c r="IUI46" s="344"/>
      <c r="IUJ46" s="344"/>
      <c r="IUK46" s="344"/>
      <c r="IUL46" s="344"/>
      <c r="IUM46" s="344"/>
      <c r="IUN46" s="344"/>
      <c r="IUO46" s="344"/>
      <c r="IUP46" s="344"/>
      <c r="IUQ46" s="344"/>
      <c r="IUR46" s="344"/>
      <c r="IUS46" s="344"/>
      <c r="IUT46" s="344"/>
      <c r="IUU46" s="344"/>
      <c r="IUV46" s="344"/>
      <c r="IUW46" s="344"/>
      <c r="IUX46" s="344"/>
      <c r="IUY46" s="344"/>
      <c r="IUZ46" s="344"/>
      <c r="IVA46" s="344"/>
      <c r="IVB46" s="344"/>
      <c r="IVC46" s="344"/>
      <c r="IVD46" s="344"/>
      <c r="IVE46" s="344"/>
      <c r="IVF46" s="344"/>
      <c r="IVG46" s="344"/>
      <c r="IVH46" s="344"/>
      <c r="IVI46" s="344"/>
      <c r="IVJ46" s="344"/>
      <c r="IVK46" s="344"/>
      <c r="IVL46" s="344"/>
      <c r="IVM46" s="344"/>
      <c r="IVN46" s="344"/>
      <c r="IVO46" s="344"/>
      <c r="IVP46" s="344"/>
      <c r="IVQ46" s="344"/>
      <c r="IVR46" s="344"/>
      <c r="IVS46" s="344"/>
      <c r="IVT46" s="344"/>
      <c r="IVU46" s="344"/>
      <c r="IVV46" s="344"/>
      <c r="IVW46" s="344"/>
      <c r="IVX46" s="344"/>
      <c r="IVY46" s="344"/>
      <c r="IVZ46" s="344"/>
      <c r="IWA46" s="344"/>
      <c r="IWB46" s="344"/>
      <c r="IWC46" s="344"/>
      <c r="IWD46" s="344"/>
      <c r="IWE46" s="344"/>
      <c r="IWF46" s="344"/>
      <c r="IWG46" s="344"/>
      <c r="IWH46" s="344"/>
      <c r="IWI46" s="344"/>
      <c r="IWJ46" s="344"/>
      <c r="IWK46" s="344"/>
      <c r="IWL46" s="344"/>
      <c r="IWM46" s="344"/>
      <c r="IWN46" s="344"/>
      <c r="IWO46" s="344"/>
      <c r="IWP46" s="344"/>
      <c r="IWQ46" s="344"/>
      <c r="IWR46" s="344"/>
      <c r="IWS46" s="344"/>
      <c r="IWT46" s="344"/>
      <c r="IWU46" s="344"/>
      <c r="IWV46" s="344"/>
      <c r="IWW46" s="344"/>
      <c r="IWX46" s="344"/>
      <c r="IWY46" s="344"/>
      <c r="IWZ46" s="344"/>
      <c r="IXA46" s="344"/>
      <c r="IXB46" s="344"/>
      <c r="IXC46" s="344"/>
      <c r="IXD46" s="344"/>
      <c r="IXE46" s="344"/>
      <c r="IXF46" s="344"/>
      <c r="IXG46" s="344"/>
      <c r="IXH46" s="344"/>
      <c r="IXI46" s="344"/>
      <c r="IXJ46" s="344"/>
      <c r="IXK46" s="344"/>
      <c r="IXL46" s="344"/>
      <c r="IXM46" s="344"/>
      <c r="IXN46" s="344"/>
      <c r="IXO46" s="344"/>
      <c r="IXP46" s="344"/>
      <c r="IXQ46" s="344"/>
      <c r="IXR46" s="344"/>
      <c r="IXS46" s="344"/>
      <c r="IXT46" s="344"/>
      <c r="IXU46" s="344"/>
      <c r="IXV46" s="344"/>
      <c r="IXW46" s="344"/>
      <c r="IXX46" s="344"/>
      <c r="IXY46" s="344"/>
      <c r="IXZ46" s="344"/>
      <c r="IYA46" s="344"/>
      <c r="IYB46" s="344"/>
      <c r="IYC46" s="344"/>
      <c r="IYD46" s="344"/>
      <c r="IYE46" s="344"/>
      <c r="IYF46" s="344"/>
      <c r="IYG46" s="344"/>
      <c r="IYH46" s="344"/>
      <c r="IYI46" s="344"/>
      <c r="IYJ46" s="344"/>
      <c r="IYK46" s="344"/>
      <c r="IYL46" s="344"/>
      <c r="IYM46" s="344"/>
      <c r="IYN46" s="344"/>
      <c r="IYO46" s="344"/>
      <c r="IYP46" s="344"/>
      <c r="IYQ46" s="344"/>
      <c r="IYR46" s="344"/>
      <c r="IYS46" s="344"/>
      <c r="IYT46" s="344"/>
      <c r="IYU46" s="344"/>
      <c r="IYV46" s="344"/>
      <c r="IYW46" s="344"/>
      <c r="IYX46" s="344"/>
      <c r="IYY46" s="344"/>
      <c r="IYZ46" s="344"/>
      <c r="IZA46" s="344"/>
      <c r="IZB46" s="344"/>
      <c r="IZC46" s="344"/>
      <c r="IZD46" s="344"/>
      <c r="IZE46" s="344"/>
      <c r="IZF46" s="344"/>
      <c r="IZG46" s="344"/>
      <c r="IZH46" s="344"/>
      <c r="IZI46" s="344"/>
      <c r="IZJ46" s="344"/>
      <c r="IZK46" s="344"/>
      <c r="IZL46" s="344"/>
      <c r="IZM46" s="344"/>
      <c r="IZN46" s="344"/>
      <c r="IZO46" s="344"/>
      <c r="IZP46" s="344"/>
      <c r="IZQ46" s="344"/>
      <c r="IZR46" s="344"/>
      <c r="IZS46" s="344"/>
      <c r="IZT46" s="344"/>
      <c r="IZU46" s="344"/>
      <c r="IZV46" s="344"/>
      <c r="IZW46" s="344"/>
      <c r="IZX46" s="344"/>
      <c r="IZY46" s="344"/>
      <c r="IZZ46" s="344"/>
      <c r="JAA46" s="344"/>
      <c r="JAB46" s="344"/>
      <c r="JAC46" s="344"/>
      <c r="JAD46" s="344"/>
      <c r="JAE46" s="344"/>
      <c r="JAF46" s="344"/>
      <c r="JAG46" s="344"/>
      <c r="JAH46" s="344"/>
      <c r="JAI46" s="344"/>
      <c r="JAJ46" s="344"/>
      <c r="JAK46" s="344"/>
      <c r="JAL46" s="344"/>
      <c r="JAM46" s="344"/>
      <c r="JAN46" s="344"/>
      <c r="JAO46" s="344"/>
      <c r="JAP46" s="344"/>
      <c r="JAQ46" s="344"/>
      <c r="JAR46" s="344"/>
      <c r="JAS46" s="344"/>
      <c r="JAT46" s="344"/>
      <c r="JAU46" s="344"/>
      <c r="JAV46" s="344"/>
      <c r="JAW46" s="344"/>
      <c r="JAX46" s="344"/>
      <c r="JAY46" s="344"/>
      <c r="JAZ46" s="344"/>
      <c r="JBA46" s="344"/>
      <c r="JBB46" s="344"/>
      <c r="JBC46" s="344"/>
      <c r="JBD46" s="344"/>
      <c r="JBE46" s="344"/>
      <c r="JBF46" s="344"/>
      <c r="JBG46" s="344"/>
      <c r="JBH46" s="344"/>
      <c r="JBI46" s="344"/>
      <c r="JBJ46" s="344"/>
      <c r="JBK46" s="344"/>
      <c r="JBL46" s="344"/>
      <c r="JBM46" s="344"/>
      <c r="JBN46" s="344"/>
      <c r="JBO46" s="344"/>
      <c r="JBP46" s="344"/>
      <c r="JBQ46" s="344"/>
      <c r="JBR46" s="344"/>
      <c r="JBS46" s="344"/>
      <c r="JBT46" s="344"/>
      <c r="JBU46" s="344"/>
      <c r="JBV46" s="344"/>
      <c r="JBW46" s="344"/>
      <c r="JBX46" s="344"/>
      <c r="JBY46" s="344"/>
      <c r="JBZ46" s="344"/>
      <c r="JCA46" s="344"/>
      <c r="JCB46" s="344"/>
      <c r="JCC46" s="344"/>
      <c r="JCD46" s="344"/>
      <c r="JCE46" s="344"/>
      <c r="JCF46" s="344"/>
      <c r="JCG46" s="344"/>
      <c r="JCH46" s="344"/>
      <c r="JCI46" s="344"/>
      <c r="JCJ46" s="344"/>
      <c r="JCK46" s="344"/>
      <c r="JCL46" s="344"/>
      <c r="JCM46" s="344"/>
      <c r="JCN46" s="344"/>
      <c r="JCO46" s="344"/>
      <c r="JCP46" s="344"/>
      <c r="JCQ46" s="344"/>
      <c r="JCR46" s="344"/>
      <c r="JCS46" s="344"/>
      <c r="JCT46" s="344"/>
      <c r="JCU46" s="344"/>
      <c r="JCV46" s="344"/>
      <c r="JCW46" s="344"/>
      <c r="JCX46" s="344"/>
      <c r="JCY46" s="344"/>
      <c r="JCZ46" s="344"/>
      <c r="JDA46" s="344"/>
      <c r="JDB46" s="344"/>
      <c r="JDC46" s="344"/>
      <c r="JDD46" s="344"/>
      <c r="JDE46" s="344"/>
      <c r="JDF46" s="344"/>
      <c r="JDG46" s="344"/>
      <c r="JDH46" s="344"/>
      <c r="JDI46" s="344"/>
      <c r="JDJ46" s="344"/>
      <c r="JDK46" s="344"/>
      <c r="JDL46" s="344"/>
      <c r="JDM46" s="344"/>
      <c r="JDN46" s="344"/>
      <c r="JDO46" s="344"/>
      <c r="JDP46" s="344"/>
      <c r="JDQ46" s="344"/>
      <c r="JDR46" s="344"/>
      <c r="JDS46" s="344"/>
      <c r="JDT46" s="344"/>
      <c r="JDU46" s="344"/>
      <c r="JDV46" s="344"/>
      <c r="JDW46" s="344"/>
      <c r="JDX46" s="344"/>
      <c r="JDY46" s="344"/>
      <c r="JDZ46" s="344"/>
      <c r="JEA46" s="344"/>
      <c r="JEB46" s="344"/>
      <c r="JEC46" s="344"/>
      <c r="JED46" s="344"/>
      <c r="JEE46" s="344"/>
      <c r="JEF46" s="344"/>
      <c r="JEG46" s="344"/>
      <c r="JEH46" s="344"/>
      <c r="JEI46" s="344"/>
      <c r="JEJ46" s="344"/>
      <c r="JEK46" s="344"/>
      <c r="JEL46" s="344"/>
      <c r="JEM46" s="344"/>
      <c r="JEN46" s="344"/>
      <c r="JEO46" s="344"/>
      <c r="JEP46" s="344"/>
      <c r="JEQ46" s="344"/>
      <c r="JER46" s="344"/>
      <c r="JES46" s="344"/>
      <c r="JET46" s="344"/>
      <c r="JEU46" s="344"/>
      <c r="JEV46" s="344"/>
      <c r="JEW46" s="344"/>
      <c r="JEX46" s="344"/>
      <c r="JEY46" s="344"/>
      <c r="JEZ46" s="344"/>
      <c r="JFA46" s="344"/>
      <c r="JFB46" s="344"/>
      <c r="JFC46" s="344"/>
      <c r="JFD46" s="344"/>
      <c r="JFE46" s="344"/>
      <c r="JFF46" s="344"/>
      <c r="JFG46" s="344"/>
      <c r="JFH46" s="344"/>
      <c r="JFI46" s="344"/>
      <c r="JFJ46" s="344"/>
      <c r="JFK46" s="344"/>
      <c r="JFL46" s="344"/>
      <c r="JFM46" s="344"/>
      <c r="JFN46" s="344"/>
      <c r="JFO46" s="344"/>
      <c r="JFP46" s="344"/>
      <c r="JFQ46" s="344"/>
      <c r="JFR46" s="344"/>
      <c r="JFS46" s="344"/>
      <c r="JFT46" s="344"/>
      <c r="JFU46" s="344"/>
      <c r="JFV46" s="344"/>
      <c r="JFW46" s="344"/>
      <c r="JFX46" s="344"/>
      <c r="JFY46" s="344"/>
      <c r="JFZ46" s="344"/>
      <c r="JGA46" s="344"/>
      <c r="JGB46" s="344"/>
      <c r="JGC46" s="344"/>
      <c r="JGD46" s="344"/>
      <c r="JGE46" s="344"/>
      <c r="JGF46" s="344"/>
      <c r="JGG46" s="344"/>
      <c r="JGH46" s="344"/>
      <c r="JGI46" s="344"/>
      <c r="JGJ46" s="344"/>
      <c r="JGK46" s="344"/>
      <c r="JGL46" s="344"/>
      <c r="JGM46" s="344"/>
      <c r="JGN46" s="344"/>
      <c r="JGO46" s="344"/>
      <c r="JGP46" s="344"/>
      <c r="JGQ46" s="344"/>
      <c r="JGR46" s="344"/>
      <c r="JGS46" s="344"/>
      <c r="JGT46" s="344"/>
      <c r="JGU46" s="344"/>
      <c r="JGV46" s="344"/>
      <c r="JGW46" s="344"/>
      <c r="JGX46" s="344"/>
      <c r="JGY46" s="344"/>
      <c r="JGZ46" s="344"/>
      <c r="JHA46" s="344"/>
      <c r="JHB46" s="344"/>
      <c r="JHC46" s="344"/>
      <c r="JHD46" s="344"/>
      <c r="JHE46" s="344"/>
      <c r="JHF46" s="344"/>
      <c r="JHG46" s="344"/>
      <c r="JHH46" s="344"/>
      <c r="JHI46" s="344"/>
      <c r="JHJ46" s="344"/>
      <c r="JHK46" s="344"/>
      <c r="JHL46" s="344"/>
      <c r="JHM46" s="344"/>
      <c r="JHN46" s="344"/>
      <c r="JHO46" s="344"/>
      <c r="JHP46" s="344"/>
      <c r="JHQ46" s="344"/>
      <c r="JHR46" s="344"/>
      <c r="JHS46" s="344"/>
      <c r="JHT46" s="344"/>
      <c r="JHU46" s="344"/>
      <c r="JHV46" s="344"/>
      <c r="JHW46" s="344"/>
      <c r="JHX46" s="344"/>
      <c r="JHY46" s="344"/>
      <c r="JHZ46" s="344"/>
      <c r="JIA46" s="344"/>
      <c r="JIB46" s="344"/>
      <c r="JIC46" s="344"/>
      <c r="JID46" s="344"/>
      <c r="JIE46" s="344"/>
      <c r="JIF46" s="344"/>
      <c r="JIG46" s="344"/>
      <c r="JIH46" s="344"/>
      <c r="JII46" s="344"/>
      <c r="JIJ46" s="344"/>
      <c r="JIK46" s="344"/>
      <c r="JIL46" s="344"/>
      <c r="JIM46" s="344"/>
      <c r="JIN46" s="344"/>
      <c r="JIO46" s="344"/>
      <c r="JIP46" s="344"/>
      <c r="JIQ46" s="344"/>
      <c r="JIR46" s="344"/>
      <c r="JIS46" s="344"/>
      <c r="JIT46" s="344"/>
      <c r="JIU46" s="344"/>
      <c r="JIV46" s="344"/>
      <c r="JIW46" s="344"/>
      <c r="JIX46" s="344"/>
      <c r="JIY46" s="344"/>
      <c r="JIZ46" s="344"/>
      <c r="JJA46" s="344"/>
      <c r="JJB46" s="344"/>
      <c r="JJC46" s="344"/>
      <c r="JJD46" s="344"/>
      <c r="JJE46" s="344"/>
      <c r="JJF46" s="344"/>
      <c r="JJG46" s="344"/>
      <c r="JJH46" s="344"/>
      <c r="JJI46" s="344"/>
      <c r="JJJ46" s="344"/>
      <c r="JJK46" s="344"/>
      <c r="JJL46" s="344"/>
      <c r="JJM46" s="344"/>
      <c r="JJN46" s="344"/>
      <c r="JJO46" s="344"/>
      <c r="JJP46" s="344"/>
      <c r="JJQ46" s="344"/>
      <c r="JJR46" s="344"/>
      <c r="JJS46" s="344"/>
      <c r="JJT46" s="344"/>
      <c r="JJU46" s="344"/>
      <c r="JJV46" s="344"/>
      <c r="JJW46" s="344"/>
      <c r="JJX46" s="344"/>
      <c r="JJY46" s="344"/>
      <c r="JJZ46" s="344"/>
      <c r="JKA46" s="344"/>
      <c r="JKB46" s="344"/>
      <c r="JKC46" s="344"/>
      <c r="JKD46" s="344"/>
      <c r="JKE46" s="344"/>
      <c r="JKF46" s="344"/>
      <c r="JKG46" s="344"/>
      <c r="JKH46" s="344"/>
      <c r="JKI46" s="344"/>
      <c r="JKJ46" s="344"/>
      <c r="JKK46" s="344"/>
      <c r="JKL46" s="344"/>
      <c r="JKM46" s="344"/>
      <c r="JKN46" s="344"/>
      <c r="JKO46" s="344"/>
      <c r="JKP46" s="344"/>
      <c r="JKQ46" s="344"/>
      <c r="JKR46" s="344"/>
      <c r="JKS46" s="344"/>
      <c r="JKT46" s="344"/>
      <c r="JKU46" s="344"/>
      <c r="JKV46" s="344"/>
      <c r="JKW46" s="344"/>
      <c r="JKX46" s="344"/>
      <c r="JKY46" s="344"/>
      <c r="JKZ46" s="344"/>
      <c r="JLA46" s="344"/>
      <c r="JLB46" s="344"/>
      <c r="JLC46" s="344"/>
      <c r="JLD46" s="344"/>
      <c r="JLE46" s="344"/>
      <c r="JLF46" s="344"/>
      <c r="JLG46" s="344"/>
      <c r="JLH46" s="344"/>
      <c r="JLI46" s="344"/>
      <c r="JLJ46" s="344"/>
      <c r="JLK46" s="344"/>
      <c r="JLL46" s="344"/>
      <c r="JLM46" s="344"/>
      <c r="JLN46" s="344"/>
      <c r="JLO46" s="344"/>
      <c r="JLP46" s="344"/>
      <c r="JLQ46" s="344"/>
      <c r="JLR46" s="344"/>
      <c r="JLS46" s="344"/>
      <c r="JLT46" s="344"/>
      <c r="JLU46" s="344"/>
      <c r="JLV46" s="344"/>
      <c r="JLW46" s="344"/>
      <c r="JLX46" s="344"/>
      <c r="JLY46" s="344"/>
      <c r="JLZ46" s="344"/>
      <c r="JMA46" s="344"/>
      <c r="JMB46" s="344"/>
      <c r="JMC46" s="344"/>
      <c r="JMD46" s="344"/>
      <c r="JME46" s="344"/>
      <c r="JMF46" s="344"/>
      <c r="JMG46" s="344"/>
      <c r="JMH46" s="344"/>
      <c r="JMI46" s="344"/>
      <c r="JMJ46" s="344"/>
      <c r="JMK46" s="344"/>
      <c r="JML46" s="344"/>
      <c r="JMM46" s="344"/>
      <c r="JMN46" s="344"/>
      <c r="JMO46" s="344"/>
      <c r="JMP46" s="344"/>
      <c r="JMQ46" s="344"/>
      <c r="JMR46" s="344"/>
      <c r="JMS46" s="344"/>
      <c r="JMT46" s="344"/>
      <c r="JMU46" s="344"/>
      <c r="JMV46" s="344"/>
      <c r="JMW46" s="344"/>
      <c r="JMX46" s="344"/>
      <c r="JMY46" s="344"/>
      <c r="JMZ46" s="344"/>
      <c r="JNA46" s="344"/>
      <c r="JNB46" s="344"/>
      <c r="JNC46" s="344"/>
      <c r="JND46" s="344"/>
      <c r="JNE46" s="344"/>
      <c r="JNF46" s="344"/>
      <c r="JNG46" s="344"/>
      <c r="JNH46" s="344"/>
      <c r="JNI46" s="344"/>
      <c r="JNJ46" s="344"/>
      <c r="JNK46" s="344"/>
      <c r="JNL46" s="344"/>
      <c r="JNM46" s="344"/>
      <c r="JNN46" s="344"/>
      <c r="JNO46" s="344"/>
      <c r="JNP46" s="344"/>
      <c r="JNQ46" s="344"/>
      <c r="JNR46" s="344"/>
      <c r="JNS46" s="344"/>
      <c r="JNT46" s="344"/>
      <c r="JNU46" s="344"/>
      <c r="JNV46" s="344"/>
      <c r="JNW46" s="344"/>
      <c r="JNX46" s="344"/>
      <c r="JNY46" s="344"/>
      <c r="JNZ46" s="344"/>
      <c r="JOA46" s="344"/>
      <c r="JOB46" s="344"/>
      <c r="JOC46" s="344"/>
      <c r="JOD46" s="344"/>
      <c r="JOE46" s="344"/>
      <c r="JOF46" s="344"/>
      <c r="JOG46" s="344"/>
      <c r="JOH46" s="344"/>
      <c r="JOI46" s="344"/>
      <c r="JOJ46" s="344"/>
      <c r="JOK46" s="344"/>
      <c r="JOL46" s="344"/>
      <c r="JOM46" s="344"/>
      <c r="JON46" s="344"/>
      <c r="JOO46" s="344"/>
      <c r="JOP46" s="344"/>
      <c r="JOQ46" s="344"/>
      <c r="JOR46" s="344"/>
      <c r="JOS46" s="344"/>
      <c r="JOT46" s="344"/>
      <c r="JOU46" s="344"/>
      <c r="JOV46" s="344"/>
      <c r="JOW46" s="344"/>
      <c r="JOX46" s="344"/>
      <c r="JOY46" s="344"/>
      <c r="JOZ46" s="344"/>
      <c r="JPA46" s="344"/>
      <c r="JPB46" s="344"/>
      <c r="JPC46" s="344"/>
      <c r="JPD46" s="344"/>
      <c r="JPE46" s="344"/>
      <c r="JPF46" s="344"/>
      <c r="JPG46" s="344"/>
      <c r="JPH46" s="344"/>
      <c r="JPI46" s="344"/>
      <c r="JPJ46" s="344"/>
      <c r="JPK46" s="344"/>
      <c r="JPL46" s="344"/>
      <c r="JPM46" s="344"/>
      <c r="JPN46" s="344"/>
      <c r="JPO46" s="344"/>
      <c r="JPP46" s="344"/>
      <c r="JPQ46" s="344"/>
      <c r="JPR46" s="344"/>
      <c r="JPS46" s="344"/>
      <c r="JPT46" s="344"/>
      <c r="JPU46" s="344"/>
      <c r="JPV46" s="344"/>
      <c r="JPW46" s="344"/>
      <c r="JPX46" s="344"/>
      <c r="JPY46" s="344"/>
      <c r="JPZ46" s="344"/>
      <c r="JQA46" s="344"/>
      <c r="JQB46" s="344"/>
      <c r="JQC46" s="344"/>
      <c r="JQD46" s="344"/>
      <c r="JQE46" s="344"/>
      <c r="JQF46" s="344"/>
      <c r="JQG46" s="344"/>
      <c r="JQH46" s="344"/>
      <c r="JQI46" s="344"/>
      <c r="JQJ46" s="344"/>
      <c r="JQK46" s="344"/>
      <c r="JQL46" s="344"/>
      <c r="JQM46" s="344"/>
      <c r="JQN46" s="344"/>
      <c r="JQO46" s="344"/>
      <c r="JQP46" s="344"/>
      <c r="JQQ46" s="344"/>
      <c r="JQR46" s="344"/>
      <c r="JQS46" s="344"/>
      <c r="JQT46" s="344"/>
      <c r="JQU46" s="344"/>
      <c r="JQV46" s="344"/>
      <c r="JQW46" s="344"/>
      <c r="JQX46" s="344"/>
      <c r="JQY46" s="344"/>
      <c r="JQZ46" s="344"/>
      <c r="JRA46" s="344"/>
      <c r="JRB46" s="344"/>
      <c r="JRC46" s="344"/>
      <c r="JRD46" s="344"/>
      <c r="JRE46" s="344"/>
      <c r="JRF46" s="344"/>
      <c r="JRG46" s="344"/>
      <c r="JRH46" s="344"/>
      <c r="JRI46" s="344"/>
      <c r="JRJ46" s="344"/>
      <c r="JRK46" s="344"/>
      <c r="JRL46" s="344"/>
      <c r="JRM46" s="344"/>
      <c r="JRN46" s="344"/>
      <c r="JRO46" s="344"/>
      <c r="JRP46" s="344"/>
      <c r="JRQ46" s="344"/>
      <c r="JRR46" s="344"/>
      <c r="JRS46" s="344"/>
      <c r="JRT46" s="344"/>
      <c r="JRU46" s="344"/>
      <c r="JRV46" s="344"/>
      <c r="JRW46" s="344"/>
      <c r="JRX46" s="344"/>
      <c r="JRY46" s="344"/>
      <c r="JRZ46" s="344"/>
      <c r="JSA46" s="344"/>
      <c r="JSB46" s="344"/>
      <c r="JSC46" s="344"/>
      <c r="JSD46" s="344"/>
      <c r="JSE46" s="344"/>
      <c r="JSF46" s="344"/>
      <c r="JSG46" s="344"/>
      <c r="JSH46" s="344"/>
      <c r="JSI46" s="344"/>
      <c r="JSJ46" s="344"/>
      <c r="JSK46" s="344"/>
      <c r="JSL46" s="344"/>
      <c r="JSM46" s="344"/>
      <c r="JSN46" s="344"/>
      <c r="JSO46" s="344"/>
      <c r="JSP46" s="344"/>
      <c r="JSQ46" s="344"/>
      <c r="JSR46" s="344"/>
      <c r="JSS46" s="344"/>
      <c r="JST46" s="344"/>
      <c r="JSU46" s="344"/>
      <c r="JSV46" s="344"/>
      <c r="JSW46" s="344"/>
      <c r="JSX46" s="344"/>
      <c r="JSY46" s="344"/>
      <c r="JSZ46" s="344"/>
      <c r="JTA46" s="344"/>
      <c r="JTB46" s="344"/>
      <c r="JTC46" s="344"/>
      <c r="JTD46" s="344"/>
      <c r="JTE46" s="344"/>
      <c r="JTF46" s="344"/>
      <c r="JTG46" s="344"/>
      <c r="JTH46" s="344"/>
      <c r="JTI46" s="344"/>
      <c r="JTJ46" s="344"/>
      <c r="JTK46" s="344"/>
      <c r="JTL46" s="344"/>
      <c r="JTM46" s="344"/>
      <c r="JTN46" s="344"/>
      <c r="JTO46" s="344"/>
      <c r="JTP46" s="344"/>
      <c r="JTQ46" s="344"/>
      <c r="JTR46" s="344"/>
      <c r="JTS46" s="344"/>
      <c r="JTT46" s="344"/>
      <c r="JTU46" s="344"/>
      <c r="JTV46" s="344"/>
      <c r="JTW46" s="344"/>
      <c r="JTX46" s="344"/>
      <c r="JTY46" s="344"/>
      <c r="JTZ46" s="344"/>
      <c r="JUA46" s="344"/>
      <c r="JUB46" s="344"/>
      <c r="JUC46" s="344"/>
      <c r="JUD46" s="344"/>
      <c r="JUE46" s="344"/>
      <c r="JUF46" s="344"/>
      <c r="JUG46" s="344"/>
      <c r="JUH46" s="344"/>
      <c r="JUI46" s="344"/>
      <c r="JUJ46" s="344"/>
      <c r="JUK46" s="344"/>
      <c r="JUL46" s="344"/>
      <c r="JUM46" s="344"/>
      <c r="JUN46" s="344"/>
      <c r="JUO46" s="344"/>
      <c r="JUP46" s="344"/>
      <c r="JUQ46" s="344"/>
      <c r="JUR46" s="344"/>
      <c r="JUS46" s="344"/>
      <c r="JUT46" s="344"/>
      <c r="JUU46" s="344"/>
      <c r="JUV46" s="344"/>
      <c r="JUW46" s="344"/>
      <c r="JUX46" s="344"/>
      <c r="JUY46" s="344"/>
      <c r="JUZ46" s="344"/>
      <c r="JVA46" s="344"/>
      <c r="JVB46" s="344"/>
      <c r="JVC46" s="344"/>
      <c r="JVD46" s="344"/>
      <c r="JVE46" s="344"/>
      <c r="JVF46" s="344"/>
      <c r="JVG46" s="344"/>
      <c r="JVH46" s="344"/>
      <c r="JVI46" s="344"/>
      <c r="JVJ46" s="344"/>
      <c r="JVK46" s="344"/>
      <c r="JVL46" s="344"/>
      <c r="JVM46" s="344"/>
      <c r="JVN46" s="344"/>
      <c r="JVO46" s="344"/>
      <c r="JVP46" s="344"/>
      <c r="JVQ46" s="344"/>
      <c r="JVR46" s="344"/>
      <c r="JVS46" s="344"/>
      <c r="JVT46" s="344"/>
      <c r="JVU46" s="344"/>
      <c r="JVV46" s="344"/>
      <c r="JVW46" s="344"/>
      <c r="JVX46" s="344"/>
      <c r="JVY46" s="344"/>
      <c r="JVZ46" s="344"/>
      <c r="JWA46" s="344"/>
      <c r="JWB46" s="344"/>
      <c r="JWC46" s="344"/>
      <c r="JWD46" s="344"/>
      <c r="JWE46" s="344"/>
      <c r="JWF46" s="344"/>
      <c r="JWG46" s="344"/>
      <c r="JWH46" s="344"/>
      <c r="JWI46" s="344"/>
      <c r="JWJ46" s="344"/>
      <c r="JWK46" s="344"/>
      <c r="JWL46" s="344"/>
      <c r="JWM46" s="344"/>
      <c r="JWN46" s="344"/>
      <c r="JWO46" s="344"/>
      <c r="JWP46" s="344"/>
      <c r="JWQ46" s="344"/>
      <c r="JWR46" s="344"/>
      <c r="JWS46" s="344"/>
      <c r="JWT46" s="344"/>
      <c r="JWU46" s="344"/>
      <c r="JWV46" s="344"/>
      <c r="JWW46" s="344"/>
      <c r="JWX46" s="344"/>
      <c r="JWY46" s="344"/>
      <c r="JWZ46" s="344"/>
      <c r="JXA46" s="344"/>
      <c r="JXB46" s="344"/>
      <c r="JXC46" s="344"/>
      <c r="JXD46" s="344"/>
      <c r="JXE46" s="344"/>
      <c r="JXF46" s="344"/>
      <c r="JXG46" s="344"/>
      <c r="JXH46" s="344"/>
      <c r="JXI46" s="344"/>
      <c r="JXJ46" s="344"/>
      <c r="JXK46" s="344"/>
      <c r="JXL46" s="344"/>
      <c r="JXM46" s="344"/>
      <c r="JXN46" s="344"/>
      <c r="JXO46" s="344"/>
      <c r="JXP46" s="344"/>
      <c r="JXQ46" s="344"/>
      <c r="JXR46" s="344"/>
      <c r="JXS46" s="344"/>
      <c r="JXT46" s="344"/>
      <c r="JXU46" s="344"/>
      <c r="JXV46" s="344"/>
      <c r="JXW46" s="344"/>
      <c r="JXX46" s="344"/>
      <c r="JXY46" s="344"/>
      <c r="JXZ46" s="344"/>
      <c r="JYA46" s="344"/>
      <c r="JYB46" s="344"/>
      <c r="JYC46" s="344"/>
      <c r="JYD46" s="344"/>
      <c r="JYE46" s="344"/>
      <c r="JYF46" s="344"/>
      <c r="JYG46" s="344"/>
      <c r="JYH46" s="344"/>
      <c r="JYI46" s="344"/>
      <c r="JYJ46" s="344"/>
      <c r="JYK46" s="344"/>
      <c r="JYL46" s="344"/>
      <c r="JYM46" s="344"/>
      <c r="JYN46" s="344"/>
      <c r="JYO46" s="344"/>
      <c r="JYP46" s="344"/>
      <c r="JYQ46" s="344"/>
      <c r="JYR46" s="344"/>
      <c r="JYS46" s="344"/>
      <c r="JYT46" s="344"/>
      <c r="JYU46" s="344"/>
      <c r="JYV46" s="344"/>
      <c r="JYW46" s="344"/>
      <c r="JYX46" s="344"/>
      <c r="JYY46" s="344"/>
      <c r="JYZ46" s="344"/>
      <c r="JZA46" s="344"/>
      <c r="JZB46" s="344"/>
      <c r="JZC46" s="344"/>
      <c r="JZD46" s="344"/>
      <c r="JZE46" s="344"/>
      <c r="JZF46" s="344"/>
      <c r="JZG46" s="344"/>
      <c r="JZH46" s="344"/>
      <c r="JZI46" s="344"/>
      <c r="JZJ46" s="344"/>
      <c r="JZK46" s="344"/>
      <c r="JZL46" s="344"/>
      <c r="JZM46" s="344"/>
      <c r="JZN46" s="344"/>
      <c r="JZO46" s="344"/>
      <c r="JZP46" s="344"/>
      <c r="JZQ46" s="344"/>
      <c r="JZR46" s="344"/>
      <c r="JZS46" s="344"/>
      <c r="JZT46" s="344"/>
      <c r="JZU46" s="344"/>
      <c r="JZV46" s="344"/>
      <c r="JZW46" s="344"/>
      <c r="JZX46" s="344"/>
      <c r="JZY46" s="344"/>
      <c r="JZZ46" s="344"/>
      <c r="KAA46" s="344"/>
      <c r="KAB46" s="344"/>
      <c r="KAC46" s="344"/>
      <c r="KAD46" s="344"/>
      <c r="KAE46" s="344"/>
      <c r="KAF46" s="344"/>
      <c r="KAG46" s="344"/>
      <c r="KAH46" s="344"/>
      <c r="KAI46" s="344"/>
      <c r="KAJ46" s="344"/>
      <c r="KAK46" s="344"/>
      <c r="KAL46" s="344"/>
      <c r="KAM46" s="344"/>
      <c r="KAN46" s="344"/>
      <c r="KAO46" s="344"/>
      <c r="KAP46" s="344"/>
      <c r="KAQ46" s="344"/>
      <c r="KAR46" s="344"/>
      <c r="KAS46" s="344"/>
      <c r="KAT46" s="344"/>
      <c r="KAU46" s="344"/>
      <c r="KAV46" s="344"/>
      <c r="KAW46" s="344"/>
      <c r="KAX46" s="344"/>
      <c r="KAY46" s="344"/>
      <c r="KAZ46" s="344"/>
      <c r="KBA46" s="344"/>
      <c r="KBB46" s="344"/>
      <c r="KBC46" s="344"/>
      <c r="KBD46" s="344"/>
      <c r="KBE46" s="344"/>
      <c r="KBF46" s="344"/>
      <c r="KBG46" s="344"/>
      <c r="KBH46" s="344"/>
      <c r="KBI46" s="344"/>
      <c r="KBJ46" s="344"/>
      <c r="KBK46" s="344"/>
      <c r="KBL46" s="344"/>
      <c r="KBM46" s="344"/>
      <c r="KBN46" s="344"/>
      <c r="KBO46" s="344"/>
      <c r="KBP46" s="344"/>
      <c r="KBQ46" s="344"/>
      <c r="KBR46" s="344"/>
      <c r="KBS46" s="344"/>
      <c r="KBT46" s="344"/>
      <c r="KBU46" s="344"/>
      <c r="KBV46" s="344"/>
      <c r="KBW46" s="344"/>
      <c r="KBX46" s="344"/>
      <c r="KBY46" s="344"/>
      <c r="KBZ46" s="344"/>
      <c r="KCA46" s="344"/>
      <c r="KCB46" s="344"/>
      <c r="KCC46" s="344"/>
      <c r="KCD46" s="344"/>
      <c r="KCE46" s="344"/>
      <c r="KCF46" s="344"/>
      <c r="KCG46" s="344"/>
      <c r="KCH46" s="344"/>
      <c r="KCI46" s="344"/>
      <c r="KCJ46" s="344"/>
      <c r="KCK46" s="344"/>
      <c r="KCL46" s="344"/>
      <c r="KCM46" s="344"/>
      <c r="KCN46" s="344"/>
      <c r="KCO46" s="344"/>
      <c r="KCP46" s="344"/>
      <c r="KCQ46" s="344"/>
      <c r="KCR46" s="344"/>
      <c r="KCS46" s="344"/>
      <c r="KCT46" s="344"/>
      <c r="KCU46" s="344"/>
      <c r="KCV46" s="344"/>
      <c r="KCW46" s="344"/>
      <c r="KCX46" s="344"/>
      <c r="KCY46" s="344"/>
      <c r="KCZ46" s="344"/>
      <c r="KDA46" s="344"/>
      <c r="KDB46" s="344"/>
      <c r="KDC46" s="344"/>
      <c r="KDD46" s="344"/>
      <c r="KDE46" s="344"/>
      <c r="KDF46" s="344"/>
      <c r="KDG46" s="344"/>
      <c r="KDH46" s="344"/>
      <c r="KDI46" s="344"/>
      <c r="KDJ46" s="344"/>
      <c r="KDK46" s="344"/>
      <c r="KDL46" s="344"/>
      <c r="KDM46" s="344"/>
      <c r="KDN46" s="344"/>
      <c r="KDO46" s="344"/>
      <c r="KDP46" s="344"/>
      <c r="KDQ46" s="344"/>
      <c r="KDR46" s="344"/>
      <c r="KDS46" s="344"/>
      <c r="KDT46" s="344"/>
      <c r="KDU46" s="344"/>
      <c r="KDV46" s="344"/>
      <c r="KDW46" s="344"/>
      <c r="KDX46" s="344"/>
      <c r="KDY46" s="344"/>
      <c r="KDZ46" s="344"/>
      <c r="KEA46" s="344"/>
      <c r="KEB46" s="344"/>
      <c r="KEC46" s="344"/>
      <c r="KED46" s="344"/>
      <c r="KEE46" s="344"/>
      <c r="KEF46" s="344"/>
      <c r="KEG46" s="344"/>
      <c r="KEH46" s="344"/>
      <c r="KEI46" s="344"/>
      <c r="KEJ46" s="344"/>
      <c r="KEK46" s="344"/>
      <c r="KEL46" s="344"/>
      <c r="KEM46" s="344"/>
      <c r="KEN46" s="344"/>
      <c r="KEO46" s="344"/>
      <c r="KEP46" s="344"/>
      <c r="KEQ46" s="344"/>
      <c r="KER46" s="344"/>
      <c r="KES46" s="344"/>
      <c r="KET46" s="344"/>
      <c r="KEU46" s="344"/>
      <c r="KEV46" s="344"/>
      <c r="KEW46" s="344"/>
      <c r="KEX46" s="344"/>
      <c r="KEY46" s="344"/>
      <c r="KEZ46" s="344"/>
      <c r="KFA46" s="344"/>
      <c r="KFB46" s="344"/>
      <c r="KFC46" s="344"/>
      <c r="KFD46" s="344"/>
      <c r="KFE46" s="344"/>
      <c r="KFF46" s="344"/>
      <c r="KFG46" s="344"/>
      <c r="KFH46" s="344"/>
      <c r="KFI46" s="344"/>
      <c r="KFJ46" s="344"/>
      <c r="KFK46" s="344"/>
      <c r="KFL46" s="344"/>
      <c r="KFM46" s="344"/>
      <c r="KFN46" s="344"/>
      <c r="KFO46" s="344"/>
      <c r="KFP46" s="344"/>
      <c r="KFQ46" s="344"/>
      <c r="KFR46" s="344"/>
      <c r="KFS46" s="344"/>
      <c r="KFT46" s="344"/>
      <c r="KFU46" s="344"/>
      <c r="KFV46" s="344"/>
      <c r="KFW46" s="344"/>
      <c r="KFX46" s="344"/>
      <c r="KFY46" s="344"/>
      <c r="KFZ46" s="344"/>
      <c r="KGA46" s="344"/>
      <c r="KGB46" s="344"/>
      <c r="KGC46" s="344"/>
      <c r="KGD46" s="344"/>
      <c r="KGE46" s="344"/>
      <c r="KGF46" s="344"/>
      <c r="KGG46" s="344"/>
      <c r="KGH46" s="344"/>
      <c r="KGI46" s="344"/>
      <c r="KGJ46" s="344"/>
      <c r="KGK46" s="344"/>
      <c r="KGL46" s="344"/>
      <c r="KGM46" s="344"/>
      <c r="KGN46" s="344"/>
      <c r="KGO46" s="344"/>
      <c r="KGP46" s="344"/>
      <c r="KGQ46" s="344"/>
      <c r="KGR46" s="344"/>
      <c r="KGS46" s="344"/>
      <c r="KGT46" s="344"/>
      <c r="KGU46" s="344"/>
      <c r="KGV46" s="344"/>
      <c r="KGW46" s="344"/>
      <c r="KGX46" s="344"/>
      <c r="KGY46" s="344"/>
      <c r="KGZ46" s="344"/>
      <c r="KHA46" s="344"/>
      <c r="KHB46" s="344"/>
      <c r="KHC46" s="344"/>
      <c r="KHD46" s="344"/>
      <c r="KHE46" s="344"/>
      <c r="KHF46" s="344"/>
      <c r="KHG46" s="344"/>
      <c r="KHH46" s="344"/>
      <c r="KHI46" s="344"/>
      <c r="KHJ46" s="344"/>
      <c r="KHK46" s="344"/>
      <c r="KHL46" s="344"/>
      <c r="KHM46" s="344"/>
      <c r="KHN46" s="344"/>
      <c r="KHO46" s="344"/>
      <c r="KHP46" s="344"/>
      <c r="KHQ46" s="344"/>
      <c r="KHR46" s="344"/>
      <c r="KHS46" s="344"/>
      <c r="KHT46" s="344"/>
      <c r="KHU46" s="344"/>
      <c r="KHV46" s="344"/>
      <c r="KHW46" s="344"/>
      <c r="KHX46" s="344"/>
      <c r="KHY46" s="344"/>
      <c r="KHZ46" s="344"/>
      <c r="KIA46" s="344"/>
      <c r="KIB46" s="344"/>
      <c r="KIC46" s="344"/>
      <c r="KID46" s="344"/>
      <c r="KIE46" s="344"/>
      <c r="KIF46" s="344"/>
      <c r="KIG46" s="344"/>
      <c r="KIH46" s="344"/>
      <c r="KII46" s="344"/>
      <c r="KIJ46" s="344"/>
      <c r="KIK46" s="344"/>
      <c r="KIL46" s="344"/>
      <c r="KIM46" s="344"/>
      <c r="KIN46" s="344"/>
      <c r="KIO46" s="344"/>
      <c r="KIP46" s="344"/>
      <c r="KIQ46" s="344"/>
      <c r="KIR46" s="344"/>
      <c r="KIS46" s="344"/>
      <c r="KIT46" s="344"/>
      <c r="KIU46" s="344"/>
      <c r="KIV46" s="344"/>
      <c r="KIW46" s="344"/>
      <c r="KIX46" s="344"/>
      <c r="KIY46" s="344"/>
      <c r="KIZ46" s="344"/>
      <c r="KJA46" s="344"/>
      <c r="KJB46" s="344"/>
      <c r="KJC46" s="344"/>
      <c r="KJD46" s="344"/>
      <c r="KJE46" s="344"/>
      <c r="KJF46" s="344"/>
      <c r="KJG46" s="344"/>
      <c r="KJH46" s="344"/>
      <c r="KJI46" s="344"/>
      <c r="KJJ46" s="344"/>
      <c r="KJK46" s="344"/>
      <c r="KJL46" s="344"/>
      <c r="KJM46" s="344"/>
      <c r="KJN46" s="344"/>
      <c r="KJO46" s="344"/>
      <c r="KJP46" s="344"/>
      <c r="KJQ46" s="344"/>
      <c r="KJR46" s="344"/>
      <c r="KJS46" s="344"/>
      <c r="KJT46" s="344"/>
      <c r="KJU46" s="344"/>
      <c r="KJV46" s="344"/>
      <c r="KJW46" s="344"/>
      <c r="KJX46" s="344"/>
      <c r="KJY46" s="344"/>
      <c r="KJZ46" s="344"/>
      <c r="KKA46" s="344"/>
      <c r="KKB46" s="344"/>
      <c r="KKC46" s="344"/>
      <c r="KKD46" s="344"/>
      <c r="KKE46" s="344"/>
      <c r="KKF46" s="344"/>
      <c r="KKG46" s="344"/>
      <c r="KKH46" s="344"/>
      <c r="KKI46" s="344"/>
      <c r="KKJ46" s="344"/>
      <c r="KKK46" s="344"/>
      <c r="KKL46" s="344"/>
      <c r="KKM46" s="344"/>
      <c r="KKN46" s="344"/>
      <c r="KKO46" s="344"/>
      <c r="KKP46" s="344"/>
      <c r="KKQ46" s="344"/>
      <c r="KKR46" s="344"/>
      <c r="KKS46" s="344"/>
      <c r="KKT46" s="344"/>
      <c r="KKU46" s="344"/>
      <c r="KKV46" s="344"/>
      <c r="KKW46" s="344"/>
      <c r="KKX46" s="344"/>
      <c r="KKY46" s="344"/>
      <c r="KKZ46" s="344"/>
      <c r="KLA46" s="344"/>
      <c r="KLB46" s="344"/>
      <c r="KLC46" s="344"/>
      <c r="KLD46" s="344"/>
      <c r="KLE46" s="344"/>
      <c r="KLF46" s="344"/>
      <c r="KLG46" s="344"/>
      <c r="KLH46" s="344"/>
      <c r="KLI46" s="344"/>
      <c r="KLJ46" s="344"/>
      <c r="KLK46" s="344"/>
      <c r="KLL46" s="344"/>
      <c r="KLM46" s="344"/>
      <c r="KLN46" s="344"/>
      <c r="KLO46" s="344"/>
      <c r="KLP46" s="344"/>
      <c r="KLQ46" s="344"/>
      <c r="KLR46" s="344"/>
      <c r="KLS46" s="344"/>
      <c r="KLT46" s="344"/>
      <c r="KLU46" s="344"/>
      <c r="KLV46" s="344"/>
      <c r="KLW46" s="344"/>
      <c r="KLX46" s="344"/>
      <c r="KLY46" s="344"/>
      <c r="KLZ46" s="344"/>
      <c r="KMA46" s="344"/>
      <c r="KMB46" s="344"/>
      <c r="KMC46" s="344"/>
      <c r="KMD46" s="344"/>
      <c r="KME46" s="344"/>
      <c r="KMF46" s="344"/>
      <c r="KMG46" s="344"/>
      <c r="KMH46" s="344"/>
      <c r="KMI46" s="344"/>
      <c r="KMJ46" s="344"/>
      <c r="KMK46" s="344"/>
      <c r="KML46" s="344"/>
      <c r="KMM46" s="344"/>
      <c r="KMN46" s="344"/>
      <c r="KMO46" s="344"/>
      <c r="KMP46" s="344"/>
      <c r="KMQ46" s="344"/>
      <c r="KMR46" s="344"/>
      <c r="KMS46" s="344"/>
      <c r="KMT46" s="344"/>
      <c r="KMU46" s="344"/>
      <c r="KMV46" s="344"/>
      <c r="KMW46" s="344"/>
      <c r="KMX46" s="344"/>
      <c r="KMY46" s="344"/>
      <c r="KMZ46" s="344"/>
      <c r="KNA46" s="344"/>
      <c r="KNB46" s="344"/>
      <c r="KNC46" s="344"/>
      <c r="KND46" s="344"/>
      <c r="KNE46" s="344"/>
      <c r="KNF46" s="344"/>
      <c r="KNG46" s="344"/>
      <c r="KNH46" s="344"/>
      <c r="KNI46" s="344"/>
      <c r="KNJ46" s="344"/>
      <c r="KNK46" s="344"/>
      <c r="KNL46" s="344"/>
      <c r="KNM46" s="344"/>
      <c r="KNN46" s="344"/>
      <c r="KNO46" s="344"/>
      <c r="KNP46" s="344"/>
      <c r="KNQ46" s="344"/>
      <c r="KNR46" s="344"/>
      <c r="KNS46" s="344"/>
      <c r="KNT46" s="344"/>
      <c r="KNU46" s="344"/>
      <c r="KNV46" s="344"/>
      <c r="KNW46" s="344"/>
      <c r="KNX46" s="344"/>
      <c r="KNY46" s="344"/>
      <c r="KNZ46" s="344"/>
      <c r="KOA46" s="344"/>
      <c r="KOB46" s="344"/>
      <c r="KOC46" s="344"/>
      <c r="KOD46" s="344"/>
      <c r="KOE46" s="344"/>
      <c r="KOF46" s="344"/>
      <c r="KOG46" s="344"/>
      <c r="KOH46" s="344"/>
      <c r="KOI46" s="344"/>
      <c r="KOJ46" s="344"/>
      <c r="KOK46" s="344"/>
      <c r="KOL46" s="344"/>
      <c r="KOM46" s="344"/>
      <c r="KON46" s="344"/>
      <c r="KOO46" s="344"/>
      <c r="KOP46" s="344"/>
      <c r="KOQ46" s="344"/>
      <c r="KOR46" s="344"/>
      <c r="KOS46" s="344"/>
      <c r="KOT46" s="344"/>
      <c r="KOU46" s="344"/>
      <c r="KOV46" s="344"/>
      <c r="KOW46" s="344"/>
      <c r="KOX46" s="344"/>
      <c r="KOY46" s="344"/>
      <c r="KOZ46" s="344"/>
      <c r="KPA46" s="344"/>
      <c r="KPB46" s="344"/>
      <c r="KPC46" s="344"/>
      <c r="KPD46" s="344"/>
      <c r="KPE46" s="344"/>
      <c r="KPF46" s="344"/>
      <c r="KPG46" s="344"/>
      <c r="KPH46" s="344"/>
      <c r="KPI46" s="344"/>
      <c r="KPJ46" s="344"/>
      <c r="KPK46" s="344"/>
      <c r="KPL46" s="344"/>
      <c r="KPM46" s="344"/>
      <c r="KPN46" s="344"/>
      <c r="KPO46" s="344"/>
      <c r="KPP46" s="344"/>
      <c r="KPQ46" s="344"/>
      <c r="KPR46" s="344"/>
      <c r="KPS46" s="344"/>
      <c r="KPT46" s="344"/>
      <c r="KPU46" s="344"/>
      <c r="KPV46" s="344"/>
      <c r="KPW46" s="344"/>
      <c r="KPX46" s="344"/>
      <c r="KPY46" s="344"/>
      <c r="KPZ46" s="344"/>
      <c r="KQA46" s="344"/>
      <c r="KQB46" s="344"/>
      <c r="KQC46" s="344"/>
      <c r="KQD46" s="344"/>
      <c r="KQE46" s="344"/>
      <c r="KQF46" s="344"/>
      <c r="KQG46" s="344"/>
      <c r="KQH46" s="344"/>
      <c r="KQI46" s="344"/>
      <c r="KQJ46" s="344"/>
      <c r="KQK46" s="344"/>
      <c r="KQL46" s="344"/>
      <c r="KQM46" s="344"/>
      <c r="KQN46" s="344"/>
      <c r="KQO46" s="344"/>
      <c r="KQP46" s="344"/>
      <c r="KQQ46" s="344"/>
      <c r="KQR46" s="344"/>
      <c r="KQS46" s="344"/>
      <c r="KQT46" s="344"/>
      <c r="KQU46" s="344"/>
      <c r="KQV46" s="344"/>
      <c r="KQW46" s="344"/>
      <c r="KQX46" s="344"/>
      <c r="KQY46" s="344"/>
      <c r="KQZ46" s="344"/>
      <c r="KRA46" s="344"/>
      <c r="KRB46" s="344"/>
      <c r="KRC46" s="344"/>
      <c r="KRD46" s="344"/>
      <c r="KRE46" s="344"/>
      <c r="KRF46" s="344"/>
      <c r="KRG46" s="344"/>
      <c r="KRH46" s="344"/>
      <c r="KRI46" s="344"/>
      <c r="KRJ46" s="344"/>
      <c r="KRK46" s="344"/>
      <c r="KRL46" s="344"/>
      <c r="KRM46" s="344"/>
      <c r="KRN46" s="344"/>
      <c r="KRO46" s="344"/>
      <c r="KRP46" s="344"/>
      <c r="KRQ46" s="344"/>
      <c r="KRR46" s="344"/>
      <c r="KRS46" s="344"/>
      <c r="KRT46" s="344"/>
      <c r="KRU46" s="344"/>
      <c r="KRV46" s="344"/>
      <c r="KRW46" s="344"/>
      <c r="KRX46" s="344"/>
      <c r="KRY46" s="344"/>
      <c r="KRZ46" s="344"/>
      <c r="KSA46" s="344"/>
      <c r="KSB46" s="344"/>
      <c r="KSC46" s="344"/>
      <c r="KSD46" s="344"/>
      <c r="KSE46" s="344"/>
      <c r="KSF46" s="344"/>
      <c r="KSG46" s="344"/>
      <c r="KSH46" s="344"/>
      <c r="KSI46" s="344"/>
      <c r="KSJ46" s="344"/>
      <c r="KSK46" s="344"/>
      <c r="KSL46" s="344"/>
      <c r="KSM46" s="344"/>
      <c r="KSN46" s="344"/>
      <c r="KSO46" s="344"/>
      <c r="KSP46" s="344"/>
      <c r="KSQ46" s="344"/>
      <c r="KSR46" s="344"/>
      <c r="KSS46" s="344"/>
      <c r="KST46" s="344"/>
      <c r="KSU46" s="344"/>
      <c r="KSV46" s="344"/>
      <c r="KSW46" s="344"/>
      <c r="KSX46" s="344"/>
      <c r="KSY46" s="344"/>
      <c r="KSZ46" s="344"/>
      <c r="KTA46" s="344"/>
      <c r="KTB46" s="344"/>
      <c r="KTC46" s="344"/>
      <c r="KTD46" s="344"/>
      <c r="KTE46" s="344"/>
      <c r="KTF46" s="344"/>
      <c r="KTG46" s="344"/>
      <c r="KTH46" s="344"/>
      <c r="KTI46" s="344"/>
      <c r="KTJ46" s="344"/>
      <c r="KTK46" s="344"/>
      <c r="KTL46" s="344"/>
      <c r="KTM46" s="344"/>
      <c r="KTN46" s="344"/>
      <c r="KTO46" s="344"/>
      <c r="KTP46" s="344"/>
      <c r="KTQ46" s="344"/>
      <c r="KTR46" s="344"/>
      <c r="KTS46" s="344"/>
      <c r="KTT46" s="344"/>
      <c r="KTU46" s="344"/>
      <c r="KTV46" s="344"/>
      <c r="KTW46" s="344"/>
      <c r="KTX46" s="344"/>
      <c r="KTY46" s="344"/>
      <c r="KTZ46" s="344"/>
      <c r="KUA46" s="344"/>
      <c r="KUB46" s="344"/>
      <c r="KUC46" s="344"/>
      <c r="KUD46" s="344"/>
      <c r="KUE46" s="344"/>
      <c r="KUF46" s="344"/>
      <c r="KUG46" s="344"/>
      <c r="KUH46" s="344"/>
      <c r="KUI46" s="344"/>
      <c r="KUJ46" s="344"/>
      <c r="KUK46" s="344"/>
      <c r="KUL46" s="344"/>
      <c r="KUM46" s="344"/>
      <c r="KUN46" s="344"/>
      <c r="KUO46" s="344"/>
      <c r="KUP46" s="344"/>
      <c r="KUQ46" s="344"/>
      <c r="KUR46" s="344"/>
      <c r="KUS46" s="344"/>
      <c r="KUT46" s="344"/>
      <c r="KUU46" s="344"/>
      <c r="KUV46" s="344"/>
      <c r="KUW46" s="344"/>
      <c r="KUX46" s="344"/>
      <c r="KUY46" s="344"/>
      <c r="KUZ46" s="344"/>
      <c r="KVA46" s="344"/>
      <c r="KVB46" s="344"/>
      <c r="KVC46" s="344"/>
      <c r="KVD46" s="344"/>
      <c r="KVE46" s="344"/>
      <c r="KVF46" s="344"/>
      <c r="KVG46" s="344"/>
      <c r="KVH46" s="344"/>
      <c r="KVI46" s="344"/>
      <c r="KVJ46" s="344"/>
      <c r="KVK46" s="344"/>
      <c r="KVL46" s="344"/>
      <c r="KVM46" s="344"/>
      <c r="KVN46" s="344"/>
      <c r="KVO46" s="344"/>
      <c r="KVP46" s="344"/>
      <c r="KVQ46" s="344"/>
      <c r="KVR46" s="344"/>
      <c r="KVS46" s="344"/>
      <c r="KVT46" s="344"/>
      <c r="KVU46" s="344"/>
      <c r="KVV46" s="344"/>
      <c r="KVW46" s="344"/>
      <c r="KVX46" s="344"/>
      <c r="KVY46" s="344"/>
      <c r="KVZ46" s="344"/>
      <c r="KWA46" s="344"/>
      <c r="KWB46" s="344"/>
      <c r="KWC46" s="344"/>
      <c r="KWD46" s="344"/>
      <c r="KWE46" s="344"/>
      <c r="KWF46" s="344"/>
      <c r="KWG46" s="344"/>
      <c r="KWH46" s="344"/>
      <c r="KWI46" s="344"/>
      <c r="KWJ46" s="344"/>
      <c r="KWK46" s="344"/>
      <c r="KWL46" s="344"/>
      <c r="KWM46" s="344"/>
      <c r="KWN46" s="344"/>
      <c r="KWO46" s="344"/>
      <c r="KWP46" s="344"/>
      <c r="KWQ46" s="344"/>
      <c r="KWR46" s="344"/>
      <c r="KWS46" s="344"/>
      <c r="KWT46" s="344"/>
      <c r="KWU46" s="344"/>
      <c r="KWV46" s="344"/>
      <c r="KWW46" s="344"/>
      <c r="KWX46" s="344"/>
      <c r="KWY46" s="344"/>
      <c r="KWZ46" s="344"/>
      <c r="KXA46" s="344"/>
      <c r="KXB46" s="344"/>
      <c r="KXC46" s="344"/>
      <c r="KXD46" s="344"/>
      <c r="KXE46" s="344"/>
      <c r="KXF46" s="344"/>
      <c r="KXG46" s="344"/>
      <c r="KXH46" s="344"/>
      <c r="KXI46" s="344"/>
      <c r="KXJ46" s="344"/>
      <c r="KXK46" s="344"/>
      <c r="KXL46" s="344"/>
      <c r="KXM46" s="344"/>
      <c r="KXN46" s="344"/>
      <c r="KXO46" s="344"/>
      <c r="KXP46" s="344"/>
      <c r="KXQ46" s="344"/>
      <c r="KXR46" s="344"/>
      <c r="KXS46" s="344"/>
      <c r="KXT46" s="344"/>
      <c r="KXU46" s="344"/>
      <c r="KXV46" s="344"/>
      <c r="KXW46" s="344"/>
      <c r="KXX46" s="344"/>
      <c r="KXY46" s="344"/>
      <c r="KXZ46" s="344"/>
      <c r="KYA46" s="344"/>
      <c r="KYB46" s="344"/>
      <c r="KYC46" s="344"/>
      <c r="KYD46" s="344"/>
      <c r="KYE46" s="344"/>
      <c r="KYF46" s="344"/>
      <c r="KYG46" s="344"/>
      <c r="KYH46" s="344"/>
      <c r="KYI46" s="344"/>
      <c r="KYJ46" s="344"/>
      <c r="KYK46" s="344"/>
      <c r="KYL46" s="344"/>
      <c r="KYM46" s="344"/>
      <c r="KYN46" s="344"/>
      <c r="KYO46" s="344"/>
      <c r="KYP46" s="344"/>
      <c r="KYQ46" s="344"/>
      <c r="KYR46" s="344"/>
      <c r="KYS46" s="344"/>
      <c r="KYT46" s="344"/>
      <c r="KYU46" s="344"/>
      <c r="KYV46" s="344"/>
      <c r="KYW46" s="344"/>
      <c r="KYX46" s="344"/>
      <c r="KYY46" s="344"/>
      <c r="KYZ46" s="344"/>
      <c r="KZA46" s="344"/>
      <c r="KZB46" s="344"/>
      <c r="KZC46" s="344"/>
      <c r="KZD46" s="344"/>
      <c r="KZE46" s="344"/>
      <c r="KZF46" s="344"/>
      <c r="KZG46" s="344"/>
      <c r="KZH46" s="344"/>
      <c r="KZI46" s="344"/>
      <c r="KZJ46" s="344"/>
      <c r="KZK46" s="344"/>
      <c r="KZL46" s="344"/>
      <c r="KZM46" s="344"/>
      <c r="KZN46" s="344"/>
      <c r="KZO46" s="344"/>
      <c r="KZP46" s="344"/>
      <c r="KZQ46" s="344"/>
      <c r="KZR46" s="344"/>
      <c r="KZS46" s="344"/>
      <c r="KZT46" s="344"/>
      <c r="KZU46" s="344"/>
      <c r="KZV46" s="344"/>
      <c r="KZW46" s="344"/>
      <c r="KZX46" s="344"/>
      <c r="KZY46" s="344"/>
      <c r="KZZ46" s="344"/>
      <c r="LAA46" s="344"/>
      <c r="LAB46" s="344"/>
      <c r="LAC46" s="344"/>
      <c r="LAD46" s="344"/>
      <c r="LAE46" s="344"/>
      <c r="LAF46" s="344"/>
      <c r="LAG46" s="344"/>
      <c r="LAH46" s="344"/>
      <c r="LAI46" s="344"/>
      <c r="LAJ46" s="344"/>
      <c r="LAK46" s="344"/>
      <c r="LAL46" s="344"/>
      <c r="LAM46" s="344"/>
      <c r="LAN46" s="344"/>
      <c r="LAO46" s="344"/>
      <c r="LAP46" s="344"/>
      <c r="LAQ46" s="344"/>
      <c r="LAR46" s="344"/>
      <c r="LAS46" s="344"/>
      <c r="LAT46" s="344"/>
      <c r="LAU46" s="344"/>
      <c r="LAV46" s="344"/>
      <c r="LAW46" s="344"/>
      <c r="LAX46" s="344"/>
      <c r="LAY46" s="344"/>
      <c r="LAZ46" s="344"/>
      <c r="LBA46" s="344"/>
      <c r="LBB46" s="344"/>
      <c r="LBC46" s="344"/>
      <c r="LBD46" s="344"/>
      <c r="LBE46" s="344"/>
      <c r="LBF46" s="344"/>
      <c r="LBG46" s="344"/>
      <c r="LBH46" s="344"/>
      <c r="LBI46" s="344"/>
      <c r="LBJ46" s="344"/>
      <c r="LBK46" s="344"/>
      <c r="LBL46" s="344"/>
      <c r="LBM46" s="344"/>
      <c r="LBN46" s="344"/>
      <c r="LBO46" s="344"/>
      <c r="LBP46" s="344"/>
      <c r="LBQ46" s="344"/>
      <c r="LBR46" s="344"/>
      <c r="LBS46" s="344"/>
      <c r="LBT46" s="344"/>
      <c r="LBU46" s="344"/>
      <c r="LBV46" s="344"/>
      <c r="LBW46" s="344"/>
      <c r="LBX46" s="344"/>
      <c r="LBY46" s="344"/>
      <c r="LBZ46" s="344"/>
      <c r="LCA46" s="344"/>
      <c r="LCB46" s="344"/>
      <c r="LCC46" s="344"/>
      <c r="LCD46" s="344"/>
      <c r="LCE46" s="344"/>
      <c r="LCF46" s="344"/>
      <c r="LCG46" s="344"/>
      <c r="LCH46" s="344"/>
      <c r="LCI46" s="344"/>
      <c r="LCJ46" s="344"/>
      <c r="LCK46" s="344"/>
      <c r="LCL46" s="344"/>
      <c r="LCM46" s="344"/>
      <c r="LCN46" s="344"/>
      <c r="LCO46" s="344"/>
      <c r="LCP46" s="344"/>
      <c r="LCQ46" s="344"/>
      <c r="LCR46" s="344"/>
      <c r="LCS46" s="344"/>
      <c r="LCT46" s="344"/>
      <c r="LCU46" s="344"/>
      <c r="LCV46" s="344"/>
      <c r="LCW46" s="344"/>
      <c r="LCX46" s="344"/>
      <c r="LCY46" s="344"/>
      <c r="LCZ46" s="344"/>
      <c r="LDA46" s="344"/>
      <c r="LDB46" s="344"/>
      <c r="LDC46" s="344"/>
      <c r="LDD46" s="344"/>
      <c r="LDE46" s="344"/>
      <c r="LDF46" s="344"/>
      <c r="LDG46" s="344"/>
      <c r="LDH46" s="344"/>
      <c r="LDI46" s="344"/>
      <c r="LDJ46" s="344"/>
      <c r="LDK46" s="344"/>
      <c r="LDL46" s="344"/>
      <c r="LDM46" s="344"/>
      <c r="LDN46" s="344"/>
      <c r="LDO46" s="344"/>
      <c r="LDP46" s="344"/>
      <c r="LDQ46" s="344"/>
      <c r="LDR46" s="344"/>
      <c r="LDS46" s="344"/>
      <c r="LDT46" s="344"/>
      <c r="LDU46" s="344"/>
      <c r="LDV46" s="344"/>
      <c r="LDW46" s="344"/>
      <c r="LDX46" s="344"/>
      <c r="LDY46" s="344"/>
      <c r="LDZ46" s="344"/>
      <c r="LEA46" s="344"/>
      <c r="LEB46" s="344"/>
      <c r="LEC46" s="344"/>
      <c r="LED46" s="344"/>
      <c r="LEE46" s="344"/>
      <c r="LEF46" s="344"/>
      <c r="LEG46" s="344"/>
      <c r="LEH46" s="344"/>
      <c r="LEI46" s="344"/>
      <c r="LEJ46" s="344"/>
      <c r="LEK46" s="344"/>
      <c r="LEL46" s="344"/>
      <c r="LEM46" s="344"/>
      <c r="LEN46" s="344"/>
      <c r="LEO46" s="344"/>
      <c r="LEP46" s="344"/>
      <c r="LEQ46" s="344"/>
      <c r="LER46" s="344"/>
      <c r="LES46" s="344"/>
      <c r="LET46" s="344"/>
      <c r="LEU46" s="344"/>
      <c r="LEV46" s="344"/>
      <c r="LEW46" s="344"/>
      <c r="LEX46" s="344"/>
      <c r="LEY46" s="344"/>
      <c r="LEZ46" s="344"/>
      <c r="LFA46" s="344"/>
      <c r="LFB46" s="344"/>
      <c r="LFC46" s="344"/>
      <c r="LFD46" s="344"/>
      <c r="LFE46" s="344"/>
      <c r="LFF46" s="344"/>
      <c r="LFG46" s="344"/>
      <c r="LFH46" s="344"/>
      <c r="LFI46" s="344"/>
      <c r="LFJ46" s="344"/>
      <c r="LFK46" s="344"/>
      <c r="LFL46" s="344"/>
      <c r="LFM46" s="344"/>
      <c r="LFN46" s="344"/>
      <c r="LFO46" s="344"/>
      <c r="LFP46" s="344"/>
      <c r="LFQ46" s="344"/>
      <c r="LFR46" s="344"/>
      <c r="LFS46" s="344"/>
      <c r="LFT46" s="344"/>
      <c r="LFU46" s="344"/>
      <c r="LFV46" s="344"/>
      <c r="LFW46" s="344"/>
      <c r="LFX46" s="344"/>
      <c r="LFY46" s="344"/>
      <c r="LFZ46" s="344"/>
      <c r="LGA46" s="344"/>
      <c r="LGB46" s="344"/>
      <c r="LGC46" s="344"/>
      <c r="LGD46" s="344"/>
      <c r="LGE46" s="344"/>
      <c r="LGF46" s="344"/>
      <c r="LGG46" s="344"/>
      <c r="LGH46" s="344"/>
      <c r="LGI46" s="344"/>
      <c r="LGJ46" s="344"/>
      <c r="LGK46" s="344"/>
      <c r="LGL46" s="344"/>
      <c r="LGM46" s="344"/>
      <c r="LGN46" s="344"/>
      <c r="LGO46" s="344"/>
      <c r="LGP46" s="344"/>
      <c r="LGQ46" s="344"/>
      <c r="LGR46" s="344"/>
      <c r="LGS46" s="344"/>
      <c r="LGT46" s="344"/>
      <c r="LGU46" s="344"/>
      <c r="LGV46" s="344"/>
      <c r="LGW46" s="344"/>
      <c r="LGX46" s="344"/>
      <c r="LGY46" s="344"/>
      <c r="LGZ46" s="344"/>
      <c r="LHA46" s="344"/>
      <c r="LHB46" s="344"/>
      <c r="LHC46" s="344"/>
      <c r="LHD46" s="344"/>
      <c r="LHE46" s="344"/>
      <c r="LHF46" s="344"/>
      <c r="LHG46" s="344"/>
      <c r="LHH46" s="344"/>
      <c r="LHI46" s="344"/>
      <c r="LHJ46" s="344"/>
      <c r="LHK46" s="344"/>
      <c r="LHL46" s="344"/>
      <c r="LHM46" s="344"/>
      <c r="LHN46" s="344"/>
      <c r="LHO46" s="344"/>
      <c r="LHP46" s="344"/>
      <c r="LHQ46" s="344"/>
      <c r="LHR46" s="344"/>
      <c r="LHS46" s="344"/>
      <c r="LHT46" s="344"/>
      <c r="LHU46" s="344"/>
      <c r="LHV46" s="344"/>
      <c r="LHW46" s="344"/>
      <c r="LHX46" s="344"/>
      <c r="LHY46" s="344"/>
      <c r="LHZ46" s="344"/>
      <c r="LIA46" s="344"/>
      <c r="LIB46" s="344"/>
      <c r="LIC46" s="344"/>
      <c r="LID46" s="344"/>
      <c r="LIE46" s="344"/>
      <c r="LIF46" s="344"/>
      <c r="LIG46" s="344"/>
      <c r="LIH46" s="344"/>
      <c r="LII46" s="344"/>
      <c r="LIJ46" s="344"/>
      <c r="LIK46" s="344"/>
      <c r="LIL46" s="344"/>
      <c r="LIM46" s="344"/>
      <c r="LIN46" s="344"/>
      <c r="LIO46" s="344"/>
      <c r="LIP46" s="344"/>
      <c r="LIQ46" s="344"/>
      <c r="LIR46" s="344"/>
      <c r="LIS46" s="344"/>
      <c r="LIT46" s="344"/>
      <c r="LIU46" s="344"/>
      <c r="LIV46" s="344"/>
      <c r="LIW46" s="344"/>
      <c r="LIX46" s="344"/>
      <c r="LIY46" s="344"/>
      <c r="LIZ46" s="344"/>
      <c r="LJA46" s="344"/>
      <c r="LJB46" s="344"/>
      <c r="LJC46" s="344"/>
      <c r="LJD46" s="344"/>
      <c r="LJE46" s="344"/>
      <c r="LJF46" s="344"/>
      <c r="LJG46" s="344"/>
      <c r="LJH46" s="344"/>
      <c r="LJI46" s="344"/>
      <c r="LJJ46" s="344"/>
      <c r="LJK46" s="344"/>
      <c r="LJL46" s="344"/>
      <c r="LJM46" s="344"/>
      <c r="LJN46" s="344"/>
      <c r="LJO46" s="344"/>
      <c r="LJP46" s="344"/>
      <c r="LJQ46" s="344"/>
      <c r="LJR46" s="344"/>
      <c r="LJS46" s="344"/>
      <c r="LJT46" s="344"/>
      <c r="LJU46" s="344"/>
      <c r="LJV46" s="344"/>
      <c r="LJW46" s="344"/>
      <c r="LJX46" s="344"/>
      <c r="LJY46" s="344"/>
      <c r="LJZ46" s="344"/>
      <c r="LKA46" s="344"/>
      <c r="LKB46" s="344"/>
      <c r="LKC46" s="344"/>
      <c r="LKD46" s="344"/>
      <c r="LKE46" s="344"/>
      <c r="LKF46" s="344"/>
      <c r="LKG46" s="344"/>
      <c r="LKH46" s="344"/>
      <c r="LKI46" s="344"/>
      <c r="LKJ46" s="344"/>
      <c r="LKK46" s="344"/>
      <c r="LKL46" s="344"/>
      <c r="LKM46" s="344"/>
      <c r="LKN46" s="344"/>
      <c r="LKO46" s="344"/>
      <c r="LKP46" s="344"/>
      <c r="LKQ46" s="344"/>
      <c r="LKR46" s="344"/>
      <c r="LKS46" s="344"/>
      <c r="LKT46" s="344"/>
      <c r="LKU46" s="344"/>
      <c r="LKV46" s="344"/>
      <c r="LKW46" s="344"/>
      <c r="LKX46" s="344"/>
      <c r="LKY46" s="344"/>
      <c r="LKZ46" s="344"/>
      <c r="LLA46" s="344"/>
      <c r="LLB46" s="344"/>
      <c r="LLC46" s="344"/>
      <c r="LLD46" s="344"/>
      <c r="LLE46" s="344"/>
      <c r="LLF46" s="344"/>
      <c r="LLG46" s="344"/>
      <c r="LLH46" s="344"/>
      <c r="LLI46" s="344"/>
      <c r="LLJ46" s="344"/>
      <c r="LLK46" s="344"/>
      <c r="LLL46" s="344"/>
      <c r="LLM46" s="344"/>
      <c r="LLN46" s="344"/>
      <c r="LLO46" s="344"/>
      <c r="LLP46" s="344"/>
      <c r="LLQ46" s="344"/>
      <c r="LLR46" s="344"/>
      <c r="LLS46" s="344"/>
      <c r="LLT46" s="344"/>
      <c r="LLU46" s="344"/>
      <c r="LLV46" s="344"/>
      <c r="LLW46" s="344"/>
      <c r="LLX46" s="344"/>
      <c r="LLY46" s="344"/>
      <c r="LLZ46" s="344"/>
      <c r="LMA46" s="344"/>
      <c r="LMB46" s="344"/>
      <c r="LMC46" s="344"/>
      <c r="LMD46" s="344"/>
      <c r="LME46" s="344"/>
      <c r="LMF46" s="344"/>
      <c r="LMG46" s="344"/>
      <c r="LMH46" s="344"/>
      <c r="LMI46" s="344"/>
      <c r="LMJ46" s="344"/>
      <c r="LMK46" s="344"/>
      <c r="LML46" s="344"/>
      <c r="LMM46" s="344"/>
      <c r="LMN46" s="344"/>
      <c r="LMO46" s="344"/>
      <c r="LMP46" s="344"/>
      <c r="LMQ46" s="344"/>
      <c r="LMR46" s="344"/>
      <c r="LMS46" s="344"/>
      <c r="LMT46" s="344"/>
      <c r="LMU46" s="344"/>
      <c r="LMV46" s="344"/>
      <c r="LMW46" s="344"/>
      <c r="LMX46" s="344"/>
      <c r="LMY46" s="344"/>
      <c r="LMZ46" s="344"/>
      <c r="LNA46" s="344"/>
      <c r="LNB46" s="344"/>
      <c r="LNC46" s="344"/>
      <c r="LND46" s="344"/>
      <c r="LNE46" s="344"/>
      <c r="LNF46" s="344"/>
      <c r="LNG46" s="344"/>
      <c r="LNH46" s="344"/>
      <c r="LNI46" s="344"/>
      <c r="LNJ46" s="344"/>
      <c r="LNK46" s="344"/>
      <c r="LNL46" s="344"/>
      <c r="LNM46" s="344"/>
      <c r="LNN46" s="344"/>
      <c r="LNO46" s="344"/>
      <c r="LNP46" s="344"/>
      <c r="LNQ46" s="344"/>
      <c r="LNR46" s="344"/>
      <c r="LNS46" s="344"/>
      <c r="LNT46" s="344"/>
      <c r="LNU46" s="344"/>
      <c r="LNV46" s="344"/>
      <c r="LNW46" s="344"/>
      <c r="LNX46" s="344"/>
      <c r="LNY46" s="344"/>
      <c r="LNZ46" s="344"/>
      <c r="LOA46" s="344"/>
      <c r="LOB46" s="344"/>
      <c r="LOC46" s="344"/>
      <c r="LOD46" s="344"/>
      <c r="LOE46" s="344"/>
      <c r="LOF46" s="344"/>
      <c r="LOG46" s="344"/>
      <c r="LOH46" s="344"/>
      <c r="LOI46" s="344"/>
      <c r="LOJ46" s="344"/>
      <c r="LOK46" s="344"/>
      <c r="LOL46" s="344"/>
      <c r="LOM46" s="344"/>
      <c r="LON46" s="344"/>
      <c r="LOO46" s="344"/>
      <c r="LOP46" s="344"/>
      <c r="LOQ46" s="344"/>
      <c r="LOR46" s="344"/>
      <c r="LOS46" s="344"/>
      <c r="LOT46" s="344"/>
      <c r="LOU46" s="344"/>
      <c r="LOV46" s="344"/>
      <c r="LOW46" s="344"/>
      <c r="LOX46" s="344"/>
      <c r="LOY46" s="344"/>
      <c r="LOZ46" s="344"/>
      <c r="LPA46" s="344"/>
      <c r="LPB46" s="344"/>
      <c r="LPC46" s="344"/>
      <c r="LPD46" s="344"/>
      <c r="LPE46" s="344"/>
      <c r="LPF46" s="344"/>
      <c r="LPG46" s="344"/>
      <c r="LPH46" s="344"/>
      <c r="LPI46" s="344"/>
      <c r="LPJ46" s="344"/>
      <c r="LPK46" s="344"/>
      <c r="LPL46" s="344"/>
      <c r="LPM46" s="344"/>
      <c r="LPN46" s="344"/>
      <c r="LPO46" s="344"/>
      <c r="LPP46" s="344"/>
      <c r="LPQ46" s="344"/>
      <c r="LPR46" s="344"/>
      <c r="LPS46" s="344"/>
      <c r="LPT46" s="344"/>
      <c r="LPU46" s="344"/>
      <c r="LPV46" s="344"/>
      <c r="LPW46" s="344"/>
      <c r="LPX46" s="344"/>
      <c r="LPY46" s="344"/>
      <c r="LPZ46" s="344"/>
      <c r="LQA46" s="344"/>
      <c r="LQB46" s="344"/>
      <c r="LQC46" s="344"/>
      <c r="LQD46" s="344"/>
      <c r="LQE46" s="344"/>
      <c r="LQF46" s="344"/>
      <c r="LQG46" s="344"/>
      <c r="LQH46" s="344"/>
      <c r="LQI46" s="344"/>
      <c r="LQJ46" s="344"/>
      <c r="LQK46" s="344"/>
      <c r="LQL46" s="344"/>
      <c r="LQM46" s="344"/>
      <c r="LQN46" s="344"/>
      <c r="LQO46" s="344"/>
      <c r="LQP46" s="344"/>
      <c r="LQQ46" s="344"/>
      <c r="LQR46" s="344"/>
      <c r="LQS46" s="344"/>
      <c r="LQT46" s="344"/>
      <c r="LQU46" s="344"/>
      <c r="LQV46" s="344"/>
      <c r="LQW46" s="344"/>
      <c r="LQX46" s="344"/>
      <c r="LQY46" s="344"/>
      <c r="LQZ46" s="344"/>
      <c r="LRA46" s="344"/>
      <c r="LRB46" s="344"/>
      <c r="LRC46" s="344"/>
      <c r="LRD46" s="344"/>
      <c r="LRE46" s="344"/>
      <c r="LRF46" s="344"/>
      <c r="LRG46" s="344"/>
      <c r="LRH46" s="344"/>
      <c r="LRI46" s="344"/>
      <c r="LRJ46" s="344"/>
      <c r="LRK46" s="344"/>
      <c r="LRL46" s="344"/>
      <c r="LRM46" s="344"/>
      <c r="LRN46" s="344"/>
      <c r="LRO46" s="344"/>
      <c r="LRP46" s="344"/>
      <c r="LRQ46" s="344"/>
      <c r="LRR46" s="344"/>
      <c r="LRS46" s="344"/>
      <c r="LRT46" s="344"/>
      <c r="LRU46" s="344"/>
      <c r="LRV46" s="344"/>
      <c r="LRW46" s="344"/>
      <c r="LRX46" s="344"/>
      <c r="LRY46" s="344"/>
      <c r="LRZ46" s="344"/>
      <c r="LSA46" s="344"/>
      <c r="LSB46" s="344"/>
      <c r="LSC46" s="344"/>
      <c r="LSD46" s="344"/>
      <c r="LSE46" s="344"/>
      <c r="LSF46" s="344"/>
      <c r="LSG46" s="344"/>
      <c r="LSH46" s="344"/>
      <c r="LSI46" s="344"/>
      <c r="LSJ46" s="344"/>
      <c r="LSK46" s="344"/>
      <c r="LSL46" s="344"/>
      <c r="LSM46" s="344"/>
      <c r="LSN46" s="344"/>
      <c r="LSO46" s="344"/>
      <c r="LSP46" s="344"/>
      <c r="LSQ46" s="344"/>
      <c r="LSR46" s="344"/>
      <c r="LSS46" s="344"/>
      <c r="LST46" s="344"/>
      <c r="LSU46" s="344"/>
      <c r="LSV46" s="344"/>
      <c r="LSW46" s="344"/>
      <c r="LSX46" s="344"/>
      <c r="LSY46" s="344"/>
      <c r="LSZ46" s="344"/>
      <c r="LTA46" s="344"/>
      <c r="LTB46" s="344"/>
      <c r="LTC46" s="344"/>
      <c r="LTD46" s="344"/>
      <c r="LTE46" s="344"/>
      <c r="LTF46" s="344"/>
      <c r="LTG46" s="344"/>
      <c r="LTH46" s="344"/>
      <c r="LTI46" s="344"/>
      <c r="LTJ46" s="344"/>
      <c r="LTK46" s="344"/>
      <c r="LTL46" s="344"/>
      <c r="LTM46" s="344"/>
      <c r="LTN46" s="344"/>
      <c r="LTO46" s="344"/>
      <c r="LTP46" s="344"/>
      <c r="LTQ46" s="344"/>
      <c r="LTR46" s="344"/>
      <c r="LTS46" s="344"/>
      <c r="LTT46" s="344"/>
      <c r="LTU46" s="344"/>
      <c r="LTV46" s="344"/>
      <c r="LTW46" s="344"/>
      <c r="LTX46" s="344"/>
      <c r="LTY46" s="344"/>
      <c r="LTZ46" s="344"/>
      <c r="LUA46" s="344"/>
      <c r="LUB46" s="344"/>
      <c r="LUC46" s="344"/>
      <c r="LUD46" s="344"/>
      <c r="LUE46" s="344"/>
      <c r="LUF46" s="344"/>
      <c r="LUG46" s="344"/>
      <c r="LUH46" s="344"/>
      <c r="LUI46" s="344"/>
      <c r="LUJ46" s="344"/>
      <c r="LUK46" s="344"/>
      <c r="LUL46" s="344"/>
      <c r="LUM46" s="344"/>
      <c r="LUN46" s="344"/>
      <c r="LUO46" s="344"/>
      <c r="LUP46" s="344"/>
      <c r="LUQ46" s="344"/>
      <c r="LUR46" s="344"/>
      <c r="LUS46" s="344"/>
      <c r="LUT46" s="344"/>
      <c r="LUU46" s="344"/>
      <c r="LUV46" s="344"/>
      <c r="LUW46" s="344"/>
      <c r="LUX46" s="344"/>
      <c r="LUY46" s="344"/>
      <c r="LUZ46" s="344"/>
      <c r="LVA46" s="344"/>
      <c r="LVB46" s="344"/>
      <c r="LVC46" s="344"/>
      <c r="LVD46" s="344"/>
      <c r="LVE46" s="344"/>
      <c r="LVF46" s="344"/>
      <c r="LVG46" s="344"/>
      <c r="LVH46" s="344"/>
      <c r="LVI46" s="344"/>
      <c r="LVJ46" s="344"/>
      <c r="LVK46" s="344"/>
      <c r="LVL46" s="344"/>
      <c r="LVM46" s="344"/>
      <c r="LVN46" s="344"/>
      <c r="LVO46" s="344"/>
      <c r="LVP46" s="344"/>
      <c r="LVQ46" s="344"/>
      <c r="LVR46" s="344"/>
      <c r="LVS46" s="344"/>
      <c r="LVT46" s="344"/>
      <c r="LVU46" s="344"/>
      <c r="LVV46" s="344"/>
      <c r="LVW46" s="344"/>
      <c r="LVX46" s="344"/>
      <c r="LVY46" s="344"/>
      <c r="LVZ46" s="344"/>
      <c r="LWA46" s="344"/>
      <c r="LWB46" s="344"/>
      <c r="LWC46" s="344"/>
      <c r="LWD46" s="344"/>
      <c r="LWE46" s="344"/>
      <c r="LWF46" s="344"/>
      <c r="LWG46" s="344"/>
      <c r="LWH46" s="344"/>
      <c r="LWI46" s="344"/>
      <c r="LWJ46" s="344"/>
      <c r="LWK46" s="344"/>
      <c r="LWL46" s="344"/>
      <c r="LWM46" s="344"/>
      <c r="LWN46" s="344"/>
      <c r="LWO46" s="344"/>
      <c r="LWP46" s="344"/>
      <c r="LWQ46" s="344"/>
      <c r="LWR46" s="344"/>
      <c r="LWS46" s="344"/>
      <c r="LWT46" s="344"/>
      <c r="LWU46" s="344"/>
      <c r="LWV46" s="344"/>
      <c r="LWW46" s="344"/>
      <c r="LWX46" s="344"/>
      <c r="LWY46" s="344"/>
      <c r="LWZ46" s="344"/>
      <c r="LXA46" s="344"/>
      <c r="LXB46" s="344"/>
      <c r="LXC46" s="344"/>
      <c r="LXD46" s="344"/>
      <c r="LXE46" s="344"/>
      <c r="LXF46" s="344"/>
      <c r="LXG46" s="344"/>
      <c r="LXH46" s="344"/>
      <c r="LXI46" s="344"/>
      <c r="LXJ46" s="344"/>
      <c r="LXK46" s="344"/>
      <c r="LXL46" s="344"/>
      <c r="LXM46" s="344"/>
      <c r="LXN46" s="344"/>
      <c r="LXO46" s="344"/>
      <c r="LXP46" s="344"/>
      <c r="LXQ46" s="344"/>
      <c r="LXR46" s="344"/>
      <c r="LXS46" s="344"/>
      <c r="LXT46" s="344"/>
      <c r="LXU46" s="344"/>
      <c r="LXV46" s="344"/>
      <c r="LXW46" s="344"/>
      <c r="LXX46" s="344"/>
      <c r="LXY46" s="344"/>
      <c r="LXZ46" s="344"/>
      <c r="LYA46" s="344"/>
      <c r="LYB46" s="344"/>
      <c r="LYC46" s="344"/>
      <c r="LYD46" s="344"/>
      <c r="LYE46" s="344"/>
      <c r="LYF46" s="344"/>
      <c r="LYG46" s="344"/>
      <c r="LYH46" s="344"/>
      <c r="LYI46" s="344"/>
      <c r="LYJ46" s="344"/>
      <c r="LYK46" s="344"/>
      <c r="LYL46" s="344"/>
      <c r="LYM46" s="344"/>
      <c r="LYN46" s="344"/>
      <c r="LYO46" s="344"/>
      <c r="LYP46" s="344"/>
      <c r="LYQ46" s="344"/>
      <c r="LYR46" s="344"/>
      <c r="LYS46" s="344"/>
      <c r="LYT46" s="344"/>
      <c r="LYU46" s="344"/>
      <c r="LYV46" s="344"/>
      <c r="LYW46" s="344"/>
      <c r="LYX46" s="344"/>
      <c r="LYY46" s="344"/>
      <c r="LYZ46" s="344"/>
      <c r="LZA46" s="344"/>
      <c r="LZB46" s="344"/>
      <c r="LZC46" s="344"/>
      <c r="LZD46" s="344"/>
      <c r="LZE46" s="344"/>
      <c r="LZF46" s="344"/>
      <c r="LZG46" s="344"/>
      <c r="LZH46" s="344"/>
      <c r="LZI46" s="344"/>
      <c r="LZJ46" s="344"/>
      <c r="LZK46" s="344"/>
      <c r="LZL46" s="344"/>
      <c r="LZM46" s="344"/>
      <c r="LZN46" s="344"/>
      <c r="LZO46" s="344"/>
      <c r="LZP46" s="344"/>
      <c r="LZQ46" s="344"/>
      <c r="LZR46" s="344"/>
      <c r="LZS46" s="344"/>
      <c r="LZT46" s="344"/>
      <c r="LZU46" s="344"/>
      <c r="LZV46" s="344"/>
      <c r="LZW46" s="344"/>
      <c r="LZX46" s="344"/>
      <c r="LZY46" s="344"/>
      <c r="LZZ46" s="344"/>
      <c r="MAA46" s="344"/>
      <c r="MAB46" s="344"/>
      <c r="MAC46" s="344"/>
      <c r="MAD46" s="344"/>
      <c r="MAE46" s="344"/>
      <c r="MAF46" s="344"/>
      <c r="MAG46" s="344"/>
      <c r="MAH46" s="344"/>
      <c r="MAI46" s="344"/>
      <c r="MAJ46" s="344"/>
      <c r="MAK46" s="344"/>
      <c r="MAL46" s="344"/>
      <c r="MAM46" s="344"/>
      <c r="MAN46" s="344"/>
      <c r="MAO46" s="344"/>
      <c r="MAP46" s="344"/>
      <c r="MAQ46" s="344"/>
      <c r="MAR46" s="344"/>
      <c r="MAS46" s="344"/>
      <c r="MAT46" s="344"/>
      <c r="MAU46" s="344"/>
      <c r="MAV46" s="344"/>
      <c r="MAW46" s="344"/>
      <c r="MAX46" s="344"/>
      <c r="MAY46" s="344"/>
      <c r="MAZ46" s="344"/>
      <c r="MBA46" s="344"/>
      <c r="MBB46" s="344"/>
      <c r="MBC46" s="344"/>
      <c r="MBD46" s="344"/>
      <c r="MBE46" s="344"/>
      <c r="MBF46" s="344"/>
      <c r="MBG46" s="344"/>
      <c r="MBH46" s="344"/>
      <c r="MBI46" s="344"/>
      <c r="MBJ46" s="344"/>
      <c r="MBK46" s="344"/>
      <c r="MBL46" s="344"/>
      <c r="MBM46" s="344"/>
      <c r="MBN46" s="344"/>
      <c r="MBO46" s="344"/>
      <c r="MBP46" s="344"/>
      <c r="MBQ46" s="344"/>
      <c r="MBR46" s="344"/>
      <c r="MBS46" s="344"/>
      <c r="MBT46" s="344"/>
      <c r="MBU46" s="344"/>
      <c r="MBV46" s="344"/>
      <c r="MBW46" s="344"/>
      <c r="MBX46" s="344"/>
      <c r="MBY46" s="344"/>
      <c r="MBZ46" s="344"/>
      <c r="MCA46" s="344"/>
      <c r="MCB46" s="344"/>
      <c r="MCC46" s="344"/>
      <c r="MCD46" s="344"/>
      <c r="MCE46" s="344"/>
      <c r="MCF46" s="344"/>
      <c r="MCG46" s="344"/>
      <c r="MCH46" s="344"/>
      <c r="MCI46" s="344"/>
      <c r="MCJ46" s="344"/>
      <c r="MCK46" s="344"/>
      <c r="MCL46" s="344"/>
      <c r="MCM46" s="344"/>
      <c r="MCN46" s="344"/>
      <c r="MCO46" s="344"/>
      <c r="MCP46" s="344"/>
      <c r="MCQ46" s="344"/>
      <c r="MCR46" s="344"/>
      <c r="MCS46" s="344"/>
      <c r="MCT46" s="344"/>
      <c r="MCU46" s="344"/>
      <c r="MCV46" s="344"/>
      <c r="MCW46" s="344"/>
      <c r="MCX46" s="344"/>
      <c r="MCY46" s="344"/>
      <c r="MCZ46" s="344"/>
      <c r="MDA46" s="344"/>
      <c r="MDB46" s="344"/>
      <c r="MDC46" s="344"/>
      <c r="MDD46" s="344"/>
      <c r="MDE46" s="344"/>
      <c r="MDF46" s="344"/>
      <c r="MDG46" s="344"/>
      <c r="MDH46" s="344"/>
      <c r="MDI46" s="344"/>
      <c r="MDJ46" s="344"/>
      <c r="MDK46" s="344"/>
      <c r="MDL46" s="344"/>
      <c r="MDM46" s="344"/>
      <c r="MDN46" s="344"/>
      <c r="MDO46" s="344"/>
      <c r="MDP46" s="344"/>
      <c r="MDQ46" s="344"/>
      <c r="MDR46" s="344"/>
      <c r="MDS46" s="344"/>
      <c r="MDT46" s="344"/>
      <c r="MDU46" s="344"/>
      <c r="MDV46" s="344"/>
      <c r="MDW46" s="344"/>
      <c r="MDX46" s="344"/>
      <c r="MDY46" s="344"/>
      <c r="MDZ46" s="344"/>
      <c r="MEA46" s="344"/>
      <c r="MEB46" s="344"/>
      <c r="MEC46" s="344"/>
      <c r="MED46" s="344"/>
      <c r="MEE46" s="344"/>
      <c r="MEF46" s="344"/>
      <c r="MEG46" s="344"/>
      <c r="MEH46" s="344"/>
      <c r="MEI46" s="344"/>
      <c r="MEJ46" s="344"/>
      <c r="MEK46" s="344"/>
      <c r="MEL46" s="344"/>
      <c r="MEM46" s="344"/>
      <c r="MEN46" s="344"/>
      <c r="MEO46" s="344"/>
      <c r="MEP46" s="344"/>
      <c r="MEQ46" s="344"/>
      <c r="MER46" s="344"/>
      <c r="MES46" s="344"/>
      <c r="MET46" s="344"/>
      <c r="MEU46" s="344"/>
      <c r="MEV46" s="344"/>
      <c r="MEW46" s="344"/>
      <c r="MEX46" s="344"/>
      <c r="MEY46" s="344"/>
      <c r="MEZ46" s="344"/>
      <c r="MFA46" s="344"/>
      <c r="MFB46" s="344"/>
      <c r="MFC46" s="344"/>
      <c r="MFD46" s="344"/>
      <c r="MFE46" s="344"/>
      <c r="MFF46" s="344"/>
      <c r="MFG46" s="344"/>
      <c r="MFH46" s="344"/>
      <c r="MFI46" s="344"/>
      <c r="MFJ46" s="344"/>
      <c r="MFK46" s="344"/>
      <c r="MFL46" s="344"/>
      <c r="MFM46" s="344"/>
      <c r="MFN46" s="344"/>
      <c r="MFO46" s="344"/>
      <c r="MFP46" s="344"/>
      <c r="MFQ46" s="344"/>
      <c r="MFR46" s="344"/>
      <c r="MFS46" s="344"/>
      <c r="MFT46" s="344"/>
      <c r="MFU46" s="344"/>
      <c r="MFV46" s="344"/>
      <c r="MFW46" s="344"/>
      <c r="MFX46" s="344"/>
      <c r="MFY46" s="344"/>
      <c r="MFZ46" s="344"/>
      <c r="MGA46" s="344"/>
      <c r="MGB46" s="344"/>
      <c r="MGC46" s="344"/>
      <c r="MGD46" s="344"/>
      <c r="MGE46" s="344"/>
      <c r="MGF46" s="344"/>
      <c r="MGG46" s="344"/>
      <c r="MGH46" s="344"/>
      <c r="MGI46" s="344"/>
      <c r="MGJ46" s="344"/>
      <c r="MGK46" s="344"/>
      <c r="MGL46" s="344"/>
      <c r="MGM46" s="344"/>
      <c r="MGN46" s="344"/>
      <c r="MGO46" s="344"/>
      <c r="MGP46" s="344"/>
      <c r="MGQ46" s="344"/>
      <c r="MGR46" s="344"/>
      <c r="MGS46" s="344"/>
      <c r="MGT46" s="344"/>
      <c r="MGU46" s="344"/>
      <c r="MGV46" s="344"/>
      <c r="MGW46" s="344"/>
      <c r="MGX46" s="344"/>
      <c r="MGY46" s="344"/>
      <c r="MGZ46" s="344"/>
      <c r="MHA46" s="344"/>
      <c r="MHB46" s="344"/>
      <c r="MHC46" s="344"/>
      <c r="MHD46" s="344"/>
      <c r="MHE46" s="344"/>
      <c r="MHF46" s="344"/>
      <c r="MHG46" s="344"/>
      <c r="MHH46" s="344"/>
      <c r="MHI46" s="344"/>
      <c r="MHJ46" s="344"/>
      <c r="MHK46" s="344"/>
      <c r="MHL46" s="344"/>
      <c r="MHM46" s="344"/>
      <c r="MHN46" s="344"/>
      <c r="MHO46" s="344"/>
      <c r="MHP46" s="344"/>
      <c r="MHQ46" s="344"/>
      <c r="MHR46" s="344"/>
      <c r="MHS46" s="344"/>
      <c r="MHT46" s="344"/>
      <c r="MHU46" s="344"/>
      <c r="MHV46" s="344"/>
      <c r="MHW46" s="344"/>
      <c r="MHX46" s="344"/>
      <c r="MHY46" s="344"/>
      <c r="MHZ46" s="344"/>
      <c r="MIA46" s="344"/>
      <c r="MIB46" s="344"/>
      <c r="MIC46" s="344"/>
      <c r="MID46" s="344"/>
      <c r="MIE46" s="344"/>
      <c r="MIF46" s="344"/>
      <c r="MIG46" s="344"/>
      <c r="MIH46" s="344"/>
      <c r="MII46" s="344"/>
      <c r="MIJ46" s="344"/>
      <c r="MIK46" s="344"/>
      <c r="MIL46" s="344"/>
      <c r="MIM46" s="344"/>
      <c r="MIN46" s="344"/>
      <c r="MIO46" s="344"/>
      <c r="MIP46" s="344"/>
      <c r="MIQ46" s="344"/>
      <c r="MIR46" s="344"/>
      <c r="MIS46" s="344"/>
      <c r="MIT46" s="344"/>
      <c r="MIU46" s="344"/>
      <c r="MIV46" s="344"/>
      <c r="MIW46" s="344"/>
      <c r="MIX46" s="344"/>
      <c r="MIY46" s="344"/>
      <c r="MIZ46" s="344"/>
      <c r="MJA46" s="344"/>
      <c r="MJB46" s="344"/>
      <c r="MJC46" s="344"/>
      <c r="MJD46" s="344"/>
      <c r="MJE46" s="344"/>
      <c r="MJF46" s="344"/>
      <c r="MJG46" s="344"/>
      <c r="MJH46" s="344"/>
      <c r="MJI46" s="344"/>
      <c r="MJJ46" s="344"/>
      <c r="MJK46" s="344"/>
      <c r="MJL46" s="344"/>
      <c r="MJM46" s="344"/>
      <c r="MJN46" s="344"/>
      <c r="MJO46" s="344"/>
      <c r="MJP46" s="344"/>
      <c r="MJQ46" s="344"/>
      <c r="MJR46" s="344"/>
      <c r="MJS46" s="344"/>
      <c r="MJT46" s="344"/>
      <c r="MJU46" s="344"/>
      <c r="MJV46" s="344"/>
      <c r="MJW46" s="344"/>
      <c r="MJX46" s="344"/>
      <c r="MJY46" s="344"/>
      <c r="MJZ46" s="344"/>
      <c r="MKA46" s="344"/>
      <c r="MKB46" s="344"/>
      <c r="MKC46" s="344"/>
      <c r="MKD46" s="344"/>
      <c r="MKE46" s="344"/>
      <c r="MKF46" s="344"/>
      <c r="MKG46" s="344"/>
      <c r="MKH46" s="344"/>
      <c r="MKI46" s="344"/>
      <c r="MKJ46" s="344"/>
      <c r="MKK46" s="344"/>
      <c r="MKL46" s="344"/>
      <c r="MKM46" s="344"/>
      <c r="MKN46" s="344"/>
      <c r="MKO46" s="344"/>
      <c r="MKP46" s="344"/>
      <c r="MKQ46" s="344"/>
      <c r="MKR46" s="344"/>
      <c r="MKS46" s="344"/>
      <c r="MKT46" s="344"/>
      <c r="MKU46" s="344"/>
      <c r="MKV46" s="344"/>
      <c r="MKW46" s="344"/>
      <c r="MKX46" s="344"/>
      <c r="MKY46" s="344"/>
      <c r="MKZ46" s="344"/>
      <c r="MLA46" s="344"/>
      <c r="MLB46" s="344"/>
      <c r="MLC46" s="344"/>
      <c r="MLD46" s="344"/>
      <c r="MLE46" s="344"/>
      <c r="MLF46" s="344"/>
      <c r="MLG46" s="344"/>
      <c r="MLH46" s="344"/>
      <c r="MLI46" s="344"/>
      <c r="MLJ46" s="344"/>
      <c r="MLK46" s="344"/>
      <c r="MLL46" s="344"/>
      <c r="MLM46" s="344"/>
      <c r="MLN46" s="344"/>
      <c r="MLO46" s="344"/>
      <c r="MLP46" s="344"/>
      <c r="MLQ46" s="344"/>
      <c r="MLR46" s="344"/>
      <c r="MLS46" s="344"/>
      <c r="MLT46" s="344"/>
      <c r="MLU46" s="344"/>
      <c r="MLV46" s="344"/>
      <c r="MLW46" s="344"/>
      <c r="MLX46" s="344"/>
      <c r="MLY46" s="344"/>
      <c r="MLZ46" s="344"/>
      <c r="MMA46" s="344"/>
      <c r="MMB46" s="344"/>
      <c r="MMC46" s="344"/>
      <c r="MMD46" s="344"/>
      <c r="MME46" s="344"/>
      <c r="MMF46" s="344"/>
      <c r="MMG46" s="344"/>
      <c r="MMH46" s="344"/>
      <c r="MMI46" s="344"/>
      <c r="MMJ46" s="344"/>
      <c r="MMK46" s="344"/>
      <c r="MML46" s="344"/>
      <c r="MMM46" s="344"/>
      <c r="MMN46" s="344"/>
      <c r="MMO46" s="344"/>
      <c r="MMP46" s="344"/>
      <c r="MMQ46" s="344"/>
      <c r="MMR46" s="344"/>
      <c r="MMS46" s="344"/>
      <c r="MMT46" s="344"/>
      <c r="MMU46" s="344"/>
      <c r="MMV46" s="344"/>
      <c r="MMW46" s="344"/>
      <c r="MMX46" s="344"/>
      <c r="MMY46" s="344"/>
      <c r="MMZ46" s="344"/>
      <c r="MNA46" s="344"/>
      <c r="MNB46" s="344"/>
      <c r="MNC46" s="344"/>
      <c r="MND46" s="344"/>
      <c r="MNE46" s="344"/>
      <c r="MNF46" s="344"/>
      <c r="MNG46" s="344"/>
      <c r="MNH46" s="344"/>
      <c r="MNI46" s="344"/>
      <c r="MNJ46" s="344"/>
      <c r="MNK46" s="344"/>
      <c r="MNL46" s="344"/>
      <c r="MNM46" s="344"/>
      <c r="MNN46" s="344"/>
      <c r="MNO46" s="344"/>
      <c r="MNP46" s="344"/>
      <c r="MNQ46" s="344"/>
      <c r="MNR46" s="344"/>
      <c r="MNS46" s="344"/>
      <c r="MNT46" s="344"/>
      <c r="MNU46" s="344"/>
      <c r="MNV46" s="344"/>
      <c r="MNW46" s="344"/>
      <c r="MNX46" s="344"/>
      <c r="MNY46" s="344"/>
      <c r="MNZ46" s="344"/>
      <c r="MOA46" s="344"/>
      <c r="MOB46" s="344"/>
      <c r="MOC46" s="344"/>
      <c r="MOD46" s="344"/>
      <c r="MOE46" s="344"/>
      <c r="MOF46" s="344"/>
      <c r="MOG46" s="344"/>
      <c r="MOH46" s="344"/>
      <c r="MOI46" s="344"/>
      <c r="MOJ46" s="344"/>
      <c r="MOK46" s="344"/>
      <c r="MOL46" s="344"/>
      <c r="MOM46" s="344"/>
      <c r="MON46" s="344"/>
      <c r="MOO46" s="344"/>
      <c r="MOP46" s="344"/>
      <c r="MOQ46" s="344"/>
      <c r="MOR46" s="344"/>
      <c r="MOS46" s="344"/>
      <c r="MOT46" s="344"/>
      <c r="MOU46" s="344"/>
      <c r="MOV46" s="344"/>
      <c r="MOW46" s="344"/>
      <c r="MOX46" s="344"/>
      <c r="MOY46" s="344"/>
      <c r="MOZ46" s="344"/>
      <c r="MPA46" s="344"/>
      <c r="MPB46" s="344"/>
      <c r="MPC46" s="344"/>
      <c r="MPD46" s="344"/>
      <c r="MPE46" s="344"/>
      <c r="MPF46" s="344"/>
      <c r="MPG46" s="344"/>
      <c r="MPH46" s="344"/>
      <c r="MPI46" s="344"/>
      <c r="MPJ46" s="344"/>
      <c r="MPK46" s="344"/>
      <c r="MPL46" s="344"/>
      <c r="MPM46" s="344"/>
      <c r="MPN46" s="344"/>
      <c r="MPO46" s="344"/>
      <c r="MPP46" s="344"/>
      <c r="MPQ46" s="344"/>
      <c r="MPR46" s="344"/>
      <c r="MPS46" s="344"/>
      <c r="MPT46" s="344"/>
      <c r="MPU46" s="344"/>
      <c r="MPV46" s="344"/>
      <c r="MPW46" s="344"/>
      <c r="MPX46" s="344"/>
      <c r="MPY46" s="344"/>
      <c r="MPZ46" s="344"/>
      <c r="MQA46" s="344"/>
      <c r="MQB46" s="344"/>
      <c r="MQC46" s="344"/>
      <c r="MQD46" s="344"/>
      <c r="MQE46" s="344"/>
      <c r="MQF46" s="344"/>
      <c r="MQG46" s="344"/>
      <c r="MQH46" s="344"/>
      <c r="MQI46" s="344"/>
      <c r="MQJ46" s="344"/>
      <c r="MQK46" s="344"/>
      <c r="MQL46" s="344"/>
      <c r="MQM46" s="344"/>
      <c r="MQN46" s="344"/>
      <c r="MQO46" s="344"/>
      <c r="MQP46" s="344"/>
      <c r="MQQ46" s="344"/>
      <c r="MQR46" s="344"/>
      <c r="MQS46" s="344"/>
      <c r="MQT46" s="344"/>
      <c r="MQU46" s="344"/>
      <c r="MQV46" s="344"/>
      <c r="MQW46" s="344"/>
      <c r="MQX46" s="344"/>
      <c r="MQY46" s="344"/>
      <c r="MQZ46" s="344"/>
      <c r="MRA46" s="344"/>
      <c r="MRB46" s="344"/>
      <c r="MRC46" s="344"/>
      <c r="MRD46" s="344"/>
      <c r="MRE46" s="344"/>
      <c r="MRF46" s="344"/>
      <c r="MRG46" s="344"/>
      <c r="MRH46" s="344"/>
      <c r="MRI46" s="344"/>
      <c r="MRJ46" s="344"/>
      <c r="MRK46" s="344"/>
      <c r="MRL46" s="344"/>
      <c r="MRM46" s="344"/>
      <c r="MRN46" s="344"/>
      <c r="MRO46" s="344"/>
      <c r="MRP46" s="344"/>
      <c r="MRQ46" s="344"/>
      <c r="MRR46" s="344"/>
      <c r="MRS46" s="344"/>
      <c r="MRT46" s="344"/>
      <c r="MRU46" s="344"/>
      <c r="MRV46" s="344"/>
      <c r="MRW46" s="344"/>
      <c r="MRX46" s="344"/>
      <c r="MRY46" s="344"/>
      <c r="MRZ46" s="344"/>
      <c r="MSA46" s="344"/>
      <c r="MSB46" s="344"/>
      <c r="MSC46" s="344"/>
      <c r="MSD46" s="344"/>
      <c r="MSE46" s="344"/>
      <c r="MSF46" s="344"/>
      <c r="MSG46" s="344"/>
      <c r="MSH46" s="344"/>
      <c r="MSI46" s="344"/>
      <c r="MSJ46" s="344"/>
      <c r="MSK46" s="344"/>
      <c r="MSL46" s="344"/>
      <c r="MSM46" s="344"/>
      <c r="MSN46" s="344"/>
      <c r="MSO46" s="344"/>
      <c r="MSP46" s="344"/>
      <c r="MSQ46" s="344"/>
      <c r="MSR46" s="344"/>
      <c r="MSS46" s="344"/>
      <c r="MST46" s="344"/>
      <c r="MSU46" s="344"/>
      <c r="MSV46" s="344"/>
      <c r="MSW46" s="344"/>
      <c r="MSX46" s="344"/>
      <c r="MSY46" s="344"/>
      <c r="MSZ46" s="344"/>
      <c r="MTA46" s="344"/>
      <c r="MTB46" s="344"/>
      <c r="MTC46" s="344"/>
      <c r="MTD46" s="344"/>
      <c r="MTE46" s="344"/>
      <c r="MTF46" s="344"/>
      <c r="MTG46" s="344"/>
      <c r="MTH46" s="344"/>
      <c r="MTI46" s="344"/>
      <c r="MTJ46" s="344"/>
      <c r="MTK46" s="344"/>
      <c r="MTL46" s="344"/>
      <c r="MTM46" s="344"/>
      <c r="MTN46" s="344"/>
      <c r="MTO46" s="344"/>
      <c r="MTP46" s="344"/>
      <c r="MTQ46" s="344"/>
      <c r="MTR46" s="344"/>
      <c r="MTS46" s="344"/>
      <c r="MTT46" s="344"/>
      <c r="MTU46" s="344"/>
      <c r="MTV46" s="344"/>
      <c r="MTW46" s="344"/>
      <c r="MTX46" s="344"/>
      <c r="MTY46" s="344"/>
      <c r="MTZ46" s="344"/>
      <c r="MUA46" s="344"/>
      <c r="MUB46" s="344"/>
      <c r="MUC46" s="344"/>
      <c r="MUD46" s="344"/>
      <c r="MUE46" s="344"/>
      <c r="MUF46" s="344"/>
      <c r="MUG46" s="344"/>
      <c r="MUH46" s="344"/>
      <c r="MUI46" s="344"/>
      <c r="MUJ46" s="344"/>
      <c r="MUK46" s="344"/>
      <c r="MUL46" s="344"/>
      <c r="MUM46" s="344"/>
      <c r="MUN46" s="344"/>
      <c r="MUO46" s="344"/>
      <c r="MUP46" s="344"/>
      <c r="MUQ46" s="344"/>
      <c r="MUR46" s="344"/>
      <c r="MUS46" s="344"/>
      <c r="MUT46" s="344"/>
      <c r="MUU46" s="344"/>
      <c r="MUV46" s="344"/>
      <c r="MUW46" s="344"/>
      <c r="MUX46" s="344"/>
      <c r="MUY46" s="344"/>
      <c r="MUZ46" s="344"/>
      <c r="MVA46" s="344"/>
      <c r="MVB46" s="344"/>
      <c r="MVC46" s="344"/>
      <c r="MVD46" s="344"/>
      <c r="MVE46" s="344"/>
      <c r="MVF46" s="344"/>
      <c r="MVG46" s="344"/>
      <c r="MVH46" s="344"/>
      <c r="MVI46" s="344"/>
      <c r="MVJ46" s="344"/>
      <c r="MVK46" s="344"/>
      <c r="MVL46" s="344"/>
      <c r="MVM46" s="344"/>
      <c r="MVN46" s="344"/>
      <c r="MVO46" s="344"/>
      <c r="MVP46" s="344"/>
      <c r="MVQ46" s="344"/>
      <c r="MVR46" s="344"/>
      <c r="MVS46" s="344"/>
      <c r="MVT46" s="344"/>
      <c r="MVU46" s="344"/>
      <c r="MVV46" s="344"/>
      <c r="MVW46" s="344"/>
      <c r="MVX46" s="344"/>
      <c r="MVY46" s="344"/>
      <c r="MVZ46" s="344"/>
      <c r="MWA46" s="344"/>
      <c r="MWB46" s="344"/>
      <c r="MWC46" s="344"/>
      <c r="MWD46" s="344"/>
      <c r="MWE46" s="344"/>
      <c r="MWF46" s="344"/>
      <c r="MWG46" s="344"/>
      <c r="MWH46" s="344"/>
      <c r="MWI46" s="344"/>
      <c r="MWJ46" s="344"/>
      <c r="MWK46" s="344"/>
      <c r="MWL46" s="344"/>
      <c r="MWM46" s="344"/>
      <c r="MWN46" s="344"/>
      <c r="MWO46" s="344"/>
      <c r="MWP46" s="344"/>
      <c r="MWQ46" s="344"/>
      <c r="MWR46" s="344"/>
      <c r="MWS46" s="344"/>
      <c r="MWT46" s="344"/>
      <c r="MWU46" s="344"/>
      <c r="MWV46" s="344"/>
      <c r="MWW46" s="344"/>
      <c r="MWX46" s="344"/>
      <c r="MWY46" s="344"/>
      <c r="MWZ46" s="344"/>
      <c r="MXA46" s="344"/>
      <c r="MXB46" s="344"/>
      <c r="MXC46" s="344"/>
      <c r="MXD46" s="344"/>
      <c r="MXE46" s="344"/>
      <c r="MXF46" s="344"/>
      <c r="MXG46" s="344"/>
      <c r="MXH46" s="344"/>
      <c r="MXI46" s="344"/>
      <c r="MXJ46" s="344"/>
      <c r="MXK46" s="344"/>
      <c r="MXL46" s="344"/>
      <c r="MXM46" s="344"/>
      <c r="MXN46" s="344"/>
      <c r="MXO46" s="344"/>
      <c r="MXP46" s="344"/>
      <c r="MXQ46" s="344"/>
      <c r="MXR46" s="344"/>
      <c r="MXS46" s="344"/>
      <c r="MXT46" s="344"/>
      <c r="MXU46" s="344"/>
      <c r="MXV46" s="344"/>
      <c r="MXW46" s="344"/>
      <c r="MXX46" s="344"/>
      <c r="MXY46" s="344"/>
      <c r="MXZ46" s="344"/>
      <c r="MYA46" s="344"/>
      <c r="MYB46" s="344"/>
      <c r="MYC46" s="344"/>
      <c r="MYD46" s="344"/>
      <c r="MYE46" s="344"/>
      <c r="MYF46" s="344"/>
      <c r="MYG46" s="344"/>
      <c r="MYH46" s="344"/>
      <c r="MYI46" s="344"/>
      <c r="MYJ46" s="344"/>
      <c r="MYK46" s="344"/>
      <c r="MYL46" s="344"/>
      <c r="MYM46" s="344"/>
      <c r="MYN46" s="344"/>
      <c r="MYO46" s="344"/>
      <c r="MYP46" s="344"/>
      <c r="MYQ46" s="344"/>
      <c r="MYR46" s="344"/>
      <c r="MYS46" s="344"/>
      <c r="MYT46" s="344"/>
      <c r="MYU46" s="344"/>
      <c r="MYV46" s="344"/>
      <c r="MYW46" s="344"/>
      <c r="MYX46" s="344"/>
      <c r="MYY46" s="344"/>
      <c r="MYZ46" s="344"/>
      <c r="MZA46" s="344"/>
      <c r="MZB46" s="344"/>
      <c r="MZC46" s="344"/>
      <c r="MZD46" s="344"/>
      <c r="MZE46" s="344"/>
      <c r="MZF46" s="344"/>
      <c r="MZG46" s="344"/>
      <c r="MZH46" s="344"/>
      <c r="MZI46" s="344"/>
      <c r="MZJ46" s="344"/>
      <c r="MZK46" s="344"/>
      <c r="MZL46" s="344"/>
      <c r="MZM46" s="344"/>
      <c r="MZN46" s="344"/>
      <c r="MZO46" s="344"/>
      <c r="MZP46" s="344"/>
      <c r="MZQ46" s="344"/>
      <c r="MZR46" s="344"/>
      <c r="MZS46" s="344"/>
      <c r="MZT46" s="344"/>
      <c r="MZU46" s="344"/>
      <c r="MZV46" s="344"/>
      <c r="MZW46" s="344"/>
      <c r="MZX46" s="344"/>
      <c r="MZY46" s="344"/>
      <c r="MZZ46" s="344"/>
      <c r="NAA46" s="344"/>
      <c r="NAB46" s="344"/>
      <c r="NAC46" s="344"/>
      <c r="NAD46" s="344"/>
      <c r="NAE46" s="344"/>
      <c r="NAF46" s="344"/>
      <c r="NAG46" s="344"/>
      <c r="NAH46" s="344"/>
      <c r="NAI46" s="344"/>
      <c r="NAJ46" s="344"/>
      <c r="NAK46" s="344"/>
      <c r="NAL46" s="344"/>
      <c r="NAM46" s="344"/>
      <c r="NAN46" s="344"/>
      <c r="NAO46" s="344"/>
      <c r="NAP46" s="344"/>
      <c r="NAQ46" s="344"/>
      <c r="NAR46" s="344"/>
      <c r="NAS46" s="344"/>
      <c r="NAT46" s="344"/>
      <c r="NAU46" s="344"/>
      <c r="NAV46" s="344"/>
      <c r="NAW46" s="344"/>
      <c r="NAX46" s="344"/>
      <c r="NAY46" s="344"/>
      <c r="NAZ46" s="344"/>
      <c r="NBA46" s="344"/>
      <c r="NBB46" s="344"/>
      <c r="NBC46" s="344"/>
      <c r="NBD46" s="344"/>
      <c r="NBE46" s="344"/>
      <c r="NBF46" s="344"/>
      <c r="NBG46" s="344"/>
      <c r="NBH46" s="344"/>
      <c r="NBI46" s="344"/>
      <c r="NBJ46" s="344"/>
      <c r="NBK46" s="344"/>
      <c r="NBL46" s="344"/>
      <c r="NBM46" s="344"/>
      <c r="NBN46" s="344"/>
      <c r="NBO46" s="344"/>
      <c r="NBP46" s="344"/>
      <c r="NBQ46" s="344"/>
      <c r="NBR46" s="344"/>
      <c r="NBS46" s="344"/>
      <c r="NBT46" s="344"/>
      <c r="NBU46" s="344"/>
      <c r="NBV46" s="344"/>
      <c r="NBW46" s="344"/>
      <c r="NBX46" s="344"/>
      <c r="NBY46" s="344"/>
      <c r="NBZ46" s="344"/>
      <c r="NCA46" s="344"/>
      <c r="NCB46" s="344"/>
      <c r="NCC46" s="344"/>
      <c r="NCD46" s="344"/>
      <c r="NCE46" s="344"/>
      <c r="NCF46" s="344"/>
      <c r="NCG46" s="344"/>
      <c r="NCH46" s="344"/>
      <c r="NCI46" s="344"/>
      <c r="NCJ46" s="344"/>
      <c r="NCK46" s="344"/>
      <c r="NCL46" s="344"/>
      <c r="NCM46" s="344"/>
      <c r="NCN46" s="344"/>
      <c r="NCO46" s="344"/>
      <c r="NCP46" s="344"/>
      <c r="NCQ46" s="344"/>
      <c r="NCR46" s="344"/>
      <c r="NCS46" s="344"/>
      <c r="NCT46" s="344"/>
      <c r="NCU46" s="344"/>
      <c r="NCV46" s="344"/>
      <c r="NCW46" s="344"/>
      <c r="NCX46" s="344"/>
      <c r="NCY46" s="344"/>
      <c r="NCZ46" s="344"/>
      <c r="NDA46" s="344"/>
      <c r="NDB46" s="344"/>
      <c r="NDC46" s="344"/>
      <c r="NDD46" s="344"/>
      <c r="NDE46" s="344"/>
      <c r="NDF46" s="344"/>
      <c r="NDG46" s="344"/>
      <c r="NDH46" s="344"/>
      <c r="NDI46" s="344"/>
      <c r="NDJ46" s="344"/>
      <c r="NDK46" s="344"/>
      <c r="NDL46" s="344"/>
      <c r="NDM46" s="344"/>
      <c r="NDN46" s="344"/>
      <c r="NDO46" s="344"/>
      <c r="NDP46" s="344"/>
      <c r="NDQ46" s="344"/>
      <c r="NDR46" s="344"/>
      <c r="NDS46" s="344"/>
      <c r="NDT46" s="344"/>
      <c r="NDU46" s="344"/>
      <c r="NDV46" s="344"/>
      <c r="NDW46" s="344"/>
      <c r="NDX46" s="344"/>
      <c r="NDY46" s="344"/>
      <c r="NDZ46" s="344"/>
      <c r="NEA46" s="344"/>
      <c r="NEB46" s="344"/>
      <c r="NEC46" s="344"/>
      <c r="NED46" s="344"/>
      <c r="NEE46" s="344"/>
      <c r="NEF46" s="344"/>
      <c r="NEG46" s="344"/>
      <c r="NEH46" s="344"/>
      <c r="NEI46" s="344"/>
      <c r="NEJ46" s="344"/>
      <c r="NEK46" s="344"/>
      <c r="NEL46" s="344"/>
      <c r="NEM46" s="344"/>
      <c r="NEN46" s="344"/>
      <c r="NEO46" s="344"/>
      <c r="NEP46" s="344"/>
      <c r="NEQ46" s="344"/>
      <c r="NER46" s="344"/>
      <c r="NES46" s="344"/>
      <c r="NET46" s="344"/>
      <c r="NEU46" s="344"/>
      <c r="NEV46" s="344"/>
      <c r="NEW46" s="344"/>
      <c r="NEX46" s="344"/>
      <c r="NEY46" s="344"/>
      <c r="NEZ46" s="344"/>
      <c r="NFA46" s="344"/>
      <c r="NFB46" s="344"/>
      <c r="NFC46" s="344"/>
      <c r="NFD46" s="344"/>
      <c r="NFE46" s="344"/>
      <c r="NFF46" s="344"/>
      <c r="NFG46" s="344"/>
      <c r="NFH46" s="344"/>
      <c r="NFI46" s="344"/>
      <c r="NFJ46" s="344"/>
      <c r="NFK46" s="344"/>
      <c r="NFL46" s="344"/>
      <c r="NFM46" s="344"/>
      <c r="NFN46" s="344"/>
      <c r="NFO46" s="344"/>
      <c r="NFP46" s="344"/>
      <c r="NFQ46" s="344"/>
      <c r="NFR46" s="344"/>
      <c r="NFS46" s="344"/>
      <c r="NFT46" s="344"/>
      <c r="NFU46" s="344"/>
      <c r="NFV46" s="344"/>
      <c r="NFW46" s="344"/>
      <c r="NFX46" s="344"/>
      <c r="NFY46" s="344"/>
      <c r="NFZ46" s="344"/>
      <c r="NGA46" s="344"/>
      <c r="NGB46" s="344"/>
      <c r="NGC46" s="344"/>
      <c r="NGD46" s="344"/>
      <c r="NGE46" s="344"/>
      <c r="NGF46" s="344"/>
      <c r="NGG46" s="344"/>
      <c r="NGH46" s="344"/>
      <c r="NGI46" s="344"/>
      <c r="NGJ46" s="344"/>
      <c r="NGK46" s="344"/>
      <c r="NGL46" s="344"/>
      <c r="NGM46" s="344"/>
      <c r="NGN46" s="344"/>
      <c r="NGO46" s="344"/>
      <c r="NGP46" s="344"/>
      <c r="NGQ46" s="344"/>
      <c r="NGR46" s="344"/>
      <c r="NGS46" s="344"/>
      <c r="NGT46" s="344"/>
      <c r="NGU46" s="344"/>
      <c r="NGV46" s="344"/>
      <c r="NGW46" s="344"/>
      <c r="NGX46" s="344"/>
      <c r="NGY46" s="344"/>
      <c r="NGZ46" s="344"/>
      <c r="NHA46" s="344"/>
      <c r="NHB46" s="344"/>
      <c r="NHC46" s="344"/>
      <c r="NHD46" s="344"/>
      <c r="NHE46" s="344"/>
      <c r="NHF46" s="344"/>
      <c r="NHG46" s="344"/>
      <c r="NHH46" s="344"/>
      <c r="NHI46" s="344"/>
      <c r="NHJ46" s="344"/>
      <c r="NHK46" s="344"/>
      <c r="NHL46" s="344"/>
      <c r="NHM46" s="344"/>
      <c r="NHN46" s="344"/>
      <c r="NHO46" s="344"/>
      <c r="NHP46" s="344"/>
      <c r="NHQ46" s="344"/>
      <c r="NHR46" s="344"/>
      <c r="NHS46" s="344"/>
      <c r="NHT46" s="344"/>
      <c r="NHU46" s="344"/>
      <c r="NHV46" s="344"/>
      <c r="NHW46" s="344"/>
      <c r="NHX46" s="344"/>
      <c r="NHY46" s="344"/>
      <c r="NHZ46" s="344"/>
      <c r="NIA46" s="344"/>
      <c r="NIB46" s="344"/>
      <c r="NIC46" s="344"/>
      <c r="NID46" s="344"/>
      <c r="NIE46" s="344"/>
      <c r="NIF46" s="344"/>
      <c r="NIG46" s="344"/>
      <c r="NIH46" s="344"/>
      <c r="NII46" s="344"/>
      <c r="NIJ46" s="344"/>
      <c r="NIK46" s="344"/>
      <c r="NIL46" s="344"/>
      <c r="NIM46" s="344"/>
      <c r="NIN46" s="344"/>
      <c r="NIO46" s="344"/>
      <c r="NIP46" s="344"/>
      <c r="NIQ46" s="344"/>
      <c r="NIR46" s="344"/>
      <c r="NIS46" s="344"/>
      <c r="NIT46" s="344"/>
      <c r="NIU46" s="344"/>
      <c r="NIV46" s="344"/>
      <c r="NIW46" s="344"/>
      <c r="NIX46" s="344"/>
      <c r="NIY46" s="344"/>
      <c r="NIZ46" s="344"/>
      <c r="NJA46" s="344"/>
      <c r="NJB46" s="344"/>
      <c r="NJC46" s="344"/>
      <c r="NJD46" s="344"/>
      <c r="NJE46" s="344"/>
      <c r="NJF46" s="344"/>
      <c r="NJG46" s="344"/>
      <c r="NJH46" s="344"/>
      <c r="NJI46" s="344"/>
      <c r="NJJ46" s="344"/>
      <c r="NJK46" s="344"/>
      <c r="NJL46" s="344"/>
      <c r="NJM46" s="344"/>
      <c r="NJN46" s="344"/>
      <c r="NJO46" s="344"/>
      <c r="NJP46" s="344"/>
      <c r="NJQ46" s="344"/>
      <c r="NJR46" s="344"/>
      <c r="NJS46" s="344"/>
      <c r="NJT46" s="344"/>
      <c r="NJU46" s="344"/>
      <c r="NJV46" s="344"/>
      <c r="NJW46" s="344"/>
      <c r="NJX46" s="344"/>
      <c r="NJY46" s="344"/>
      <c r="NJZ46" s="344"/>
      <c r="NKA46" s="344"/>
      <c r="NKB46" s="344"/>
      <c r="NKC46" s="344"/>
      <c r="NKD46" s="344"/>
      <c r="NKE46" s="344"/>
      <c r="NKF46" s="344"/>
      <c r="NKG46" s="344"/>
      <c r="NKH46" s="344"/>
      <c r="NKI46" s="344"/>
      <c r="NKJ46" s="344"/>
      <c r="NKK46" s="344"/>
      <c r="NKL46" s="344"/>
      <c r="NKM46" s="344"/>
      <c r="NKN46" s="344"/>
      <c r="NKO46" s="344"/>
      <c r="NKP46" s="344"/>
      <c r="NKQ46" s="344"/>
      <c r="NKR46" s="344"/>
      <c r="NKS46" s="344"/>
      <c r="NKT46" s="344"/>
      <c r="NKU46" s="344"/>
      <c r="NKV46" s="344"/>
      <c r="NKW46" s="344"/>
      <c r="NKX46" s="344"/>
      <c r="NKY46" s="344"/>
      <c r="NKZ46" s="344"/>
      <c r="NLA46" s="344"/>
      <c r="NLB46" s="344"/>
      <c r="NLC46" s="344"/>
      <c r="NLD46" s="344"/>
      <c r="NLE46" s="344"/>
      <c r="NLF46" s="344"/>
      <c r="NLG46" s="344"/>
      <c r="NLH46" s="344"/>
      <c r="NLI46" s="344"/>
      <c r="NLJ46" s="344"/>
      <c r="NLK46" s="344"/>
      <c r="NLL46" s="344"/>
      <c r="NLM46" s="344"/>
      <c r="NLN46" s="344"/>
      <c r="NLO46" s="344"/>
      <c r="NLP46" s="344"/>
      <c r="NLQ46" s="344"/>
      <c r="NLR46" s="344"/>
      <c r="NLS46" s="344"/>
      <c r="NLT46" s="344"/>
      <c r="NLU46" s="344"/>
      <c r="NLV46" s="344"/>
      <c r="NLW46" s="344"/>
      <c r="NLX46" s="344"/>
      <c r="NLY46" s="344"/>
      <c r="NLZ46" s="344"/>
      <c r="NMA46" s="344"/>
      <c r="NMB46" s="344"/>
      <c r="NMC46" s="344"/>
      <c r="NMD46" s="344"/>
      <c r="NME46" s="344"/>
      <c r="NMF46" s="344"/>
      <c r="NMG46" s="344"/>
      <c r="NMH46" s="344"/>
      <c r="NMI46" s="344"/>
      <c r="NMJ46" s="344"/>
      <c r="NMK46" s="344"/>
      <c r="NML46" s="344"/>
      <c r="NMM46" s="344"/>
      <c r="NMN46" s="344"/>
      <c r="NMO46" s="344"/>
      <c r="NMP46" s="344"/>
      <c r="NMQ46" s="344"/>
      <c r="NMR46" s="344"/>
      <c r="NMS46" s="344"/>
      <c r="NMT46" s="344"/>
      <c r="NMU46" s="344"/>
      <c r="NMV46" s="344"/>
      <c r="NMW46" s="344"/>
      <c r="NMX46" s="344"/>
      <c r="NMY46" s="344"/>
      <c r="NMZ46" s="344"/>
      <c r="NNA46" s="344"/>
      <c r="NNB46" s="344"/>
      <c r="NNC46" s="344"/>
      <c r="NND46" s="344"/>
      <c r="NNE46" s="344"/>
      <c r="NNF46" s="344"/>
      <c r="NNG46" s="344"/>
      <c r="NNH46" s="344"/>
      <c r="NNI46" s="344"/>
      <c r="NNJ46" s="344"/>
      <c r="NNK46" s="344"/>
      <c r="NNL46" s="344"/>
      <c r="NNM46" s="344"/>
      <c r="NNN46" s="344"/>
      <c r="NNO46" s="344"/>
      <c r="NNP46" s="344"/>
      <c r="NNQ46" s="344"/>
      <c r="NNR46" s="344"/>
      <c r="NNS46" s="344"/>
      <c r="NNT46" s="344"/>
      <c r="NNU46" s="344"/>
      <c r="NNV46" s="344"/>
      <c r="NNW46" s="344"/>
      <c r="NNX46" s="344"/>
      <c r="NNY46" s="344"/>
      <c r="NNZ46" s="344"/>
      <c r="NOA46" s="344"/>
      <c r="NOB46" s="344"/>
      <c r="NOC46" s="344"/>
      <c r="NOD46" s="344"/>
      <c r="NOE46" s="344"/>
      <c r="NOF46" s="344"/>
      <c r="NOG46" s="344"/>
      <c r="NOH46" s="344"/>
      <c r="NOI46" s="344"/>
      <c r="NOJ46" s="344"/>
      <c r="NOK46" s="344"/>
      <c r="NOL46" s="344"/>
      <c r="NOM46" s="344"/>
      <c r="NON46" s="344"/>
      <c r="NOO46" s="344"/>
      <c r="NOP46" s="344"/>
      <c r="NOQ46" s="344"/>
      <c r="NOR46" s="344"/>
      <c r="NOS46" s="344"/>
      <c r="NOT46" s="344"/>
      <c r="NOU46" s="344"/>
      <c r="NOV46" s="344"/>
      <c r="NOW46" s="344"/>
      <c r="NOX46" s="344"/>
      <c r="NOY46" s="344"/>
      <c r="NOZ46" s="344"/>
      <c r="NPA46" s="344"/>
      <c r="NPB46" s="344"/>
      <c r="NPC46" s="344"/>
      <c r="NPD46" s="344"/>
      <c r="NPE46" s="344"/>
      <c r="NPF46" s="344"/>
      <c r="NPG46" s="344"/>
      <c r="NPH46" s="344"/>
      <c r="NPI46" s="344"/>
      <c r="NPJ46" s="344"/>
      <c r="NPK46" s="344"/>
      <c r="NPL46" s="344"/>
      <c r="NPM46" s="344"/>
      <c r="NPN46" s="344"/>
      <c r="NPO46" s="344"/>
      <c r="NPP46" s="344"/>
      <c r="NPQ46" s="344"/>
      <c r="NPR46" s="344"/>
      <c r="NPS46" s="344"/>
      <c r="NPT46" s="344"/>
      <c r="NPU46" s="344"/>
      <c r="NPV46" s="344"/>
      <c r="NPW46" s="344"/>
      <c r="NPX46" s="344"/>
      <c r="NPY46" s="344"/>
      <c r="NPZ46" s="344"/>
      <c r="NQA46" s="344"/>
      <c r="NQB46" s="344"/>
      <c r="NQC46" s="344"/>
      <c r="NQD46" s="344"/>
      <c r="NQE46" s="344"/>
      <c r="NQF46" s="344"/>
      <c r="NQG46" s="344"/>
      <c r="NQH46" s="344"/>
      <c r="NQI46" s="344"/>
      <c r="NQJ46" s="344"/>
      <c r="NQK46" s="344"/>
      <c r="NQL46" s="344"/>
      <c r="NQM46" s="344"/>
      <c r="NQN46" s="344"/>
      <c r="NQO46" s="344"/>
      <c r="NQP46" s="344"/>
      <c r="NQQ46" s="344"/>
      <c r="NQR46" s="344"/>
      <c r="NQS46" s="344"/>
      <c r="NQT46" s="344"/>
      <c r="NQU46" s="344"/>
      <c r="NQV46" s="344"/>
      <c r="NQW46" s="344"/>
      <c r="NQX46" s="344"/>
      <c r="NQY46" s="344"/>
      <c r="NQZ46" s="344"/>
      <c r="NRA46" s="344"/>
      <c r="NRB46" s="344"/>
      <c r="NRC46" s="344"/>
      <c r="NRD46" s="344"/>
      <c r="NRE46" s="344"/>
      <c r="NRF46" s="344"/>
      <c r="NRG46" s="344"/>
      <c r="NRH46" s="344"/>
      <c r="NRI46" s="344"/>
      <c r="NRJ46" s="344"/>
      <c r="NRK46" s="344"/>
      <c r="NRL46" s="344"/>
      <c r="NRM46" s="344"/>
      <c r="NRN46" s="344"/>
      <c r="NRO46" s="344"/>
      <c r="NRP46" s="344"/>
      <c r="NRQ46" s="344"/>
      <c r="NRR46" s="344"/>
      <c r="NRS46" s="344"/>
      <c r="NRT46" s="344"/>
      <c r="NRU46" s="344"/>
      <c r="NRV46" s="344"/>
      <c r="NRW46" s="344"/>
      <c r="NRX46" s="344"/>
      <c r="NRY46" s="344"/>
      <c r="NRZ46" s="344"/>
      <c r="NSA46" s="344"/>
      <c r="NSB46" s="344"/>
      <c r="NSC46" s="344"/>
      <c r="NSD46" s="344"/>
      <c r="NSE46" s="344"/>
      <c r="NSF46" s="344"/>
      <c r="NSG46" s="344"/>
      <c r="NSH46" s="344"/>
      <c r="NSI46" s="344"/>
      <c r="NSJ46" s="344"/>
      <c r="NSK46" s="344"/>
      <c r="NSL46" s="344"/>
      <c r="NSM46" s="344"/>
      <c r="NSN46" s="344"/>
      <c r="NSO46" s="344"/>
      <c r="NSP46" s="344"/>
      <c r="NSQ46" s="344"/>
      <c r="NSR46" s="344"/>
      <c r="NSS46" s="344"/>
      <c r="NST46" s="344"/>
      <c r="NSU46" s="344"/>
      <c r="NSV46" s="344"/>
      <c r="NSW46" s="344"/>
      <c r="NSX46" s="344"/>
      <c r="NSY46" s="344"/>
      <c r="NSZ46" s="344"/>
      <c r="NTA46" s="344"/>
      <c r="NTB46" s="344"/>
      <c r="NTC46" s="344"/>
      <c r="NTD46" s="344"/>
      <c r="NTE46" s="344"/>
      <c r="NTF46" s="344"/>
      <c r="NTG46" s="344"/>
      <c r="NTH46" s="344"/>
      <c r="NTI46" s="344"/>
      <c r="NTJ46" s="344"/>
      <c r="NTK46" s="344"/>
      <c r="NTL46" s="344"/>
      <c r="NTM46" s="344"/>
      <c r="NTN46" s="344"/>
      <c r="NTO46" s="344"/>
      <c r="NTP46" s="344"/>
      <c r="NTQ46" s="344"/>
      <c r="NTR46" s="344"/>
      <c r="NTS46" s="344"/>
      <c r="NTT46" s="344"/>
      <c r="NTU46" s="344"/>
      <c r="NTV46" s="344"/>
      <c r="NTW46" s="344"/>
      <c r="NTX46" s="344"/>
      <c r="NTY46" s="344"/>
      <c r="NTZ46" s="344"/>
      <c r="NUA46" s="344"/>
      <c r="NUB46" s="344"/>
      <c r="NUC46" s="344"/>
      <c r="NUD46" s="344"/>
      <c r="NUE46" s="344"/>
      <c r="NUF46" s="344"/>
      <c r="NUG46" s="344"/>
      <c r="NUH46" s="344"/>
      <c r="NUI46" s="344"/>
      <c r="NUJ46" s="344"/>
      <c r="NUK46" s="344"/>
      <c r="NUL46" s="344"/>
      <c r="NUM46" s="344"/>
      <c r="NUN46" s="344"/>
      <c r="NUO46" s="344"/>
      <c r="NUP46" s="344"/>
      <c r="NUQ46" s="344"/>
      <c r="NUR46" s="344"/>
      <c r="NUS46" s="344"/>
      <c r="NUT46" s="344"/>
      <c r="NUU46" s="344"/>
      <c r="NUV46" s="344"/>
      <c r="NUW46" s="344"/>
      <c r="NUX46" s="344"/>
      <c r="NUY46" s="344"/>
      <c r="NUZ46" s="344"/>
      <c r="NVA46" s="344"/>
      <c r="NVB46" s="344"/>
      <c r="NVC46" s="344"/>
      <c r="NVD46" s="344"/>
      <c r="NVE46" s="344"/>
      <c r="NVF46" s="344"/>
      <c r="NVG46" s="344"/>
      <c r="NVH46" s="344"/>
      <c r="NVI46" s="344"/>
      <c r="NVJ46" s="344"/>
      <c r="NVK46" s="344"/>
      <c r="NVL46" s="344"/>
      <c r="NVM46" s="344"/>
      <c r="NVN46" s="344"/>
      <c r="NVO46" s="344"/>
      <c r="NVP46" s="344"/>
      <c r="NVQ46" s="344"/>
      <c r="NVR46" s="344"/>
      <c r="NVS46" s="344"/>
      <c r="NVT46" s="344"/>
      <c r="NVU46" s="344"/>
      <c r="NVV46" s="344"/>
      <c r="NVW46" s="344"/>
      <c r="NVX46" s="344"/>
      <c r="NVY46" s="344"/>
      <c r="NVZ46" s="344"/>
      <c r="NWA46" s="344"/>
      <c r="NWB46" s="344"/>
      <c r="NWC46" s="344"/>
      <c r="NWD46" s="344"/>
      <c r="NWE46" s="344"/>
      <c r="NWF46" s="344"/>
      <c r="NWG46" s="344"/>
      <c r="NWH46" s="344"/>
      <c r="NWI46" s="344"/>
      <c r="NWJ46" s="344"/>
      <c r="NWK46" s="344"/>
      <c r="NWL46" s="344"/>
      <c r="NWM46" s="344"/>
      <c r="NWN46" s="344"/>
      <c r="NWO46" s="344"/>
      <c r="NWP46" s="344"/>
      <c r="NWQ46" s="344"/>
      <c r="NWR46" s="344"/>
      <c r="NWS46" s="344"/>
      <c r="NWT46" s="344"/>
      <c r="NWU46" s="344"/>
      <c r="NWV46" s="344"/>
      <c r="NWW46" s="344"/>
      <c r="NWX46" s="344"/>
      <c r="NWY46" s="344"/>
      <c r="NWZ46" s="344"/>
      <c r="NXA46" s="344"/>
      <c r="NXB46" s="344"/>
      <c r="NXC46" s="344"/>
      <c r="NXD46" s="344"/>
      <c r="NXE46" s="344"/>
      <c r="NXF46" s="344"/>
      <c r="NXG46" s="344"/>
      <c r="NXH46" s="344"/>
      <c r="NXI46" s="344"/>
      <c r="NXJ46" s="344"/>
      <c r="NXK46" s="344"/>
      <c r="NXL46" s="344"/>
      <c r="NXM46" s="344"/>
      <c r="NXN46" s="344"/>
      <c r="NXO46" s="344"/>
      <c r="NXP46" s="344"/>
      <c r="NXQ46" s="344"/>
      <c r="NXR46" s="344"/>
      <c r="NXS46" s="344"/>
      <c r="NXT46" s="344"/>
      <c r="NXU46" s="344"/>
      <c r="NXV46" s="344"/>
      <c r="NXW46" s="344"/>
      <c r="NXX46" s="344"/>
      <c r="NXY46" s="344"/>
      <c r="NXZ46" s="344"/>
      <c r="NYA46" s="344"/>
      <c r="NYB46" s="344"/>
      <c r="NYC46" s="344"/>
      <c r="NYD46" s="344"/>
      <c r="NYE46" s="344"/>
      <c r="NYF46" s="344"/>
      <c r="NYG46" s="344"/>
      <c r="NYH46" s="344"/>
      <c r="NYI46" s="344"/>
      <c r="NYJ46" s="344"/>
      <c r="NYK46" s="344"/>
      <c r="NYL46" s="344"/>
      <c r="NYM46" s="344"/>
      <c r="NYN46" s="344"/>
      <c r="NYO46" s="344"/>
      <c r="NYP46" s="344"/>
      <c r="NYQ46" s="344"/>
      <c r="NYR46" s="344"/>
      <c r="NYS46" s="344"/>
      <c r="NYT46" s="344"/>
      <c r="NYU46" s="344"/>
      <c r="NYV46" s="344"/>
      <c r="NYW46" s="344"/>
      <c r="NYX46" s="344"/>
      <c r="NYY46" s="344"/>
      <c r="NYZ46" s="344"/>
      <c r="NZA46" s="344"/>
      <c r="NZB46" s="344"/>
      <c r="NZC46" s="344"/>
      <c r="NZD46" s="344"/>
      <c r="NZE46" s="344"/>
      <c r="NZF46" s="344"/>
      <c r="NZG46" s="344"/>
      <c r="NZH46" s="344"/>
      <c r="NZI46" s="344"/>
      <c r="NZJ46" s="344"/>
      <c r="NZK46" s="344"/>
      <c r="NZL46" s="344"/>
      <c r="NZM46" s="344"/>
      <c r="NZN46" s="344"/>
      <c r="NZO46" s="344"/>
      <c r="NZP46" s="344"/>
      <c r="NZQ46" s="344"/>
      <c r="NZR46" s="344"/>
      <c r="NZS46" s="344"/>
      <c r="NZT46" s="344"/>
      <c r="NZU46" s="344"/>
      <c r="NZV46" s="344"/>
      <c r="NZW46" s="344"/>
      <c r="NZX46" s="344"/>
      <c r="NZY46" s="344"/>
      <c r="NZZ46" s="344"/>
      <c r="OAA46" s="344"/>
      <c r="OAB46" s="344"/>
      <c r="OAC46" s="344"/>
      <c r="OAD46" s="344"/>
      <c r="OAE46" s="344"/>
      <c r="OAF46" s="344"/>
      <c r="OAG46" s="344"/>
      <c r="OAH46" s="344"/>
      <c r="OAI46" s="344"/>
      <c r="OAJ46" s="344"/>
      <c r="OAK46" s="344"/>
      <c r="OAL46" s="344"/>
      <c r="OAM46" s="344"/>
      <c r="OAN46" s="344"/>
      <c r="OAO46" s="344"/>
      <c r="OAP46" s="344"/>
      <c r="OAQ46" s="344"/>
      <c r="OAR46" s="344"/>
      <c r="OAS46" s="344"/>
      <c r="OAT46" s="344"/>
      <c r="OAU46" s="344"/>
      <c r="OAV46" s="344"/>
      <c r="OAW46" s="344"/>
      <c r="OAX46" s="344"/>
      <c r="OAY46" s="344"/>
      <c r="OAZ46" s="344"/>
      <c r="OBA46" s="344"/>
      <c r="OBB46" s="344"/>
      <c r="OBC46" s="344"/>
      <c r="OBD46" s="344"/>
      <c r="OBE46" s="344"/>
      <c r="OBF46" s="344"/>
      <c r="OBG46" s="344"/>
      <c r="OBH46" s="344"/>
      <c r="OBI46" s="344"/>
      <c r="OBJ46" s="344"/>
      <c r="OBK46" s="344"/>
      <c r="OBL46" s="344"/>
      <c r="OBM46" s="344"/>
      <c r="OBN46" s="344"/>
      <c r="OBO46" s="344"/>
      <c r="OBP46" s="344"/>
      <c r="OBQ46" s="344"/>
      <c r="OBR46" s="344"/>
      <c r="OBS46" s="344"/>
      <c r="OBT46" s="344"/>
      <c r="OBU46" s="344"/>
      <c r="OBV46" s="344"/>
      <c r="OBW46" s="344"/>
      <c r="OBX46" s="344"/>
      <c r="OBY46" s="344"/>
      <c r="OBZ46" s="344"/>
      <c r="OCA46" s="344"/>
      <c r="OCB46" s="344"/>
      <c r="OCC46" s="344"/>
      <c r="OCD46" s="344"/>
      <c r="OCE46" s="344"/>
      <c r="OCF46" s="344"/>
      <c r="OCG46" s="344"/>
      <c r="OCH46" s="344"/>
      <c r="OCI46" s="344"/>
      <c r="OCJ46" s="344"/>
      <c r="OCK46" s="344"/>
      <c r="OCL46" s="344"/>
      <c r="OCM46" s="344"/>
      <c r="OCN46" s="344"/>
      <c r="OCO46" s="344"/>
      <c r="OCP46" s="344"/>
      <c r="OCQ46" s="344"/>
      <c r="OCR46" s="344"/>
      <c r="OCS46" s="344"/>
      <c r="OCT46" s="344"/>
      <c r="OCU46" s="344"/>
      <c r="OCV46" s="344"/>
      <c r="OCW46" s="344"/>
      <c r="OCX46" s="344"/>
      <c r="OCY46" s="344"/>
      <c r="OCZ46" s="344"/>
      <c r="ODA46" s="344"/>
      <c r="ODB46" s="344"/>
      <c r="ODC46" s="344"/>
      <c r="ODD46" s="344"/>
      <c r="ODE46" s="344"/>
      <c r="ODF46" s="344"/>
      <c r="ODG46" s="344"/>
      <c r="ODH46" s="344"/>
      <c r="ODI46" s="344"/>
      <c r="ODJ46" s="344"/>
      <c r="ODK46" s="344"/>
      <c r="ODL46" s="344"/>
      <c r="ODM46" s="344"/>
      <c r="ODN46" s="344"/>
      <c r="ODO46" s="344"/>
      <c r="ODP46" s="344"/>
      <c r="ODQ46" s="344"/>
      <c r="ODR46" s="344"/>
      <c r="ODS46" s="344"/>
      <c r="ODT46" s="344"/>
      <c r="ODU46" s="344"/>
      <c r="ODV46" s="344"/>
      <c r="ODW46" s="344"/>
      <c r="ODX46" s="344"/>
      <c r="ODY46" s="344"/>
      <c r="ODZ46" s="344"/>
      <c r="OEA46" s="344"/>
      <c r="OEB46" s="344"/>
      <c r="OEC46" s="344"/>
      <c r="OED46" s="344"/>
      <c r="OEE46" s="344"/>
      <c r="OEF46" s="344"/>
      <c r="OEG46" s="344"/>
      <c r="OEH46" s="344"/>
      <c r="OEI46" s="344"/>
      <c r="OEJ46" s="344"/>
      <c r="OEK46" s="344"/>
      <c r="OEL46" s="344"/>
      <c r="OEM46" s="344"/>
      <c r="OEN46" s="344"/>
      <c r="OEO46" s="344"/>
      <c r="OEP46" s="344"/>
      <c r="OEQ46" s="344"/>
      <c r="OER46" s="344"/>
      <c r="OES46" s="344"/>
      <c r="OET46" s="344"/>
      <c r="OEU46" s="344"/>
      <c r="OEV46" s="344"/>
      <c r="OEW46" s="344"/>
      <c r="OEX46" s="344"/>
      <c r="OEY46" s="344"/>
      <c r="OEZ46" s="344"/>
      <c r="OFA46" s="344"/>
      <c r="OFB46" s="344"/>
      <c r="OFC46" s="344"/>
      <c r="OFD46" s="344"/>
      <c r="OFE46" s="344"/>
      <c r="OFF46" s="344"/>
      <c r="OFG46" s="344"/>
      <c r="OFH46" s="344"/>
      <c r="OFI46" s="344"/>
      <c r="OFJ46" s="344"/>
      <c r="OFK46" s="344"/>
      <c r="OFL46" s="344"/>
      <c r="OFM46" s="344"/>
      <c r="OFN46" s="344"/>
      <c r="OFO46" s="344"/>
      <c r="OFP46" s="344"/>
      <c r="OFQ46" s="344"/>
      <c r="OFR46" s="344"/>
      <c r="OFS46" s="344"/>
      <c r="OFT46" s="344"/>
      <c r="OFU46" s="344"/>
      <c r="OFV46" s="344"/>
      <c r="OFW46" s="344"/>
      <c r="OFX46" s="344"/>
      <c r="OFY46" s="344"/>
      <c r="OFZ46" s="344"/>
      <c r="OGA46" s="344"/>
      <c r="OGB46" s="344"/>
      <c r="OGC46" s="344"/>
      <c r="OGD46" s="344"/>
      <c r="OGE46" s="344"/>
      <c r="OGF46" s="344"/>
      <c r="OGG46" s="344"/>
      <c r="OGH46" s="344"/>
      <c r="OGI46" s="344"/>
      <c r="OGJ46" s="344"/>
      <c r="OGK46" s="344"/>
      <c r="OGL46" s="344"/>
      <c r="OGM46" s="344"/>
      <c r="OGN46" s="344"/>
      <c r="OGO46" s="344"/>
      <c r="OGP46" s="344"/>
      <c r="OGQ46" s="344"/>
      <c r="OGR46" s="344"/>
      <c r="OGS46" s="344"/>
      <c r="OGT46" s="344"/>
      <c r="OGU46" s="344"/>
      <c r="OGV46" s="344"/>
      <c r="OGW46" s="344"/>
      <c r="OGX46" s="344"/>
      <c r="OGY46" s="344"/>
      <c r="OGZ46" s="344"/>
      <c r="OHA46" s="344"/>
      <c r="OHB46" s="344"/>
      <c r="OHC46" s="344"/>
      <c r="OHD46" s="344"/>
      <c r="OHE46" s="344"/>
      <c r="OHF46" s="344"/>
      <c r="OHG46" s="344"/>
      <c r="OHH46" s="344"/>
      <c r="OHI46" s="344"/>
      <c r="OHJ46" s="344"/>
      <c r="OHK46" s="344"/>
      <c r="OHL46" s="344"/>
      <c r="OHM46" s="344"/>
      <c r="OHN46" s="344"/>
      <c r="OHO46" s="344"/>
      <c r="OHP46" s="344"/>
      <c r="OHQ46" s="344"/>
      <c r="OHR46" s="344"/>
      <c r="OHS46" s="344"/>
      <c r="OHT46" s="344"/>
      <c r="OHU46" s="344"/>
      <c r="OHV46" s="344"/>
      <c r="OHW46" s="344"/>
      <c r="OHX46" s="344"/>
      <c r="OHY46" s="344"/>
      <c r="OHZ46" s="344"/>
      <c r="OIA46" s="344"/>
      <c r="OIB46" s="344"/>
      <c r="OIC46" s="344"/>
      <c r="OID46" s="344"/>
      <c r="OIE46" s="344"/>
      <c r="OIF46" s="344"/>
      <c r="OIG46" s="344"/>
      <c r="OIH46" s="344"/>
      <c r="OII46" s="344"/>
      <c r="OIJ46" s="344"/>
      <c r="OIK46" s="344"/>
      <c r="OIL46" s="344"/>
      <c r="OIM46" s="344"/>
      <c r="OIN46" s="344"/>
      <c r="OIO46" s="344"/>
      <c r="OIP46" s="344"/>
      <c r="OIQ46" s="344"/>
      <c r="OIR46" s="344"/>
      <c r="OIS46" s="344"/>
      <c r="OIT46" s="344"/>
      <c r="OIU46" s="344"/>
      <c r="OIV46" s="344"/>
      <c r="OIW46" s="344"/>
      <c r="OIX46" s="344"/>
      <c r="OIY46" s="344"/>
      <c r="OIZ46" s="344"/>
      <c r="OJA46" s="344"/>
      <c r="OJB46" s="344"/>
      <c r="OJC46" s="344"/>
      <c r="OJD46" s="344"/>
      <c r="OJE46" s="344"/>
      <c r="OJF46" s="344"/>
      <c r="OJG46" s="344"/>
      <c r="OJH46" s="344"/>
      <c r="OJI46" s="344"/>
      <c r="OJJ46" s="344"/>
      <c r="OJK46" s="344"/>
      <c r="OJL46" s="344"/>
      <c r="OJM46" s="344"/>
      <c r="OJN46" s="344"/>
      <c r="OJO46" s="344"/>
      <c r="OJP46" s="344"/>
      <c r="OJQ46" s="344"/>
      <c r="OJR46" s="344"/>
      <c r="OJS46" s="344"/>
      <c r="OJT46" s="344"/>
      <c r="OJU46" s="344"/>
      <c r="OJV46" s="344"/>
      <c r="OJW46" s="344"/>
      <c r="OJX46" s="344"/>
      <c r="OJY46" s="344"/>
      <c r="OJZ46" s="344"/>
      <c r="OKA46" s="344"/>
      <c r="OKB46" s="344"/>
      <c r="OKC46" s="344"/>
      <c r="OKD46" s="344"/>
      <c r="OKE46" s="344"/>
      <c r="OKF46" s="344"/>
      <c r="OKG46" s="344"/>
      <c r="OKH46" s="344"/>
      <c r="OKI46" s="344"/>
      <c r="OKJ46" s="344"/>
      <c r="OKK46" s="344"/>
      <c r="OKL46" s="344"/>
      <c r="OKM46" s="344"/>
      <c r="OKN46" s="344"/>
      <c r="OKO46" s="344"/>
      <c r="OKP46" s="344"/>
      <c r="OKQ46" s="344"/>
      <c r="OKR46" s="344"/>
      <c r="OKS46" s="344"/>
      <c r="OKT46" s="344"/>
      <c r="OKU46" s="344"/>
      <c r="OKV46" s="344"/>
      <c r="OKW46" s="344"/>
      <c r="OKX46" s="344"/>
      <c r="OKY46" s="344"/>
      <c r="OKZ46" s="344"/>
      <c r="OLA46" s="344"/>
      <c r="OLB46" s="344"/>
      <c r="OLC46" s="344"/>
      <c r="OLD46" s="344"/>
      <c r="OLE46" s="344"/>
      <c r="OLF46" s="344"/>
      <c r="OLG46" s="344"/>
      <c r="OLH46" s="344"/>
      <c r="OLI46" s="344"/>
      <c r="OLJ46" s="344"/>
      <c r="OLK46" s="344"/>
      <c r="OLL46" s="344"/>
      <c r="OLM46" s="344"/>
      <c r="OLN46" s="344"/>
      <c r="OLO46" s="344"/>
      <c r="OLP46" s="344"/>
      <c r="OLQ46" s="344"/>
      <c r="OLR46" s="344"/>
      <c r="OLS46" s="344"/>
      <c r="OLT46" s="344"/>
      <c r="OLU46" s="344"/>
      <c r="OLV46" s="344"/>
      <c r="OLW46" s="344"/>
      <c r="OLX46" s="344"/>
      <c r="OLY46" s="344"/>
      <c r="OLZ46" s="344"/>
      <c r="OMA46" s="344"/>
      <c r="OMB46" s="344"/>
      <c r="OMC46" s="344"/>
      <c r="OMD46" s="344"/>
      <c r="OME46" s="344"/>
      <c r="OMF46" s="344"/>
      <c r="OMG46" s="344"/>
      <c r="OMH46" s="344"/>
      <c r="OMI46" s="344"/>
      <c r="OMJ46" s="344"/>
      <c r="OMK46" s="344"/>
      <c r="OML46" s="344"/>
      <c r="OMM46" s="344"/>
      <c r="OMN46" s="344"/>
      <c r="OMO46" s="344"/>
      <c r="OMP46" s="344"/>
      <c r="OMQ46" s="344"/>
      <c r="OMR46" s="344"/>
      <c r="OMS46" s="344"/>
      <c r="OMT46" s="344"/>
      <c r="OMU46" s="344"/>
      <c r="OMV46" s="344"/>
      <c r="OMW46" s="344"/>
      <c r="OMX46" s="344"/>
      <c r="OMY46" s="344"/>
      <c r="OMZ46" s="344"/>
      <c r="ONA46" s="344"/>
      <c r="ONB46" s="344"/>
      <c r="ONC46" s="344"/>
      <c r="OND46" s="344"/>
      <c r="ONE46" s="344"/>
      <c r="ONF46" s="344"/>
      <c r="ONG46" s="344"/>
      <c r="ONH46" s="344"/>
      <c r="ONI46" s="344"/>
      <c r="ONJ46" s="344"/>
      <c r="ONK46" s="344"/>
      <c r="ONL46" s="344"/>
      <c r="ONM46" s="344"/>
      <c r="ONN46" s="344"/>
      <c r="ONO46" s="344"/>
      <c r="ONP46" s="344"/>
      <c r="ONQ46" s="344"/>
      <c r="ONR46" s="344"/>
      <c r="ONS46" s="344"/>
      <c r="ONT46" s="344"/>
      <c r="ONU46" s="344"/>
      <c r="ONV46" s="344"/>
      <c r="ONW46" s="344"/>
      <c r="ONX46" s="344"/>
      <c r="ONY46" s="344"/>
      <c r="ONZ46" s="344"/>
      <c r="OOA46" s="344"/>
      <c r="OOB46" s="344"/>
      <c r="OOC46" s="344"/>
      <c r="OOD46" s="344"/>
      <c r="OOE46" s="344"/>
      <c r="OOF46" s="344"/>
      <c r="OOG46" s="344"/>
      <c r="OOH46" s="344"/>
      <c r="OOI46" s="344"/>
      <c r="OOJ46" s="344"/>
      <c r="OOK46" s="344"/>
      <c r="OOL46" s="344"/>
      <c r="OOM46" s="344"/>
      <c r="OON46" s="344"/>
      <c r="OOO46" s="344"/>
      <c r="OOP46" s="344"/>
      <c r="OOQ46" s="344"/>
      <c r="OOR46" s="344"/>
      <c r="OOS46" s="344"/>
      <c r="OOT46" s="344"/>
      <c r="OOU46" s="344"/>
      <c r="OOV46" s="344"/>
      <c r="OOW46" s="344"/>
      <c r="OOX46" s="344"/>
      <c r="OOY46" s="344"/>
      <c r="OOZ46" s="344"/>
      <c r="OPA46" s="344"/>
      <c r="OPB46" s="344"/>
      <c r="OPC46" s="344"/>
      <c r="OPD46" s="344"/>
      <c r="OPE46" s="344"/>
      <c r="OPF46" s="344"/>
      <c r="OPG46" s="344"/>
      <c r="OPH46" s="344"/>
      <c r="OPI46" s="344"/>
      <c r="OPJ46" s="344"/>
      <c r="OPK46" s="344"/>
      <c r="OPL46" s="344"/>
      <c r="OPM46" s="344"/>
      <c r="OPN46" s="344"/>
      <c r="OPO46" s="344"/>
      <c r="OPP46" s="344"/>
      <c r="OPQ46" s="344"/>
      <c r="OPR46" s="344"/>
      <c r="OPS46" s="344"/>
      <c r="OPT46" s="344"/>
      <c r="OPU46" s="344"/>
      <c r="OPV46" s="344"/>
      <c r="OPW46" s="344"/>
      <c r="OPX46" s="344"/>
      <c r="OPY46" s="344"/>
      <c r="OPZ46" s="344"/>
      <c r="OQA46" s="344"/>
      <c r="OQB46" s="344"/>
      <c r="OQC46" s="344"/>
      <c r="OQD46" s="344"/>
      <c r="OQE46" s="344"/>
      <c r="OQF46" s="344"/>
      <c r="OQG46" s="344"/>
      <c r="OQH46" s="344"/>
      <c r="OQI46" s="344"/>
      <c r="OQJ46" s="344"/>
      <c r="OQK46" s="344"/>
      <c r="OQL46" s="344"/>
      <c r="OQM46" s="344"/>
      <c r="OQN46" s="344"/>
      <c r="OQO46" s="344"/>
      <c r="OQP46" s="344"/>
      <c r="OQQ46" s="344"/>
      <c r="OQR46" s="344"/>
      <c r="OQS46" s="344"/>
      <c r="OQT46" s="344"/>
      <c r="OQU46" s="344"/>
      <c r="OQV46" s="344"/>
      <c r="OQW46" s="344"/>
      <c r="OQX46" s="344"/>
      <c r="OQY46" s="344"/>
      <c r="OQZ46" s="344"/>
      <c r="ORA46" s="344"/>
      <c r="ORB46" s="344"/>
      <c r="ORC46" s="344"/>
      <c r="ORD46" s="344"/>
      <c r="ORE46" s="344"/>
      <c r="ORF46" s="344"/>
      <c r="ORG46" s="344"/>
      <c r="ORH46" s="344"/>
      <c r="ORI46" s="344"/>
      <c r="ORJ46" s="344"/>
      <c r="ORK46" s="344"/>
      <c r="ORL46" s="344"/>
      <c r="ORM46" s="344"/>
      <c r="ORN46" s="344"/>
      <c r="ORO46" s="344"/>
      <c r="ORP46" s="344"/>
      <c r="ORQ46" s="344"/>
      <c r="ORR46" s="344"/>
      <c r="ORS46" s="344"/>
      <c r="ORT46" s="344"/>
      <c r="ORU46" s="344"/>
      <c r="ORV46" s="344"/>
      <c r="ORW46" s="344"/>
      <c r="ORX46" s="344"/>
      <c r="ORY46" s="344"/>
      <c r="ORZ46" s="344"/>
      <c r="OSA46" s="344"/>
      <c r="OSB46" s="344"/>
      <c r="OSC46" s="344"/>
      <c r="OSD46" s="344"/>
      <c r="OSE46" s="344"/>
      <c r="OSF46" s="344"/>
      <c r="OSG46" s="344"/>
      <c r="OSH46" s="344"/>
      <c r="OSI46" s="344"/>
      <c r="OSJ46" s="344"/>
      <c r="OSK46" s="344"/>
      <c r="OSL46" s="344"/>
      <c r="OSM46" s="344"/>
      <c r="OSN46" s="344"/>
      <c r="OSO46" s="344"/>
      <c r="OSP46" s="344"/>
      <c r="OSQ46" s="344"/>
      <c r="OSR46" s="344"/>
      <c r="OSS46" s="344"/>
      <c r="OST46" s="344"/>
      <c r="OSU46" s="344"/>
      <c r="OSV46" s="344"/>
      <c r="OSW46" s="344"/>
      <c r="OSX46" s="344"/>
      <c r="OSY46" s="344"/>
      <c r="OSZ46" s="344"/>
      <c r="OTA46" s="344"/>
      <c r="OTB46" s="344"/>
      <c r="OTC46" s="344"/>
      <c r="OTD46" s="344"/>
      <c r="OTE46" s="344"/>
      <c r="OTF46" s="344"/>
      <c r="OTG46" s="344"/>
      <c r="OTH46" s="344"/>
      <c r="OTI46" s="344"/>
      <c r="OTJ46" s="344"/>
      <c r="OTK46" s="344"/>
      <c r="OTL46" s="344"/>
      <c r="OTM46" s="344"/>
      <c r="OTN46" s="344"/>
      <c r="OTO46" s="344"/>
      <c r="OTP46" s="344"/>
      <c r="OTQ46" s="344"/>
      <c r="OTR46" s="344"/>
      <c r="OTS46" s="344"/>
      <c r="OTT46" s="344"/>
      <c r="OTU46" s="344"/>
      <c r="OTV46" s="344"/>
      <c r="OTW46" s="344"/>
      <c r="OTX46" s="344"/>
      <c r="OTY46" s="344"/>
      <c r="OTZ46" s="344"/>
      <c r="OUA46" s="344"/>
      <c r="OUB46" s="344"/>
      <c r="OUC46" s="344"/>
      <c r="OUD46" s="344"/>
      <c r="OUE46" s="344"/>
      <c r="OUF46" s="344"/>
      <c r="OUG46" s="344"/>
      <c r="OUH46" s="344"/>
      <c r="OUI46" s="344"/>
      <c r="OUJ46" s="344"/>
      <c r="OUK46" s="344"/>
      <c r="OUL46" s="344"/>
      <c r="OUM46" s="344"/>
      <c r="OUN46" s="344"/>
      <c r="OUO46" s="344"/>
      <c r="OUP46" s="344"/>
      <c r="OUQ46" s="344"/>
      <c r="OUR46" s="344"/>
      <c r="OUS46" s="344"/>
      <c r="OUT46" s="344"/>
      <c r="OUU46" s="344"/>
      <c r="OUV46" s="344"/>
      <c r="OUW46" s="344"/>
      <c r="OUX46" s="344"/>
      <c r="OUY46" s="344"/>
      <c r="OUZ46" s="344"/>
      <c r="OVA46" s="344"/>
      <c r="OVB46" s="344"/>
      <c r="OVC46" s="344"/>
      <c r="OVD46" s="344"/>
      <c r="OVE46" s="344"/>
      <c r="OVF46" s="344"/>
      <c r="OVG46" s="344"/>
      <c r="OVH46" s="344"/>
      <c r="OVI46" s="344"/>
      <c r="OVJ46" s="344"/>
      <c r="OVK46" s="344"/>
      <c r="OVL46" s="344"/>
      <c r="OVM46" s="344"/>
      <c r="OVN46" s="344"/>
      <c r="OVO46" s="344"/>
      <c r="OVP46" s="344"/>
      <c r="OVQ46" s="344"/>
      <c r="OVR46" s="344"/>
      <c r="OVS46" s="344"/>
      <c r="OVT46" s="344"/>
      <c r="OVU46" s="344"/>
      <c r="OVV46" s="344"/>
      <c r="OVW46" s="344"/>
      <c r="OVX46" s="344"/>
      <c r="OVY46" s="344"/>
      <c r="OVZ46" s="344"/>
      <c r="OWA46" s="344"/>
      <c r="OWB46" s="344"/>
      <c r="OWC46" s="344"/>
      <c r="OWD46" s="344"/>
      <c r="OWE46" s="344"/>
      <c r="OWF46" s="344"/>
      <c r="OWG46" s="344"/>
      <c r="OWH46" s="344"/>
      <c r="OWI46" s="344"/>
      <c r="OWJ46" s="344"/>
      <c r="OWK46" s="344"/>
      <c r="OWL46" s="344"/>
      <c r="OWM46" s="344"/>
      <c r="OWN46" s="344"/>
      <c r="OWO46" s="344"/>
      <c r="OWP46" s="344"/>
      <c r="OWQ46" s="344"/>
      <c r="OWR46" s="344"/>
      <c r="OWS46" s="344"/>
      <c r="OWT46" s="344"/>
      <c r="OWU46" s="344"/>
      <c r="OWV46" s="344"/>
      <c r="OWW46" s="344"/>
      <c r="OWX46" s="344"/>
      <c r="OWY46" s="344"/>
      <c r="OWZ46" s="344"/>
      <c r="OXA46" s="344"/>
      <c r="OXB46" s="344"/>
      <c r="OXC46" s="344"/>
      <c r="OXD46" s="344"/>
      <c r="OXE46" s="344"/>
      <c r="OXF46" s="344"/>
      <c r="OXG46" s="344"/>
      <c r="OXH46" s="344"/>
      <c r="OXI46" s="344"/>
      <c r="OXJ46" s="344"/>
      <c r="OXK46" s="344"/>
      <c r="OXL46" s="344"/>
      <c r="OXM46" s="344"/>
      <c r="OXN46" s="344"/>
      <c r="OXO46" s="344"/>
      <c r="OXP46" s="344"/>
      <c r="OXQ46" s="344"/>
      <c r="OXR46" s="344"/>
      <c r="OXS46" s="344"/>
      <c r="OXT46" s="344"/>
      <c r="OXU46" s="344"/>
      <c r="OXV46" s="344"/>
      <c r="OXW46" s="344"/>
      <c r="OXX46" s="344"/>
      <c r="OXY46" s="344"/>
      <c r="OXZ46" s="344"/>
      <c r="OYA46" s="344"/>
      <c r="OYB46" s="344"/>
      <c r="OYC46" s="344"/>
      <c r="OYD46" s="344"/>
      <c r="OYE46" s="344"/>
      <c r="OYF46" s="344"/>
      <c r="OYG46" s="344"/>
      <c r="OYH46" s="344"/>
      <c r="OYI46" s="344"/>
      <c r="OYJ46" s="344"/>
      <c r="OYK46" s="344"/>
      <c r="OYL46" s="344"/>
      <c r="OYM46" s="344"/>
      <c r="OYN46" s="344"/>
      <c r="OYO46" s="344"/>
      <c r="OYP46" s="344"/>
      <c r="OYQ46" s="344"/>
      <c r="OYR46" s="344"/>
      <c r="OYS46" s="344"/>
      <c r="OYT46" s="344"/>
      <c r="OYU46" s="344"/>
      <c r="OYV46" s="344"/>
      <c r="OYW46" s="344"/>
      <c r="OYX46" s="344"/>
      <c r="OYY46" s="344"/>
      <c r="OYZ46" s="344"/>
      <c r="OZA46" s="344"/>
      <c r="OZB46" s="344"/>
      <c r="OZC46" s="344"/>
      <c r="OZD46" s="344"/>
      <c r="OZE46" s="344"/>
      <c r="OZF46" s="344"/>
      <c r="OZG46" s="344"/>
      <c r="OZH46" s="344"/>
      <c r="OZI46" s="344"/>
      <c r="OZJ46" s="344"/>
      <c r="OZK46" s="344"/>
      <c r="OZL46" s="344"/>
      <c r="OZM46" s="344"/>
      <c r="OZN46" s="344"/>
      <c r="OZO46" s="344"/>
      <c r="OZP46" s="344"/>
      <c r="OZQ46" s="344"/>
      <c r="OZR46" s="344"/>
      <c r="OZS46" s="344"/>
      <c r="OZT46" s="344"/>
      <c r="OZU46" s="344"/>
      <c r="OZV46" s="344"/>
      <c r="OZW46" s="344"/>
      <c r="OZX46" s="344"/>
      <c r="OZY46" s="344"/>
      <c r="OZZ46" s="344"/>
      <c r="PAA46" s="344"/>
      <c r="PAB46" s="344"/>
      <c r="PAC46" s="344"/>
      <c r="PAD46" s="344"/>
      <c r="PAE46" s="344"/>
      <c r="PAF46" s="344"/>
      <c r="PAG46" s="344"/>
      <c r="PAH46" s="344"/>
      <c r="PAI46" s="344"/>
      <c r="PAJ46" s="344"/>
      <c r="PAK46" s="344"/>
      <c r="PAL46" s="344"/>
      <c r="PAM46" s="344"/>
      <c r="PAN46" s="344"/>
      <c r="PAO46" s="344"/>
      <c r="PAP46" s="344"/>
      <c r="PAQ46" s="344"/>
      <c r="PAR46" s="344"/>
      <c r="PAS46" s="344"/>
      <c r="PAT46" s="344"/>
      <c r="PAU46" s="344"/>
      <c r="PAV46" s="344"/>
      <c r="PAW46" s="344"/>
      <c r="PAX46" s="344"/>
      <c r="PAY46" s="344"/>
      <c r="PAZ46" s="344"/>
      <c r="PBA46" s="344"/>
      <c r="PBB46" s="344"/>
      <c r="PBC46" s="344"/>
      <c r="PBD46" s="344"/>
      <c r="PBE46" s="344"/>
      <c r="PBF46" s="344"/>
      <c r="PBG46" s="344"/>
      <c r="PBH46" s="344"/>
      <c r="PBI46" s="344"/>
      <c r="PBJ46" s="344"/>
      <c r="PBK46" s="344"/>
      <c r="PBL46" s="344"/>
      <c r="PBM46" s="344"/>
      <c r="PBN46" s="344"/>
      <c r="PBO46" s="344"/>
      <c r="PBP46" s="344"/>
      <c r="PBQ46" s="344"/>
      <c r="PBR46" s="344"/>
      <c r="PBS46" s="344"/>
      <c r="PBT46" s="344"/>
      <c r="PBU46" s="344"/>
      <c r="PBV46" s="344"/>
      <c r="PBW46" s="344"/>
      <c r="PBX46" s="344"/>
      <c r="PBY46" s="344"/>
      <c r="PBZ46" s="344"/>
      <c r="PCA46" s="344"/>
      <c r="PCB46" s="344"/>
      <c r="PCC46" s="344"/>
      <c r="PCD46" s="344"/>
      <c r="PCE46" s="344"/>
      <c r="PCF46" s="344"/>
      <c r="PCG46" s="344"/>
      <c r="PCH46" s="344"/>
      <c r="PCI46" s="344"/>
      <c r="PCJ46" s="344"/>
      <c r="PCK46" s="344"/>
      <c r="PCL46" s="344"/>
      <c r="PCM46" s="344"/>
      <c r="PCN46" s="344"/>
      <c r="PCO46" s="344"/>
      <c r="PCP46" s="344"/>
      <c r="PCQ46" s="344"/>
      <c r="PCR46" s="344"/>
      <c r="PCS46" s="344"/>
      <c r="PCT46" s="344"/>
      <c r="PCU46" s="344"/>
      <c r="PCV46" s="344"/>
      <c r="PCW46" s="344"/>
      <c r="PCX46" s="344"/>
      <c r="PCY46" s="344"/>
      <c r="PCZ46" s="344"/>
      <c r="PDA46" s="344"/>
      <c r="PDB46" s="344"/>
      <c r="PDC46" s="344"/>
      <c r="PDD46" s="344"/>
      <c r="PDE46" s="344"/>
      <c r="PDF46" s="344"/>
      <c r="PDG46" s="344"/>
      <c r="PDH46" s="344"/>
      <c r="PDI46" s="344"/>
      <c r="PDJ46" s="344"/>
      <c r="PDK46" s="344"/>
      <c r="PDL46" s="344"/>
      <c r="PDM46" s="344"/>
      <c r="PDN46" s="344"/>
      <c r="PDO46" s="344"/>
      <c r="PDP46" s="344"/>
      <c r="PDQ46" s="344"/>
      <c r="PDR46" s="344"/>
      <c r="PDS46" s="344"/>
      <c r="PDT46" s="344"/>
      <c r="PDU46" s="344"/>
      <c r="PDV46" s="344"/>
      <c r="PDW46" s="344"/>
      <c r="PDX46" s="344"/>
      <c r="PDY46" s="344"/>
      <c r="PDZ46" s="344"/>
      <c r="PEA46" s="344"/>
      <c r="PEB46" s="344"/>
      <c r="PEC46" s="344"/>
      <c r="PED46" s="344"/>
      <c r="PEE46" s="344"/>
      <c r="PEF46" s="344"/>
      <c r="PEG46" s="344"/>
      <c r="PEH46" s="344"/>
      <c r="PEI46" s="344"/>
      <c r="PEJ46" s="344"/>
      <c r="PEK46" s="344"/>
      <c r="PEL46" s="344"/>
      <c r="PEM46" s="344"/>
      <c r="PEN46" s="344"/>
      <c r="PEO46" s="344"/>
      <c r="PEP46" s="344"/>
      <c r="PEQ46" s="344"/>
      <c r="PER46" s="344"/>
      <c r="PES46" s="344"/>
      <c r="PET46" s="344"/>
      <c r="PEU46" s="344"/>
      <c r="PEV46" s="344"/>
      <c r="PEW46" s="344"/>
      <c r="PEX46" s="344"/>
      <c r="PEY46" s="344"/>
      <c r="PEZ46" s="344"/>
      <c r="PFA46" s="344"/>
      <c r="PFB46" s="344"/>
      <c r="PFC46" s="344"/>
      <c r="PFD46" s="344"/>
      <c r="PFE46" s="344"/>
      <c r="PFF46" s="344"/>
      <c r="PFG46" s="344"/>
      <c r="PFH46" s="344"/>
      <c r="PFI46" s="344"/>
      <c r="PFJ46" s="344"/>
      <c r="PFK46" s="344"/>
      <c r="PFL46" s="344"/>
      <c r="PFM46" s="344"/>
      <c r="PFN46" s="344"/>
      <c r="PFO46" s="344"/>
      <c r="PFP46" s="344"/>
      <c r="PFQ46" s="344"/>
      <c r="PFR46" s="344"/>
      <c r="PFS46" s="344"/>
      <c r="PFT46" s="344"/>
      <c r="PFU46" s="344"/>
      <c r="PFV46" s="344"/>
      <c r="PFW46" s="344"/>
      <c r="PFX46" s="344"/>
      <c r="PFY46" s="344"/>
      <c r="PFZ46" s="344"/>
      <c r="PGA46" s="344"/>
      <c r="PGB46" s="344"/>
      <c r="PGC46" s="344"/>
      <c r="PGD46" s="344"/>
      <c r="PGE46" s="344"/>
      <c r="PGF46" s="344"/>
      <c r="PGG46" s="344"/>
      <c r="PGH46" s="344"/>
      <c r="PGI46" s="344"/>
      <c r="PGJ46" s="344"/>
      <c r="PGK46" s="344"/>
      <c r="PGL46" s="344"/>
      <c r="PGM46" s="344"/>
      <c r="PGN46" s="344"/>
      <c r="PGO46" s="344"/>
      <c r="PGP46" s="344"/>
      <c r="PGQ46" s="344"/>
      <c r="PGR46" s="344"/>
      <c r="PGS46" s="344"/>
      <c r="PGT46" s="344"/>
      <c r="PGU46" s="344"/>
      <c r="PGV46" s="344"/>
      <c r="PGW46" s="344"/>
      <c r="PGX46" s="344"/>
      <c r="PGY46" s="344"/>
      <c r="PGZ46" s="344"/>
      <c r="PHA46" s="344"/>
      <c r="PHB46" s="344"/>
      <c r="PHC46" s="344"/>
      <c r="PHD46" s="344"/>
      <c r="PHE46" s="344"/>
      <c r="PHF46" s="344"/>
      <c r="PHG46" s="344"/>
      <c r="PHH46" s="344"/>
      <c r="PHI46" s="344"/>
      <c r="PHJ46" s="344"/>
      <c r="PHK46" s="344"/>
      <c r="PHL46" s="344"/>
      <c r="PHM46" s="344"/>
      <c r="PHN46" s="344"/>
      <c r="PHO46" s="344"/>
      <c r="PHP46" s="344"/>
      <c r="PHQ46" s="344"/>
      <c r="PHR46" s="344"/>
      <c r="PHS46" s="344"/>
      <c r="PHT46" s="344"/>
      <c r="PHU46" s="344"/>
      <c r="PHV46" s="344"/>
      <c r="PHW46" s="344"/>
      <c r="PHX46" s="344"/>
      <c r="PHY46" s="344"/>
      <c r="PHZ46" s="344"/>
      <c r="PIA46" s="344"/>
      <c r="PIB46" s="344"/>
      <c r="PIC46" s="344"/>
      <c r="PID46" s="344"/>
      <c r="PIE46" s="344"/>
      <c r="PIF46" s="344"/>
      <c r="PIG46" s="344"/>
      <c r="PIH46" s="344"/>
      <c r="PII46" s="344"/>
      <c r="PIJ46" s="344"/>
      <c r="PIK46" s="344"/>
      <c r="PIL46" s="344"/>
      <c r="PIM46" s="344"/>
      <c r="PIN46" s="344"/>
      <c r="PIO46" s="344"/>
      <c r="PIP46" s="344"/>
      <c r="PIQ46" s="344"/>
      <c r="PIR46" s="344"/>
      <c r="PIS46" s="344"/>
      <c r="PIT46" s="344"/>
      <c r="PIU46" s="344"/>
      <c r="PIV46" s="344"/>
      <c r="PIW46" s="344"/>
      <c r="PIX46" s="344"/>
      <c r="PIY46" s="344"/>
      <c r="PIZ46" s="344"/>
      <c r="PJA46" s="344"/>
      <c r="PJB46" s="344"/>
      <c r="PJC46" s="344"/>
      <c r="PJD46" s="344"/>
      <c r="PJE46" s="344"/>
      <c r="PJF46" s="344"/>
      <c r="PJG46" s="344"/>
      <c r="PJH46" s="344"/>
      <c r="PJI46" s="344"/>
      <c r="PJJ46" s="344"/>
      <c r="PJK46" s="344"/>
      <c r="PJL46" s="344"/>
      <c r="PJM46" s="344"/>
      <c r="PJN46" s="344"/>
      <c r="PJO46" s="344"/>
      <c r="PJP46" s="344"/>
      <c r="PJQ46" s="344"/>
      <c r="PJR46" s="344"/>
      <c r="PJS46" s="344"/>
      <c r="PJT46" s="344"/>
      <c r="PJU46" s="344"/>
      <c r="PJV46" s="344"/>
      <c r="PJW46" s="344"/>
      <c r="PJX46" s="344"/>
      <c r="PJY46" s="344"/>
      <c r="PJZ46" s="344"/>
      <c r="PKA46" s="344"/>
      <c r="PKB46" s="344"/>
      <c r="PKC46" s="344"/>
      <c r="PKD46" s="344"/>
      <c r="PKE46" s="344"/>
      <c r="PKF46" s="344"/>
      <c r="PKG46" s="344"/>
      <c r="PKH46" s="344"/>
      <c r="PKI46" s="344"/>
      <c r="PKJ46" s="344"/>
      <c r="PKK46" s="344"/>
      <c r="PKL46" s="344"/>
      <c r="PKM46" s="344"/>
      <c r="PKN46" s="344"/>
      <c r="PKO46" s="344"/>
      <c r="PKP46" s="344"/>
      <c r="PKQ46" s="344"/>
      <c r="PKR46" s="344"/>
      <c r="PKS46" s="344"/>
      <c r="PKT46" s="344"/>
      <c r="PKU46" s="344"/>
      <c r="PKV46" s="344"/>
      <c r="PKW46" s="344"/>
      <c r="PKX46" s="344"/>
      <c r="PKY46" s="344"/>
      <c r="PKZ46" s="344"/>
      <c r="PLA46" s="344"/>
      <c r="PLB46" s="344"/>
      <c r="PLC46" s="344"/>
      <c r="PLD46" s="344"/>
      <c r="PLE46" s="344"/>
      <c r="PLF46" s="344"/>
      <c r="PLG46" s="344"/>
      <c r="PLH46" s="344"/>
      <c r="PLI46" s="344"/>
      <c r="PLJ46" s="344"/>
      <c r="PLK46" s="344"/>
      <c r="PLL46" s="344"/>
      <c r="PLM46" s="344"/>
      <c r="PLN46" s="344"/>
      <c r="PLO46" s="344"/>
      <c r="PLP46" s="344"/>
      <c r="PLQ46" s="344"/>
      <c r="PLR46" s="344"/>
      <c r="PLS46" s="344"/>
      <c r="PLT46" s="344"/>
      <c r="PLU46" s="344"/>
      <c r="PLV46" s="344"/>
      <c r="PLW46" s="344"/>
      <c r="PLX46" s="344"/>
      <c r="PLY46" s="344"/>
      <c r="PLZ46" s="344"/>
      <c r="PMA46" s="344"/>
      <c r="PMB46" s="344"/>
      <c r="PMC46" s="344"/>
      <c r="PMD46" s="344"/>
      <c r="PME46" s="344"/>
      <c r="PMF46" s="344"/>
      <c r="PMG46" s="344"/>
      <c r="PMH46" s="344"/>
      <c r="PMI46" s="344"/>
      <c r="PMJ46" s="344"/>
      <c r="PMK46" s="344"/>
      <c r="PML46" s="344"/>
      <c r="PMM46" s="344"/>
      <c r="PMN46" s="344"/>
      <c r="PMO46" s="344"/>
      <c r="PMP46" s="344"/>
      <c r="PMQ46" s="344"/>
      <c r="PMR46" s="344"/>
      <c r="PMS46" s="344"/>
      <c r="PMT46" s="344"/>
      <c r="PMU46" s="344"/>
      <c r="PMV46" s="344"/>
      <c r="PMW46" s="344"/>
      <c r="PMX46" s="344"/>
      <c r="PMY46" s="344"/>
      <c r="PMZ46" s="344"/>
      <c r="PNA46" s="344"/>
      <c r="PNB46" s="344"/>
      <c r="PNC46" s="344"/>
      <c r="PND46" s="344"/>
      <c r="PNE46" s="344"/>
      <c r="PNF46" s="344"/>
      <c r="PNG46" s="344"/>
      <c r="PNH46" s="344"/>
      <c r="PNI46" s="344"/>
      <c r="PNJ46" s="344"/>
      <c r="PNK46" s="344"/>
      <c r="PNL46" s="344"/>
      <c r="PNM46" s="344"/>
      <c r="PNN46" s="344"/>
      <c r="PNO46" s="344"/>
      <c r="PNP46" s="344"/>
      <c r="PNQ46" s="344"/>
      <c r="PNR46" s="344"/>
      <c r="PNS46" s="344"/>
      <c r="PNT46" s="344"/>
      <c r="PNU46" s="344"/>
      <c r="PNV46" s="344"/>
      <c r="PNW46" s="344"/>
      <c r="PNX46" s="344"/>
      <c r="PNY46" s="344"/>
      <c r="PNZ46" s="344"/>
      <c r="POA46" s="344"/>
      <c r="POB46" s="344"/>
      <c r="POC46" s="344"/>
      <c r="POD46" s="344"/>
      <c r="POE46" s="344"/>
      <c r="POF46" s="344"/>
      <c r="POG46" s="344"/>
      <c r="POH46" s="344"/>
      <c r="POI46" s="344"/>
      <c r="POJ46" s="344"/>
      <c r="POK46" s="344"/>
      <c r="POL46" s="344"/>
      <c r="POM46" s="344"/>
      <c r="PON46" s="344"/>
      <c r="POO46" s="344"/>
      <c r="POP46" s="344"/>
      <c r="POQ46" s="344"/>
      <c r="POR46" s="344"/>
      <c r="POS46" s="344"/>
      <c r="POT46" s="344"/>
      <c r="POU46" s="344"/>
      <c r="POV46" s="344"/>
      <c r="POW46" s="344"/>
      <c r="POX46" s="344"/>
      <c r="POY46" s="344"/>
      <c r="POZ46" s="344"/>
      <c r="PPA46" s="344"/>
      <c r="PPB46" s="344"/>
      <c r="PPC46" s="344"/>
      <c r="PPD46" s="344"/>
      <c r="PPE46" s="344"/>
      <c r="PPF46" s="344"/>
      <c r="PPG46" s="344"/>
      <c r="PPH46" s="344"/>
      <c r="PPI46" s="344"/>
      <c r="PPJ46" s="344"/>
      <c r="PPK46" s="344"/>
      <c r="PPL46" s="344"/>
      <c r="PPM46" s="344"/>
      <c r="PPN46" s="344"/>
      <c r="PPO46" s="344"/>
      <c r="PPP46" s="344"/>
      <c r="PPQ46" s="344"/>
      <c r="PPR46" s="344"/>
      <c r="PPS46" s="344"/>
      <c r="PPT46" s="344"/>
      <c r="PPU46" s="344"/>
      <c r="PPV46" s="344"/>
      <c r="PPW46" s="344"/>
      <c r="PPX46" s="344"/>
      <c r="PPY46" s="344"/>
      <c r="PPZ46" s="344"/>
      <c r="PQA46" s="344"/>
      <c r="PQB46" s="344"/>
      <c r="PQC46" s="344"/>
      <c r="PQD46" s="344"/>
      <c r="PQE46" s="344"/>
      <c r="PQF46" s="344"/>
      <c r="PQG46" s="344"/>
      <c r="PQH46" s="344"/>
      <c r="PQI46" s="344"/>
      <c r="PQJ46" s="344"/>
      <c r="PQK46" s="344"/>
      <c r="PQL46" s="344"/>
      <c r="PQM46" s="344"/>
      <c r="PQN46" s="344"/>
      <c r="PQO46" s="344"/>
      <c r="PQP46" s="344"/>
      <c r="PQQ46" s="344"/>
      <c r="PQR46" s="344"/>
      <c r="PQS46" s="344"/>
      <c r="PQT46" s="344"/>
      <c r="PQU46" s="344"/>
      <c r="PQV46" s="344"/>
      <c r="PQW46" s="344"/>
      <c r="PQX46" s="344"/>
      <c r="PQY46" s="344"/>
      <c r="PQZ46" s="344"/>
      <c r="PRA46" s="344"/>
      <c r="PRB46" s="344"/>
      <c r="PRC46" s="344"/>
      <c r="PRD46" s="344"/>
      <c r="PRE46" s="344"/>
      <c r="PRF46" s="344"/>
      <c r="PRG46" s="344"/>
      <c r="PRH46" s="344"/>
      <c r="PRI46" s="344"/>
      <c r="PRJ46" s="344"/>
      <c r="PRK46" s="344"/>
      <c r="PRL46" s="344"/>
      <c r="PRM46" s="344"/>
      <c r="PRN46" s="344"/>
      <c r="PRO46" s="344"/>
      <c r="PRP46" s="344"/>
      <c r="PRQ46" s="344"/>
      <c r="PRR46" s="344"/>
      <c r="PRS46" s="344"/>
      <c r="PRT46" s="344"/>
      <c r="PRU46" s="344"/>
      <c r="PRV46" s="344"/>
      <c r="PRW46" s="344"/>
      <c r="PRX46" s="344"/>
      <c r="PRY46" s="344"/>
      <c r="PRZ46" s="344"/>
      <c r="PSA46" s="344"/>
      <c r="PSB46" s="344"/>
      <c r="PSC46" s="344"/>
      <c r="PSD46" s="344"/>
      <c r="PSE46" s="344"/>
      <c r="PSF46" s="344"/>
      <c r="PSG46" s="344"/>
      <c r="PSH46" s="344"/>
      <c r="PSI46" s="344"/>
      <c r="PSJ46" s="344"/>
      <c r="PSK46" s="344"/>
      <c r="PSL46" s="344"/>
      <c r="PSM46" s="344"/>
      <c r="PSN46" s="344"/>
      <c r="PSO46" s="344"/>
      <c r="PSP46" s="344"/>
      <c r="PSQ46" s="344"/>
      <c r="PSR46" s="344"/>
      <c r="PSS46" s="344"/>
      <c r="PST46" s="344"/>
      <c r="PSU46" s="344"/>
      <c r="PSV46" s="344"/>
      <c r="PSW46" s="344"/>
      <c r="PSX46" s="344"/>
      <c r="PSY46" s="344"/>
      <c r="PSZ46" s="344"/>
      <c r="PTA46" s="344"/>
      <c r="PTB46" s="344"/>
      <c r="PTC46" s="344"/>
      <c r="PTD46" s="344"/>
      <c r="PTE46" s="344"/>
      <c r="PTF46" s="344"/>
      <c r="PTG46" s="344"/>
      <c r="PTH46" s="344"/>
      <c r="PTI46" s="344"/>
      <c r="PTJ46" s="344"/>
      <c r="PTK46" s="344"/>
      <c r="PTL46" s="344"/>
      <c r="PTM46" s="344"/>
      <c r="PTN46" s="344"/>
      <c r="PTO46" s="344"/>
      <c r="PTP46" s="344"/>
      <c r="PTQ46" s="344"/>
      <c r="PTR46" s="344"/>
      <c r="PTS46" s="344"/>
      <c r="PTT46" s="344"/>
      <c r="PTU46" s="344"/>
      <c r="PTV46" s="344"/>
      <c r="PTW46" s="344"/>
      <c r="PTX46" s="344"/>
      <c r="PTY46" s="344"/>
      <c r="PTZ46" s="344"/>
      <c r="PUA46" s="344"/>
      <c r="PUB46" s="344"/>
      <c r="PUC46" s="344"/>
      <c r="PUD46" s="344"/>
      <c r="PUE46" s="344"/>
      <c r="PUF46" s="344"/>
      <c r="PUG46" s="344"/>
      <c r="PUH46" s="344"/>
      <c r="PUI46" s="344"/>
      <c r="PUJ46" s="344"/>
      <c r="PUK46" s="344"/>
      <c r="PUL46" s="344"/>
      <c r="PUM46" s="344"/>
      <c r="PUN46" s="344"/>
      <c r="PUO46" s="344"/>
      <c r="PUP46" s="344"/>
      <c r="PUQ46" s="344"/>
      <c r="PUR46" s="344"/>
      <c r="PUS46" s="344"/>
      <c r="PUT46" s="344"/>
      <c r="PUU46" s="344"/>
      <c r="PUV46" s="344"/>
      <c r="PUW46" s="344"/>
      <c r="PUX46" s="344"/>
      <c r="PUY46" s="344"/>
      <c r="PUZ46" s="344"/>
      <c r="PVA46" s="344"/>
      <c r="PVB46" s="344"/>
      <c r="PVC46" s="344"/>
      <c r="PVD46" s="344"/>
      <c r="PVE46" s="344"/>
      <c r="PVF46" s="344"/>
      <c r="PVG46" s="344"/>
      <c r="PVH46" s="344"/>
      <c r="PVI46" s="344"/>
      <c r="PVJ46" s="344"/>
      <c r="PVK46" s="344"/>
      <c r="PVL46" s="344"/>
      <c r="PVM46" s="344"/>
      <c r="PVN46" s="344"/>
      <c r="PVO46" s="344"/>
      <c r="PVP46" s="344"/>
      <c r="PVQ46" s="344"/>
      <c r="PVR46" s="344"/>
      <c r="PVS46" s="344"/>
      <c r="PVT46" s="344"/>
      <c r="PVU46" s="344"/>
      <c r="PVV46" s="344"/>
      <c r="PVW46" s="344"/>
      <c r="PVX46" s="344"/>
      <c r="PVY46" s="344"/>
      <c r="PVZ46" s="344"/>
      <c r="PWA46" s="344"/>
      <c r="PWB46" s="344"/>
      <c r="PWC46" s="344"/>
      <c r="PWD46" s="344"/>
      <c r="PWE46" s="344"/>
      <c r="PWF46" s="344"/>
      <c r="PWG46" s="344"/>
      <c r="PWH46" s="344"/>
      <c r="PWI46" s="344"/>
      <c r="PWJ46" s="344"/>
      <c r="PWK46" s="344"/>
      <c r="PWL46" s="344"/>
      <c r="PWM46" s="344"/>
      <c r="PWN46" s="344"/>
      <c r="PWO46" s="344"/>
      <c r="PWP46" s="344"/>
      <c r="PWQ46" s="344"/>
      <c r="PWR46" s="344"/>
      <c r="PWS46" s="344"/>
      <c r="PWT46" s="344"/>
      <c r="PWU46" s="344"/>
      <c r="PWV46" s="344"/>
      <c r="PWW46" s="344"/>
      <c r="PWX46" s="344"/>
      <c r="PWY46" s="344"/>
      <c r="PWZ46" s="344"/>
      <c r="PXA46" s="344"/>
      <c r="PXB46" s="344"/>
      <c r="PXC46" s="344"/>
      <c r="PXD46" s="344"/>
      <c r="PXE46" s="344"/>
      <c r="PXF46" s="344"/>
      <c r="PXG46" s="344"/>
      <c r="PXH46" s="344"/>
      <c r="PXI46" s="344"/>
      <c r="PXJ46" s="344"/>
      <c r="PXK46" s="344"/>
      <c r="PXL46" s="344"/>
      <c r="PXM46" s="344"/>
      <c r="PXN46" s="344"/>
      <c r="PXO46" s="344"/>
      <c r="PXP46" s="344"/>
      <c r="PXQ46" s="344"/>
      <c r="PXR46" s="344"/>
      <c r="PXS46" s="344"/>
      <c r="PXT46" s="344"/>
      <c r="PXU46" s="344"/>
      <c r="PXV46" s="344"/>
      <c r="PXW46" s="344"/>
      <c r="PXX46" s="344"/>
      <c r="PXY46" s="344"/>
      <c r="PXZ46" s="344"/>
      <c r="PYA46" s="344"/>
      <c r="PYB46" s="344"/>
      <c r="PYC46" s="344"/>
      <c r="PYD46" s="344"/>
      <c r="PYE46" s="344"/>
      <c r="PYF46" s="344"/>
      <c r="PYG46" s="344"/>
      <c r="PYH46" s="344"/>
      <c r="PYI46" s="344"/>
      <c r="PYJ46" s="344"/>
      <c r="PYK46" s="344"/>
      <c r="PYL46" s="344"/>
      <c r="PYM46" s="344"/>
      <c r="PYN46" s="344"/>
      <c r="PYO46" s="344"/>
      <c r="PYP46" s="344"/>
      <c r="PYQ46" s="344"/>
      <c r="PYR46" s="344"/>
      <c r="PYS46" s="344"/>
      <c r="PYT46" s="344"/>
      <c r="PYU46" s="344"/>
      <c r="PYV46" s="344"/>
      <c r="PYW46" s="344"/>
      <c r="PYX46" s="344"/>
      <c r="PYY46" s="344"/>
      <c r="PYZ46" s="344"/>
      <c r="PZA46" s="344"/>
      <c r="PZB46" s="344"/>
      <c r="PZC46" s="344"/>
      <c r="PZD46" s="344"/>
      <c r="PZE46" s="344"/>
      <c r="PZF46" s="344"/>
      <c r="PZG46" s="344"/>
      <c r="PZH46" s="344"/>
      <c r="PZI46" s="344"/>
      <c r="PZJ46" s="344"/>
      <c r="PZK46" s="344"/>
      <c r="PZL46" s="344"/>
      <c r="PZM46" s="344"/>
      <c r="PZN46" s="344"/>
      <c r="PZO46" s="344"/>
      <c r="PZP46" s="344"/>
      <c r="PZQ46" s="344"/>
      <c r="PZR46" s="344"/>
      <c r="PZS46" s="344"/>
      <c r="PZT46" s="344"/>
      <c r="PZU46" s="344"/>
      <c r="PZV46" s="344"/>
      <c r="PZW46" s="344"/>
      <c r="PZX46" s="344"/>
      <c r="PZY46" s="344"/>
      <c r="PZZ46" s="344"/>
      <c r="QAA46" s="344"/>
      <c r="QAB46" s="344"/>
      <c r="QAC46" s="344"/>
      <c r="QAD46" s="344"/>
      <c r="QAE46" s="344"/>
      <c r="QAF46" s="344"/>
      <c r="QAG46" s="344"/>
      <c r="QAH46" s="344"/>
      <c r="QAI46" s="344"/>
      <c r="QAJ46" s="344"/>
      <c r="QAK46" s="344"/>
      <c r="QAL46" s="344"/>
      <c r="QAM46" s="344"/>
      <c r="QAN46" s="344"/>
      <c r="QAO46" s="344"/>
      <c r="QAP46" s="344"/>
      <c r="QAQ46" s="344"/>
      <c r="QAR46" s="344"/>
      <c r="QAS46" s="344"/>
      <c r="QAT46" s="344"/>
      <c r="QAU46" s="344"/>
      <c r="QAV46" s="344"/>
      <c r="QAW46" s="344"/>
      <c r="QAX46" s="344"/>
      <c r="QAY46" s="344"/>
      <c r="QAZ46" s="344"/>
      <c r="QBA46" s="344"/>
      <c r="QBB46" s="344"/>
      <c r="QBC46" s="344"/>
      <c r="QBD46" s="344"/>
      <c r="QBE46" s="344"/>
      <c r="QBF46" s="344"/>
      <c r="QBG46" s="344"/>
      <c r="QBH46" s="344"/>
      <c r="QBI46" s="344"/>
      <c r="QBJ46" s="344"/>
      <c r="QBK46" s="344"/>
      <c r="QBL46" s="344"/>
      <c r="QBM46" s="344"/>
      <c r="QBN46" s="344"/>
      <c r="QBO46" s="344"/>
      <c r="QBP46" s="344"/>
      <c r="QBQ46" s="344"/>
      <c r="QBR46" s="344"/>
      <c r="QBS46" s="344"/>
      <c r="QBT46" s="344"/>
      <c r="QBU46" s="344"/>
      <c r="QBV46" s="344"/>
      <c r="QBW46" s="344"/>
      <c r="QBX46" s="344"/>
      <c r="QBY46" s="344"/>
      <c r="QBZ46" s="344"/>
      <c r="QCA46" s="344"/>
      <c r="QCB46" s="344"/>
      <c r="QCC46" s="344"/>
      <c r="QCD46" s="344"/>
      <c r="QCE46" s="344"/>
      <c r="QCF46" s="344"/>
      <c r="QCG46" s="344"/>
      <c r="QCH46" s="344"/>
      <c r="QCI46" s="344"/>
      <c r="QCJ46" s="344"/>
      <c r="QCK46" s="344"/>
      <c r="QCL46" s="344"/>
      <c r="QCM46" s="344"/>
      <c r="QCN46" s="344"/>
      <c r="QCO46" s="344"/>
      <c r="QCP46" s="344"/>
      <c r="QCQ46" s="344"/>
      <c r="QCR46" s="344"/>
      <c r="QCS46" s="344"/>
      <c r="QCT46" s="344"/>
      <c r="QCU46" s="344"/>
      <c r="QCV46" s="344"/>
      <c r="QCW46" s="344"/>
      <c r="QCX46" s="344"/>
      <c r="QCY46" s="344"/>
      <c r="QCZ46" s="344"/>
      <c r="QDA46" s="344"/>
      <c r="QDB46" s="344"/>
      <c r="QDC46" s="344"/>
      <c r="QDD46" s="344"/>
      <c r="QDE46" s="344"/>
      <c r="QDF46" s="344"/>
      <c r="QDG46" s="344"/>
      <c r="QDH46" s="344"/>
      <c r="QDI46" s="344"/>
      <c r="QDJ46" s="344"/>
      <c r="QDK46" s="344"/>
      <c r="QDL46" s="344"/>
      <c r="QDM46" s="344"/>
      <c r="QDN46" s="344"/>
      <c r="QDO46" s="344"/>
      <c r="QDP46" s="344"/>
      <c r="QDQ46" s="344"/>
      <c r="QDR46" s="344"/>
      <c r="QDS46" s="344"/>
      <c r="QDT46" s="344"/>
      <c r="QDU46" s="344"/>
      <c r="QDV46" s="344"/>
      <c r="QDW46" s="344"/>
      <c r="QDX46" s="344"/>
      <c r="QDY46" s="344"/>
      <c r="QDZ46" s="344"/>
      <c r="QEA46" s="344"/>
      <c r="QEB46" s="344"/>
      <c r="QEC46" s="344"/>
      <c r="QED46" s="344"/>
      <c r="QEE46" s="344"/>
      <c r="QEF46" s="344"/>
      <c r="QEG46" s="344"/>
      <c r="QEH46" s="344"/>
      <c r="QEI46" s="344"/>
      <c r="QEJ46" s="344"/>
      <c r="QEK46" s="344"/>
      <c r="QEL46" s="344"/>
      <c r="QEM46" s="344"/>
      <c r="QEN46" s="344"/>
      <c r="QEO46" s="344"/>
      <c r="QEP46" s="344"/>
      <c r="QEQ46" s="344"/>
      <c r="QER46" s="344"/>
      <c r="QES46" s="344"/>
      <c r="QET46" s="344"/>
      <c r="QEU46" s="344"/>
      <c r="QEV46" s="344"/>
      <c r="QEW46" s="344"/>
      <c r="QEX46" s="344"/>
      <c r="QEY46" s="344"/>
      <c r="QEZ46" s="344"/>
      <c r="QFA46" s="344"/>
      <c r="QFB46" s="344"/>
      <c r="QFC46" s="344"/>
      <c r="QFD46" s="344"/>
      <c r="QFE46" s="344"/>
      <c r="QFF46" s="344"/>
      <c r="QFG46" s="344"/>
      <c r="QFH46" s="344"/>
      <c r="QFI46" s="344"/>
      <c r="QFJ46" s="344"/>
      <c r="QFK46" s="344"/>
      <c r="QFL46" s="344"/>
      <c r="QFM46" s="344"/>
      <c r="QFN46" s="344"/>
      <c r="QFO46" s="344"/>
      <c r="QFP46" s="344"/>
      <c r="QFQ46" s="344"/>
      <c r="QFR46" s="344"/>
      <c r="QFS46" s="344"/>
      <c r="QFT46" s="344"/>
      <c r="QFU46" s="344"/>
      <c r="QFV46" s="344"/>
      <c r="QFW46" s="344"/>
      <c r="QFX46" s="344"/>
      <c r="QFY46" s="344"/>
      <c r="QFZ46" s="344"/>
      <c r="QGA46" s="344"/>
      <c r="QGB46" s="344"/>
      <c r="QGC46" s="344"/>
      <c r="QGD46" s="344"/>
      <c r="QGE46" s="344"/>
      <c r="QGF46" s="344"/>
      <c r="QGG46" s="344"/>
      <c r="QGH46" s="344"/>
      <c r="QGI46" s="344"/>
      <c r="QGJ46" s="344"/>
      <c r="QGK46" s="344"/>
      <c r="QGL46" s="344"/>
      <c r="QGM46" s="344"/>
      <c r="QGN46" s="344"/>
      <c r="QGO46" s="344"/>
      <c r="QGP46" s="344"/>
      <c r="QGQ46" s="344"/>
      <c r="QGR46" s="344"/>
      <c r="QGS46" s="344"/>
      <c r="QGT46" s="344"/>
      <c r="QGU46" s="344"/>
      <c r="QGV46" s="344"/>
      <c r="QGW46" s="344"/>
      <c r="QGX46" s="344"/>
      <c r="QGY46" s="344"/>
      <c r="QGZ46" s="344"/>
      <c r="QHA46" s="344"/>
      <c r="QHB46" s="344"/>
      <c r="QHC46" s="344"/>
      <c r="QHD46" s="344"/>
      <c r="QHE46" s="344"/>
      <c r="QHF46" s="344"/>
      <c r="QHG46" s="344"/>
      <c r="QHH46" s="344"/>
      <c r="QHI46" s="344"/>
      <c r="QHJ46" s="344"/>
      <c r="QHK46" s="344"/>
      <c r="QHL46" s="344"/>
      <c r="QHM46" s="344"/>
      <c r="QHN46" s="344"/>
      <c r="QHO46" s="344"/>
      <c r="QHP46" s="344"/>
      <c r="QHQ46" s="344"/>
      <c r="QHR46" s="344"/>
      <c r="QHS46" s="344"/>
      <c r="QHT46" s="344"/>
      <c r="QHU46" s="344"/>
      <c r="QHV46" s="344"/>
      <c r="QHW46" s="344"/>
      <c r="QHX46" s="344"/>
      <c r="QHY46" s="344"/>
      <c r="QHZ46" s="344"/>
      <c r="QIA46" s="344"/>
      <c r="QIB46" s="344"/>
      <c r="QIC46" s="344"/>
      <c r="QID46" s="344"/>
      <c r="QIE46" s="344"/>
      <c r="QIF46" s="344"/>
      <c r="QIG46" s="344"/>
      <c r="QIH46" s="344"/>
      <c r="QII46" s="344"/>
      <c r="QIJ46" s="344"/>
      <c r="QIK46" s="344"/>
      <c r="QIL46" s="344"/>
      <c r="QIM46" s="344"/>
      <c r="QIN46" s="344"/>
      <c r="QIO46" s="344"/>
      <c r="QIP46" s="344"/>
      <c r="QIQ46" s="344"/>
      <c r="QIR46" s="344"/>
      <c r="QIS46" s="344"/>
      <c r="QIT46" s="344"/>
      <c r="QIU46" s="344"/>
      <c r="QIV46" s="344"/>
      <c r="QIW46" s="344"/>
      <c r="QIX46" s="344"/>
      <c r="QIY46" s="344"/>
      <c r="QIZ46" s="344"/>
      <c r="QJA46" s="344"/>
      <c r="QJB46" s="344"/>
      <c r="QJC46" s="344"/>
      <c r="QJD46" s="344"/>
      <c r="QJE46" s="344"/>
      <c r="QJF46" s="344"/>
      <c r="QJG46" s="344"/>
      <c r="QJH46" s="344"/>
      <c r="QJI46" s="344"/>
      <c r="QJJ46" s="344"/>
      <c r="QJK46" s="344"/>
      <c r="QJL46" s="344"/>
      <c r="QJM46" s="344"/>
      <c r="QJN46" s="344"/>
      <c r="QJO46" s="344"/>
      <c r="QJP46" s="344"/>
      <c r="QJQ46" s="344"/>
      <c r="QJR46" s="344"/>
      <c r="QJS46" s="344"/>
      <c r="QJT46" s="344"/>
      <c r="QJU46" s="344"/>
      <c r="QJV46" s="344"/>
      <c r="QJW46" s="344"/>
      <c r="QJX46" s="344"/>
      <c r="QJY46" s="344"/>
      <c r="QJZ46" s="344"/>
      <c r="QKA46" s="344"/>
      <c r="QKB46" s="344"/>
      <c r="QKC46" s="344"/>
      <c r="QKD46" s="344"/>
      <c r="QKE46" s="344"/>
      <c r="QKF46" s="344"/>
      <c r="QKG46" s="344"/>
      <c r="QKH46" s="344"/>
      <c r="QKI46" s="344"/>
      <c r="QKJ46" s="344"/>
      <c r="QKK46" s="344"/>
      <c r="QKL46" s="344"/>
      <c r="QKM46" s="344"/>
      <c r="QKN46" s="344"/>
      <c r="QKO46" s="344"/>
      <c r="QKP46" s="344"/>
      <c r="QKQ46" s="344"/>
      <c r="QKR46" s="344"/>
      <c r="QKS46" s="344"/>
      <c r="QKT46" s="344"/>
      <c r="QKU46" s="344"/>
      <c r="QKV46" s="344"/>
      <c r="QKW46" s="344"/>
      <c r="QKX46" s="344"/>
      <c r="QKY46" s="344"/>
      <c r="QKZ46" s="344"/>
      <c r="QLA46" s="344"/>
      <c r="QLB46" s="344"/>
      <c r="QLC46" s="344"/>
      <c r="QLD46" s="344"/>
      <c r="QLE46" s="344"/>
      <c r="QLF46" s="344"/>
      <c r="QLG46" s="344"/>
      <c r="QLH46" s="344"/>
      <c r="QLI46" s="344"/>
      <c r="QLJ46" s="344"/>
      <c r="QLK46" s="344"/>
      <c r="QLL46" s="344"/>
      <c r="QLM46" s="344"/>
      <c r="QLN46" s="344"/>
      <c r="QLO46" s="344"/>
      <c r="QLP46" s="344"/>
      <c r="QLQ46" s="344"/>
      <c r="QLR46" s="344"/>
      <c r="QLS46" s="344"/>
      <c r="QLT46" s="344"/>
      <c r="QLU46" s="344"/>
      <c r="QLV46" s="344"/>
      <c r="QLW46" s="344"/>
      <c r="QLX46" s="344"/>
      <c r="QLY46" s="344"/>
      <c r="QLZ46" s="344"/>
      <c r="QMA46" s="344"/>
      <c r="QMB46" s="344"/>
      <c r="QMC46" s="344"/>
      <c r="QMD46" s="344"/>
      <c r="QME46" s="344"/>
      <c r="QMF46" s="344"/>
      <c r="QMG46" s="344"/>
      <c r="QMH46" s="344"/>
      <c r="QMI46" s="344"/>
      <c r="QMJ46" s="344"/>
      <c r="QMK46" s="344"/>
      <c r="QML46" s="344"/>
      <c r="QMM46" s="344"/>
      <c r="QMN46" s="344"/>
      <c r="QMO46" s="344"/>
      <c r="QMP46" s="344"/>
      <c r="QMQ46" s="344"/>
      <c r="QMR46" s="344"/>
      <c r="QMS46" s="344"/>
      <c r="QMT46" s="344"/>
      <c r="QMU46" s="344"/>
      <c r="QMV46" s="344"/>
      <c r="QMW46" s="344"/>
      <c r="QMX46" s="344"/>
      <c r="QMY46" s="344"/>
      <c r="QMZ46" s="344"/>
      <c r="QNA46" s="344"/>
      <c r="QNB46" s="344"/>
      <c r="QNC46" s="344"/>
      <c r="QND46" s="344"/>
      <c r="QNE46" s="344"/>
      <c r="QNF46" s="344"/>
      <c r="QNG46" s="344"/>
      <c r="QNH46" s="344"/>
      <c r="QNI46" s="344"/>
      <c r="QNJ46" s="344"/>
      <c r="QNK46" s="344"/>
      <c r="QNL46" s="344"/>
      <c r="QNM46" s="344"/>
      <c r="QNN46" s="344"/>
      <c r="QNO46" s="344"/>
      <c r="QNP46" s="344"/>
      <c r="QNQ46" s="344"/>
      <c r="QNR46" s="344"/>
      <c r="QNS46" s="344"/>
      <c r="QNT46" s="344"/>
      <c r="QNU46" s="344"/>
      <c r="QNV46" s="344"/>
      <c r="QNW46" s="344"/>
      <c r="QNX46" s="344"/>
      <c r="QNY46" s="344"/>
      <c r="QNZ46" s="344"/>
      <c r="QOA46" s="344"/>
      <c r="QOB46" s="344"/>
      <c r="QOC46" s="344"/>
      <c r="QOD46" s="344"/>
      <c r="QOE46" s="344"/>
      <c r="QOF46" s="344"/>
      <c r="QOG46" s="344"/>
      <c r="QOH46" s="344"/>
      <c r="QOI46" s="344"/>
      <c r="QOJ46" s="344"/>
      <c r="QOK46" s="344"/>
      <c r="QOL46" s="344"/>
      <c r="QOM46" s="344"/>
      <c r="QON46" s="344"/>
      <c r="QOO46" s="344"/>
      <c r="QOP46" s="344"/>
      <c r="QOQ46" s="344"/>
      <c r="QOR46" s="344"/>
      <c r="QOS46" s="344"/>
      <c r="QOT46" s="344"/>
      <c r="QOU46" s="344"/>
      <c r="QOV46" s="344"/>
      <c r="QOW46" s="344"/>
      <c r="QOX46" s="344"/>
      <c r="QOY46" s="344"/>
      <c r="QOZ46" s="344"/>
      <c r="QPA46" s="344"/>
      <c r="QPB46" s="344"/>
      <c r="QPC46" s="344"/>
      <c r="QPD46" s="344"/>
      <c r="QPE46" s="344"/>
      <c r="QPF46" s="344"/>
      <c r="QPG46" s="344"/>
      <c r="QPH46" s="344"/>
      <c r="QPI46" s="344"/>
      <c r="QPJ46" s="344"/>
      <c r="QPK46" s="344"/>
      <c r="QPL46" s="344"/>
      <c r="QPM46" s="344"/>
      <c r="QPN46" s="344"/>
      <c r="QPO46" s="344"/>
      <c r="QPP46" s="344"/>
      <c r="QPQ46" s="344"/>
      <c r="QPR46" s="344"/>
      <c r="QPS46" s="344"/>
      <c r="QPT46" s="344"/>
      <c r="QPU46" s="344"/>
      <c r="QPV46" s="344"/>
      <c r="QPW46" s="344"/>
      <c r="QPX46" s="344"/>
      <c r="QPY46" s="344"/>
      <c r="QPZ46" s="344"/>
      <c r="QQA46" s="344"/>
      <c r="QQB46" s="344"/>
      <c r="QQC46" s="344"/>
      <c r="QQD46" s="344"/>
      <c r="QQE46" s="344"/>
      <c r="QQF46" s="344"/>
      <c r="QQG46" s="344"/>
      <c r="QQH46" s="344"/>
      <c r="QQI46" s="344"/>
      <c r="QQJ46" s="344"/>
      <c r="QQK46" s="344"/>
      <c r="QQL46" s="344"/>
      <c r="QQM46" s="344"/>
      <c r="QQN46" s="344"/>
      <c r="QQO46" s="344"/>
      <c r="QQP46" s="344"/>
      <c r="QQQ46" s="344"/>
      <c r="QQR46" s="344"/>
      <c r="QQS46" s="344"/>
      <c r="QQT46" s="344"/>
      <c r="QQU46" s="344"/>
      <c r="QQV46" s="344"/>
      <c r="QQW46" s="344"/>
      <c r="QQX46" s="344"/>
      <c r="QQY46" s="344"/>
      <c r="QQZ46" s="344"/>
      <c r="QRA46" s="344"/>
      <c r="QRB46" s="344"/>
      <c r="QRC46" s="344"/>
      <c r="QRD46" s="344"/>
      <c r="QRE46" s="344"/>
      <c r="QRF46" s="344"/>
      <c r="QRG46" s="344"/>
      <c r="QRH46" s="344"/>
      <c r="QRI46" s="344"/>
      <c r="QRJ46" s="344"/>
      <c r="QRK46" s="344"/>
      <c r="QRL46" s="344"/>
      <c r="QRM46" s="344"/>
      <c r="QRN46" s="344"/>
      <c r="QRO46" s="344"/>
      <c r="QRP46" s="344"/>
      <c r="QRQ46" s="344"/>
      <c r="QRR46" s="344"/>
      <c r="QRS46" s="344"/>
      <c r="QRT46" s="344"/>
      <c r="QRU46" s="344"/>
      <c r="QRV46" s="344"/>
      <c r="QRW46" s="344"/>
      <c r="QRX46" s="344"/>
      <c r="QRY46" s="344"/>
      <c r="QRZ46" s="344"/>
      <c r="QSA46" s="344"/>
      <c r="QSB46" s="344"/>
      <c r="QSC46" s="344"/>
      <c r="QSD46" s="344"/>
      <c r="QSE46" s="344"/>
      <c r="QSF46" s="344"/>
      <c r="QSG46" s="344"/>
      <c r="QSH46" s="344"/>
      <c r="QSI46" s="344"/>
      <c r="QSJ46" s="344"/>
      <c r="QSK46" s="344"/>
      <c r="QSL46" s="344"/>
      <c r="QSM46" s="344"/>
      <c r="QSN46" s="344"/>
      <c r="QSO46" s="344"/>
      <c r="QSP46" s="344"/>
      <c r="QSQ46" s="344"/>
      <c r="QSR46" s="344"/>
      <c r="QSS46" s="344"/>
      <c r="QST46" s="344"/>
      <c r="QSU46" s="344"/>
      <c r="QSV46" s="344"/>
      <c r="QSW46" s="344"/>
      <c r="QSX46" s="344"/>
      <c r="QSY46" s="344"/>
      <c r="QSZ46" s="344"/>
      <c r="QTA46" s="344"/>
      <c r="QTB46" s="344"/>
      <c r="QTC46" s="344"/>
      <c r="QTD46" s="344"/>
      <c r="QTE46" s="344"/>
      <c r="QTF46" s="344"/>
      <c r="QTG46" s="344"/>
      <c r="QTH46" s="344"/>
      <c r="QTI46" s="344"/>
      <c r="QTJ46" s="344"/>
      <c r="QTK46" s="344"/>
      <c r="QTL46" s="344"/>
      <c r="QTM46" s="344"/>
      <c r="QTN46" s="344"/>
      <c r="QTO46" s="344"/>
      <c r="QTP46" s="344"/>
      <c r="QTQ46" s="344"/>
      <c r="QTR46" s="344"/>
      <c r="QTS46" s="344"/>
      <c r="QTT46" s="344"/>
      <c r="QTU46" s="344"/>
      <c r="QTV46" s="344"/>
      <c r="QTW46" s="344"/>
      <c r="QTX46" s="344"/>
      <c r="QTY46" s="344"/>
      <c r="QTZ46" s="344"/>
      <c r="QUA46" s="344"/>
      <c r="QUB46" s="344"/>
      <c r="QUC46" s="344"/>
      <c r="QUD46" s="344"/>
      <c r="QUE46" s="344"/>
      <c r="QUF46" s="344"/>
      <c r="QUG46" s="344"/>
      <c r="QUH46" s="344"/>
      <c r="QUI46" s="344"/>
      <c r="QUJ46" s="344"/>
      <c r="QUK46" s="344"/>
      <c r="QUL46" s="344"/>
      <c r="QUM46" s="344"/>
      <c r="QUN46" s="344"/>
      <c r="QUO46" s="344"/>
      <c r="QUP46" s="344"/>
      <c r="QUQ46" s="344"/>
      <c r="QUR46" s="344"/>
      <c r="QUS46" s="344"/>
      <c r="QUT46" s="344"/>
      <c r="QUU46" s="344"/>
      <c r="QUV46" s="344"/>
      <c r="QUW46" s="344"/>
      <c r="QUX46" s="344"/>
      <c r="QUY46" s="344"/>
      <c r="QUZ46" s="344"/>
      <c r="QVA46" s="344"/>
      <c r="QVB46" s="344"/>
      <c r="QVC46" s="344"/>
      <c r="QVD46" s="344"/>
      <c r="QVE46" s="344"/>
      <c r="QVF46" s="344"/>
      <c r="QVG46" s="344"/>
      <c r="QVH46" s="344"/>
      <c r="QVI46" s="344"/>
      <c r="QVJ46" s="344"/>
      <c r="QVK46" s="344"/>
      <c r="QVL46" s="344"/>
      <c r="QVM46" s="344"/>
      <c r="QVN46" s="344"/>
      <c r="QVO46" s="344"/>
      <c r="QVP46" s="344"/>
      <c r="QVQ46" s="344"/>
      <c r="QVR46" s="344"/>
      <c r="QVS46" s="344"/>
      <c r="QVT46" s="344"/>
      <c r="QVU46" s="344"/>
      <c r="QVV46" s="344"/>
      <c r="QVW46" s="344"/>
      <c r="QVX46" s="344"/>
      <c r="QVY46" s="344"/>
      <c r="QVZ46" s="344"/>
      <c r="QWA46" s="344"/>
      <c r="QWB46" s="344"/>
      <c r="QWC46" s="344"/>
      <c r="QWD46" s="344"/>
      <c r="QWE46" s="344"/>
      <c r="QWF46" s="344"/>
      <c r="QWG46" s="344"/>
      <c r="QWH46" s="344"/>
      <c r="QWI46" s="344"/>
      <c r="QWJ46" s="344"/>
      <c r="QWK46" s="344"/>
      <c r="QWL46" s="344"/>
      <c r="QWM46" s="344"/>
      <c r="QWN46" s="344"/>
      <c r="QWO46" s="344"/>
      <c r="QWP46" s="344"/>
      <c r="QWQ46" s="344"/>
      <c r="QWR46" s="344"/>
      <c r="QWS46" s="344"/>
      <c r="QWT46" s="344"/>
      <c r="QWU46" s="344"/>
      <c r="QWV46" s="344"/>
      <c r="QWW46" s="344"/>
      <c r="QWX46" s="344"/>
      <c r="QWY46" s="344"/>
      <c r="QWZ46" s="344"/>
      <c r="QXA46" s="344"/>
      <c r="QXB46" s="344"/>
      <c r="QXC46" s="344"/>
      <c r="QXD46" s="344"/>
      <c r="QXE46" s="344"/>
      <c r="QXF46" s="344"/>
      <c r="QXG46" s="344"/>
      <c r="QXH46" s="344"/>
      <c r="QXI46" s="344"/>
      <c r="QXJ46" s="344"/>
      <c r="QXK46" s="344"/>
      <c r="QXL46" s="344"/>
      <c r="QXM46" s="344"/>
      <c r="QXN46" s="344"/>
      <c r="QXO46" s="344"/>
      <c r="QXP46" s="344"/>
      <c r="QXQ46" s="344"/>
      <c r="QXR46" s="344"/>
      <c r="QXS46" s="344"/>
      <c r="QXT46" s="344"/>
      <c r="QXU46" s="344"/>
      <c r="QXV46" s="344"/>
      <c r="QXW46" s="344"/>
      <c r="QXX46" s="344"/>
      <c r="QXY46" s="344"/>
      <c r="QXZ46" s="344"/>
      <c r="QYA46" s="344"/>
      <c r="QYB46" s="344"/>
      <c r="QYC46" s="344"/>
      <c r="QYD46" s="344"/>
      <c r="QYE46" s="344"/>
      <c r="QYF46" s="344"/>
      <c r="QYG46" s="344"/>
      <c r="QYH46" s="344"/>
      <c r="QYI46" s="344"/>
      <c r="QYJ46" s="344"/>
      <c r="QYK46" s="344"/>
      <c r="QYL46" s="344"/>
      <c r="QYM46" s="344"/>
      <c r="QYN46" s="344"/>
      <c r="QYO46" s="344"/>
      <c r="QYP46" s="344"/>
      <c r="QYQ46" s="344"/>
      <c r="QYR46" s="344"/>
      <c r="QYS46" s="344"/>
      <c r="QYT46" s="344"/>
      <c r="QYU46" s="344"/>
      <c r="QYV46" s="344"/>
      <c r="QYW46" s="344"/>
      <c r="QYX46" s="344"/>
      <c r="QYY46" s="344"/>
      <c r="QYZ46" s="344"/>
      <c r="QZA46" s="344"/>
      <c r="QZB46" s="344"/>
      <c r="QZC46" s="344"/>
      <c r="QZD46" s="344"/>
      <c r="QZE46" s="344"/>
      <c r="QZF46" s="344"/>
      <c r="QZG46" s="344"/>
      <c r="QZH46" s="344"/>
      <c r="QZI46" s="344"/>
      <c r="QZJ46" s="344"/>
      <c r="QZK46" s="344"/>
      <c r="QZL46" s="344"/>
      <c r="QZM46" s="344"/>
      <c r="QZN46" s="344"/>
      <c r="QZO46" s="344"/>
      <c r="QZP46" s="344"/>
      <c r="QZQ46" s="344"/>
      <c r="QZR46" s="344"/>
      <c r="QZS46" s="344"/>
      <c r="QZT46" s="344"/>
      <c r="QZU46" s="344"/>
      <c r="QZV46" s="344"/>
      <c r="QZW46" s="344"/>
      <c r="QZX46" s="344"/>
      <c r="QZY46" s="344"/>
      <c r="QZZ46" s="344"/>
      <c r="RAA46" s="344"/>
      <c r="RAB46" s="344"/>
      <c r="RAC46" s="344"/>
      <c r="RAD46" s="344"/>
      <c r="RAE46" s="344"/>
      <c r="RAF46" s="344"/>
      <c r="RAG46" s="344"/>
      <c r="RAH46" s="344"/>
      <c r="RAI46" s="344"/>
      <c r="RAJ46" s="344"/>
      <c r="RAK46" s="344"/>
      <c r="RAL46" s="344"/>
      <c r="RAM46" s="344"/>
      <c r="RAN46" s="344"/>
      <c r="RAO46" s="344"/>
      <c r="RAP46" s="344"/>
      <c r="RAQ46" s="344"/>
      <c r="RAR46" s="344"/>
      <c r="RAS46" s="344"/>
      <c r="RAT46" s="344"/>
      <c r="RAU46" s="344"/>
      <c r="RAV46" s="344"/>
      <c r="RAW46" s="344"/>
      <c r="RAX46" s="344"/>
      <c r="RAY46" s="344"/>
      <c r="RAZ46" s="344"/>
      <c r="RBA46" s="344"/>
      <c r="RBB46" s="344"/>
      <c r="RBC46" s="344"/>
      <c r="RBD46" s="344"/>
      <c r="RBE46" s="344"/>
      <c r="RBF46" s="344"/>
      <c r="RBG46" s="344"/>
      <c r="RBH46" s="344"/>
      <c r="RBI46" s="344"/>
      <c r="RBJ46" s="344"/>
      <c r="RBK46" s="344"/>
      <c r="RBL46" s="344"/>
      <c r="RBM46" s="344"/>
      <c r="RBN46" s="344"/>
      <c r="RBO46" s="344"/>
      <c r="RBP46" s="344"/>
      <c r="RBQ46" s="344"/>
      <c r="RBR46" s="344"/>
      <c r="RBS46" s="344"/>
      <c r="RBT46" s="344"/>
      <c r="RBU46" s="344"/>
      <c r="RBV46" s="344"/>
      <c r="RBW46" s="344"/>
      <c r="RBX46" s="344"/>
      <c r="RBY46" s="344"/>
      <c r="RBZ46" s="344"/>
      <c r="RCA46" s="344"/>
      <c r="RCB46" s="344"/>
      <c r="RCC46" s="344"/>
      <c r="RCD46" s="344"/>
      <c r="RCE46" s="344"/>
      <c r="RCF46" s="344"/>
      <c r="RCG46" s="344"/>
      <c r="RCH46" s="344"/>
      <c r="RCI46" s="344"/>
      <c r="RCJ46" s="344"/>
      <c r="RCK46" s="344"/>
      <c r="RCL46" s="344"/>
      <c r="RCM46" s="344"/>
      <c r="RCN46" s="344"/>
      <c r="RCO46" s="344"/>
      <c r="RCP46" s="344"/>
      <c r="RCQ46" s="344"/>
      <c r="RCR46" s="344"/>
      <c r="RCS46" s="344"/>
      <c r="RCT46" s="344"/>
      <c r="RCU46" s="344"/>
      <c r="RCV46" s="344"/>
      <c r="RCW46" s="344"/>
      <c r="RCX46" s="344"/>
      <c r="RCY46" s="344"/>
      <c r="RCZ46" s="344"/>
      <c r="RDA46" s="344"/>
      <c r="RDB46" s="344"/>
      <c r="RDC46" s="344"/>
      <c r="RDD46" s="344"/>
      <c r="RDE46" s="344"/>
      <c r="RDF46" s="344"/>
      <c r="RDG46" s="344"/>
      <c r="RDH46" s="344"/>
      <c r="RDI46" s="344"/>
      <c r="RDJ46" s="344"/>
      <c r="RDK46" s="344"/>
      <c r="RDL46" s="344"/>
      <c r="RDM46" s="344"/>
      <c r="RDN46" s="344"/>
      <c r="RDO46" s="344"/>
      <c r="RDP46" s="344"/>
      <c r="RDQ46" s="344"/>
      <c r="RDR46" s="344"/>
      <c r="RDS46" s="344"/>
      <c r="RDT46" s="344"/>
      <c r="RDU46" s="344"/>
      <c r="RDV46" s="344"/>
      <c r="RDW46" s="344"/>
      <c r="RDX46" s="344"/>
      <c r="RDY46" s="344"/>
      <c r="RDZ46" s="344"/>
      <c r="REA46" s="344"/>
      <c r="REB46" s="344"/>
      <c r="REC46" s="344"/>
      <c r="RED46" s="344"/>
      <c r="REE46" s="344"/>
      <c r="REF46" s="344"/>
      <c r="REG46" s="344"/>
      <c r="REH46" s="344"/>
      <c r="REI46" s="344"/>
      <c r="REJ46" s="344"/>
      <c r="REK46" s="344"/>
      <c r="REL46" s="344"/>
      <c r="REM46" s="344"/>
      <c r="REN46" s="344"/>
      <c r="REO46" s="344"/>
      <c r="REP46" s="344"/>
      <c r="REQ46" s="344"/>
      <c r="RER46" s="344"/>
      <c r="RES46" s="344"/>
      <c r="RET46" s="344"/>
      <c r="REU46" s="344"/>
      <c r="REV46" s="344"/>
      <c r="REW46" s="344"/>
      <c r="REX46" s="344"/>
      <c r="REY46" s="344"/>
      <c r="REZ46" s="344"/>
      <c r="RFA46" s="344"/>
      <c r="RFB46" s="344"/>
      <c r="RFC46" s="344"/>
      <c r="RFD46" s="344"/>
      <c r="RFE46" s="344"/>
      <c r="RFF46" s="344"/>
      <c r="RFG46" s="344"/>
      <c r="RFH46" s="344"/>
      <c r="RFI46" s="344"/>
      <c r="RFJ46" s="344"/>
      <c r="RFK46" s="344"/>
      <c r="RFL46" s="344"/>
      <c r="RFM46" s="344"/>
      <c r="RFN46" s="344"/>
      <c r="RFO46" s="344"/>
      <c r="RFP46" s="344"/>
      <c r="RFQ46" s="344"/>
      <c r="RFR46" s="344"/>
      <c r="RFS46" s="344"/>
      <c r="RFT46" s="344"/>
      <c r="RFU46" s="344"/>
      <c r="RFV46" s="344"/>
      <c r="RFW46" s="344"/>
      <c r="RFX46" s="344"/>
      <c r="RFY46" s="344"/>
      <c r="RFZ46" s="344"/>
      <c r="RGA46" s="344"/>
      <c r="RGB46" s="344"/>
      <c r="RGC46" s="344"/>
      <c r="RGD46" s="344"/>
      <c r="RGE46" s="344"/>
      <c r="RGF46" s="344"/>
      <c r="RGG46" s="344"/>
      <c r="RGH46" s="344"/>
      <c r="RGI46" s="344"/>
      <c r="RGJ46" s="344"/>
      <c r="RGK46" s="344"/>
      <c r="RGL46" s="344"/>
      <c r="RGM46" s="344"/>
      <c r="RGN46" s="344"/>
      <c r="RGO46" s="344"/>
      <c r="RGP46" s="344"/>
      <c r="RGQ46" s="344"/>
      <c r="RGR46" s="344"/>
      <c r="RGS46" s="344"/>
      <c r="RGT46" s="344"/>
      <c r="RGU46" s="344"/>
      <c r="RGV46" s="344"/>
      <c r="RGW46" s="344"/>
      <c r="RGX46" s="344"/>
      <c r="RGY46" s="344"/>
      <c r="RGZ46" s="344"/>
      <c r="RHA46" s="344"/>
      <c r="RHB46" s="344"/>
      <c r="RHC46" s="344"/>
      <c r="RHD46" s="344"/>
      <c r="RHE46" s="344"/>
      <c r="RHF46" s="344"/>
      <c r="RHG46" s="344"/>
      <c r="RHH46" s="344"/>
      <c r="RHI46" s="344"/>
      <c r="RHJ46" s="344"/>
      <c r="RHK46" s="344"/>
      <c r="RHL46" s="344"/>
      <c r="RHM46" s="344"/>
      <c r="RHN46" s="344"/>
      <c r="RHO46" s="344"/>
      <c r="RHP46" s="344"/>
      <c r="RHQ46" s="344"/>
      <c r="RHR46" s="344"/>
      <c r="RHS46" s="344"/>
      <c r="RHT46" s="344"/>
      <c r="RHU46" s="344"/>
      <c r="RHV46" s="344"/>
      <c r="RHW46" s="344"/>
      <c r="RHX46" s="344"/>
      <c r="RHY46" s="344"/>
      <c r="RHZ46" s="344"/>
      <c r="RIA46" s="344"/>
      <c r="RIB46" s="344"/>
      <c r="RIC46" s="344"/>
      <c r="RID46" s="344"/>
      <c r="RIE46" s="344"/>
      <c r="RIF46" s="344"/>
      <c r="RIG46" s="344"/>
      <c r="RIH46" s="344"/>
      <c r="RII46" s="344"/>
      <c r="RIJ46" s="344"/>
      <c r="RIK46" s="344"/>
      <c r="RIL46" s="344"/>
      <c r="RIM46" s="344"/>
      <c r="RIN46" s="344"/>
      <c r="RIO46" s="344"/>
      <c r="RIP46" s="344"/>
      <c r="RIQ46" s="344"/>
      <c r="RIR46" s="344"/>
      <c r="RIS46" s="344"/>
      <c r="RIT46" s="344"/>
      <c r="RIU46" s="344"/>
      <c r="RIV46" s="344"/>
      <c r="RIW46" s="344"/>
      <c r="RIX46" s="344"/>
      <c r="RIY46" s="344"/>
      <c r="RIZ46" s="344"/>
      <c r="RJA46" s="344"/>
      <c r="RJB46" s="344"/>
      <c r="RJC46" s="344"/>
      <c r="RJD46" s="344"/>
      <c r="RJE46" s="344"/>
      <c r="RJF46" s="344"/>
      <c r="RJG46" s="344"/>
      <c r="RJH46" s="344"/>
      <c r="RJI46" s="344"/>
      <c r="RJJ46" s="344"/>
      <c r="RJK46" s="344"/>
      <c r="RJL46" s="344"/>
      <c r="RJM46" s="344"/>
      <c r="RJN46" s="344"/>
      <c r="RJO46" s="344"/>
      <c r="RJP46" s="344"/>
      <c r="RJQ46" s="344"/>
      <c r="RJR46" s="344"/>
      <c r="RJS46" s="344"/>
      <c r="RJT46" s="344"/>
      <c r="RJU46" s="344"/>
      <c r="RJV46" s="344"/>
      <c r="RJW46" s="344"/>
      <c r="RJX46" s="344"/>
      <c r="RJY46" s="344"/>
      <c r="RJZ46" s="344"/>
      <c r="RKA46" s="344"/>
      <c r="RKB46" s="344"/>
      <c r="RKC46" s="344"/>
      <c r="RKD46" s="344"/>
      <c r="RKE46" s="344"/>
      <c r="RKF46" s="344"/>
      <c r="RKG46" s="344"/>
      <c r="RKH46" s="344"/>
      <c r="RKI46" s="344"/>
      <c r="RKJ46" s="344"/>
      <c r="RKK46" s="344"/>
      <c r="RKL46" s="344"/>
      <c r="RKM46" s="344"/>
      <c r="RKN46" s="344"/>
      <c r="RKO46" s="344"/>
      <c r="RKP46" s="344"/>
      <c r="RKQ46" s="344"/>
      <c r="RKR46" s="344"/>
      <c r="RKS46" s="344"/>
      <c r="RKT46" s="344"/>
      <c r="RKU46" s="344"/>
      <c r="RKV46" s="344"/>
      <c r="RKW46" s="344"/>
      <c r="RKX46" s="344"/>
      <c r="RKY46" s="344"/>
      <c r="RKZ46" s="344"/>
      <c r="RLA46" s="344"/>
      <c r="RLB46" s="344"/>
      <c r="RLC46" s="344"/>
      <c r="RLD46" s="344"/>
      <c r="RLE46" s="344"/>
      <c r="RLF46" s="344"/>
      <c r="RLG46" s="344"/>
      <c r="RLH46" s="344"/>
      <c r="RLI46" s="344"/>
      <c r="RLJ46" s="344"/>
      <c r="RLK46" s="344"/>
      <c r="RLL46" s="344"/>
      <c r="RLM46" s="344"/>
      <c r="RLN46" s="344"/>
      <c r="RLO46" s="344"/>
      <c r="RLP46" s="344"/>
      <c r="RLQ46" s="344"/>
      <c r="RLR46" s="344"/>
      <c r="RLS46" s="344"/>
      <c r="RLT46" s="344"/>
      <c r="RLU46" s="344"/>
      <c r="RLV46" s="344"/>
      <c r="RLW46" s="344"/>
      <c r="RLX46" s="344"/>
      <c r="RLY46" s="344"/>
      <c r="RLZ46" s="344"/>
      <c r="RMA46" s="344"/>
      <c r="RMB46" s="344"/>
      <c r="RMC46" s="344"/>
      <c r="RMD46" s="344"/>
      <c r="RME46" s="344"/>
      <c r="RMF46" s="344"/>
      <c r="RMG46" s="344"/>
      <c r="RMH46" s="344"/>
      <c r="RMI46" s="344"/>
      <c r="RMJ46" s="344"/>
      <c r="RMK46" s="344"/>
      <c r="RML46" s="344"/>
      <c r="RMM46" s="344"/>
      <c r="RMN46" s="344"/>
      <c r="RMO46" s="344"/>
      <c r="RMP46" s="344"/>
      <c r="RMQ46" s="344"/>
      <c r="RMR46" s="344"/>
      <c r="RMS46" s="344"/>
      <c r="RMT46" s="344"/>
      <c r="RMU46" s="344"/>
      <c r="RMV46" s="344"/>
      <c r="RMW46" s="344"/>
      <c r="RMX46" s="344"/>
      <c r="RMY46" s="344"/>
      <c r="RMZ46" s="344"/>
      <c r="RNA46" s="344"/>
      <c r="RNB46" s="344"/>
      <c r="RNC46" s="344"/>
      <c r="RND46" s="344"/>
      <c r="RNE46" s="344"/>
      <c r="RNF46" s="344"/>
      <c r="RNG46" s="344"/>
      <c r="RNH46" s="344"/>
      <c r="RNI46" s="344"/>
      <c r="RNJ46" s="344"/>
      <c r="RNK46" s="344"/>
      <c r="RNL46" s="344"/>
      <c r="RNM46" s="344"/>
      <c r="RNN46" s="344"/>
      <c r="RNO46" s="344"/>
      <c r="RNP46" s="344"/>
      <c r="RNQ46" s="344"/>
      <c r="RNR46" s="344"/>
      <c r="RNS46" s="344"/>
      <c r="RNT46" s="344"/>
      <c r="RNU46" s="344"/>
      <c r="RNV46" s="344"/>
      <c r="RNW46" s="344"/>
      <c r="RNX46" s="344"/>
      <c r="RNY46" s="344"/>
      <c r="RNZ46" s="344"/>
      <c r="ROA46" s="344"/>
      <c r="ROB46" s="344"/>
      <c r="ROC46" s="344"/>
      <c r="ROD46" s="344"/>
      <c r="ROE46" s="344"/>
      <c r="ROF46" s="344"/>
      <c r="ROG46" s="344"/>
      <c r="ROH46" s="344"/>
      <c r="ROI46" s="344"/>
      <c r="ROJ46" s="344"/>
      <c r="ROK46" s="344"/>
      <c r="ROL46" s="344"/>
      <c r="ROM46" s="344"/>
      <c r="RON46" s="344"/>
      <c r="ROO46" s="344"/>
      <c r="ROP46" s="344"/>
      <c r="ROQ46" s="344"/>
      <c r="ROR46" s="344"/>
      <c r="ROS46" s="344"/>
      <c r="ROT46" s="344"/>
      <c r="ROU46" s="344"/>
      <c r="ROV46" s="344"/>
      <c r="ROW46" s="344"/>
      <c r="ROX46" s="344"/>
      <c r="ROY46" s="344"/>
      <c r="ROZ46" s="344"/>
      <c r="RPA46" s="344"/>
      <c r="RPB46" s="344"/>
      <c r="RPC46" s="344"/>
      <c r="RPD46" s="344"/>
      <c r="RPE46" s="344"/>
      <c r="RPF46" s="344"/>
      <c r="RPG46" s="344"/>
      <c r="RPH46" s="344"/>
      <c r="RPI46" s="344"/>
      <c r="RPJ46" s="344"/>
      <c r="RPK46" s="344"/>
      <c r="RPL46" s="344"/>
      <c r="RPM46" s="344"/>
      <c r="RPN46" s="344"/>
      <c r="RPO46" s="344"/>
      <c r="RPP46" s="344"/>
      <c r="RPQ46" s="344"/>
      <c r="RPR46" s="344"/>
      <c r="RPS46" s="344"/>
      <c r="RPT46" s="344"/>
      <c r="RPU46" s="344"/>
      <c r="RPV46" s="344"/>
      <c r="RPW46" s="344"/>
      <c r="RPX46" s="344"/>
      <c r="RPY46" s="344"/>
      <c r="RPZ46" s="344"/>
      <c r="RQA46" s="344"/>
      <c r="RQB46" s="344"/>
      <c r="RQC46" s="344"/>
      <c r="RQD46" s="344"/>
      <c r="RQE46" s="344"/>
      <c r="RQF46" s="344"/>
      <c r="RQG46" s="344"/>
      <c r="RQH46" s="344"/>
      <c r="RQI46" s="344"/>
      <c r="RQJ46" s="344"/>
      <c r="RQK46" s="344"/>
      <c r="RQL46" s="344"/>
      <c r="RQM46" s="344"/>
      <c r="RQN46" s="344"/>
      <c r="RQO46" s="344"/>
      <c r="RQP46" s="344"/>
      <c r="RQQ46" s="344"/>
      <c r="RQR46" s="344"/>
      <c r="RQS46" s="344"/>
      <c r="RQT46" s="344"/>
      <c r="RQU46" s="344"/>
      <c r="RQV46" s="344"/>
      <c r="RQW46" s="344"/>
      <c r="RQX46" s="344"/>
      <c r="RQY46" s="344"/>
      <c r="RQZ46" s="344"/>
      <c r="RRA46" s="344"/>
      <c r="RRB46" s="344"/>
      <c r="RRC46" s="344"/>
      <c r="RRD46" s="344"/>
      <c r="RRE46" s="344"/>
      <c r="RRF46" s="344"/>
      <c r="RRG46" s="344"/>
      <c r="RRH46" s="344"/>
      <c r="RRI46" s="344"/>
      <c r="RRJ46" s="344"/>
      <c r="RRK46" s="344"/>
      <c r="RRL46" s="344"/>
      <c r="RRM46" s="344"/>
      <c r="RRN46" s="344"/>
      <c r="RRO46" s="344"/>
      <c r="RRP46" s="344"/>
      <c r="RRQ46" s="344"/>
      <c r="RRR46" s="344"/>
      <c r="RRS46" s="344"/>
      <c r="RRT46" s="344"/>
      <c r="RRU46" s="344"/>
      <c r="RRV46" s="344"/>
      <c r="RRW46" s="344"/>
      <c r="RRX46" s="344"/>
      <c r="RRY46" s="344"/>
      <c r="RRZ46" s="344"/>
      <c r="RSA46" s="344"/>
      <c r="RSB46" s="344"/>
      <c r="RSC46" s="344"/>
      <c r="RSD46" s="344"/>
      <c r="RSE46" s="344"/>
      <c r="RSF46" s="344"/>
      <c r="RSG46" s="344"/>
      <c r="RSH46" s="344"/>
      <c r="RSI46" s="344"/>
      <c r="RSJ46" s="344"/>
      <c r="RSK46" s="344"/>
      <c r="RSL46" s="344"/>
      <c r="RSM46" s="344"/>
      <c r="RSN46" s="344"/>
      <c r="RSO46" s="344"/>
      <c r="RSP46" s="344"/>
      <c r="RSQ46" s="344"/>
      <c r="RSR46" s="344"/>
      <c r="RSS46" s="344"/>
      <c r="RST46" s="344"/>
      <c r="RSU46" s="344"/>
      <c r="RSV46" s="344"/>
      <c r="RSW46" s="344"/>
      <c r="RSX46" s="344"/>
      <c r="RSY46" s="344"/>
      <c r="RSZ46" s="344"/>
      <c r="RTA46" s="344"/>
      <c r="RTB46" s="344"/>
      <c r="RTC46" s="344"/>
      <c r="RTD46" s="344"/>
      <c r="RTE46" s="344"/>
      <c r="RTF46" s="344"/>
      <c r="RTG46" s="344"/>
      <c r="RTH46" s="344"/>
      <c r="RTI46" s="344"/>
      <c r="RTJ46" s="344"/>
      <c r="RTK46" s="344"/>
      <c r="RTL46" s="344"/>
      <c r="RTM46" s="344"/>
      <c r="RTN46" s="344"/>
      <c r="RTO46" s="344"/>
      <c r="RTP46" s="344"/>
      <c r="RTQ46" s="344"/>
      <c r="RTR46" s="344"/>
      <c r="RTS46" s="344"/>
      <c r="RTT46" s="344"/>
      <c r="RTU46" s="344"/>
      <c r="RTV46" s="344"/>
      <c r="RTW46" s="344"/>
      <c r="RTX46" s="344"/>
      <c r="RTY46" s="344"/>
      <c r="RTZ46" s="344"/>
      <c r="RUA46" s="344"/>
      <c r="RUB46" s="344"/>
      <c r="RUC46" s="344"/>
      <c r="RUD46" s="344"/>
      <c r="RUE46" s="344"/>
      <c r="RUF46" s="344"/>
      <c r="RUG46" s="344"/>
      <c r="RUH46" s="344"/>
      <c r="RUI46" s="344"/>
      <c r="RUJ46" s="344"/>
      <c r="RUK46" s="344"/>
      <c r="RUL46" s="344"/>
      <c r="RUM46" s="344"/>
      <c r="RUN46" s="344"/>
      <c r="RUO46" s="344"/>
      <c r="RUP46" s="344"/>
      <c r="RUQ46" s="344"/>
      <c r="RUR46" s="344"/>
      <c r="RUS46" s="344"/>
      <c r="RUT46" s="344"/>
      <c r="RUU46" s="344"/>
      <c r="RUV46" s="344"/>
      <c r="RUW46" s="344"/>
      <c r="RUX46" s="344"/>
      <c r="RUY46" s="344"/>
      <c r="RUZ46" s="344"/>
      <c r="RVA46" s="344"/>
      <c r="RVB46" s="344"/>
      <c r="RVC46" s="344"/>
      <c r="RVD46" s="344"/>
      <c r="RVE46" s="344"/>
      <c r="RVF46" s="344"/>
      <c r="RVG46" s="344"/>
      <c r="RVH46" s="344"/>
      <c r="RVI46" s="344"/>
      <c r="RVJ46" s="344"/>
      <c r="RVK46" s="344"/>
      <c r="RVL46" s="344"/>
      <c r="RVM46" s="344"/>
      <c r="RVN46" s="344"/>
      <c r="RVO46" s="344"/>
      <c r="RVP46" s="344"/>
      <c r="RVQ46" s="344"/>
      <c r="RVR46" s="344"/>
      <c r="RVS46" s="344"/>
      <c r="RVT46" s="344"/>
      <c r="RVU46" s="344"/>
      <c r="RVV46" s="344"/>
      <c r="RVW46" s="344"/>
      <c r="RVX46" s="344"/>
      <c r="RVY46" s="344"/>
      <c r="RVZ46" s="344"/>
      <c r="RWA46" s="344"/>
      <c r="RWB46" s="344"/>
      <c r="RWC46" s="344"/>
      <c r="RWD46" s="344"/>
      <c r="RWE46" s="344"/>
      <c r="RWF46" s="344"/>
      <c r="RWG46" s="344"/>
      <c r="RWH46" s="344"/>
      <c r="RWI46" s="344"/>
      <c r="RWJ46" s="344"/>
      <c r="RWK46" s="344"/>
      <c r="RWL46" s="344"/>
      <c r="RWM46" s="344"/>
      <c r="RWN46" s="344"/>
      <c r="RWO46" s="344"/>
      <c r="RWP46" s="344"/>
      <c r="RWQ46" s="344"/>
      <c r="RWR46" s="344"/>
      <c r="RWS46" s="344"/>
      <c r="RWT46" s="344"/>
      <c r="RWU46" s="344"/>
      <c r="RWV46" s="344"/>
      <c r="RWW46" s="344"/>
      <c r="RWX46" s="344"/>
      <c r="RWY46" s="344"/>
      <c r="RWZ46" s="344"/>
      <c r="RXA46" s="344"/>
      <c r="RXB46" s="344"/>
      <c r="RXC46" s="344"/>
      <c r="RXD46" s="344"/>
      <c r="RXE46" s="344"/>
      <c r="RXF46" s="344"/>
      <c r="RXG46" s="344"/>
      <c r="RXH46" s="344"/>
      <c r="RXI46" s="344"/>
      <c r="RXJ46" s="344"/>
      <c r="RXK46" s="344"/>
      <c r="RXL46" s="344"/>
      <c r="RXM46" s="344"/>
      <c r="RXN46" s="344"/>
      <c r="RXO46" s="344"/>
      <c r="RXP46" s="344"/>
      <c r="RXQ46" s="344"/>
      <c r="RXR46" s="344"/>
      <c r="RXS46" s="344"/>
      <c r="RXT46" s="344"/>
      <c r="RXU46" s="344"/>
      <c r="RXV46" s="344"/>
      <c r="RXW46" s="344"/>
      <c r="RXX46" s="344"/>
      <c r="RXY46" s="344"/>
      <c r="RXZ46" s="344"/>
      <c r="RYA46" s="344"/>
      <c r="RYB46" s="344"/>
      <c r="RYC46" s="344"/>
      <c r="RYD46" s="344"/>
      <c r="RYE46" s="344"/>
      <c r="RYF46" s="344"/>
      <c r="RYG46" s="344"/>
      <c r="RYH46" s="344"/>
      <c r="RYI46" s="344"/>
      <c r="RYJ46" s="344"/>
      <c r="RYK46" s="344"/>
      <c r="RYL46" s="344"/>
      <c r="RYM46" s="344"/>
      <c r="RYN46" s="344"/>
      <c r="RYO46" s="344"/>
      <c r="RYP46" s="344"/>
      <c r="RYQ46" s="344"/>
      <c r="RYR46" s="344"/>
      <c r="RYS46" s="344"/>
      <c r="RYT46" s="344"/>
      <c r="RYU46" s="344"/>
      <c r="RYV46" s="344"/>
      <c r="RYW46" s="344"/>
      <c r="RYX46" s="344"/>
      <c r="RYY46" s="344"/>
      <c r="RYZ46" s="344"/>
      <c r="RZA46" s="344"/>
      <c r="RZB46" s="344"/>
      <c r="RZC46" s="344"/>
      <c r="RZD46" s="344"/>
      <c r="RZE46" s="344"/>
      <c r="RZF46" s="344"/>
      <c r="RZG46" s="344"/>
      <c r="RZH46" s="344"/>
      <c r="RZI46" s="344"/>
      <c r="RZJ46" s="344"/>
      <c r="RZK46" s="344"/>
      <c r="RZL46" s="344"/>
      <c r="RZM46" s="344"/>
      <c r="RZN46" s="344"/>
      <c r="RZO46" s="344"/>
      <c r="RZP46" s="344"/>
      <c r="RZQ46" s="344"/>
      <c r="RZR46" s="344"/>
      <c r="RZS46" s="344"/>
      <c r="RZT46" s="344"/>
      <c r="RZU46" s="344"/>
      <c r="RZV46" s="344"/>
      <c r="RZW46" s="344"/>
      <c r="RZX46" s="344"/>
      <c r="RZY46" s="344"/>
      <c r="RZZ46" s="344"/>
      <c r="SAA46" s="344"/>
      <c r="SAB46" s="344"/>
      <c r="SAC46" s="344"/>
      <c r="SAD46" s="344"/>
      <c r="SAE46" s="344"/>
      <c r="SAF46" s="344"/>
      <c r="SAG46" s="344"/>
      <c r="SAH46" s="344"/>
      <c r="SAI46" s="344"/>
      <c r="SAJ46" s="344"/>
      <c r="SAK46" s="344"/>
      <c r="SAL46" s="344"/>
      <c r="SAM46" s="344"/>
      <c r="SAN46" s="344"/>
      <c r="SAO46" s="344"/>
      <c r="SAP46" s="344"/>
      <c r="SAQ46" s="344"/>
      <c r="SAR46" s="344"/>
      <c r="SAS46" s="344"/>
      <c r="SAT46" s="344"/>
      <c r="SAU46" s="344"/>
      <c r="SAV46" s="344"/>
      <c r="SAW46" s="344"/>
      <c r="SAX46" s="344"/>
      <c r="SAY46" s="344"/>
      <c r="SAZ46" s="344"/>
      <c r="SBA46" s="344"/>
      <c r="SBB46" s="344"/>
      <c r="SBC46" s="344"/>
      <c r="SBD46" s="344"/>
      <c r="SBE46" s="344"/>
      <c r="SBF46" s="344"/>
      <c r="SBG46" s="344"/>
      <c r="SBH46" s="344"/>
      <c r="SBI46" s="344"/>
      <c r="SBJ46" s="344"/>
      <c r="SBK46" s="344"/>
      <c r="SBL46" s="344"/>
      <c r="SBM46" s="344"/>
      <c r="SBN46" s="344"/>
      <c r="SBO46" s="344"/>
      <c r="SBP46" s="344"/>
      <c r="SBQ46" s="344"/>
      <c r="SBR46" s="344"/>
      <c r="SBS46" s="344"/>
      <c r="SBT46" s="344"/>
      <c r="SBU46" s="344"/>
      <c r="SBV46" s="344"/>
      <c r="SBW46" s="344"/>
      <c r="SBX46" s="344"/>
      <c r="SBY46" s="344"/>
      <c r="SBZ46" s="344"/>
      <c r="SCA46" s="344"/>
      <c r="SCB46" s="344"/>
      <c r="SCC46" s="344"/>
      <c r="SCD46" s="344"/>
      <c r="SCE46" s="344"/>
      <c r="SCF46" s="344"/>
      <c r="SCG46" s="344"/>
      <c r="SCH46" s="344"/>
      <c r="SCI46" s="344"/>
      <c r="SCJ46" s="344"/>
      <c r="SCK46" s="344"/>
      <c r="SCL46" s="344"/>
      <c r="SCM46" s="344"/>
      <c r="SCN46" s="344"/>
      <c r="SCO46" s="344"/>
      <c r="SCP46" s="344"/>
      <c r="SCQ46" s="344"/>
      <c r="SCR46" s="344"/>
      <c r="SCS46" s="344"/>
      <c r="SCT46" s="344"/>
      <c r="SCU46" s="344"/>
      <c r="SCV46" s="344"/>
      <c r="SCW46" s="344"/>
      <c r="SCX46" s="344"/>
      <c r="SCY46" s="344"/>
      <c r="SCZ46" s="344"/>
      <c r="SDA46" s="344"/>
      <c r="SDB46" s="344"/>
      <c r="SDC46" s="344"/>
      <c r="SDD46" s="344"/>
      <c r="SDE46" s="344"/>
      <c r="SDF46" s="344"/>
      <c r="SDG46" s="344"/>
      <c r="SDH46" s="344"/>
      <c r="SDI46" s="344"/>
      <c r="SDJ46" s="344"/>
      <c r="SDK46" s="344"/>
      <c r="SDL46" s="344"/>
      <c r="SDM46" s="344"/>
      <c r="SDN46" s="344"/>
      <c r="SDO46" s="344"/>
      <c r="SDP46" s="344"/>
      <c r="SDQ46" s="344"/>
      <c r="SDR46" s="344"/>
      <c r="SDS46" s="344"/>
      <c r="SDT46" s="344"/>
      <c r="SDU46" s="344"/>
      <c r="SDV46" s="344"/>
      <c r="SDW46" s="344"/>
      <c r="SDX46" s="344"/>
      <c r="SDY46" s="344"/>
      <c r="SDZ46" s="344"/>
      <c r="SEA46" s="344"/>
      <c r="SEB46" s="344"/>
      <c r="SEC46" s="344"/>
      <c r="SED46" s="344"/>
      <c r="SEE46" s="344"/>
      <c r="SEF46" s="344"/>
      <c r="SEG46" s="344"/>
      <c r="SEH46" s="344"/>
      <c r="SEI46" s="344"/>
      <c r="SEJ46" s="344"/>
      <c r="SEK46" s="344"/>
      <c r="SEL46" s="344"/>
      <c r="SEM46" s="344"/>
      <c r="SEN46" s="344"/>
      <c r="SEO46" s="344"/>
      <c r="SEP46" s="344"/>
      <c r="SEQ46" s="344"/>
      <c r="SER46" s="344"/>
      <c r="SES46" s="344"/>
      <c r="SET46" s="344"/>
      <c r="SEU46" s="344"/>
      <c r="SEV46" s="344"/>
      <c r="SEW46" s="344"/>
      <c r="SEX46" s="344"/>
      <c r="SEY46" s="344"/>
      <c r="SEZ46" s="344"/>
      <c r="SFA46" s="344"/>
      <c r="SFB46" s="344"/>
      <c r="SFC46" s="344"/>
      <c r="SFD46" s="344"/>
      <c r="SFE46" s="344"/>
      <c r="SFF46" s="344"/>
      <c r="SFG46" s="344"/>
      <c r="SFH46" s="344"/>
      <c r="SFI46" s="344"/>
      <c r="SFJ46" s="344"/>
      <c r="SFK46" s="344"/>
      <c r="SFL46" s="344"/>
      <c r="SFM46" s="344"/>
      <c r="SFN46" s="344"/>
      <c r="SFO46" s="344"/>
      <c r="SFP46" s="344"/>
      <c r="SFQ46" s="344"/>
      <c r="SFR46" s="344"/>
      <c r="SFS46" s="344"/>
      <c r="SFT46" s="344"/>
      <c r="SFU46" s="344"/>
      <c r="SFV46" s="344"/>
      <c r="SFW46" s="344"/>
      <c r="SFX46" s="344"/>
      <c r="SFY46" s="344"/>
      <c r="SFZ46" s="344"/>
      <c r="SGA46" s="344"/>
      <c r="SGB46" s="344"/>
      <c r="SGC46" s="344"/>
      <c r="SGD46" s="344"/>
      <c r="SGE46" s="344"/>
      <c r="SGF46" s="344"/>
      <c r="SGG46" s="344"/>
      <c r="SGH46" s="344"/>
      <c r="SGI46" s="344"/>
      <c r="SGJ46" s="344"/>
      <c r="SGK46" s="344"/>
      <c r="SGL46" s="344"/>
      <c r="SGM46" s="344"/>
      <c r="SGN46" s="344"/>
      <c r="SGO46" s="344"/>
      <c r="SGP46" s="344"/>
      <c r="SGQ46" s="344"/>
      <c r="SGR46" s="344"/>
      <c r="SGS46" s="344"/>
      <c r="SGT46" s="344"/>
      <c r="SGU46" s="344"/>
      <c r="SGV46" s="344"/>
      <c r="SGW46" s="344"/>
      <c r="SGX46" s="344"/>
      <c r="SGY46" s="344"/>
      <c r="SGZ46" s="344"/>
      <c r="SHA46" s="344"/>
      <c r="SHB46" s="344"/>
      <c r="SHC46" s="344"/>
      <c r="SHD46" s="344"/>
      <c r="SHE46" s="344"/>
      <c r="SHF46" s="344"/>
      <c r="SHG46" s="344"/>
      <c r="SHH46" s="344"/>
      <c r="SHI46" s="344"/>
      <c r="SHJ46" s="344"/>
      <c r="SHK46" s="344"/>
      <c r="SHL46" s="344"/>
      <c r="SHM46" s="344"/>
      <c r="SHN46" s="344"/>
      <c r="SHO46" s="344"/>
      <c r="SHP46" s="344"/>
      <c r="SHQ46" s="344"/>
      <c r="SHR46" s="344"/>
      <c r="SHS46" s="344"/>
      <c r="SHT46" s="344"/>
      <c r="SHU46" s="344"/>
      <c r="SHV46" s="344"/>
      <c r="SHW46" s="344"/>
      <c r="SHX46" s="344"/>
      <c r="SHY46" s="344"/>
      <c r="SHZ46" s="344"/>
      <c r="SIA46" s="344"/>
      <c r="SIB46" s="344"/>
      <c r="SIC46" s="344"/>
      <c r="SID46" s="344"/>
      <c r="SIE46" s="344"/>
      <c r="SIF46" s="344"/>
      <c r="SIG46" s="344"/>
      <c r="SIH46" s="344"/>
      <c r="SII46" s="344"/>
      <c r="SIJ46" s="344"/>
      <c r="SIK46" s="344"/>
      <c r="SIL46" s="344"/>
      <c r="SIM46" s="344"/>
      <c r="SIN46" s="344"/>
      <c r="SIO46" s="344"/>
      <c r="SIP46" s="344"/>
      <c r="SIQ46" s="344"/>
      <c r="SIR46" s="344"/>
      <c r="SIS46" s="344"/>
      <c r="SIT46" s="344"/>
      <c r="SIU46" s="344"/>
      <c r="SIV46" s="344"/>
      <c r="SIW46" s="344"/>
      <c r="SIX46" s="344"/>
      <c r="SIY46" s="344"/>
      <c r="SIZ46" s="344"/>
      <c r="SJA46" s="344"/>
      <c r="SJB46" s="344"/>
      <c r="SJC46" s="344"/>
      <c r="SJD46" s="344"/>
      <c r="SJE46" s="344"/>
      <c r="SJF46" s="344"/>
      <c r="SJG46" s="344"/>
      <c r="SJH46" s="344"/>
      <c r="SJI46" s="344"/>
      <c r="SJJ46" s="344"/>
      <c r="SJK46" s="344"/>
      <c r="SJL46" s="344"/>
      <c r="SJM46" s="344"/>
      <c r="SJN46" s="344"/>
      <c r="SJO46" s="344"/>
      <c r="SJP46" s="344"/>
      <c r="SJQ46" s="344"/>
      <c r="SJR46" s="344"/>
      <c r="SJS46" s="344"/>
      <c r="SJT46" s="344"/>
      <c r="SJU46" s="344"/>
      <c r="SJV46" s="344"/>
      <c r="SJW46" s="344"/>
      <c r="SJX46" s="344"/>
      <c r="SJY46" s="344"/>
      <c r="SJZ46" s="344"/>
      <c r="SKA46" s="344"/>
      <c r="SKB46" s="344"/>
      <c r="SKC46" s="344"/>
      <c r="SKD46" s="344"/>
      <c r="SKE46" s="344"/>
      <c r="SKF46" s="344"/>
      <c r="SKG46" s="344"/>
      <c r="SKH46" s="344"/>
      <c r="SKI46" s="344"/>
      <c r="SKJ46" s="344"/>
      <c r="SKK46" s="344"/>
      <c r="SKL46" s="344"/>
      <c r="SKM46" s="344"/>
      <c r="SKN46" s="344"/>
      <c r="SKO46" s="344"/>
      <c r="SKP46" s="344"/>
      <c r="SKQ46" s="344"/>
      <c r="SKR46" s="344"/>
      <c r="SKS46" s="344"/>
      <c r="SKT46" s="344"/>
      <c r="SKU46" s="344"/>
      <c r="SKV46" s="344"/>
      <c r="SKW46" s="344"/>
      <c r="SKX46" s="344"/>
      <c r="SKY46" s="344"/>
      <c r="SKZ46" s="344"/>
      <c r="SLA46" s="344"/>
      <c r="SLB46" s="344"/>
      <c r="SLC46" s="344"/>
      <c r="SLD46" s="344"/>
      <c r="SLE46" s="344"/>
      <c r="SLF46" s="344"/>
      <c r="SLG46" s="344"/>
      <c r="SLH46" s="344"/>
      <c r="SLI46" s="344"/>
      <c r="SLJ46" s="344"/>
      <c r="SLK46" s="344"/>
      <c r="SLL46" s="344"/>
      <c r="SLM46" s="344"/>
      <c r="SLN46" s="344"/>
      <c r="SLO46" s="344"/>
      <c r="SLP46" s="344"/>
      <c r="SLQ46" s="344"/>
      <c r="SLR46" s="344"/>
      <c r="SLS46" s="344"/>
      <c r="SLT46" s="344"/>
      <c r="SLU46" s="344"/>
      <c r="SLV46" s="344"/>
      <c r="SLW46" s="344"/>
      <c r="SLX46" s="344"/>
      <c r="SLY46" s="344"/>
      <c r="SLZ46" s="344"/>
      <c r="SMA46" s="344"/>
      <c r="SMB46" s="344"/>
      <c r="SMC46" s="344"/>
      <c r="SMD46" s="344"/>
      <c r="SME46" s="344"/>
      <c r="SMF46" s="344"/>
      <c r="SMG46" s="344"/>
      <c r="SMH46" s="344"/>
      <c r="SMI46" s="344"/>
      <c r="SMJ46" s="344"/>
      <c r="SMK46" s="344"/>
      <c r="SML46" s="344"/>
      <c r="SMM46" s="344"/>
      <c r="SMN46" s="344"/>
      <c r="SMO46" s="344"/>
      <c r="SMP46" s="344"/>
      <c r="SMQ46" s="344"/>
      <c r="SMR46" s="344"/>
      <c r="SMS46" s="344"/>
      <c r="SMT46" s="344"/>
      <c r="SMU46" s="344"/>
      <c r="SMV46" s="344"/>
      <c r="SMW46" s="344"/>
      <c r="SMX46" s="344"/>
      <c r="SMY46" s="344"/>
      <c r="SMZ46" s="344"/>
      <c r="SNA46" s="344"/>
      <c r="SNB46" s="344"/>
      <c r="SNC46" s="344"/>
      <c r="SND46" s="344"/>
      <c r="SNE46" s="344"/>
      <c r="SNF46" s="344"/>
      <c r="SNG46" s="344"/>
      <c r="SNH46" s="344"/>
      <c r="SNI46" s="344"/>
      <c r="SNJ46" s="344"/>
      <c r="SNK46" s="344"/>
      <c r="SNL46" s="344"/>
      <c r="SNM46" s="344"/>
      <c r="SNN46" s="344"/>
      <c r="SNO46" s="344"/>
      <c r="SNP46" s="344"/>
      <c r="SNQ46" s="344"/>
      <c r="SNR46" s="344"/>
      <c r="SNS46" s="344"/>
      <c r="SNT46" s="344"/>
      <c r="SNU46" s="344"/>
      <c r="SNV46" s="344"/>
      <c r="SNW46" s="344"/>
      <c r="SNX46" s="344"/>
      <c r="SNY46" s="344"/>
      <c r="SNZ46" s="344"/>
      <c r="SOA46" s="344"/>
      <c r="SOB46" s="344"/>
      <c r="SOC46" s="344"/>
      <c r="SOD46" s="344"/>
      <c r="SOE46" s="344"/>
      <c r="SOF46" s="344"/>
      <c r="SOG46" s="344"/>
      <c r="SOH46" s="344"/>
      <c r="SOI46" s="344"/>
      <c r="SOJ46" s="344"/>
      <c r="SOK46" s="344"/>
      <c r="SOL46" s="344"/>
      <c r="SOM46" s="344"/>
      <c r="SON46" s="344"/>
      <c r="SOO46" s="344"/>
      <c r="SOP46" s="344"/>
      <c r="SOQ46" s="344"/>
      <c r="SOR46" s="344"/>
      <c r="SOS46" s="344"/>
      <c r="SOT46" s="344"/>
      <c r="SOU46" s="344"/>
      <c r="SOV46" s="344"/>
      <c r="SOW46" s="344"/>
      <c r="SOX46" s="344"/>
      <c r="SOY46" s="344"/>
      <c r="SOZ46" s="344"/>
      <c r="SPA46" s="344"/>
      <c r="SPB46" s="344"/>
      <c r="SPC46" s="344"/>
      <c r="SPD46" s="344"/>
      <c r="SPE46" s="344"/>
      <c r="SPF46" s="344"/>
      <c r="SPG46" s="344"/>
      <c r="SPH46" s="344"/>
      <c r="SPI46" s="344"/>
      <c r="SPJ46" s="344"/>
      <c r="SPK46" s="344"/>
      <c r="SPL46" s="344"/>
      <c r="SPM46" s="344"/>
      <c r="SPN46" s="344"/>
      <c r="SPO46" s="344"/>
      <c r="SPP46" s="344"/>
      <c r="SPQ46" s="344"/>
      <c r="SPR46" s="344"/>
      <c r="SPS46" s="344"/>
      <c r="SPT46" s="344"/>
      <c r="SPU46" s="344"/>
      <c r="SPV46" s="344"/>
      <c r="SPW46" s="344"/>
      <c r="SPX46" s="344"/>
      <c r="SPY46" s="344"/>
      <c r="SPZ46" s="344"/>
      <c r="SQA46" s="344"/>
      <c r="SQB46" s="344"/>
      <c r="SQC46" s="344"/>
      <c r="SQD46" s="344"/>
      <c r="SQE46" s="344"/>
      <c r="SQF46" s="344"/>
      <c r="SQG46" s="344"/>
      <c r="SQH46" s="344"/>
      <c r="SQI46" s="344"/>
      <c r="SQJ46" s="344"/>
      <c r="SQK46" s="344"/>
      <c r="SQL46" s="344"/>
      <c r="SQM46" s="344"/>
      <c r="SQN46" s="344"/>
      <c r="SQO46" s="344"/>
      <c r="SQP46" s="344"/>
      <c r="SQQ46" s="344"/>
      <c r="SQR46" s="344"/>
      <c r="SQS46" s="344"/>
      <c r="SQT46" s="344"/>
      <c r="SQU46" s="344"/>
      <c r="SQV46" s="344"/>
      <c r="SQW46" s="344"/>
      <c r="SQX46" s="344"/>
      <c r="SQY46" s="344"/>
      <c r="SQZ46" s="344"/>
      <c r="SRA46" s="344"/>
      <c r="SRB46" s="344"/>
      <c r="SRC46" s="344"/>
      <c r="SRD46" s="344"/>
      <c r="SRE46" s="344"/>
      <c r="SRF46" s="344"/>
      <c r="SRG46" s="344"/>
      <c r="SRH46" s="344"/>
      <c r="SRI46" s="344"/>
      <c r="SRJ46" s="344"/>
      <c r="SRK46" s="344"/>
      <c r="SRL46" s="344"/>
      <c r="SRM46" s="344"/>
      <c r="SRN46" s="344"/>
      <c r="SRO46" s="344"/>
      <c r="SRP46" s="344"/>
      <c r="SRQ46" s="344"/>
      <c r="SRR46" s="344"/>
      <c r="SRS46" s="344"/>
      <c r="SRT46" s="344"/>
      <c r="SRU46" s="344"/>
      <c r="SRV46" s="344"/>
      <c r="SRW46" s="344"/>
      <c r="SRX46" s="344"/>
      <c r="SRY46" s="344"/>
      <c r="SRZ46" s="344"/>
      <c r="SSA46" s="344"/>
      <c r="SSB46" s="344"/>
      <c r="SSC46" s="344"/>
      <c r="SSD46" s="344"/>
      <c r="SSE46" s="344"/>
      <c r="SSF46" s="344"/>
      <c r="SSG46" s="344"/>
      <c r="SSH46" s="344"/>
      <c r="SSI46" s="344"/>
      <c r="SSJ46" s="344"/>
      <c r="SSK46" s="344"/>
      <c r="SSL46" s="344"/>
      <c r="SSM46" s="344"/>
      <c r="SSN46" s="344"/>
      <c r="SSO46" s="344"/>
      <c r="SSP46" s="344"/>
      <c r="SSQ46" s="344"/>
      <c r="SSR46" s="344"/>
      <c r="SSS46" s="344"/>
      <c r="SST46" s="344"/>
      <c r="SSU46" s="344"/>
      <c r="SSV46" s="344"/>
      <c r="SSW46" s="344"/>
      <c r="SSX46" s="344"/>
      <c r="SSY46" s="344"/>
      <c r="SSZ46" s="344"/>
      <c r="STA46" s="344"/>
      <c r="STB46" s="344"/>
      <c r="STC46" s="344"/>
      <c r="STD46" s="344"/>
      <c r="STE46" s="344"/>
      <c r="STF46" s="344"/>
      <c r="STG46" s="344"/>
      <c r="STH46" s="344"/>
      <c r="STI46" s="344"/>
      <c r="STJ46" s="344"/>
      <c r="STK46" s="344"/>
      <c r="STL46" s="344"/>
      <c r="STM46" s="344"/>
      <c r="STN46" s="344"/>
      <c r="STO46" s="344"/>
      <c r="STP46" s="344"/>
      <c r="STQ46" s="344"/>
      <c r="STR46" s="344"/>
      <c r="STS46" s="344"/>
      <c r="STT46" s="344"/>
      <c r="STU46" s="344"/>
      <c r="STV46" s="344"/>
      <c r="STW46" s="344"/>
      <c r="STX46" s="344"/>
      <c r="STY46" s="344"/>
      <c r="STZ46" s="344"/>
      <c r="SUA46" s="344"/>
      <c r="SUB46" s="344"/>
      <c r="SUC46" s="344"/>
      <c r="SUD46" s="344"/>
      <c r="SUE46" s="344"/>
      <c r="SUF46" s="344"/>
      <c r="SUG46" s="344"/>
      <c r="SUH46" s="344"/>
      <c r="SUI46" s="344"/>
      <c r="SUJ46" s="344"/>
      <c r="SUK46" s="344"/>
      <c r="SUL46" s="344"/>
      <c r="SUM46" s="344"/>
      <c r="SUN46" s="344"/>
      <c r="SUO46" s="344"/>
      <c r="SUP46" s="344"/>
      <c r="SUQ46" s="344"/>
      <c r="SUR46" s="344"/>
      <c r="SUS46" s="344"/>
      <c r="SUT46" s="344"/>
      <c r="SUU46" s="344"/>
      <c r="SUV46" s="344"/>
      <c r="SUW46" s="344"/>
      <c r="SUX46" s="344"/>
      <c r="SUY46" s="344"/>
      <c r="SUZ46" s="344"/>
      <c r="SVA46" s="344"/>
      <c r="SVB46" s="344"/>
      <c r="SVC46" s="344"/>
      <c r="SVD46" s="344"/>
      <c r="SVE46" s="344"/>
      <c r="SVF46" s="344"/>
      <c r="SVG46" s="344"/>
      <c r="SVH46" s="344"/>
      <c r="SVI46" s="344"/>
      <c r="SVJ46" s="344"/>
      <c r="SVK46" s="344"/>
      <c r="SVL46" s="344"/>
      <c r="SVM46" s="344"/>
      <c r="SVN46" s="344"/>
      <c r="SVO46" s="344"/>
      <c r="SVP46" s="344"/>
      <c r="SVQ46" s="344"/>
      <c r="SVR46" s="344"/>
      <c r="SVS46" s="344"/>
      <c r="SVT46" s="344"/>
      <c r="SVU46" s="344"/>
      <c r="SVV46" s="344"/>
      <c r="SVW46" s="344"/>
      <c r="SVX46" s="344"/>
      <c r="SVY46" s="344"/>
      <c r="SVZ46" s="344"/>
      <c r="SWA46" s="344"/>
      <c r="SWB46" s="344"/>
      <c r="SWC46" s="344"/>
      <c r="SWD46" s="344"/>
      <c r="SWE46" s="344"/>
      <c r="SWF46" s="344"/>
      <c r="SWG46" s="344"/>
      <c r="SWH46" s="344"/>
      <c r="SWI46" s="344"/>
      <c r="SWJ46" s="344"/>
      <c r="SWK46" s="344"/>
      <c r="SWL46" s="344"/>
      <c r="SWM46" s="344"/>
      <c r="SWN46" s="344"/>
      <c r="SWO46" s="344"/>
      <c r="SWP46" s="344"/>
      <c r="SWQ46" s="344"/>
      <c r="SWR46" s="344"/>
      <c r="SWS46" s="344"/>
      <c r="SWT46" s="344"/>
      <c r="SWU46" s="344"/>
      <c r="SWV46" s="344"/>
      <c r="SWW46" s="344"/>
      <c r="SWX46" s="344"/>
      <c r="SWY46" s="344"/>
      <c r="SWZ46" s="344"/>
      <c r="SXA46" s="344"/>
      <c r="SXB46" s="344"/>
      <c r="SXC46" s="344"/>
      <c r="SXD46" s="344"/>
      <c r="SXE46" s="344"/>
      <c r="SXF46" s="344"/>
      <c r="SXG46" s="344"/>
      <c r="SXH46" s="344"/>
      <c r="SXI46" s="344"/>
      <c r="SXJ46" s="344"/>
      <c r="SXK46" s="344"/>
      <c r="SXL46" s="344"/>
      <c r="SXM46" s="344"/>
      <c r="SXN46" s="344"/>
      <c r="SXO46" s="344"/>
      <c r="SXP46" s="344"/>
      <c r="SXQ46" s="344"/>
      <c r="SXR46" s="344"/>
      <c r="SXS46" s="344"/>
      <c r="SXT46" s="344"/>
      <c r="SXU46" s="344"/>
      <c r="SXV46" s="344"/>
      <c r="SXW46" s="344"/>
      <c r="SXX46" s="344"/>
      <c r="SXY46" s="344"/>
      <c r="SXZ46" s="344"/>
      <c r="SYA46" s="344"/>
      <c r="SYB46" s="344"/>
      <c r="SYC46" s="344"/>
      <c r="SYD46" s="344"/>
      <c r="SYE46" s="344"/>
      <c r="SYF46" s="344"/>
      <c r="SYG46" s="344"/>
      <c r="SYH46" s="344"/>
      <c r="SYI46" s="344"/>
      <c r="SYJ46" s="344"/>
      <c r="SYK46" s="344"/>
      <c r="SYL46" s="344"/>
      <c r="SYM46" s="344"/>
      <c r="SYN46" s="344"/>
      <c r="SYO46" s="344"/>
      <c r="SYP46" s="344"/>
      <c r="SYQ46" s="344"/>
      <c r="SYR46" s="344"/>
      <c r="SYS46" s="344"/>
      <c r="SYT46" s="344"/>
      <c r="SYU46" s="344"/>
      <c r="SYV46" s="344"/>
      <c r="SYW46" s="344"/>
      <c r="SYX46" s="344"/>
      <c r="SYY46" s="344"/>
      <c r="SYZ46" s="344"/>
      <c r="SZA46" s="344"/>
      <c r="SZB46" s="344"/>
      <c r="SZC46" s="344"/>
      <c r="SZD46" s="344"/>
      <c r="SZE46" s="344"/>
      <c r="SZF46" s="344"/>
      <c r="SZG46" s="344"/>
      <c r="SZH46" s="344"/>
      <c r="SZI46" s="344"/>
      <c r="SZJ46" s="344"/>
      <c r="SZK46" s="344"/>
      <c r="SZL46" s="344"/>
      <c r="SZM46" s="344"/>
      <c r="SZN46" s="344"/>
      <c r="SZO46" s="344"/>
      <c r="SZP46" s="344"/>
      <c r="SZQ46" s="344"/>
      <c r="SZR46" s="344"/>
      <c r="SZS46" s="344"/>
      <c r="SZT46" s="344"/>
      <c r="SZU46" s="344"/>
      <c r="SZV46" s="344"/>
      <c r="SZW46" s="344"/>
      <c r="SZX46" s="344"/>
      <c r="SZY46" s="344"/>
      <c r="SZZ46" s="344"/>
      <c r="TAA46" s="344"/>
      <c r="TAB46" s="344"/>
      <c r="TAC46" s="344"/>
      <c r="TAD46" s="344"/>
      <c r="TAE46" s="344"/>
      <c r="TAF46" s="344"/>
      <c r="TAG46" s="344"/>
      <c r="TAH46" s="344"/>
      <c r="TAI46" s="344"/>
      <c r="TAJ46" s="344"/>
      <c r="TAK46" s="344"/>
      <c r="TAL46" s="344"/>
      <c r="TAM46" s="344"/>
      <c r="TAN46" s="344"/>
      <c r="TAO46" s="344"/>
      <c r="TAP46" s="344"/>
      <c r="TAQ46" s="344"/>
      <c r="TAR46" s="344"/>
      <c r="TAS46" s="344"/>
      <c r="TAT46" s="344"/>
      <c r="TAU46" s="344"/>
      <c r="TAV46" s="344"/>
      <c r="TAW46" s="344"/>
      <c r="TAX46" s="344"/>
      <c r="TAY46" s="344"/>
      <c r="TAZ46" s="344"/>
      <c r="TBA46" s="344"/>
      <c r="TBB46" s="344"/>
      <c r="TBC46" s="344"/>
      <c r="TBD46" s="344"/>
      <c r="TBE46" s="344"/>
      <c r="TBF46" s="344"/>
      <c r="TBG46" s="344"/>
      <c r="TBH46" s="344"/>
      <c r="TBI46" s="344"/>
      <c r="TBJ46" s="344"/>
      <c r="TBK46" s="344"/>
      <c r="TBL46" s="344"/>
      <c r="TBM46" s="344"/>
      <c r="TBN46" s="344"/>
      <c r="TBO46" s="344"/>
      <c r="TBP46" s="344"/>
      <c r="TBQ46" s="344"/>
      <c r="TBR46" s="344"/>
      <c r="TBS46" s="344"/>
      <c r="TBT46" s="344"/>
      <c r="TBU46" s="344"/>
      <c r="TBV46" s="344"/>
      <c r="TBW46" s="344"/>
      <c r="TBX46" s="344"/>
      <c r="TBY46" s="344"/>
      <c r="TBZ46" s="344"/>
      <c r="TCA46" s="344"/>
      <c r="TCB46" s="344"/>
      <c r="TCC46" s="344"/>
      <c r="TCD46" s="344"/>
      <c r="TCE46" s="344"/>
      <c r="TCF46" s="344"/>
      <c r="TCG46" s="344"/>
      <c r="TCH46" s="344"/>
      <c r="TCI46" s="344"/>
      <c r="TCJ46" s="344"/>
      <c r="TCK46" s="344"/>
      <c r="TCL46" s="344"/>
      <c r="TCM46" s="344"/>
      <c r="TCN46" s="344"/>
      <c r="TCO46" s="344"/>
      <c r="TCP46" s="344"/>
      <c r="TCQ46" s="344"/>
      <c r="TCR46" s="344"/>
      <c r="TCS46" s="344"/>
      <c r="TCT46" s="344"/>
      <c r="TCU46" s="344"/>
      <c r="TCV46" s="344"/>
      <c r="TCW46" s="344"/>
      <c r="TCX46" s="344"/>
      <c r="TCY46" s="344"/>
      <c r="TCZ46" s="344"/>
      <c r="TDA46" s="344"/>
      <c r="TDB46" s="344"/>
      <c r="TDC46" s="344"/>
      <c r="TDD46" s="344"/>
      <c r="TDE46" s="344"/>
      <c r="TDF46" s="344"/>
      <c r="TDG46" s="344"/>
      <c r="TDH46" s="344"/>
      <c r="TDI46" s="344"/>
      <c r="TDJ46" s="344"/>
      <c r="TDK46" s="344"/>
      <c r="TDL46" s="344"/>
      <c r="TDM46" s="344"/>
      <c r="TDN46" s="344"/>
      <c r="TDO46" s="344"/>
      <c r="TDP46" s="344"/>
      <c r="TDQ46" s="344"/>
      <c r="TDR46" s="344"/>
      <c r="TDS46" s="344"/>
      <c r="TDT46" s="344"/>
      <c r="TDU46" s="344"/>
      <c r="TDV46" s="344"/>
      <c r="TDW46" s="344"/>
      <c r="TDX46" s="344"/>
      <c r="TDY46" s="344"/>
      <c r="TDZ46" s="344"/>
      <c r="TEA46" s="344"/>
      <c r="TEB46" s="344"/>
      <c r="TEC46" s="344"/>
      <c r="TED46" s="344"/>
      <c r="TEE46" s="344"/>
      <c r="TEF46" s="344"/>
      <c r="TEG46" s="344"/>
      <c r="TEH46" s="344"/>
      <c r="TEI46" s="344"/>
      <c r="TEJ46" s="344"/>
      <c r="TEK46" s="344"/>
      <c r="TEL46" s="344"/>
      <c r="TEM46" s="344"/>
      <c r="TEN46" s="344"/>
      <c r="TEO46" s="344"/>
      <c r="TEP46" s="344"/>
      <c r="TEQ46" s="344"/>
      <c r="TER46" s="344"/>
      <c r="TES46" s="344"/>
      <c r="TET46" s="344"/>
      <c r="TEU46" s="344"/>
      <c r="TEV46" s="344"/>
      <c r="TEW46" s="344"/>
      <c r="TEX46" s="344"/>
      <c r="TEY46" s="344"/>
      <c r="TEZ46" s="344"/>
      <c r="TFA46" s="344"/>
      <c r="TFB46" s="344"/>
      <c r="TFC46" s="344"/>
      <c r="TFD46" s="344"/>
      <c r="TFE46" s="344"/>
      <c r="TFF46" s="344"/>
      <c r="TFG46" s="344"/>
      <c r="TFH46" s="344"/>
      <c r="TFI46" s="344"/>
      <c r="TFJ46" s="344"/>
      <c r="TFK46" s="344"/>
      <c r="TFL46" s="344"/>
      <c r="TFM46" s="344"/>
      <c r="TFN46" s="344"/>
      <c r="TFO46" s="344"/>
      <c r="TFP46" s="344"/>
      <c r="TFQ46" s="344"/>
      <c r="TFR46" s="344"/>
      <c r="TFS46" s="344"/>
      <c r="TFT46" s="344"/>
      <c r="TFU46" s="344"/>
      <c r="TFV46" s="344"/>
      <c r="TFW46" s="344"/>
      <c r="TFX46" s="344"/>
      <c r="TFY46" s="344"/>
      <c r="TFZ46" s="344"/>
      <c r="TGA46" s="344"/>
      <c r="TGB46" s="344"/>
      <c r="TGC46" s="344"/>
      <c r="TGD46" s="344"/>
      <c r="TGE46" s="344"/>
      <c r="TGF46" s="344"/>
      <c r="TGG46" s="344"/>
      <c r="TGH46" s="344"/>
      <c r="TGI46" s="344"/>
      <c r="TGJ46" s="344"/>
      <c r="TGK46" s="344"/>
      <c r="TGL46" s="344"/>
      <c r="TGM46" s="344"/>
      <c r="TGN46" s="344"/>
      <c r="TGO46" s="344"/>
      <c r="TGP46" s="344"/>
      <c r="TGQ46" s="344"/>
      <c r="TGR46" s="344"/>
      <c r="TGS46" s="344"/>
      <c r="TGT46" s="344"/>
      <c r="TGU46" s="344"/>
      <c r="TGV46" s="344"/>
      <c r="TGW46" s="344"/>
      <c r="TGX46" s="344"/>
      <c r="TGY46" s="344"/>
      <c r="TGZ46" s="344"/>
      <c r="THA46" s="344"/>
      <c r="THB46" s="344"/>
      <c r="THC46" s="344"/>
      <c r="THD46" s="344"/>
      <c r="THE46" s="344"/>
      <c r="THF46" s="344"/>
      <c r="THG46" s="344"/>
      <c r="THH46" s="344"/>
      <c r="THI46" s="344"/>
      <c r="THJ46" s="344"/>
      <c r="THK46" s="344"/>
      <c r="THL46" s="344"/>
      <c r="THM46" s="344"/>
      <c r="THN46" s="344"/>
      <c r="THO46" s="344"/>
      <c r="THP46" s="344"/>
      <c r="THQ46" s="344"/>
      <c r="THR46" s="344"/>
      <c r="THS46" s="344"/>
      <c r="THT46" s="344"/>
      <c r="THU46" s="344"/>
      <c r="THV46" s="344"/>
      <c r="THW46" s="344"/>
      <c r="THX46" s="344"/>
      <c r="THY46" s="344"/>
      <c r="THZ46" s="344"/>
      <c r="TIA46" s="344"/>
      <c r="TIB46" s="344"/>
      <c r="TIC46" s="344"/>
      <c r="TID46" s="344"/>
      <c r="TIE46" s="344"/>
      <c r="TIF46" s="344"/>
      <c r="TIG46" s="344"/>
      <c r="TIH46" s="344"/>
      <c r="TII46" s="344"/>
      <c r="TIJ46" s="344"/>
      <c r="TIK46" s="344"/>
      <c r="TIL46" s="344"/>
      <c r="TIM46" s="344"/>
      <c r="TIN46" s="344"/>
      <c r="TIO46" s="344"/>
      <c r="TIP46" s="344"/>
      <c r="TIQ46" s="344"/>
      <c r="TIR46" s="344"/>
      <c r="TIS46" s="344"/>
      <c r="TIT46" s="344"/>
      <c r="TIU46" s="344"/>
      <c r="TIV46" s="344"/>
      <c r="TIW46" s="344"/>
      <c r="TIX46" s="344"/>
      <c r="TIY46" s="344"/>
      <c r="TIZ46" s="344"/>
      <c r="TJA46" s="344"/>
      <c r="TJB46" s="344"/>
      <c r="TJC46" s="344"/>
      <c r="TJD46" s="344"/>
      <c r="TJE46" s="344"/>
      <c r="TJF46" s="344"/>
      <c r="TJG46" s="344"/>
      <c r="TJH46" s="344"/>
      <c r="TJI46" s="344"/>
      <c r="TJJ46" s="344"/>
      <c r="TJK46" s="344"/>
      <c r="TJL46" s="344"/>
      <c r="TJM46" s="344"/>
      <c r="TJN46" s="344"/>
      <c r="TJO46" s="344"/>
      <c r="TJP46" s="344"/>
      <c r="TJQ46" s="344"/>
      <c r="TJR46" s="344"/>
      <c r="TJS46" s="344"/>
      <c r="TJT46" s="344"/>
      <c r="TJU46" s="344"/>
      <c r="TJV46" s="344"/>
      <c r="TJW46" s="344"/>
      <c r="TJX46" s="344"/>
      <c r="TJY46" s="344"/>
      <c r="TJZ46" s="344"/>
      <c r="TKA46" s="344"/>
      <c r="TKB46" s="344"/>
      <c r="TKC46" s="344"/>
      <c r="TKD46" s="344"/>
      <c r="TKE46" s="344"/>
      <c r="TKF46" s="344"/>
      <c r="TKG46" s="344"/>
      <c r="TKH46" s="344"/>
      <c r="TKI46" s="344"/>
      <c r="TKJ46" s="344"/>
      <c r="TKK46" s="344"/>
      <c r="TKL46" s="344"/>
      <c r="TKM46" s="344"/>
      <c r="TKN46" s="344"/>
      <c r="TKO46" s="344"/>
      <c r="TKP46" s="344"/>
      <c r="TKQ46" s="344"/>
      <c r="TKR46" s="344"/>
      <c r="TKS46" s="344"/>
      <c r="TKT46" s="344"/>
      <c r="TKU46" s="344"/>
      <c r="TKV46" s="344"/>
      <c r="TKW46" s="344"/>
      <c r="TKX46" s="344"/>
      <c r="TKY46" s="344"/>
      <c r="TKZ46" s="344"/>
      <c r="TLA46" s="344"/>
      <c r="TLB46" s="344"/>
      <c r="TLC46" s="344"/>
      <c r="TLD46" s="344"/>
      <c r="TLE46" s="344"/>
      <c r="TLF46" s="344"/>
      <c r="TLG46" s="344"/>
      <c r="TLH46" s="344"/>
      <c r="TLI46" s="344"/>
      <c r="TLJ46" s="344"/>
      <c r="TLK46" s="344"/>
      <c r="TLL46" s="344"/>
      <c r="TLM46" s="344"/>
      <c r="TLN46" s="344"/>
      <c r="TLO46" s="344"/>
      <c r="TLP46" s="344"/>
      <c r="TLQ46" s="344"/>
      <c r="TLR46" s="344"/>
      <c r="TLS46" s="344"/>
      <c r="TLT46" s="344"/>
      <c r="TLU46" s="344"/>
      <c r="TLV46" s="344"/>
      <c r="TLW46" s="344"/>
      <c r="TLX46" s="344"/>
      <c r="TLY46" s="344"/>
      <c r="TLZ46" s="344"/>
      <c r="TMA46" s="344"/>
      <c r="TMB46" s="344"/>
      <c r="TMC46" s="344"/>
      <c r="TMD46" s="344"/>
      <c r="TME46" s="344"/>
      <c r="TMF46" s="344"/>
      <c r="TMG46" s="344"/>
      <c r="TMH46" s="344"/>
      <c r="TMI46" s="344"/>
      <c r="TMJ46" s="344"/>
      <c r="TMK46" s="344"/>
      <c r="TML46" s="344"/>
      <c r="TMM46" s="344"/>
      <c r="TMN46" s="344"/>
      <c r="TMO46" s="344"/>
      <c r="TMP46" s="344"/>
      <c r="TMQ46" s="344"/>
      <c r="TMR46" s="344"/>
      <c r="TMS46" s="344"/>
      <c r="TMT46" s="344"/>
      <c r="TMU46" s="344"/>
      <c r="TMV46" s="344"/>
      <c r="TMW46" s="344"/>
      <c r="TMX46" s="344"/>
      <c r="TMY46" s="344"/>
      <c r="TMZ46" s="344"/>
      <c r="TNA46" s="344"/>
      <c r="TNB46" s="344"/>
      <c r="TNC46" s="344"/>
      <c r="TND46" s="344"/>
      <c r="TNE46" s="344"/>
      <c r="TNF46" s="344"/>
      <c r="TNG46" s="344"/>
      <c r="TNH46" s="344"/>
      <c r="TNI46" s="344"/>
      <c r="TNJ46" s="344"/>
      <c r="TNK46" s="344"/>
      <c r="TNL46" s="344"/>
      <c r="TNM46" s="344"/>
      <c r="TNN46" s="344"/>
      <c r="TNO46" s="344"/>
      <c r="TNP46" s="344"/>
      <c r="TNQ46" s="344"/>
      <c r="TNR46" s="344"/>
      <c r="TNS46" s="344"/>
      <c r="TNT46" s="344"/>
      <c r="TNU46" s="344"/>
      <c r="TNV46" s="344"/>
      <c r="TNW46" s="344"/>
      <c r="TNX46" s="344"/>
      <c r="TNY46" s="344"/>
      <c r="TNZ46" s="344"/>
      <c r="TOA46" s="344"/>
      <c r="TOB46" s="344"/>
      <c r="TOC46" s="344"/>
      <c r="TOD46" s="344"/>
      <c r="TOE46" s="344"/>
      <c r="TOF46" s="344"/>
      <c r="TOG46" s="344"/>
      <c r="TOH46" s="344"/>
      <c r="TOI46" s="344"/>
      <c r="TOJ46" s="344"/>
      <c r="TOK46" s="344"/>
      <c r="TOL46" s="344"/>
      <c r="TOM46" s="344"/>
      <c r="TON46" s="344"/>
      <c r="TOO46" s="344"/>
      <c r="TOP46" s="344"/>
      <c r="TOQ46" s="344"/>
      <c r="TOR46" s="344"/>
      <c r="TOS46" s="344"/>
      <c r="TOT46" s="344"/>
      <c r="TOU46" s="344"/>
      <c r="TOV46" s="344"/>
      <c r="TOW46" s="344"/>
      <c r="TOX46" s="344"/>
      <c r="TOY46" s="344"/>
      <c r="TOZ46" s="344"/>
      <c r="TPA46" s="344"/>
      <c r="TPB46" s="344"/>
      <c r="TPC46" s="344"/>
      <c r="TPD46" s="344"/>
      <c r="TPE46" s="344"/>
      <c r="TPF46" s="344"/>
      <c r="TPG46" s="344"/>
      <c r="TPH46" s="344"/>
      <c r="TPI46" s="344"/>
      <c r="TPJ46" s="344"/>
      <c r="TPK46" s="344"/>
      <c r="TPL46" s="344"/>
      <c r="TPM46" s="344"/>
      <c r="TPN46" s="344"/>
      <c r="TPO46" s="344"/>
      <c r="TPP46" s="344"/>
      <c r="TPQ46" s="344"/>
      <c r="TPR46" s="344"/>
      <c r="TPS46" s="344"/>
      <c r="TPT46" s="344"/>
      <c r="TPU46" s="344"/>
      <c r="TPV46" s="344"/>
      <c r="TPW46" s="344"/>
      <c r="TPX46" s="344"/>
      <c r="TPY46" s="344"/>
      <c r="TPZ46" s="344"/>
      <c r="TQA46" s="344"/>
      <c r="TQB46" s="344"/>
      <c r="TQC46" s="344"/>
      <c r="TQD46" s="344"/>
      <c r="TQE46" s="344"/>
      <c r="TQF46" s="344"/>
      <c r="TQG46" s="344"/>
      <c r="TQH46" s="344"/>
      <c r="TQI46" s="344"/>
      <c r="TQJ46" s="344"/>
      <c r="TQK46" s="344"/>
      <c r="TQL46" s="344"/>
      <c r="TQM46" s="344"/>
      <c r="TQN46" s="344"/>
      <c r="TQO46" s="344"/>
      <c r="TQP46" s="344"/>
      <c r="TQQ46" s="344"/>
      <c r="TQR46" s="344"/>
      <c r="TQS46" s="344"/>
      <c r="TQT46" s="344"/>
      <c r="TQU46" s="344"/>
      <c r="TQV46" s="344"/>
      <c r="TQW46" s="344"/>
      <c r="TQX46" s="344"/>
      <c r="TQY46" s="344"/>
      <c r="TQZ46" s="344"/>
      <c r="TRA46" s="344"/>
      <c r="TRB46" s="344"/>
      <c r="TRC46" s="344"/>
      <c r="TRD46" s="344"/>
      <c r="TRE46" s="344"/>
      <c r="TRF46" s="344"/>
      <c r="TRG46" s="344"/>
      <c r="TRH46" s="344"/>
      <c r="TRI46" s="344"/>
      <c r="TRJ46" s="344"/>
      <c r="TRK46" s="344"/>
      <c r="TRL46" s="344"/>
      <c r="TRM46" s="344"/>
      <c r="TRN46" s="344"/>
      <c r="TRO46" s="344"/>
      <c r="TRP46" s="344"/>
      <c r="TRQ46" s="344"/>
      <c r="TRR46" s="344"/>
      <c r="TRS46" s="344"/>
      <c r="TRT46" s="344"/>
      <c r="TRU46" s="344"/>
      <c r="TRV46" s="344"/>
      <c r="TRW46" s="344"/>
      <c r="TRX46" s="344"/>
      <c r="TRY46" s="344"/>
      <c r="TRZ46" s="344"/>
      <c r="TSA46" s="344"/>
      <c r="TSB46" s="344"/>
      <c r="TSC46" s="344"/>
      <c r="TSD46" s="344"/>
      <c r="TSE46" s="344"/>
      <c r="TSF46" s="344"/>
      <c r="TSG46" s="344"/>
      <c r="TSH46" s="344"/>
      <c r="TSI46" s="344"/>
      <c r="TSJ46" s="344"/>
      <c r="TSK46" s="344"/>
      <c r="TSL46" s="344"/>
      <c r="TSM46" s="344"/>
      <c r="TSN46" s="344"/>
      <c r="TSO46" s="344"/>
      <c r="TSP46" s="344"/>
      <c r="TSQ46" s="344"/>
      <c r="TSR46" s="344"/>
      <c r="TSS46" s="344"/>
      <c r="TST46" s="344"/>
      <c r="TSU46" s="344"/>
      <c r="TSV46" s="344"/>
      <c r="TSW46" s="344"/>
      <c r="TSX46" s="344"/>
      <c r="TSY46" s="344"/>
      <c r="TSZ46" s="344"/>
      <c r="TTA46" s="344"/>
      <c r="TTB46" s="344"/>
      <c r="TTC46" s="344"/>
      <c r="TTD46" s="344"/>
      <c r="TTE46" s="344"/>
      <c r="TTF46" s="344"/>
      <c r="TTG46" s="344"/>
      <c r="TTH46" s="344"/>
      <c r="TTI46" s="344"/>
      <c r="TTJ46" s="344"/>
      <c r="TTK46" s="344"/>
      <c r="TTL46" s="344"/>
      <c r="TTM46" s="344"/>
      <c r="TTN46" s="344"/>
      <c r="TTO46" s="344"/>
      <c r="TTP46" s="344"/>
      <c r="TTQ46" s="344"/>
      <c r="TTR46" s="344"/>
      <c r="TTS46" s="344"/>
      <c r="TTT46" s="344"/>
      <c r="TTU46" s="344"/>
      <c r="TTV46" s="344"/>
      <c r="TTW46" s="344"/>
      <c r="TTX46" s="344"/>
      <c r="TTY46" s="344"/>
      <c r="TTZ46" s="344"/>
      <c r="TUA46" s="344"/>
      <c r="TUB46" s="344"/>
      <c r="TUC46" s="344"/>
      <c r="TUD46" s="344"/>
      <c r="TUE46" s="344"/>
      <c r="TUF46" s="344"/>
      <c r="TUG46" s="344"/>
      <c r="TUH46" s="344"/>
      <c r="TUI46" s="344"/>
      <c r="TUJ46" s="344"/>
      <c r="TUK46" s="344"/>
      <c r="TUL46" s="344"/>
      <c r="TUM46" s="344"/>
      <c r="TUN46" s="344"/>
      <c r="TUO46" s="344"/>
      <c r="TUP46" s="344"/>
      <c r="TUQ46" s="344"/>
      <c r="TUR46" s="344"/>
      <c r="TUS46" s="344"/>
      <c r="TUT46" s="344"/>
      <c r="TUU46" s="344"/>
      <c r="TUV46" s="344"/>
      <c r="TUW46" s="344"/>
      <c r="TUX46" s="344"/>
      <c r="TUY46" s="344"/>
      <c r="TUZ46" s="344"/>
      <c r="TVA46" s="344"/>
      <c r="TVB46" s="344"/>
      <c r="TVC46" s="344"/>
      <c r="TVD46" s="344"/>
      <c r="TVE46" s="344"/>
      <c r="TVF46" s="344"/>
      <c r="TVG46" s="344"/>
      <c r="TVH46" s="344"/>
      <c r="TVI46" s="344"/>
      <c r="TVJ46" s="344"/>
      <c r="TVK46" s="344"/>
      <c r="TVL46" s="344"/>
      <c r="TVM46" s="344"/>
      <c r="TVN46" s="344"/>
      <c r="TVO46" s="344"/>
      <c r="TVP46" s="344"/>
      <c r="TVQ46" s="344"/>
      <c r="TVR46" s="344"/>
      <c r="TVS46" s="344"/>
      <c r="TVT46" s="344"/>
      <c r="TVU46" s="344"/>
      <c r="TVV46" s="344"/>
      <c r="TVW46" s="344"/>
      <c r="TVX46" s="344"/>
      <c r="TVY46" s="344"/>
      <c r="TVZ46" s="344"/>
      <c r="TWA46" s="344"/>
      <c r="TWB46" s="344"/>
      <c r="TWC46" s="344"/>
      <c r="TWD46" s="344"/>
      <c r="TWE46" s="344"/>
      <c r="TWF46" s="344"/>
      <c r="TWG46" s="344"/>
      <c r="TWH46" s="344"/>
      <c r="TWI46" s="344"/>
      <c r="TWJ46" s="344"/>
      <c r="TWK46" s="344"/>
      <c r="TWL46" s="344"/>
      <c r="TWM46" s="344"/>
      <c r="TWN46" s="344"/>
      <c r="TWO46" s="344"/>
      <c r="TWP46" s="344"/>
      <c r="TWQ46" s="344"/>
      <c r="TWR46" s="344"/>
      <c r="TWS46" s="344"/>
      <c r="TWT46" s="344"/>
      <c r="TWU46" s="344"/>
      <c r="TWV46" s="344"/>
      <c r="TWW46" s="344"/>
      <c r="TWX46" s="344"/>
      <c r="TWY46" s="344"/>
      <c r="TWZ46" s="344"/>
      <c r="TXA46" s="344"/>
      <c r="TXB46" s="344"/>
      <c r="TXC46" s="344"/>
      <c r="TXD46" s="344"/>
      <c r="TXE46" s="344"/>
      <c r="TXF46" s="344"/>
      <c r="TXG46" s="344"/>
      <c r="TXH46" s="344"/>
      <c r="TXI46" s="344"/>
      <c r="TXJ46" s="344"/>
      <c r="TXK46" s="344"/>
      <c r="TXL46" s="344"/>
      <c r="TXM46" s="344"/>
      <c r="TXN46" s="344"/>
      <c r="TXO46" s="344"/>
      <c r="TXP46" s="344"/>
      <c r="TXQ46" s="344"/>
      <c r="TXR46" s="344"/>
      <c r="TXS46" s="344"/>
      <c r="TXT46" s="344"/>
      <c r="TXU46" s="344"/>
      <c r="TXV46" s="344"/>
      <c r="TXW46" s="344"/>
      <c r="TXX46" s="344"/>
      <c r="TXY46" s="344"/>
      <c r="TXZ46" s="344"/>
      <c r="TYA46" s="344"/>
      <c r="TYB46" s="344"/>
      <c r="TYC46" s="344"/>
      <c r="TYD46" s="344"/>
      <c r="TYE46" s="344"/>
      <c r="TYF46" s="344"/>
      <c r="TYG46" s="344"/>
      <c r="TYH46" s="344"/>
      <c r="TYI46" s="344"/>
      <c r="TYJ46" s="344"/>
      <c r="TYK46" s="344"/>
      <c r="TYL46" s="344"/>
      <c r="TYM46" s="344"/>
      <c r="TYN46" s="344"/>
      <c r="TYO46" s="344"/>
      <c r="TYP46" s="344"/>
      <c r="TYQ46" s="344"/>
      <c r="TYR46" s="344"/>
      <c r="TYS46" s="344"/>
      <c r="TYT46" s="344"/>
      <c r="TYU46" s="344"/>
      <c r="TYV46" s="344"/>
      <c r="TYW46" s="344"/>
      <c r="TYX46" s="344"/>
      <c r="TYY46" s="344"/>
      <c r="TYZ46" s="344"/>
      <c r="TZA46" s="344"/>
      <c r="TZB46" s="344"/>
      <c r="TZC46" s="344"/>
      <c r="TZD46" s="344"/>
      <c r="TZE46" s="344"/>
      <c r="TZF46" s="344"/>
      <c r="TZG46" s="344"/>
      <c r="TZH46" s="344"/>
      <c r="TZI46" s="344"/>
      <c r="TZJ46" s="344"/>
      <c r="TZK46" s="344"/>
      <c r="TZL46" s="344"/>
      <c r="TZM46" s="344"/>
      <c r="TZN46" s="344"/>
      <c r="TZO46" s="344"/>
      <c r="TZP46" s="344"/>
      <c r="TZQ46" s="344"/>
      <c r="TZR46" s="344"/>
      <c r="TZS46" s="344"/>
      <c r="TZT46" s="344"/>
      <c r="TZU46" s="344"/>
      <c r="TZV46" s="344"/>
      <c r="TZW46" s="344"/>
      <c r="TZX46" s="344"/>
      <c r="TZY46" s="344"/>
      <c r="TZZ46" s="344"/>
      <c r="UAA46" s="344"/>
      <c r="UAB46" s="344"/>
      <c r="UAC46" s="344"/>
      <c r="UAD46" s="344"/>
      <c r="UAE46" s="344"/>
      <c r="UAF46" s="344"/>
      <c r="UAG46" s="344"/>
      <c r="UAH46" s="344"/>
      <c r="UAI46" s="344"/>
      <c r="UAJ46" s="344"/>
      <c r="UAK46" s="344"/>
      <c r="UAL46" s="344"/>
      <c r="UAM46" s="344"/>
      <c r="UAN46" s="344"/>
      <c r="UAO46" s="344"/>
      <c r="UAP46" s="344"/>
      <c r="UAQ46" s="344"/>
      <c r="UAR46" s="344"/>
      <c r="UAS46" s="344"/>
      <c r="UAT46" s="344"/>
      <c r="UAU46" s="344"/>
      <c r="UAV46" s="344"/>
      <c r="UAW46" s="344"/>
      <c r="UAX46" s="344"/>
      <c r="UAY46" s="344"/>
      <c r="UAZ46" s="344"/>
      <c r="UBA46" s="344"/>
      <c r="UBB46" s="344"/>
      <c r="UBC46" s="344"/>
      <c r="UBD46" s="344"/>
      <c r="UBE46" s="344"/>
      <c r="UBF46" s="344"/>
      <c r="UBG46" s="344"/>
      <c r="UBH46" s="344"/>
      <c r="UBI46" s="344"/>
      <c r="UBJ46" s="344"/>
      <c r="UBK46" s="344"/>
      <c r="UBL46" s="344"/>
      <c r="UBM46" s="344"/>
      <c r="UBN46" s="344"/>
      <c r="UBO46" s="344"/>
      <c r="UBP46" s="344"/>
      <c r="UBQ46" s="344"/>
      <c r="UBR46" s="344"/>
      <c r="UBS46" s="344"/>
      <c r="UBT46" s="344"/>
      <c r="UBU46" s="344"/>
      <c r="UBV46" s="344"/>
      <c r="UBW46" s="344"/>
      <c r="UBX46" s="344"/>
      <c r="UBY46" s="344"/>
      <c r="UBZ46" s="344"/>
      <c r="UCA46" s="344"/>
      <c r="UCB46" s="344"/>
      <c r="UCC46" s="344"/>
      <c r="UCD46" s="344"/>
      <c r="UCE46" s="344"/>
      <c r="UCF46" s="344"/>
      <c r="UCG46" s="344"/>
      <c r="UCH46" s="344"/>
      <c r="UCI46" s="344"/>
      <c r="UCJ46" s="344"/>
      <c r="UCK46" s="344"/>
      <c r="UCL46" s="344"/>
      <c r="UCM46" s="344"/>
      <c r="UCN46" s="344"/>
      <c r="UCO46" s="344"/>
      <c r="UCP46" s="344"/>
      <c r="UCQ46" s="344"/>
      <c r="UCR46" s="344"/>
      <c r="UCS46" s="344"/>
      <c r="UCT46" s="344"/>
      <c r="UCU46" s="344"/>
      <c r="UCV46" s="344"/>
      <c r="UCW46" s="344"/>
      <c r="UCX46" s="344"/>
      <c r="UCY46" s="344"/>
      <c r="UCZ46" s="344"/>
      <c r="UDA46" s="344"/>
      <c r="UDB46" s="344"/>
      <c r="UDC46" s="344"/>
      <c r="UDD46" s="344"/>
      <c r="UDE46" s="344"/>
      <c r="UDF46" s="344"/>
      <c r="UDG46" s="344"/>
      <c r="UDH46" s="344"/>
      <c r="UDI46" s="344"/>
      <c r="UDJ46" s="344"/>
      <c r="UDK46" s="344"/>
      <c r="UDL46" s="344"/>
      <c r="UDM46" s="344"/>
      <c r="UDN46" s="344"/>
      <c r="UDO46" s="344"/>
      <c r="UDP46" s="344"/>
      <c r="UDQ46" s="344"/>
      <c r="UDR46" s="344"/>
      <c r="UDS46" s="344"/>
      <c r="UDT46" s="344"/>
      <c r="UDU46" s="344"/>
      <c r="UDV46" s="344"/>
      <c r="UDW46" s="344"/>
      <c r="UDX46" s="344"/>
      <c r="UDY46" s="344"/>
      <c r="UDZ46" s="344"/>
      <c r="UEA46" s="344"/>
      <c r="UEB46" s="344"/>
      <c r="UEC46" s="344"/>
      <c r="UED46" s="344"/>
      <c r="UEE46" s="344"/>
      <c r="UEF46" s="344"/>
      <c r="UEG46" s="344"/>
      <c r="UEH46" s="344"/>
      <c r="UEI46" s="344"/>
      <c r="UEJ46" s="344"/>
      <c r="UEK46" s="344"/>
      <c r="UEL46" s="344"/>
      <c r="UEM46" s="344"/>
      <c r="UEN46" s="344"/>
      <c r="UEO46" s="344"/>
      <c r="UEP46" s="344"/>
      <c r="UEQ46" s="344"/>
      <c r="UER46" s="344"/>
      <c r="UES46" s="344"/>
      <c r="UET46" s="344"/>
      <c r="UEU46" s="344"/>
      <c r="UEV46" s="344"/>
      <c r="UEW46" s="344"/>
      <c r="UEX46" s="344"/>
      <c r="UEY46" s="344"/>
      <c r="UEZ46" s="344"/>
      <c r="UFA46" s="344"/>
      <c r="UFB46" s="344"/>
      <c r="UFC46" s="344"/>
      <c r="UFD46" s="344"/>
      <c r="UFE46" s="344"/>
      <c r="UFF46" s="344"/>
      <c r="UFG46" s="344"/>
      <c r="UFH46" s="344"/>
      <c r="UFI46" s="344"/>
      <c r="UFJ46" s="344"/>
      <c r="UFK46" s="344"/>
      <c r="UFL46" s="344"/>
      <c r="UFM46" s="344"/>
      <c r="UFN46" s="344"/>
      <c r="UFO46" s="344"/>
      <c r="UFP46" s="344"/>
      <c r="UFQ46" s="344"/>
      <c r="UFR46" s="344"/>
      <c r="UFS46" s="344"/>
      <c r="UFT46" s="344"/>
      <c r="UFU46" s="344"/>
      <c r="UFV46" s="344"/>
      <c r="UFW46" s="344"/>
      <c r="UFX46" s="344"/>
      <c r="UFY46" s="344"/>
      <c r="UFZ46" s="344"/>
      <c r="UGA46" s="344"/>
      <c r="UGB46" s="344"/>
      <c r="UGC46" s="344"/>
      <c r="UGD46" s="344"/>
      <c r="UGE46" s="344"/>
      <c r="UGF46" s="344"/>
      <c r="UGG46" s="344"/>
      <c r="UGH46" s="344"/>
      <c r="UGI46" s="344"/>
      <c r="UGJ46" s="344"/>
      <c r="UGK46" s="344"/>
      <c r="UGL46" s="344"/>
      <c r="UGM46" s="344"/>
      <c r="UGN46" s="344"/>
      <c r="UGO46" s="344"/>
      <c r="UGP46" s="344"/>
      <c r="UGQ46" s="344"/>
      <c r="UGR46" s="344"/>
      <c r="UGS46" s="344"/>
      <c r="UGT46" s="344"/>
      <c r="UGU46" s="344"/>
      <c r="UGV46" s="344"/>
      <c r="UGW46" s="344"/>
      <c r="UGX46" s="344"/>
      <c r="UGY46" s="344"/>
      <c r="UGZ46" s="344"/>
      <c r="UHA46" s="344"/>
      <c r="UHB46" s="344"/>
      <c r="UHC46" s="344"/>
      <c r="UHD46" s="344"/>
      <c r="UHE46" s="344"/>
      <c r="UHF46" s="344"/>
      <c r="UHG46" s="344"/>
      <c r="UHH46" s="344"/>
      <c r="UHI46" s="344"/>
      <c r="UHJ46" s="344"/>
      <c r="UHK46" s="344"/>
      <c r="UHL46" s="344"/>
      <c r="UHM46" s="344"/>
      <c r="UHN46" s="344"/>
      <c r="UHO46" s="344"/>
      <c r="UHP46" s="344"/>
      <c r="UHQ46" s="344"/>
      <c r="UHR46" s="344"/>
      <c r="UHS46" s="344"/>
      <c r="UHT46" s="344"/>
      <c r="UHU46" s="344"/>
      <c r="UHV46" s="344"/>
      <c r="UHW46" s="344"/>
      <c r="UHX46" s="344"/>
      <c r="UHY46" s="344"/>
      <c r="UHZ46" s="344"/>
      <c r="UIA46" s="344"/>
      <c r="UIB46" s="344"/>
      <c r="UIC46" s="344"/>
      <c r="UID46" s="344"/>
      <c r="UIE46" s="344"/>
      <c r="UIF46" s="344"/>
      <c r="UIG46" s="344"/>
      <c r="UIH46" s="344"/>
      <c r="UII46" s="344"/>
      <c r="UIJ46" s="344"/>
      <c r="UIK46" s="344"/>
      <c r="UIL46" s="344"/>
      <c r="UIM46" s="344"/>
      <c r="UIN46" s="344"/>
      <c r="UIO46" s="344"/>
      <c r="UIP46" s="344"/>
      <c r="UIQ46" s="344"/>
      <c r="UIR46" s="344"/>
      <c r="UIS46" s="344"/>
      <c r="UIT46" s="344"/>
      <c r="UIU46" s="344"/>
      <c r="UIV46" s="344"/>
      <c r="UIW46" s="344"/>
      <c r="UIX46" s="344"/>
      <c r="UIY46" s="344"/>
      <c r="UIZ46" s="344"/>
      <c r="UJA46" s="344"/>
      <c r="UJB46" s="344"/>
      <c r="UJC46" s="344"/>
      <c r="UJD46" s="344"/>
      <c r="UJE46" s="344"/>
      <c r="UJF46" s="344"/>
      <c r="UJG46" s="344"/>
      <c r="UJH46" s="344"/>
      <c r="UJI46" s="344"/>
      <c r="UJJ46" s="344"/>
      <c r="UJK46" s="344"/>
      <c r="UJL46" s="344"/>
      <c r="UJM46" s="344"/>
      <c r="UJN46" s="344"/>
      <c r="UJO46" s="344"/>
      <c r="UJP46" s="344"/>
      <c r="UJQ46" s="344"/>
      <c r="UJR46" s="344"/>
      <c r="UJS46" s="344"/>
      <c r="UJT46" s="344"/>
      <c r="UJU46" s="344"/>
      <c r="UJV46" s="344"/>
      <c r="UJW46" s="344"/>
      <c r="UJX46" s="344"/>
      <c r="UJY46" s="344"/>
      <c r="UJZ46" s="344"/>
      <c r="UKA46" s="344"/>
      <c r="UKB46" s="344"/>
      <c r="UKC46" s="344"/>
      <c r="UKD46" s="344"/>
      <c r="UKE46" s="344"/>
      <c r="UKF46" s="344"/>
      <c r="UKG46" s="344"/>
      <c r="UKH46" s="344"/>
      <c r="UKI46" s="344"/>
      <c r="UKJ46" s="344"/>
      <c r="UKK46" s="344"/>
      <c r="UKL46" s="344"/>
      <c r="UKM46" s="344"/>
      <c r="UKN46" s="344"/>
      <c r="UKO46" s="344"/>
      <c r="UKP46" s="344"/>
      <c r="UKQ46" s="344"/>
      <c r="UKR46" s="344"/>
      <c r="UKS46" s="344"/>
      <c r="UKT46" s="344"/>
      <c r="UKU46" s="344"/>
      <c r="UKV46" s="344"/>
      <c r="UKW46" s="344"/>
      <c r="UKX46" s="344"/>
      <c r="UKY46" s="344"/>
      <c r="UKZ46" s="344"/>
      <c r="ULA46" s="344"/>
      <c r="ULB46" s="344"/>
      <c r="ULC46" s="344"/>
      <c r="ULD46" s="344"/>
      <c r="ULE46" s="344"/>
      <c r="ULF46" s="344"/>
      <c r="ULG46" s="344"/>
      <c r="ULH46" s="344"/>
      <c r="ULI46" s="344"/>
      <c r="ULJ46" s="344"/>
      <c r="ULK46" s="344"/>
      <c r="ULL46" s="344"/>
      <c r="ULM46" s="344"/>
      <c r="ULN46" s="344"/>
      <c r="ULO46" s="344"/>
      <c r="ULP46" s="344"/>
      <c r="ULQ46" s="344"/>
      <c r="ULR46" s="344"/>
      <c r="ULS46" s="344"/>
      <c r="ULT46" s="344"/>
      <c r="ULU46" s="344"/>
      <c r="ULV46" s="344"/>
      <c r="ULW46" s="344"/>
      <c r="ULX46" s="344"/>
      <c r="ULY46" s="344"/>
      <c r="ULZ46" s="344"/>
      <c r="UMA46" s="344"/>
      <c r="UMB46" s="344"/>
      <c r="UMC46" s="344"/>
      <c r="UMD46" s="344"/>
      <c r="UME46" s="344"/>
      <c r="UMF46" s="344"/>
      <c r="UMG46" s="344"/>
      <c r="UMH46" s="344"/>
      <c r="UMI46" s="344"/>
      <c r="UMJ46" s="344"/>
      <c r="UMK46" s="344"/>
      <c r="UML46" s="344"/>
      <c r="UMM46" s="344"/>
      <c r="UMN46" s="344"/>
      <c r="UMO46" s="344"/>
      <c r="UMP46" s="344"/>
      <c r="UMQ46" s="344"/>
      <c r="UMR46" s="344"/>
      <c r="UMS46" s="344"/>
      <c r="UMT46" s="344"/>
      <c r="UMU46" s="344"/>
      <c r="UMV46" s="344"/>
      <c r="UMW46" s="344"/>
      <c r="UMX46" s="344"/>
      <c r="UMY46" s="344"/>
      <c r="UMZ46" s="344"/>
      <c r="UNA46" s="344"/>
      <c r="UNB46" s="344"/>
      <c r="UNC46" s="344"/>
      <c r="UND46" s="344"/>
      <c r="UNE46" s="344"/>
      <c r="UNF46" s="344"/>
      <c r="UNG46" s="344"/>
      <c r="UNH46" s="344"/>
      <c r="UNI46" s="344"/>
      <c r="UNJ46" s="344"/>
      <c r="UNK46" s="344"/>
      <c r="UNL46" s="344"/>
      <c r="UNM46" s="344"/>
      <c r="UNN46" s="344"/>
      <c r="UNO46" s="344"/>
      <c r="UNP46" s="344"/>
      <c r="UNQ46" s="344"/>
      <c r="UNR46" s="344"/>
      <c r="UNS46" s="344"/>
      <c r="UNT46" s="344"/>
      <c r="UNU46" s="344"/>
      <c r="UNV46" s="344"/>
      <c r="UNW46" s="344"/>
      <c r="UNX46" s="344"/>
      <c r="UNY46" s="344"/>
      <c r="UNZ46" s="344"/>
      <c r="UOA46" s="344"/>
      <c r="UOB46" s="344"/>
      <c r="UOC46" s="344"/>
      <c r="UOD46" s="344"/>
      <c r="UOE46" s="344"/>
      <c r="UOF46" s="344"/>
      <c r="UOG46" s="344"/>
      <c r="UOH46" s="344"/>
      <c r="UOI46" s="344"/>
      <c r="UOJ46" s="344"/>
      <c r="UOK46" s="344"/>
      <c r="UOL46" s="344"/>
      <c r="UOM46" s="344"/>
      <c r="UON46" s="344"/>
      <c r="UOO46" s="344"/>
      <c r="UOP46" s="344"/>
      <c r="UOQ46" s="344"/>
      <c r="UOR46" s="344"/>
      <c r="UOS46" s="344"/>
      <c r="UOT46" s="344"/>
      <c r="UOU46" s="344"/>
      <c r="UOV46" s="344"/>
      <c r="UOW46" s="344"/>
      <c r="UOX46" s="344"/>
      <c r="UOY46" s="344"/>
      <c r="UOZ46" s="344"/>
      <c r="UPA46" s="344"/>
      <c r="UPB46" s="344"/>
      <c r="UPC46" s="344"/>
      <c r="UPD46" s="344"/>
      <c r="UPE46" s="344"/>
      <c r="UPF46" s="344"/>
      <c r="UPG46" s="344"/>
      <c r="UPH46" s="344"/>
      <c r="UPI46" s="344"/>
      <c r="UPJ46" s="344"/>
      <c r="UPK46" s="344"/>
      <c r="UPL46" s="344"/>
      <c r="UPM46" s="344"/>
      <c r="UPN46" s="344"/>
      <c r="UPO46" s="344"/>
      <c r="UPP46" s="344"/>
      <c r="UPQ46" s="344"/>
      <c r="UPR46" s="344"/>
      <c r="UPS46" s="344"/>
      <c r="UPT46" s="344"/>
      <c r="UPU46" s="344"/>
      <c r="UPV46" s="344"/>
      <c r="UPW46" s="344"/>
      <c r="UPX46" s="344"/>
      <c r="UPY46" s="344"/>
      <c r="UPZ46" s="344"/>
      <c r="UQA46" s="344"/>
      <c r="UQB46" s="344"/>
      <c r="UQC46" s="344"/>
      <c r="UQD46" s="344"/>
      <c r="UQE46" s="344"/>
      <c r="UQF46" s="344"/>
      <c r="UQG46" s="344"/>
      <c r="UQH46" s="344"/>
      <c r="UQI46" s="344"/>
      <c r="UQJ46" s="344"/>
      <c r="UQK46" s="344"/>
      <c r="UQL46" s="344"/>
      <c r="UQM46" s="344"/>
      <c r="UQN46" s="344"/>
      <c r="UQO46" s="344"/>
      <c r="UQP46" s="344"/>
      <c r="UQQ46" s="344"/>
      <c r="UQR46" s="344"/>
      <c r="UQS46" s="344"/>
      <c r="UQT46" s="344"/>
      <c r="UQU46" s="344"/>
      <c r="UQV46" s="344"/>
      <c r="UQW46" s="344"/>
      <c r="UQX46" s="344"/>
      <c r="UQY46" s="344"/>
      <c r="UQZ46" s="344"/>
      <c r="URA46" s="344"/>
      <c r="URB46" s="344"/>
      <c r="URC46" s="344"/>
      <c r="URD46" s="344"/>
      <c r="URE46" s="344"/>
      <c r="URF46" s="344"/>
      <c r="URG46" s="344"/>
      <c r="URH46" s="344"/>
      <c r="URI46" s="344"/>
      <c r="URJ46" s="344"/>
      <c r="URK46" s="344"/>
      <c r="URL46" s="344"/>
      <c r="URM46" s="344"/>
      <c r="URN46" s="344"/>
      <c r="URO46" s="344"/>
      <c r="URP46" s="344"/>
      <c r="URQ46" s="344"/>
      <c r="URR46" s="344"/>
      <c r="URS46" s="344"/>
      <c r="URT46" s="344"/>
      <c r="URU46" s="344"/>
      <c r="URV46" s="344"/>
      <c r="URW46" s="344"/>
      <c r="URX46" s="344"/>
      <c r="URY46" s="344"/>
      <c r="URZ46" s="344"/>
      <c r="USA46" s="344"/>
      <c r="USB46" s="344"/>
      <c r="USC46" s="344"/>
      <c r="USD46" s="344"/>
      <c r="USE46" s="344"/>
      <c r="USF46" s="344"/>
      <c r="USG46" s="344"/>
      <c r="USH46" s="344"/>
      <c r="USI46" s="344"/>
      <c r="USJ46" s="344"/>
      <c r="USK46" s="344"/>
      <c r="USL46" s="344"/>
      <c r="USM46" s="344"/>
      <c r="USN46" s="344"/>
      <c r="USO46" s="344"/>
      <c r="USP46" s="344"/>
      <c r="USQ46" s="344"/>
      <c r="USR46" s="344"/>
      <c r="USS46" s="344"/>
      <c r="UST46" s="344"/>
      <c r="USU46" s="344"/>
      <c r="USV46" s="344"/>
      <c r="USW46" s="344"/>
      <c r="USX46" s="344"/>
      <c r="USY46" s="344"/>
      <c r="USZ46" s="344"/>
      <c r="UTA46" s="344"/>
      <c r="UTB46" s="344"/>
      <c r="UTC46" s="344"/>
      <c r="UTD46" s="344"/>
      <c r="UTE46" s="344"/>
      <c r="UTF46" s="344"/>
      <c r="UTG46" s="344"/>
      <c r="UTH46" s="344"/>
      <c r="UTI46" s="344"/>
      <c r="UTJ46" s="344"/>
      <c r="UTK46" s="344"/>
      <c r="UTL46" s="344"/>
      <c r="UTM46" s="344"/>
      <c r="UTN46" s="344"/>
      <c r="UTO46" s="344"/>
      <c r="UTP46" s="344"/>
      <c r="UTQ46" s="344"/>
      <c r="UTR46" s="344"/>
      <c r="UTS46" s="344"/>
      <c r="UTT46" s="344"/>
      <c r="UTU46" s="344"/>
      <c r="UTV46" s="344"/>
      <c r="UTW46" s="344"/>
      <c r="UTX46" s="344"/>
      <c r="UTY46" s="344"/>
      <c r="UTZ46" s="344"/>
      <c r="UUA46" s="344"/>
      <c r="UUB46" s="344"/>
      <c r="UUC46" s="344"/>
      <c r="UUD46" s="344"/>
      <c r="UUE46" s="344"/>
      <c r="UUF46" s="344"/>
      <c r="UUG46" s="344"/>
      <c r="UUH46" s="344"/>
      <c r="UUI46" s="344"/>
      <c r="UUJ46" s="344"/>
      <c r="UUK46" s="344"/>
      <c r="UUL46" s="344"/>
      <c r="UUM46" s="344"/>
      <c r="UUN46" s="344"/>
      <c r="UUO46" s="344"/>
      <c r="UUP46" s="344"/>
      <c r="UUQ46" s="344"/>
      <c r="UUR46" s="344"/>
      <c r="UUS46" s="344"/>
      <c r="UUT46" s="344"/>
      <c r="UUU46" s="344"/>
      <c r="UUV46" s="344"/>
      <c r="UUW46" s="344"/>
      <c r="UUX46" s="344"/>
      <c r="UUY46" s="344"/>
      <c r="UUZ46" s="344"/>
      <c r="UVA46" s="344"/>
      <c r="UVB46" s="344"/>
      <c r="UVC46" s="344"/>
      <c r="UVD46" s="344"/>
      <c r="UVE46" s="344"/>
      <c r="UVF46" s="344"/>
      <c r="UVG46" s="344"/>
      <c r="UVH46" s="344"/>
      <c r="UVI46" s="344"/>
      <c r="UVJ46" s="344"/>
      <c r="UVK46" s="344"/>
      <c r="UVL46" s="344"/>
      <c r="UVM46" s="344"/>
      <c r="UVN46" s="344"/>
      <c r="UVO46" s="344"/>
      <c r="UVP46" s="344"/>
      <c r="UVQ46" s="344"/>
      <c r="UVR46" s="344"/>
      <c r="UVS46" s="344"/>
      <c r="UVT46" s="344"/>
      <c r="UVU46" s="344"/>
      <c r="UVV46" s="344"/>
      <c r="UVW46" s="344"/>
      <c r="UVX46" s="344"/>
      <c r="UVY46" s="344"/>
      <c r="UVZ46" s="344"/>
      <c r="UWA46" s="344"/>
      <c r="UWB46" s="344"/>
      <c r="UWC46" s="344"/>
      <c r="UWD46" s="344"/>
      <c r="UWE46" s="344"/>
      <c r="UWF46" s="344"/>
      <c r="UWG46" s="344"/>
      <c r="UWH46" s="344"/>
      <c r="UWI46" s="344"/>
      <c r="UWJ46" s="344"/>
      <c r="UWK46" s="344"/>
      <c r="UWL46" s="344"/>
      <c r="UWM46" s="344"/>
      <c r="UWN46" s="344"/>
      <c r="UWO46" s="344"/>
      <c r="UWP46" s="344"/>
      <c r="UWQ46" s="344"/>
      <c r="UWR46" s="344"/>
      <c r="UWS46" s="344"/>
      <c r="UWT46" s="344"/>
      <c r="UWU46" s="344"/>
      <c r="UWV46" s="344"/>
      <c r="UWW46" s="344"/>
      <c r="UWX46" s="344"/>
      <c r="UWY46" s="344"/>
      <c r="UWZ46" s="344"/>
      <c r="UXA46" s="344"/>
      <c r="UXB46" s="344"/>
      <c r="UXC46" s="344"/>
      <c r="UXD46" s="344"/>
      <c r="UXE46" s="344"/>
      <c r="UXF46" s="344"/>
      <c r="UXG46" s="344"/>
      <c r="UXH46" s="344"/>
      <c r="UXI46" s="344"/>
      <c r="UXJ46" s="344"/>
      <c r="UXK46" s="344"/>
      <c r="UXL46" s="344"/>
      <c r="UXM46" s="344"/>
      <c r="UXN46" s="344"/>
      <c r="UXO46" s="344"/>
      <c r="UXP46" s="344"/>
      <c r="UXQ46" s="344"/>
      <c r="UXR46" s="344"/>
      <c r="UXS46" s="344"/>
      <c r="UXT46" s="344"/>
      <c r="UXU46" s="344"/>
      <c r="UXV46" s="344"/>
      <c r="UXW46" s="344"/>
      <c r="UXX46" s="344"/>
      <c r="UXY46" s="344"/>
      <c r="UXZ46" s="344"/>
      <c r="UYA46" s="344"/>
      <c r="UYB46" s="344"/>
      <c r="UYC46" s="344"/>
      <c r="UYD46" s="344"/>
      <c r="UYE46" s="344"/>
      <c r="UYF46" s="344"/>
      <c r="UYG46" s="344"/>
      <c r="UYH46" s="344"/>
      <c r="UYI46" s="344"/>
      <c r="UYJ46" s="344"/>
      <c r="UYK46" s="344"/>
      <c r="UYL46" s="344"/>
      <c r="UYM46" s="344"/>
      <c r="UYN46" s="344"/>
      <c r="UYO46" s="344"/>
      <c r="UYP46" s="344"/>
      <c r="UYQ46" s="344"/>
      <c r="UYR46" s="344"/>
      <c r="UYS46" s="344"/>
      <c r="UYT46" s="344"/>
      <c r="UYU46" s="344"/>
      <c r="UYV46" s="344"/>
      <c r="UYW46" s="344"/>
      <c r="UYX46" s="344"/>
      <c r="UYY46" s="344"/>
      <c r="UYZ46" s="344"/>
      <c r="UZA46" s="344"/>
      <c r="UZB46" s="344"/>
      <c r="UZC46" s="344"/>
      <c r="UZD46" s="344"/>
      <c r="UZE46" s="344"/>
      <c r="UZF46" s="344"/>
      <c r="UZG46" s="344"/>
      <c r="UZH46" s="344"/>
      <c r="UZI46" s="344"/>
      <c r="UZJ46" s="344"/>
      <c r="UZK46" s="344"/>
      <c r="UZL46" s="344"/>
      <c r="UZM46" s="344"/>
      <c r="UZN46" s="344"/>
      <c r="UZO46" s="344"/>
      <c r="UZP46" s="344"/>
      <c r="UZQ46" s="344"/>
      <c r="UZR46" s="344"/>
      <c r="UZS46" s="344"/>
      <c r="UZT46" s="344"/>
      <c r="UZU46" s="344"/>
      <c r="UZV46" s="344"/>
      <c r="UZW46" s="344"/>
      <c r="UZX46" s="344"/>
      <c r="UZY46" s="344"/>
      <c r="UZZ46" s="344"/>
      <c r="VAA46" s="344"/>
      <c r="VAB46" s="344"/>
      <c r="VAC46" s="344"/>
      <c r="VAD46" s="344"/>
      <c r="VAE46" s="344"/>
      <c r="VAF46" s="344"/>
      <c r="VAG46" s="344"/>
      <c r="VAH46" s="344"/>
      <c r="VAI46" s="344"/>
      <c r="VAJ46" s="344"/>
      <c r="VAK46" s="344"/>
      <c r="VAL46" s="344"/>
      <c r="VAM46" s="344"/>
      <c r="VAN46" s="344"/>
      <c r="VAO46" s="344"/>
      <c r="VAP46" s="344"/>
      <c r="VAQ46" s="344"/>
      <c r="VAR46" s="344"/>
      <c r="VAS46" s="344"/>
      <c r="VAT46" s="344"/>
      <c r="VAU46" s="344"/>
      <c r="VAV46" s="344"/>
      <c r="VAW46" s="344"/>
      <c r="VAX46" s="344"/>
      <c r="VAY46" s="344"/>
      <c r="VAZ46" s="344"/>
      <c r="VBA46" s="344"/>
      <c r="VBB46" s="344"/>
      <c r="VBC46" s="344"/>
      <c r="VBD46" s="344"/>
      <c r="VBE46" s="344"/>
      <c r="VBF46" s="344"/>
      <c r="VBG46" s="344"/>
      <c r="VBH46" s="344"/>
      <c r="VBI46" s="344"/>
      <c r="VBJ46" s="344"/>
      <c r="VBK46" s="344"/>
      <c r="VBL46" s="344"/>
      <c r="VBM46" s="344"/>
      <c r="VBN46" s="344"/>
      <c r="VBO46" s="344"/>
      <c r="VBP46" s="344"/>
      <c r="VBQ46" s="344"/>
      <c r="VBR46" s="344"/>
      <c r="VBS46" s="344"/>
      <c r="VBT46" s="344"/>
      <c r="VBU46" s="344"/>
      <c r="VBV46" s="344"/>
      <c r="VBW46" s="344"/>
      <c r="VBX46" s="344"/>
      <c r="VBY46" s="344"/>
      <c r="VBZ46" s="344"/>
      <c r="VCA46" s="344"/>
      <c r="VCB46" s="344"/>
      <c r="VCC46" s="344"/>
      <c r="VCD46" s="344"/>
      <c r="VCE46" s="344"/>
      <c r="VCF46" s="344"/>
      <c r="VCG46" s="344"/>
      <c r="VCH46" s="344"/>
      <c r="VCI46" s="344"/>
      <c r="VCJ46" s="344"/>
      <c r="VCK46" s="344"/>
      <c r="VCL46" s="344"/>
      <c r="VCM46" s="344"/>
      <c r="VCN46" s="344"/>
      <c r="VCO46" s="344"/>
      <c r="VCP46" s="344"/>
      <c r="VCQ46" s="344"/>
      <c r="VCR46" s="344"/>
      <c r="VCS46" s="344"/>
      <c r="VCT46" s="344"/>
      <c r="VCU46" s="344"/>
      <c r="VCV46" s="344"/>
      <c r="VCW46" s="344"/>
      <c r="VCX46" s="344"/>
      <c r="VCY46" s="344"/>
      <c r="VCZ46" s="344"/>
      <c r="VDA46" s="344"/>
      <c r="VDB46" s="344"/>
      <c r="VDC46" s="344"/>
      <c r="VDD46" s="344"/>
      <c r="VDE46" s="344"/>
      <c r="VDF46" s="344"/>
      <c r="VDG46" s="344"/>
      <c r="VDH46" s="344"/>
      <c r="VDI46" s="344"/>
      <c r="VDJ46" s="344"/>
      <c r="VDK46" s="344"/>
      <c r="VDL46" s="344"/>
      <c r="VDM46" s="344"/>
      <c r="VDN46" s="344"/>
      <c r="VDO46" s="344"/>
      <c r="VDP46" s="344"/>
      <c r="VDQ46" s="344"/>
      <c r="VDR46" s="344"/>
      <c r="VDS46" s="344"/>
      <c r="VDT46" s="344"/>
      <c r="VDU46" s="344"/>
      <c r="VDV46" s="344"/>
      <c r="VDW46" s="344"/>
      <c r="VDX46" s="344"/>
      <c r="VDY46" s="344"/>
      <c r="VDZ46" s="344"/>
      <c r="VEA46" s="344"/>
      <c r="VEB46" s="344"/>
      <c r="VEC46" s="344"/>
      <c r="VED46" s="344"/>
      <c r="VEE46" s="344"/>
      <c r="VEF46" s="344"/>
      <c r="VEG46" s="344"/>
      <c r="VEH46" s="344"/>
      <c r="VEI46" s="344"/>
      <c r="VEJ46" s="344"/>
      <c r="VEK46" s="344"/>
      <c r="VEL46" s="344"/>
      <c r="VEM46" s="344"/>
      <c r="VEN46" s="344"/>
      <c r="VEO46" s="344"/>
      <c r="VEP46" s="344"/>
      <c r="VEQ46" s="344"/>
      <c r="VER46" s="344"/>
      <c r="VES46" s="344"/>
      <c r="VET46" s="344"/>
      <c r="VEU46" s="344"/>
      <c r="VEV46" s="344"/>
      <c r="VEW46" s="344"/>
      <c r="VEX46" s="344"/>
      <c r="VEY46" s="344"/>
      <c r="VEZ46" s="344"/>
      <c r="VFA46" s="344"/>
      <c r="VFB46" s="344"/>
      <c r="VFC46" s="344"/>
      <c r="VFD46" s="344"/>
      <c r="VFE46" s="344"/>
      <c r="VFF46" s="344"/>
      <c r="VFG46" s="344"/>
      <c r="VFH46" s="344"/>
      <c r="VFI46" s="344"/>
      <c r="VFJ46" s="344"/>
      <c r="VFK46" s="344"/>
      <c r="VFL46" s="344"/>
      <c r="VFM46" s="344"/>
      <c r="VFN46" s="344"/>
      <c r="VFO46" s="344"/>
      <c r="VFP46" s="344"/>
      <c r="VFQ46" s="344"/>
      <c r="VFR46" s="344"/>
      <c r="VFS46" s="344"/>
      <c r="VFT46" s="344"/>
      <c r="VFU46" s="344"/>
      <c r="VFV46" s="344"/>
      <c r="VFW46" s="344"/>
      <c r="VFX46" s="344"/>
      <c r="VFY46" s="344"/>
      <c r="VFZ46" s="344"/>
      <c r="VGA46" s="344"/>
      <c r="VGB46" s="344"/>
      <c r="VGC46" s="344"/>
      <c r="VGD46" s="344"/>
      <c r="VGE46" s="344"/>
      <c r="VGF46" s="344"/>
      <c r="VGG46" s="344"/>
      <c r="VGH46" s="344"/>
      <c r="VGI46" s="344"/>
      <c r="VGJ46" s="344"/>
      <c r="VGK46" s="344"/>
      <c r="VGL46" s="344"/>
      <c r="VGM46" s="344"/>
      <c r="VGN46" s="344"/>
      <c r="VGO46" s="344"/>
      <c r="VGP46" s="344"/>
      <c r="VGQ46" s="344"/>
      <c r="VGR46" s="344"/>
      <c r="VGS46" s="344"/>
      <c r="VGT46" s="344"/>
      <c r="VGU46" s="344"/>
      <c r="VGV46" s="344"/>
      <c r="VGW46" s="344"/>
      <c r="VGX46" s="344"/>
      <c r="VGY46" s="344"/>
      <c r="VGZ46" s="344"/>
      <c r="VHA46" s="344"/>
      <c r="VHB46" s="344"/>
      <c r="VHC46" s="344"/>
      <c r="VHD46" s="344"/>
      <c r="VHE46" s="344"/>
      <c r="VHF46" s="344"/>
      <c r="VHG46" s="344"/>
      <c r="VHH46" s="344"/>
      <c r="VHI46" s="344"/>
      <c r="VHJ46" s="344"/>
      <c r="VHK46" s="344"/>
      <c r="VHL46" s="344"/>
      <c r="VHM46" s="344"/>
      <c r="VHN46" s="344"/>
      <c r="VHO46" s="344"/>
      <c r="VHP46" s="344"/>
      <c r="VHQ46" s="344"/>
      <c r="VHR46" s="344"/>
      <c r="VHS46" s="344"/>
      <c r="VHT46" s="344"/>
      <c r="VHU46" s="344"/>
      <c r="VHV46" s="344"/>
      <c r="VHW46" s="344"/>
      <c r="VHX46" s="344"/>
      <c r="VHY46" s="344"/>
      <c r="VHZ46" s="344"/>
      <c r="VIA46" s="344"/>
      <c r="VIB46" s="344"/>
      <c r="VIC46" s="344"/>
      <c r="VID46" s="344"/>
      <c r="VIE46" s="344"/>
      <c r="VIF46" s="344"/>
      <c r="VIG46" s="344"/>
      <c r="VIH46" s="344"/>
      <c r="VII46" s="344"/>
      <c r="VIJ46" s="344"/>
      <c r="VIK46" s="344"/>
      <c r="VIL46" s="344"/>
      <c r="VIM46" s="344"/>
      <c r="VIN46" s="344"/>
      <c r="VIO46" s="344"/>
      <c r="VIP46" s="344"/>
      <c r="VIQ46" s="344"/>
      <c r="VIR46" s="344"/>
      <c r="VIS46" s="344"/>
      <c r="VIT46" s="344"/>
      <c r="VIU46" s="344"/>
      <c r="VIV46" s="344"/>
      <c r="VIW46" s="344"/>
      <c r="VIX46" s="344"/>
      <c r="VIY46" s="344"/>
      <c r="VIZ46" s="344"/>
      <c r="VJA46" s="344"/>
      <c r="VJB46" s="344"/>
      <c r="VJC46" s="344"/>
      <c r="VJD46" s="344"/>
      <c r="VJE46" s="344"/>
      <c r="VJF46" s="344"/>
      <c r="VJG46" s="344"/>
      <c r="VJH46" s="344"/>
      <c r="VJI46" s="344"/>
      <c r="VJJ46" s="344"/>
      <c r="VJK46" s="344"/>
      <c r="VJL46" s="344"/>
      <c r="VJM46" s="344"/>
      <c r="VJN46" s="344"/>
      <c r="VJO46" s="344"/>
      <c r="VJP46" s="344"/>
      <c r="VJQ46" s="344"/>
      <c r="VJR46" s="344"/>
      <c r="VJS46" s="344"/>
      <c r="VJT46" s="344"/>
      <c r="VJU46" s="344"/>
      <c r="VJV46" s="344"/>
      <c r="VJW46" s="344"/>
      <c r="VJX46" s="344"/>
      <c r="VJY46" s="344"/>
      <c r="VJZ46" s="344"/>
      <c r="VKA46" s="344"/>
      <c r="VKB46" s="344"/>
      <c r="VKC46" s="344"/>
      <c r="VKD46" s="344"/>
      <c r="VKE46" s="344"/>
      <c r="VKF46" s="344"/>
      <c r="VKG46" s="344"/>
      <c r="VKH46" s="344"/>
      <c r="VKI46" s="344"/>
      <c r="VKJ46" s="344"/>
      <c r="VKK46" s="344"/>
      <c r="VKL46" s="344"/>
      <c r="VKM46" s="344"/>
      <c r="VKN46" s="344"/>
      <c r="VKO46" s="344"/>
      <c r="VKP46" s="344"/>
      <c r="VKQ46" s="344"/>
      <c r="VKR46" s="344"/>
      <c r="VKS46" s="344"/>
      <c r="VKT46" s="344"/>
      <c r="VKU46" s="344"/>
      <c r="VKV46" s="344"/>
      <c r="VKW46" s="344"/>
      <c r="VKX46" s="344"/>
      <c r="VKY46" s="344"/>
      <c r="VKZ46" s="344"/>
      <c r="VLA46" s="344"/>
      <c r="VLB46" s="344"/>
      <c r="VLC46" s="344"/>
      <c r="VLD46" s="344"/>
      <c r="VLE46" s="344"/>
      <c r="VLF46" s="344"/>
      <c r="VLG46" s="344"/>
      <c r="VLH46" s="344"/>
      <c r="VLI46" s="344"/>
      <c r="VLJ46" s="344"/>
      <c r="VLK46" s="344"/>
      <c r="VLL46" s="344"/>
      <c r="VLM46" s="344"/>
      <c r="VLN46" s="344"/>
      <c r="VLO46" s="344"/>
      <c r="VLP46" s="344"/>
      <c r="VLQ46" s="344"/>
      <c r="VLR46" s="344"/>
      <c r="VLS46" s="344"/>
      <c r="VLT46" s="344"/>
      <c r="VLU46" s="344"/>
      <c r="VLV46" s="344"/>
      <c r="VLW46" s="344"/>
      <c r="VLX46" s="344"/>
      <c r="VLY46" s="344"/>
      <c r="VLZ46" s="344"/>
      <c r="VMA46" s="344"/>
      <c r="VMB46" s="344"/>
      <c r="VMC46" s="344"/>
      <c r="VMD46" s="344"/>
      <c r="VME46" s="344"/>
      <c r="VMF46" s="344"/>
      <c r="VMG46" s="344"/>
      <c r="VMH46" s="344"/>
      <c r="VMI46" s="344"/>
      <c r="VMJ46" s="344"/>
      <c r="VMK46" s="344"/>
      <c r="VML46" s="344"/>
      <c r="VMM46" s="344"/>
      <c r="VMN46" s="344"/>
      <c r="VMO46" s="344"/>
      <c r="VMP46" s="344"/>
      <c r="VMQ46" s="344"/>
      <c r="VMR46" s="344"/>
      <c r="VMS46" s="344"/>
      <c r="VMT46" s="344"/>
      <c r="VMU46" s="344"/>
      <c r="VMV46" s="344"/>
      <c r="VMW46" s="344"/>
      <c r="VMX46" s="344"/>
      <c r="VMY46" s="344"/>
      <c r="VMZ46" s="344"/>
      <c r="VNA46" s="344"/>
      <c r="VNB46" s="344"/>
      <c r="VNC46" s="344"/>
      <c r="VND46" s="344"/>
      <c r="VNE46" s="344"/>
      <c r="VNF46" s="344"/>
      <c r="VNG46" s="344"/>
      <c r="VNH46" s="344"/>
      <c r="VNI46" s="344"/>
      <c r="VNJ46" s="344"/>
      <c r="VNK46" s="344"/>
      <c r="VNL46" s="344"/>
      <c r="VNM46" s="344"/>
      <c r="VNN46" s="344"/>
      <c r="VNO46" s="344"/>
      <c r="VNP46" s="344"/>
      <c r="VNQ46" s="344"/>
      <c r="VNR46" s="344"/>
      <c r="VNS46" s="344"/>
      <c r="VNT46" s="344"/>
      <c r="VNU46" s="344"/>
      <c r="VNV46" s="344"/>
      <c r="VNW46" s="344"/>
      <c r="VNX46" s="344"/>
      <c r="VNY46" s="344"/>
      <c r="VNZ46" s="344"/>
      <c r="VOA46" s="344"/>
      <c r="VOB46" s="344"/>
      <c r="VOC46" s="344"/>
      <c r="VOD46" s="344"/>
      <c r="VOE46" s="344"/>
      <c r="VOF46" s="344"/>
      <c r="VOG46" s="344"/>
      <c r="VOH46" s="344"/>
      <c r="VOI46" s="344"/>
      <c r="VOJ46" s="344"/>
      <c r="VOK46" s="344"/>
      <c r="VOL46" s="344"/>
      <c r="VOM46" s="344"/>
      <c r="VON46" s="344"/>
      <c r="VOO46" s="344"/>
      <c r="VOP46" s="344"/>
      <c r="VOQ46" s="344"/>
      <c r="VOR46" s="344"/>
      <c r="VOS46" s="344"/>
      <c r="VOT46" s="344"/>
      <c r="VOU46" s="344"/>
      <c r="VOV46" s="344"/>
      <c r="VOW46" s="344"/>
      <c r="VOX46" s="344"/>
      <c r="VOY46" s="344"/>
      <c r="VOZ46" s="344"/>
      <c r="VPA46" s="344"/>
      <c r="VPB46" s="344"/>
      <c r="VPC46" s="344"/>
      <c r="VPD46" s="344"/>
      <c r="VPE46" s="344"/>
      <c r="VPF46" s="344"/>
      <c r="VPG46" s="344"/>
      <c r="VPH46" s="344"/>
      <c r="VPI46" s="344"/>
      <c r="VPJ46" s="344"/>
      <c r="VPK46" s="344"/>
      <c r="VPL46" s="344"/>
      <c r="VPM46" s="344"/>
      <c r="VPN46" s="344"/>
      <c r="VPO46" s="344"/>
      <c r="VPP46" s="344"/>
      <c r="VPQ46" s="344"/>
      <c r="VPR46" s="344"/>
      <c r="VPS46" s="344"/>
      <c r="VPT46" s="344"/>
      <c r="VPU46" s="344"/>
      <c r="VPV46" s="344"/>
      <c r="VPW46" s="344"/>
      <c r="VPX46" s="344"/>
      <c r="VPY46" s="344"/>
      <c r="VPZ46" s="344"/>
      <c r="VQA46" s="344"/>
      <c r="VQB46" s="344"/>
      <c r="VQC46" s="344"/>
      <c r="VQD46" s="344"/>
      <c r="VQE46" s="344"/>
      <c r="VQF46" s="344"/>
      <c r="VQG46" s="344"/>
      <c r="VQH46" s="344"/>
      <c r="VQI46" s="344"/>
      <c r="VQJ46" s="344"/>
      <c r="VQK46" s="344"/>
      <c r="VQL46" s="344"/>
      <c r="VQM46" s="344"/>
      <c r="VQN46" s="344"/>
      <c r="VQO46" s="344"/>
      <c r="VQP46" s="344"/>
      <c r="VQQ46" s="344"/>
      <c r="VQR46" s="344"/>
      <c r="VQS46" s="344"/>
      <c r="VQT46" s="344"/>
      <c r="VQU46" s="344"/>
      <c r="VQV46" s="344"/>
      <c r="VQW46" s="344"/>
      <c r="VQX46" s="344"/>
      <c r="VQY46" s="344"/>
      <c r="VQZ46" s="344"/>
      <c r="VRA46" s="344"/>
      <c r="VRB46" s="344"/>
      <c r="VRC46" s="344"/>
      <c r="VRD46" s="344"/>
      <c r="VRE46" s="344"/>
      <c r="VRF46" s="344"/>
      <c r="VRG46" s="344"/>
      <c r="VRH46" s="344"/>
      <c r="VRI46" s="344"/>
      <c r="VRJ46" s="344"/>
      <c r="VRK46" s="344"/>
      <c r="VRL46" s="344"/>
      <c r="VRM46" s="344"/>
      <c r="VRN46" s="344"/>
      <c r="VRO46" s="344"/>
      <c r="VRP46" s="344"/>
      <c r="VRQ46" s="344"/>
      <c r="VRR46" s="344"/>
      <c r="VRS46" s="344"/>
      <c r="VRT46" s="344"/>
      <c r="VRU46" s="344"/>
      <c r="VRV46" s="344"/>
      <c r="VRW46" s="344"/>
      <c r="VRX46" s="344"/>
      <c r="VRY46" s="344"/>
      <c r="VRZ46" s="344"/>
      <c r="VSA46" s="344"/>
      <c r="VSB46" s="344"/>
      <c r="VSC46" s="344"/>
      <c r="VSD46" s="344"/>
      <c r="VSE46" s="344"/>
      <c r="VSF46" s="344"/>
      <c r="VSG46" s="344"/>
      <c r="VSH46" s="344"/>
      <c r="VSI46" s="344"/>
      <c r="VSJ46" s="344"/>
      <c r="VSK46" s="344"/>
      <c r="VSL46" s="344"/>
      <c r="VSM46" s="344"/>
      <c r="VSN46" s="344"/>
      <c r="VSO46" s="344"/>
      <c r="VSP46" s="344"/>
      <c r="VSQ46" s="344"/>
      <c r="VSR46" s="344"/>
      <c r="VSS46" s="344"/>
      <c r="VST46" s="344"/>
      <c r="VSU46" s="344"/>
      <c r="VSV46" s="344"/>
      <c r="VSW46" s="344"/>
      <c r="VSX46" s="344"/>
      <c r="VSY46" s="344"/>
      <c r="VSZ46" s="344"/>
      <c r="VTA46" s="344"/>
      <c r="VTB46" s="344"/>
      <c r="VTC46" s="344"/>
      <c r="VTD46" s="344"/>
      <c r="VTE46" s="344"/>
      <c r="VTF46" s="344"/>
      <c r="VTG46" s="344"/>
      <c r="VTH46" s="344"/>
      <c r="VTI46" s="344"/>
      <c r="VTJ46" s="344"/>
      <c r="VTK46" s="344"/>
      <c r="VTL46" s="344"/>
      <c r="VTM46" s="344"/>
      <c r="VTN46" s="344"/>
      <c r="VTO46" s="344"/>
      <c r="VTP46" s="344"/>
      <c r="VTQ46" s="344"/>
      <c r="VTR46" s="344"/>
      <c r="VTS46" s="344"/>
      <c r="VTT46" s="344"/>
      <c r="VTU46" s="344"/>
      <c r="VTV46" s="344"/>
      <c r="VTW46" s="344"/>
      <c r="VTX46" s="344"/>
      <c r="VTY46" s="344"/>
      <c r="VTZ46" s="344"/>
      <c r="VUA46" s="344"/>
      <c r="VUB46" s="344"/>
      <c r="VUC46" s="344"/>
      <c r="VUD46" s="344"/>
      <c r="VUE46" s="344"/>
      <c r="VUF46" s="344"/>
      <c r="VUG46" s="344"/>
      <c r="VUH46" s="344"/>
      <c r="VUI46" s="344"/>
      <c r="VUJ46" s="344"/>
      <c r="VUK46" s="344"/>
      <c r="VUL46" s="344"/>
      <c r="VUM46" s="344"/>
      <c r="VUN46" s="344"/>
      <c r="VUO46" s="344"/>
      <c r="VUP46" s="344"/>
      <c r="VUQ46" s="344"/>
      <c r="VUR46" s="344"/>
      <c r="VUS46" s="344"/>
      <c r="VUT46" s="344"/>
      <c r="VUU46" s="344"/>
      <c r="VUV46" s="344"/>
      <c r="VUW46" s="344"/>
      <c r="VUX46" s="344"/>
      <c r="VUY46" s="344"/>
      <c r="VUZ46" s="344"/>
      <c r="VVA46" s="344"/>
      <c r="VVB46" s="344"/>
      <c r="VVC46" s="344"/>
      <c r="VVD46" s="344"/>
      <c r="VVE46" s="344"/>
      <c r="VVF46" s="344"/>
      <c r="VVG46" s="344"/>
      <c r="VVH46" s="344"/>
      <c r="VVI46" s="344"/>
      <c r="VVJ46" s="344"/>
      <c r="VVK46" s="344"/>
      <c r="VVL46" s="344"/>
      <c r="VVM46" s="344"/>
      <c r="VVN46" s="344"/>
      <c r="VVO46" s="344"/>
      <c r="VVP46" s="344"/>
      <c r="VVQ46" s="344"/>
      <c r="VVR46" s="344"/>
      <c r="VVS46" s="344"/>
      <c r="VVT46" s="344"/>
      <c r="VVU46" s="344"/>
      <c r="VVV46" s="344"/>
      <c r="VVW46" s="344"/>
      <c r="VVX46" s="344"/>
      <c r="VVY46" s="344"/>
      <c r="VVZ46" s="344"/>
      <c r="VWA46" s="344"/>
      <c r="VWB46" s="344"/>
      <c r="VWC46" s="344"/>
      <c r="VWD46" s="344"/>
      <c r="VWE46" s="344"/>
      <c r="VWF46" s="344"/>
      <c r="VWG46" s="344"/>
      <c r="VWH46" s="344"/>
      <c r="VWI46" s="344"/>
      <c r="VWJ46" s="344"/>
      <c r="VWK46" s="344"/>
      <c r="VWL46" s="344"/>
      <c r="VWM46" s="344"/>
      <c r="VWN46" s="344"/>
      <c r="VWO46" s="344"/>
      <c r="VWP46" s="344"/>
      <c r="VWQ46" s="344"/>
      <c r="VWR46" s="344"/>
      <c r="VWS46" s="344"/>
      <c r="VWT46" s="344"/>
      <c r="VWU46" s="344"/>
      <c r="VWV46" s="344"/>
      <c r="VWW46" s="344"/>
      <c r="VWX46" s="344"/>
      <c r="VWY46" s="344"/>
      <c r="VWZ46" s="344"/>
      <c r="VXA46" s="344"/>
      <c r="VXB46" s="344"/>
      <c r="VXC46" s="344"/>
      <c r="VXD46" s="344"/>
      <c r="VXE46" s="344"/>
      <c r="VXF46" s="344"/>
      <c r="VXG46" s="344"/>
      <c r="VXH46" s="344"/>
      <c r="VXI46" s="344"/>
      <c r="VXJ46" s="344"/>
      <c r="VXK46" s="344"/>
      <c r="VXL46" s="344"/>
      <c r="VXM46" s="344"/>
      <c r="VXN46" s="344"/>
      <c r="VXO46" s="344"/>
      <c r="VXP46" s="344"/>
      <c r="VXQ46" s="344"/>
      <c r="VXR46" s="344"/>
      <c r="VXS46" s="344"/>
      <c r="VXT46" s="344"/>
      <c r="VXU46" s="344"/>
      <c r="VXV46" s="344"/>
      <c r="VXW46" s="344"/>
      <c r="VXX46" s="344"/>
      <c r="VXY46" s="344"/>
      <c r="VXZ46" s="344"/>
      <c r="VYA46" s="344"/>
      <c r="VYB46" s="344"/>
      <c r="VYC46" s="344"/>
      <c r="VYD46" s="344"/>
      <c r="VYE46" s="344"/>
      <c r="VYF46" s="344"/>
      <c r="VYG46" s="344"/>
      <c r="VYH46" s="344"/>
      <c r="VYI46" s="344"/>
      <c r="VYJ46" s="344"/>
      <c r="VYK46" s="344"/>
      <c r="VYL46" s="344"/>
      <c r="VYM46" s="344"/>
      <c r="VYN46" s="344"/>
      <c r="VYO46" s="344"/>
      <c r="VYP46" s="344"/>
      <c r="VYQ46" s="344"/>
      <c r="VYR46" s="344"/>
      <c r="VYS46" s="344"/>
      <c r="VYT46" s="344"/>
      <c r="VYU46" s="344"/>
      <c r="VYV46" s="344"/>
      <c r="VYW46" s="344"/>
      <c r="VYX46" s="344"/>
      <c r="VYY46" s="344"/>
      <c r="VYZ46" s="344"/>
      <c r="VZA46" s="344"/>
      <c r="VZB46" s="344"/>
      <c r="VZC46" s="344"/>
      <c r="VZD46" s="344"/>
      <c r="VZE46" s="344"/>
      <c r="VZF46" s="344"/>
      <c r="VZG46" s="344"/>
      <c r="VZH46" s="344"/>
      <c r="VZI46" s="344"/>
      <c r="VZJ46" s="344"/>
      <c r="VZK46" s="344"/>
      <c r="VZL46" s="344"/>
      <c r="VZM46" s="344"/>
      <c r="VZN46" s="344"/>
      <c r="VZO46" s="344"/>
      <c r="VZP46" s="344"/>
      <c r="VZQ46" s="344"/>
      <c r="VZR46" s="344"/>
      <c r="VZS46" s="344"/>
      <c r="VZT46" s="344"/>
      <c r="VZU46" s="344"/>
      <c r="VZV46" s="344"/>
      <c r="VZW46" s="344"/>
      <c r="VZX46" s="344"/>
      <c r="VZY46" s="344"/>
      <c r="VZZ46" s="344"/>
      <c r="WAA46" s="344"/>
      <c r="WAB46" s="344"/>
      <c r="WAC46" s="344"/>
      <c r="WAD46" s="344"/>
      <c r="WAE46" s="344"/>
      <c r="WAF46" s="344"/>
      <c r="WAG46" s="344"/>
      <c r="WAH46" s="344"/>
      <c r="WAI46" s="344"/>
      <c r="WAJ46" s="344"/>
      <c r="WAK46" s="344"/>
      <c r="WAL46" s="344"/>
      <c r="WAM46" s="344"/>
      <c r="WAN46" s="344"/>
      <c r="WAO46" s="344"/>
      <c r="WAP46" s="344"/>
      <c r="WAQ46" s="344"/>
      <c r="WAR46" s="344"/>
      <c r="WAS46" s="344"/>
      <c r="WAT46" s="344"/>
      <c r="WAU46" s="344"/>
      <c r="WAV46" s="344"/>
      <c r="WAW46" s="344"/>
      <c r="WAX46" s="344"/>
      <c r="WAY46" s="344"/>
      <c r="WAZ46" s="344"/>
      <c r="WBA46" s="344"/>
      <c r="WBB46" s="344"/>
      <c r="WBC46" s="344"/>
      <c r="WBD46" s="344"/>
      <c r="WBE46" s="344"/>
      <c r="WBF46" s="344"/>
      <c r="WBG46" s="344"/>
      <c r="WBH46" s="344"/>
      <c r="WBI46" s="344"/>
      <c r="WBJ46" s="344"/>
      <c r="WBK46" s="344"/>
      <c r="WBL46" s="344"/>
      <c r="WBM46" s="344"/>
      <c r="WBN46" s="344"/>
      <c r="WBO46" s="344"/>
      <c r="WBP46" s="344"/>
      <c r="WBQ46" s="344"/>
      <c r="WBR46" s="344"/>
      <c r="WBS46" s="344"/>
      <c r="WBT46" s="344"/>
      <c r="WBU46" s="344"/>
      <c r="WBV46" s="344"/>
      <c r="WBW46" s="344"/>
      <c r="WBX46" s="344"/>
      <c r="WBY46" s="344"/>
      <c r="WBZ46" s="344"/>
      <c r="WCA46" s="344"/>
      <c r="WCB46" s="344"/>
      <c r="WCC46" s="344"/>
      <c r="WCD46" s="344"/>
      <c r="WCE46" s="344"/>
      <c r="WCF46" s="344"/>
      <c r="WCG46" s="344"/>
      <c r="WCH46" s="344"/>
      <c r="WCI46" s="344"/>
      <c r="WCJ46" s="344"/>
      <c r="WCK46" s="344"/>
      <c r="WCL46" s="344"/>
      <c r="WCM46" s="344"/>
      <c r="WCN46" s="344"/>
      <c r="WCO46" s="344"/>
      <c r="WCP46" s="344"/>
      <c r="WCQ46" s="344"/>
      <c r="WCR46" s="344"/>
      <c r="WCS46" s="344"/>
      <c r="WCT46" s="344"/>
      <c r="WCU46" s="344"/>
      <c r="WCV46" s="344"/>
      <c r="WCW46" s="344"/>
      <c r="WCX46" s="344"/>
      <c r="WCY46" s="344"/>
      <c r="WCZ46" s="344"/>
      <c r="WDA46" s="344"/>
      <c r="WDB46" s="344"/>
      <c r="WDC46" s="344"/>
      <c r="WDD46" s="344"/>
      <c r="WDE46" s="344"/>
      <c r="WDF46" s="344"/>
      <c r="WDG46" s="344"/>
      <c r="WDH46" s="344"/>
      <c r="WDI46" s="344"/>
      <c r="WDJ46" s="344"/>
      <c r="WDK46" s="344"/>
      <c r="WDL46" s="344"/>
      <c r="WDM46" s="344"/>
      <c r="WDN46" s="344"/>
      <c r="WDO46" s="344"/>
      <c r="WDP46" s="344"/>
      <c r="WDQ46" s="344"/>
      <c r="WDR46" s="344"/>
      <c r="WDS46" s="344"/>
      <c r="WDT46" s="344"/>
      <c r="WDU46" s="344"/>
      <c r="WDV46" s="344"/>
      <c r="WDW46" s="344"/>
      <c r="WDX46" s="344"/>
      <c r="WDY46" s="344"/>
      <c r="WDZ46" s="344"/>
      <c r="WEA46" s="344"/>
      <c r="WEB46" s="344"/>
      <c r="WEC46" s="344"/>
      <c r="WED46" s="344"/>
      <c r="WEE46" s="344"/>
      <c r="WEF46" s="344"/>
      <c r="WEG46" s="344"/>
      <c r="WEH46" s="344"/>
      <c r="WEI46" s="344"/>
      <c r="WEJ46" s="344"/>
      <c r="WEK46" s="344"/>
      <c r="WEL46" s="344"/>
      <c r="WEM46" s="344"/>
      <c r="WEN46" s="344"/>
      <c r="WEO46" s="344"/>
      <c r="WEP46" s="344"/>
      <c r="WEQ46" s="344"/>
      <c r="WER46" s="344"/>
      <c r="WES46" s="344"/>
      <c r="WET46" s="344"/>
      <c r="WEU46" s="344"/>
      <c r="WEV46" s="344"/>
      <c r="WEW46" s="344"/>
      <c r="WEX46" s="344"/>
      <c r="WEY46" s="344"/>
      <c r="WEZ46" s="344"/>
      <c r="WFA46" s="344"/>
      <c r="WFB46" s="344"/>
      <c r="WFC46" s="344"/>
      <c r="WFD46" s="344"/>
      <c r="WFE46" s="344"/>
      <c r="WFF46" s="344"/>
      <c r="WFG46" s="344"/>
      <c r="WFH46" s="344"/>
      <c r="WFI46" s="344"/>
      <c r="WFJ46" s="344"/>
      <c r="WFK46" s="344"/>
      <c r="WFL46" s="344"/>
      <c r="WFM46" s="344"/>
      <c r="WFN46" s="344"/>
      <c r="WFO46" s="344"/>
      <c r="WFP46" s="344"/>
      <c r="WFQ46" s="344"/>
      <c r="WFR46" s="344"/>
      <c r="WFS46" s="344"/>
      <c r="WFT46" s="344"/>
      <c r="WFU46" s="344"/>
      <c r="WFV46" s="344"/>
      <c r="WFW46" s="344"/>
      <c r="WFX46" s="344"/>
      <c r="WFY46" s="344"/>
      <c r="WFZ46" s="344"/>
      <c r="WGA46" s="344"/>
      <c r="WGB46" s="344"/>
      <c r="WGC46" s="344"/>
      <c r="WGD46" s="344"/>
      <c r="WGE46" s="344"/>
      <c r="WGF46" s="344"/>
      <c r="WGG46" s="344"/>
      <c r="WGH46" s="344"/>
      <c r="WGI46" s="344"/>
      <c r="WGJ46" s="344"/>
      <c r="WGK46" s="344"/>
      <c r="WGL46" s="344"/>
      <c r="WGM46" s="344"/>
      <c r="WGN46" s="344"/>
      <c r="WGO46" s="344"/>
      <c r="WGP46" s="344"/>
      <c r="WGQ46" s="344"/>
      <c r="WGR46" s="344"/>
      <c r="WGS46" s="344"/>
      <c r="WGT46" s="344"/>
      <c r="WGU46" s="344"/>
      <c r="WGV46" s="344"/>
      <c r="WGW46" s="344"/>
      <c r="WGX46" s="344"/>
      <c r="WGY46" s="344"/>
      <c r="WGZ46" s="344"/>
      <c r="WHA46" s="344"/>
      <c r="WHB46" s="344"/>
      <c r="WHC46" s="344"/>
      <c r="WHD46" s="344"/>
      <c r="WHE46" s="344"/>
      <c r="WHF46" s="344"/>
      <c r="WHG46" s="344"/>
      <c r="WHH46" s="344"/>
      <c r="WHI46" s="344"/>
      <c r="WHJ46" s="344"/>
      <c r="WHK46" s="344"/>
      <c r="WHL46" s="344"/>
      <c r="WHM46" s="344"/>
      <c r="WHN46" s="344"/>
      <c r="WHO46" s="344"/>
      <c r="WHP46" s="344"/>
      <c r="WHQ46" s="344"/>
      <c r="WHR46" s="344"/>
      <c r="WHS46" s="344"/>
      <c r="WHT46" s="344"/>
      <c r="WHU46" s="344"/>
      <c r="WHV46" s="344"/>
      <c r="WHW46" s="344"/>
      <c r="WHX46" s="344"/>
      <c r="WHY46" s="344"/>
      <c r="WHZ46" s="344"/>
      <c r="WIA46" s="344"/>
      <c r="WIB46" s="344"/>
      <c r="WIC46" s="344"/>
      <c r="WID46" s="344"/>
      <c r="WIE46" s="344"/>
      <c r="WIF46" s="344"/>
      <c r="WIG46" s="344"/>
      <c r="WIH46" s="344"/>
      <c r="WII46" s="344"/>
      <c r="WIJ46" s="344"/>
      <c r="WIK46" s="344"/>
      <c r="WIL46" s="344"/>
      <c r="WIM46" s="344"/>
      <c r="WIN46" s="344"/>
      <c r="WIO46" s="344"/>
      <c r="WIP46" s="344"/>
      <c r="WIQ46" s="344"/>
      <c r="WIR46" s="344"/>
      <c r="WIS46" s="344"/>
      <c r="WIT46" s="344"/>
      <c r="WIU46" s="344"/>
      <c r="WIV46" s="344"/>
      <c r="WIW46" s="344"/>
      <c r="WIX46" s="344"/>
      <c r="WIY46" s="344"/>
      <c r="WIZ46" s="344"/>
      <c r="WJA46" s="344"/>
      <c r="WJB46" s="344"/>
      <c r="WJC46" s="344"/>
      <c r="WJD46" s="344"/>
      <c r="WJE46" s="344"/>
      <c r="WJF46" s="344"/>
      <c r="WJG46" s="344"/>
      <c r="WJH46" s="344"/>
      <c r="WJI46" s="344"/>
      <c r="WJJ46" s="344"/>
      <c r="WJK46" s="344"/>
      <c r="WJL46" s="344"/>
      <c r="WJM46" s="344"/>
      <c r="WJN46" s="344"/>
      <c r="WJO46" s="344"/>
      <c r="WJP46" s="344"/>
      <c r="WJQ46" s="344"/>
      <c r="WJR46" s="344"/>
      <c r="WJS46" s="344"/>
      <c r="WJT46" s="344"/>
      <c r="WJU46" s="344"/>
      <c r="WJV46" s="344"/>
      <c r="WJW46" s="344"/>
      <c r="WJX46" s="344"/>
      <c r="WJY46" s="344"/>
      <c r="WJZ46" s="344"/>
      <c r="WKA46" s="344"/>
      <c r="WKB46" s="344"/>
      <c r="WKC46" s="344"/>
      <c r="WKD46" s="344"/>
      <c r="WKE46" s="344"/>
      <c r="WKF46" s="344"/>
      <c r="WKG46" s="344"/>
      <c r="WKH46" s="344"/>
      <c r="WKI46" s="344"/>
      <c r="WKJ46" s="344"/>
      <c r="WKK46" s="344"/>
      <c r="WKL46" s="344"/>
      <c r="WKM46" s="344"/>
      <c r="WKN46" s="344"/>
      <c r="WKO46" s="344"/>
      <c r="WKP46" s="344"/>
      <c r="WKQ46" s="344"/>
      <c r="WKR46" s="344"/>
      <c r="WKS46" s="344"/>
      <c r="WKT46" s="344"/>
      <c r="WKU46" s="344"/>
      <c r="WKV46" s="344"/>
      <c r="WKW46" s="344"/>
      <c r="WKX46" s="344"/>
      <c r="WKY46" s="344"/>
      <c r="WKZ46" s="344"/>
      <c r="WLA46" s="344"/>
      <c r="WLB46" s="344"/>
      <c r="WLC46" s="344"/>
      <c r="WLD46" s="344"/>
      <c r="WLE46" s="344"/>
      <c r="WLF46" s="344"/>
      <c r="WLG46" s="344"/>
      <c r="WLH46" s="344"/>
      <c r="WLI46" s="344"/>
      <c r="WLJ46" s="344"/>
      <c r="WLK46" s="344"/>
      <c r="WLL46" s="344"/>
      <c r="WLM46" s="344"/>
      <c r="WLN46" s="344"/>
      <c r="WLO46" s="344"/>
      <c r="WLP46" s="344"/>
      <c r="WLQ46" s="344"/>
      <c r="WLR46" s="344"/>
      <c r="WLS46" s="344"/>
      <c r="WLT46" s="344"/>
      <c r="WLU46" s="344"/>
      <c r="WLV46" s="344"/>
      <c r="WLW46" s="344"/>
      <c r="WLX46" s="344"/>
      <c r="WLY46" s="344"/>
      <c r="WLZ46" s="344"/>
      <c r="WMA46" s="344"/>
      <c r="WMB46" s="344"/>
      <c r="WMC46" s="344"/>
      <c r="WMD46" s="344"/>
      <c r="WME46" s="344"/>
      <c r="WMF46" s="344"/>
      <c r="WMG46" s="344"/>
      <c r="WMH46" s="344"/>
      <c r="WMI46" s="344"/>
      <c r="WMJ46" s="344"/>
      <c r="WMK46" s="344"/>
      <c r="WML46" s="344"/>
      <c r="WMM46" s="344"/>
      <c r="WMN46" s="344"/>
      <c r="WMO46" s="344"/>
      <c r="WMP46" s="344"/>
      <c r="WMQ46" s="344"/>
      <c r="WMR46" s="344"/>
      <c r="WMS46" s="344"/>
      <c r="WMT46" s="344"/>
      <c r="WMU46" s="344"/>
      <c r="WMV46" s="344"/>
      <c r="WMW46" s="344"/>
      <c r="WMX46" s="344"/>
      <c r="WMY46" s="344"/>
      <c r="WMZ46" s="344"/>
      <c r="WNA46" s="344"/>
      <c r="WNB46" s="344"/>
      <c r="WNC46" s="344"/>
      <c r="WND46" s="344"/>
      <c r="WNE46" s="344"/>
      <c r="WNF46" s="344"/>
      <c r="WNG46" s="344"/>
      <c r="WNH46" s="344"/>
      <c r="WNI46" s="344"/>
      <c r="WNJ46" s="344"/>
      <c r="WNK46" s="344"/>
      <c r="WNL46" s="344"/>
      <c r="WNM46" s="344"/>
      <c r="WNN46" s="344"/>
      <c r="WNO46" s="344"/>
      <c r="WNP46" s="344"/>
      <c r="WNQ46" s="344"/>
      <c r="WNR46" s="344"/>
      <c r="WNS46" s="344"/>
      <c r="WNT46" s="344"/>
      <c r="WNU46" s="344"/>
      <c r="WNV46" s="344"/>
      <c r="WNW46" s="344"/>
      <c r="WNX46" s="344"/>
      <c r="WNY46" s="344"/>
      <c r="WNZ46" s="344"/>
      <c r="WOA46" s="344"/>
      <c r="WOB46" s="344"/>
      <c r="WOC46" s="344"/>
      <c r="WOD46" s="344"/>
      <c r="WOE46" s="344"/>
      <c r="WOF46" s="344"/>
      <c r="WOG46" s="344"/>
      <c r="WOH46" s="344"/>
      <c r="WOI46" s="344"/>
      <c r="WOJ46" s="344"/>
      <c r="WOK46" s="344"/>
      <c r="WOL46" s="344"/>
      <c r="WOM46" s="344"/>
      <c r="WON46" s="344"/>
      <c r="WOO46" s="344"/>
      <c r="WOP46" s="344"/>
      <c r="WOQ46" s="344"/>
      <c r="WOR46" s="344"/>
      <c r="WOS46" s="344"/>
      <c r="WOT46" s="344"/>
      <c r="WOU46" s="344"/>
      <c r="WOV46" s="344"/>
      <c r="WOW46" s="344"/>
      <c r="WOX46" s="344"/>
      <c r="WOY46" s="344"/>
      <c r="WOZ46" s="344"/>
      <c r="WPA46" s="344"/>
      <c r="WPB46" s="344"/>
      <c r="WPC46" s="344"/>
      <c r="WPD46" s="344"/>
      <c r="WPE46" s="344"/>
      <c r="WPF46" s="344"/>
      <c r="WPG46" s="344"/>
      <c r="WPH46" s="344"/>
      <c r="WPI46" s="344"/>
      <c r="WPJ46" s="344"/>
      <c r="WPK46" s="344"/>
      <c r="WPL46" s="344"/>
      <c r="WPM46" s="344"/>
      <c r="WPN46" s="344"/>
      <c r="WPO46" s="344"/>
      <c r="WPP46" s="344"/>
      <c r="WPQ46" s="344"/>
      <c r="WPR46" s="344"/>
      <c r="WPS46" s="344"/>
      <c r="WPT46" s="344"/>
      <c r="WPU46" s="344"/>
      <c r="WPV46" s="344"/>
      <c r="WPW46" s="344"/>
      <c r="WPX46" s="344"/>
      <c r="WPY46" s="344"/>
      <c r="WPZ46" s="344"/>
      <c r="WQA46" s="344"/>
      <c r="WQB46" s="344"/>
      <c r="WQC46" s="344"/>
      <c r="WQD46" s="344"/>
      <c r="WQE46" s="344"/>
      <c r="WQF46" s="344"/>
      <c r="WQG46" s="344"/>
      <c r="WQH46" s="344"/>
      <c r="WQI46" s="344"/>
      <c r="WQJ46" s="344"/>
      <c r="WQK46" s="344"/>
      <c r="WQL46" s="344"/>
      <c r="WQM46" s="344"/>
      <c r="WQN46" s="344"/>
      <c r="WQO46" s="344"/>
      <c r="WQP46" s="344"/>
      <c r="WQQ46" s="344"/>
      <c r="WQR46" s="344"/>
      <c r="WQS46" s="344"/>
      <c r="WQT46" s="344"/>
      <c r="WQU46" s="344"/>
      <c r="WQV46" s="344"/>
      <c r="WQW46" s="344"/>
      <c r="WQX46" s="344"/>
      <c r="WQY46" s="344"/>
      <c r="WQZ46" s="344"/>
      <c r="WRA46" s="344"/>
      <c r="WRB46" s="344"/>
      <c r="WRC46" s="344"/>
      <c r="WRD46" s="344"/>
      <c r="WRE46" s="344"/>
      <c r="WRF46" s="344"/>
      <c r="WRG46" s="344"/>
      <c r="WRH46" s="344"/>
      <c r="WRI46" s="344"/>
      <c r="WRJ46" s="344"/>
      <c r="WRK46" s="344"/>
      <c r="WRL46" s="344"/>
      <c r="WRM46" s="344"/>
      <c r="WRN46" s="344"/>
      <c r="WRO46" s="344"/>
      <c r="WRP46" s="344"/>
      <c r="WRQ46" s="344"/>
      <c r="WRR46" s="344"/>
      <c r="WRS46" s="344"/>
      <c r="WRT46" s="344"/>
      <c r="WRU46" s="344"/>
      <c r="WRV46" s="344"/>
      <c r="WRW46" s="344"/>
      <c r="WRX46" s="344"/>
      <c r="WRY46" s="344"/>
      <c r="WRZ46" s="344"/>
      <c r="WSA46" s="344"/>
      <c r="WSB46" s="344"/>
      <c r="WSC46" s="344"/>
      <c r="WSD46" s="344"/>
      <c r="WSE46" s="344"/>
      <c r="WSF46" s="344"/>
      <c r="WSG46" s="344"/>
      <c r="WSH46" s="344"/>
      <c r="WSI46" s="344"/>
      <c r="WSJ46" s="344"/>
      <c r="WSK46" s="344"/>
      <c r="WSL46" s="344"/>
      <c r="WSM46" s="344"/>
      <c r="WSN46" s="344"/>
      <c r="WSO46" s="344"/>
      <c r="WSP46" s="344"/>
      <c r="WSQ46" s="344"/>
      <c r="WSR46" s="344"/>
      <c r="WSS46" s="344"/>
      <c r="WST46" s="344"/>
      <c r="WSU46" s="344"/>
      <c r="WSV46" s="344"/>
      <c r="WSW46" s="344"/>
      <c r="WSX46" s="344"/>
      <c r="WSY46" s="344"/>
      <c r="WSZ46" s="344"/>
      <c r="WTA46" s="344"/>
      <c r="WTB46" s="344"/>
      <c r="WTC46" s="344"/>
      <c r="WTD46" s="344"/>
      <c r="WTE46" s="344"/>
      <c r="WTF46" s="344"/>
      <c r="WTG46" s="344"/>
      <c r="WTH46" s="344"/>
      <c r="WTI46" s="344"/>
      <c r="WTJ46" s="344"/>
      <c r="WTK46" s="344"/>
      <c r="WTL46" s="344"/>
      <c r="WTM46" s="344"/>
      <c r="WTN46" s="344"/>
      <c r="WTO46" s="344"/>
      <c r="WTP46" s="344"/>
      <c r="WTQ46" s="344"/>
      <c r="WTR46" s="344"/>
      <c r="WTS46" s="344"/>
      <c r="WTT46" s="344"/>
      <c r="WTU46" s="344"/>
      <c r="WTV46" s="344"/>
      <c r="WTW46" s="344"/>
      <c r="WTX46" s="344"/>
      <c r="WTY46" s="344"/>
      <c r="WTZ46" s="344"/>
      <c r="WUA46" s="344"/>
      <c r="WUB46" s="344"/>
      <c r="WUC46" s="344"/>
      <c r="WUD46" s="344"/>
      <c r="WUE46" s="344"/>
      <c r="WUF46" s="344"/>
      <c r="WUG46" s="344"/>
      <c r="WUH46" s="344"/>
      <c r="WUI46" s="344"/>
      <c r="WUJ46" s="344"/>
      <c r="WUK46" s="344"/>
      <c r="WUL46" s="344"/>
      <c r="WUM46" s="344"/>
      <c r="WUN46" s="344"/>
      <c r="WUO46" s="344"/>
      <c r="WUP46" s="344"/>
      <c r="WUQ46" s="344"/>
      <c r="WUR46" s="344"/>
      <c r="WUS46" s="344"/>
      <c r="WUT46" s="344"/>
      <c r="WUU46" s="344"/>
      <c r="WUV46" s="344"/>
      <c r="WUW46" s="344"/>
      <c r="WUX46" s="344"/>
      <c r="WUY46" s="344"/>
      <c r="WUZ46" s="344"/>
      <c r="WVA46" s="344"/>
      <c r="WVB46" s="344"/>
      <c r="WVC46" s="344"/>
      <c r="WVD46" s="344"/>
      <c r="WVE46" s="344"/>
      <c r="WVF46" s="344"/>
      <c r="WVG46" s="344"/>
      <c r="WVH46" s="344"/>
      <c r="WVI46" s="344"/>
      <c r="WVJ46" s="344"/>
      <c r="WVK46" s="344"/>
      <c r="WVL46" s="344"/>
      <c r="WVM46" s="344"/>
      <c r="WVN46" s="344"/>
      <c r="WVO46" s="344"/>
      <c r="WVP46" s="344"/>
      <c r="WVQ46" s="344"/>
      <c r="WVR46" s="344"/>
      <c r="WVS46" s="344"/>
      <c r="WVT46" s="344"/>
      <c r="WVU46" s="344"/>
      <c r="WVV46" s="344"/>
      <c r="WVW46" s="344"/>
      <c r="WVX46" s="344"/>
      <c r="WVY46" s="344"/>
      <c r="WVZ46" s="344"/>
      <c r="WWA46" s="344"/>
      <c r="WWB46" s="344"/>
      <c r="WWC46" s="344"/>
      <c r="WWD46" s="344"/>
      <c r="WWE46" s="344"/>
      <c r="WWF46" s="344"/>
      <c r="WWG46" s="344"/>
      <c r="WWH46" s="344"/>
      <c r="WWI46" s="344"/>
      <c r="WWJ46" s="344"/>
      <c r="WWK46" s="344"/>
      <c r="WWL46" s="344"/>
      <c r="WWM46" s="344"/>
      <c r="WWN46" s="344"/>
      <c r="WWO46" s="344"/>
      <c r="WWP46" s="344"/>
      <c r="WWQ46" s="344"/>
      <c r="WWR46" s="344"/>
      <c r="WWS46" s="344"/>
      <c r="WWT46" s="344"/>
      <c r="WWU46" s="344"/>
      <c r="WWV46" s="344"/>
      <c r="WWW46" s="344"/>
      <c r="WWX46" s="344"/>
      <c r="WWY46" s="344"/>
      <c r="WWZ46" s="344"/>
      <c r="WXA46" s="344"/>
      <c r="WXB46" s="344"/>
      <c r="WXC46" s="344"/>
      <c r="WXD46" s="344"/>
      <c r="WXE46" s="344"/>
      <c r="WXF46" s="344"/>
      <c r="WXG46" s="344"/>
      <c r="WXH46" s="344"/>
      <c r="WXI46" s="344"/>
      <c r="WXJ46" s="344"/>
      <c r="WXK46" s="344"/>
      <c r="WXL46" s="344"/>
      <c r="WXM46" s="344"/>
      <c r="WXN46" s="344"/>
      <c r="WXO46" s="344"/>
      <c r="WXP46" s="344"/>
      <c r="WXQ46" s="344"/>
      <c r="WXR46" s="344"/>
      <c r="WXS46" s="344"/>
      <c r="WXT46" s="344"/>
      <c r="WXU46" s="344"/>
      <c r="WXV46" s="344"/>
      <c r="WXW46" s="344"/>
      <c r="WXX46" s="344"/>
      <c r="WXY46" s="344"/>
      <c r="WXZ46" s="344"/>
      <c r="WYA46" s="344"/>
      <c r="WYB46" s="344"/>
      <c r="WYC46" s="344"/>
      <c r="WYD46" s="344"/>
      <c r="WYE46" s="344"/>
      <c r="WYF46" s="344"/>
      <c r="WYG46" s="344"/>
      <c r="WYH46" s="344"/>
      <c r="WYI46" s="344"/>
      <c r="WYJ46" s="344"/>
      <c r="WYK46" s="344"/>
      <c r="WYL46" s="344"/>
      <c r="WYM46" s="344"/>
      <c r="WYN46" s="344"/>
      <c r="WYO46" s="344"/>
      <c r="WYP46" s="344"/>
      <c r="WYQ46" s="344"/>
      <c r="WYR46" s="344"/>
      <c r="WYS46" s="344"/>
      <c r="WYT46" s="344"/>
      <c r="WYU46" s="344"/>
      <c r="WYV46" s="344"/>
      <c r="WYW46" s="344"/>
      <c r="WYX46" s="344"/>
      <c r="WYY46" s="344"/>
      <c r="WYZ46" s="344"/>
      <c r="WZA46" s="344"/>
      <c r="WZB46" s="344"/>
      <c r="WZC46" s="344"/>
      <c r="WZD46" s="344"/>
      <c r="WZE46" s="344"/>
      <c r="WZF46" s="344"/>
      <c r="WZG46" s="344"/>
      <c r="WZH46" s="344"/>
      <c r="WZI46" s="344"/>
      <c r="WZJ46" s="344"/>
      <c r="WZK46" s="344"/>
      <c r="WZL46" s="344"/>
      <c r="WZM46" s="344"/>
      <c r="WZN46" s="344"/>
      <c r="WZO46" s="344"/>
      <c r="WZP46" s="344"/>
      <c r="WZQ46" s="344"/>
      <c r="WZR46" s="344"/>
      <c r="WZS46" s="344"/>
      <c r="WZT46" s="344"/>
      <c r="WZU46" s="344"/>
      <c r="WZV46" s="344"/>
      <c r="WZW46" s="344"/>
      <c r="WZX46" s="344"/>
      <c r="WZY46" s="344"/>
      <c r="WZZ46" s="344"/>
      <c r="XAA46" s="344"/>
      <c r="XAB46" s="344"/>
      <c r="XAC46" s="344"/>
      <c r="XAD46" s="344"/>
      <c r="XAE46" s="344"/>
      <c r="XAF46" s="344"/>
      <c r="XAG46" s="344"/>
      <c r="XAH46" s="344"/>
      <c r="XAI46" s="344"/>
      <c r="XAJ46" s="344"/>
      <c r="XAK46" s="344"/>
      <c r="XAL46" s="344"/>
      <c r="XAM46" s="344"/>
      <c r="XAN46" s="344"/>
      <c r="XAO46" s="344"/>
      <c r="XAP46" s="344"/>
      <c r="XAQ46" s="344"/>
      <c r="XAR46" s="344"/>
      <c r="XAS46" s="344"/>
      <c r="XAT46" s="344"/>
      <c r="XAU46" s="344"/>
      <c r="XAV46" s="344"/>
      <c r="XAW46" s="344"/>
      <c r="XAX46" s="344"/>
      <c r="XAY46" s="344"/>
      <c r="XAZ46" s="344"/>
      <c r="XBA46" s="344"/>
      <c r="XBB46" s="344"/>
      <c r="XBC46" s="344"/>
      <c r="XBD46" s="344"/>
      <c r="XBE46" s="344"/>
      <c r="XBF46" s="344"/>
      <c r="XBG46" s="344"/>
      <c r="XBH46" s="344"/>
      <c r="XBI46" s="344"/>
      <c r="XBJ46" s="344"/>
      <c r="XBK46" s="344"/>
      <c r="XBL46" s="344"/>
      <c r="XBM46" s="344"/>
      <c r="XBN46" s="344"/>
      <c r="XBO46" s="344"/>
      <c r="XBP46" s="344"/>
      <c r="XBQ46" s="344"/>
      <c r="XBR46" s="344"/>
      <c r="XBS46" s="344"/>
      <c r="XBT46" s="344"/>
      <c r="XBU46" s="344"/>
      <c r="XBV46" s="344"/>
      <c r="XBW46" s="344"/>
      <c r="XBX46" s="344"/>
      <c r="XBY46" s="344"/>
      <c r="XBZ46" s="344"/>
      <c r="XCA46" s="344"/>
      <c r="XCB46" s="344"/>
      <c r="XCC46" s="344"/>
      <c r="XCD46" s="344"/>
      <c r="XCE46" s="344"/>
      <c r="XCF46" s="344"/>
      <c r="XCG46" s="344"/>
      <c r="XCH46" s="344"/>
      <c r="XCI46" s="344"/>
      <c r="XCJ46" s="344"/>
      <c r="XCK46" s="344"/>
      <c r="XCL46" s="344"/>
      <c r="XCM46" s="344"/>
      <c r="XCN46" s="344"/>
      <c r="XCO46" s="344"/>
      <c r="XCP46" s="344"/>
      <c r="XCQ46" s="344"/>
      <c r="XCR46" s="344"/>
      <c r="XCS46" s="344"/>
      <c r="XCT46" s="344"/>
      <c r="XCU46" s="344"/>
      <c r="XCV46" s="344"/>
      <c r="XCW46" s="344"/>
      <c r="XCX46" s="344"/>
      <c r="XCY46" s="344"/>
      <c r="XCZ46" s="344"/>
      <c r="XDA46" s="344"/>
      <c r="XDB46" s="344"/>
      <c r="XDC46" s="344"/>
      <c r="XDD46" s="344"/>
      <c r="XDE46" s="344"/>
      <c r="XDF46" s="344"/>
      <c r="XDG46" s="344"/>
      <c r="XDH46" s="344"/>
      <c r="XDI46" s="344"/>
      <c r="XDJ46" s="344"/>
      <c r="XDK46" s="344"/>
      <c r="XDL46" s="344"/>
      <c r="XDM46" s="344"/>
      <c r="XDN46" s="344"/>
      <c r="XDO46" s="344"/>
      <c r="XDP46" s="344"/>
      <c r="XDQ46" s="344"/>
      <c r="XDR46" s="344"/>
      <c r="XDS46" s="344"/>
      <c r="XDT46" s="344"/>
      <c r="XDU46" s="344"/>
      <c r="XDV46" s="344"/>
      <c r="XDW46" s="344"/>
      <c r="XDX46" s="344"/>
      <c r="XDY46" s="344"/>
      <c r="XDZ46" s="344"/>
      <c r="XEA46" s="344"/>
      <c r="XEB46" s="344"/>
      <c r="XEC46" s="344"/>
      <c r="XED46" s="344"/>
      <c r="XEE46" s="344"/>
      <c r="XEF46" s="344"/>
      <c r="XEG46" s="344"/>
      <c r="XEH46" s="344"/>
      <c r="XEI46" s="344"/>
      <c r="XEJ46" s="344"/>
      <c r="XEK46" s="344"/>
      <c r="XEL46" s="344"/>
      <c r="XEM46" s="344"/>
      <c r="XEN46" s="344"/>
      <c r="XEO46" s="344"/>
      <c r="XEP46" s="344"/>
      <c r="XEQ46" s="344"/>
      <c r="XER46" s="344"/>
      <c r="XES46" s="344"/>
      <c r="XET46" s="344"/>
      <c r="XEU46" s="344"/>
      <c r="XEV46" s="344"/>
      <c r="XEW46" s="344"/>
      <c r="XEX46" s="344"/>
      <c r="XEY46" s="344"/>
      <c r="XEZ46" s="344"/>
      <c r="XFA46" s="344"/>
    </row>
    <row r="47" s="338" customFormat="1" ht="29.25" customHeight="1" spans="1:1024 1025:16381">
      <c r="A47" s="344"/>
      <c r="B47" s="382">
        <v>37</v>
      </c>
      <c r="C47" s="380" t="e">
        <f>_xlfn.XLOOKUP(D47,商品汇总表!$B:$B,商品汇总表!$A:$A,"")</f>
        <v>#N/A</v>
      </c>
      <c r="D47" s="362" t="e" cm="1">
        <f t="array" ref="D47">LOOKUP(1,0/(('5.21出货明细'!AR:AR=$D$52)*('5.21出货明细'!A:A=B47)),'5.21出货明细'!E:E)</f>
        <v>#N/A</v>
      </c>
      <c r="E47" s="358" t="e">
        <f>_xlfn.XLOOKUP(D47,商品汇总表!$B:$B,商品汇总表!$D:$D,"")</f>
        <v>#N/A</v>
      </c>
      <c r="F47" s="363" t="e" cm="1">
        <f t="array" ref="F47">_xlfn.LET(_xlpm.数组,B47&amp;D47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7" s="373"/>
      <c r="H47" s="364"/>
      <c r="I47" s="365"/>
      <c r="J47" s="366"/>
      <c r="K47" s="367"/>
      <c r="L47" s="368"/>
      <c r="M47" s="369" t="s">
        <v>2953</v>
      </c>
      <c r="N47" s="370"/>
      <c r="O47" s="370"/>
      <c r="P47" s="383"/>
      <c r="Q47" s="372"/>
      <c r="R47" s="372"/>
      <c r="S47" s="372"/>
      <c r="T47" s="372"/>
      <c r="U47" s="344"/>
      <c r="V47" s="344"/>
      <c r="W47" s="344"/>
      <c r="X47" s="344"/>
      <c r="Y47" s="344"/>
      <c r="Z47" s="344"/>
      <c r="AA47" s="344"/>
      <c r="AB47" s="344"/>
      <c r="AC47" s="344"/>
      <c r="AD47" s="344"/>
      <c r="AE47" s="344"/>
      <c r="AF47" s="344"/>
      <c r="AG47" s="344"/>
      <c r="AH47" s="344"/>
      <c r="AI47" s="344"/>
      <c r="AJ47" s="344"/>
      <c r="AK47" s="344"/>
      <c r="AL47" s="344"/>
      <c r="AM47" s="344"/>
      <c r="AN47" s="344"/>
      <c r="AO47" s="344"/>
      <c r="AP47" s="344"/>
      <c r="AQ47" s="344"/>
      <c r="AR47" s="344"/>
      <c r="AS47" s="344"/>
      <c r="AT47" s="344"/>
      <c r="AU47" s="344"/>
      <c r="AV47" s="344"/>
      <c r="AW47" s="344"/>
      <c r="AX47" s="344"/>
      <c r="AY47" s="344"/>
      <c r="AZ47" s="344"/>
      <c r="BA47" s="344"/>
      <c r="BB47" s="344"/>
      <c r="BC47" s="344"/>
      <c r="BD47" s="344"/>
      <c r="BE47" s="344"/>
      <c r="BF47" s="344"/>
      <c r="BG47" s="344"/>
      <c r="BH47" s="344"/>
      <c r="BI47" s="344"/>
      <c r="BJ47" s="344"/>
      <c r="BK47" s="344"/>
      <c r="BL47" s="344"/>
      <c r="BM47" s="344"/>
      <c r="BN47" s="344"/>
      <c r="BO47" s="344"/>
      <c r="BP47" s="344"/>
      <c r="BQ47" s="344"/>
      <c r="BR47" s="344"/>
      <c r="BS47" s="344"/>
      <c r="BT47" s="344"/>
      <c r="BU47" s="344"/>
      <c r="BV47" s="344"/>
      <c r="BW47" s="344"/>
      <c r="BX47" s="344"/>
      <c r="BY47" s="344"/>
      <c r="BZ47" s="344"/>
      <c r="CA47" s="344"/>
      <c r="CB47" s="344"/>
      <c r="CC47" s="344"/>
      <c r="CD47" s="344"/>
      <c r="CE47" s="344"/>
      <c r="CF47" s="344"/>
      <c r="CG47" s="344"/>
      <c r="CH47" s="344"/>
      <c r="CI47" s="344"/>
      <c r="CJ47" s="344"/>
      <c r="CK47" s="344"/>
      <c r="CL47" s="344"/>
      <c r="CM47" s="344"/>
      <c r="CN47" s="344"/>
      <c r="CO47" s="344"/>
      <c r="CP47" s="344"/>
      <c r="CQ47" s="344"/>
      <c r="CR47" s="344"/>
      <c r="CS47" s="344"/>
      <c r="CT47" s="344"/>
      <c r="CU47" s="344"/>
      <c r="CV47" s="344"/>
      <c r="CW47" s="344"/>
      <c r="CX47" s="344"/>
      <c r="CY47" s="344"/>
      <c r="CZ47" s="344"/>
      <c r="DA47" s="344"/>
      <c r="DB47" s="344"/>
      <c r="DC47" s="344"/>
      <c r="DD47" s="344"/>
      <c r="DE47" s="344"/>
      <c r="DF47" s="344"/>
      <c r="DG47" s="344"/>
      <c r="DH47" s="344"/>
      <c r="DI47" s="344"/>
      <c r="DJ47" s="344"/>
      <c r="DK47" s="344"/>
      <c r="DL47" s="344"/>
      <c r="DM47" s="344"/>
      <c r="DN47" s="344"/>
      <c r="DO47" s="344"/>
      <c r="DP47" s="344"/>
      <c r="DQ47" s="344"/>
      <c r="DR47" s="344"/>
      <c r="DS47" s="344"/>
      <c r="DT47" s="344"/>
      <c r="DU47" s="344"/>
      <c r="DV47" s="344"/>
      <c r="DW47" s="344"/>
      <c r="DX47" s="344"/>
      <c r="DY47" s="344"/>
      <c r="DZ47" s="344"/>
      <c r="EA47" s="344"/>
      <c r="EB47" s="344"/>
      <c r="EC47" s="344"/>
      <c r="ED47" s="344"/>
      <c r="EE47" s="344"/>
      <c r="EF47" s="344"/>
      <c r="EG47" s="344"/>
      <c r="EH47" s="344"/>
      <c r="EI47" s="344"/>
      <c r="EJ47" s="344"/>
      <c r="EK47" s="344"/>
      <c r="EL47" s="344"/>
      <c r="EM47" s="344"/>
      <c r="EN47" s="344"/>
      <c r="EO47" s="344"/>
      <c r="EP47" s="344"/>
      <c r="EQ47" s="344"/>
      <c r="ER47" s="344"/>
      <c r="ES47" s="344"/>
      <c r="ET47" s="344"/>
      <c r="EU47" s="344"/>
      <c r="EV47" s="344"/>
      <c r="EW47" s="344"/>
      <c r="EX47" s="344"/>
      <c r="EY47" s="344"/>
      <c r="EZ47" s="344"/>
      <c r="FA47" s="344"/>
      <c r="FB47" s="344"/>
      <c r="FC47" s="344"/>
      <c r="FD47" s="344"/>
      <c r="FE47" s="344"/>
      <c r="FF47" s="344"/>
      <c r="FG47" s="344"/>
      <c r="FH47" s="344"/>
      <c r="FI47" s="344"/>
      <c r="FJ47" s="344"/>
      <c r="FK47" s="344"/>
      <c r="FL47" s="344"/>
      <c r="FM47" s="344"/>
      <c r="FN47" s="344"/>
      <c r="FO47" s="344"/>
      <c r="FP47" s="344"/>
      <c r="FQ47" s="344"/>
      <c r="FR47" s="344"/>
      <c r="FS47" s="344"/>
      <c r="FT47" s="344"/>
      <c r="FU47" s="344"/>
      <c r="FV47" s="344"/>
      <c r="FW47" s="344"/>
      <c r="FX47" s="344"/>
      <c r="FY47" s="344"/>
      <c r="FZ47" s="344"/>
      <c r="GA47" s="344"/>
      <c r="GB47" s="344"/>
      <c r="GC47" s="344"/>
      <c r="GD47" s="344"/>
      <c r="GE47" s="344"/>
      <c r="GF47" s="344"/>
      <c r="GG47" s="344"/>
      <c r="GH47" s="344"/>
      <c r="GI47" s="344"/>
      <c r="GJ47" s="344"/>
      <c r="GK47" s="344"/>
      <c r="GL47" s="344"/>
      <c r="GM47" s="344"/>
      <c r="GN47" s="344"/>
      <c r="GO47" s="344"/>
      <c r="GP47" s="344"/>
      <c r="GQ47" s="344"/>
      <c r="GR47" s="344"/>
      <c r="GS47" s="344"/>
      <c r="GT47" s="344"/>
      <c r="GU47" s="344"/>
      <c r="GV47" s="344"/>
      <c r="GW47" s="344"/>
      <c r="GX47" s="344"/>
      <c r="GY47" s="344"/>
      <c r="GZ47" s="344"/>
      <c r="HA47" s="344"/>
      <c r="HB47" s="344"/>
      <c r="HC47" s="344"/>
      <c r="HD47" s="344"/>
      <c r="HE47" s="344"/>
      <c r="HF47" s="344"/>
      <c r="HG47" s="344"/>
      <c r="HH47" s="344"/>
      <c r="HI47" s="344"/>
      <c r="HJ47" s="344"/>
      <c r="HK47" s="344"/>
      <c r="HL47" s="344"/>
      <c r="HM47" s="344"/>
      <c r="HN47" s="344"/>
      <c r="HO47" s="344"/>
      <c r="HP47" s="344"/>
      <c r="HQ47" s="344"/>
      <c r="HR47" s="344"/>
      <c r="HS47" s="344"/>
      <c r="HT47" s="344"/>
      <c r="HU47" s="344"/>
      <c r="HV47" s="344"/>
      <c r="HW47" s="344"/>
      <c r="HX47" s="344"/>
      <c r="HY47" s="344"/>
      <c r="HZ47" s="344"/>
      <c r="IA47" s="344"/>
      <c r="IB47" s="344"/>
      <c r="IC47" s="344"/>
      <c r="ID47" s="344"/>
      <c r="IE47" s="344"/>
      <c r="IF47" s="344"/>
      <c r="IG47" s="344"/>
      <c r="IH47" s="344"/>
      <c r="II47" s="344"/>
      <c r="IJ47" s="344"/>
      <c r="IK47" s="344"/>
      <c r="IL47" s="344"/>
      <c r="IM47" s="344"/>
      <c r="IN47" s="344"/>
      <c r="IO47" s="344"/>
      <c r="IP47" s="344"/>
      <c r="IQ47" s="344"/>
      <c r="IR47" s="344"/>
      <c r="IS47" s="344"/>
      <c r="IT47" s="344"/>
      <c r="IU47" s="344"/>
      <c r="IV47" s="344"/>
      <c r="IW47" s="344"/>
      <c r="IX47" s="344"/>
      <c r="IY47" s="344"/>
      <c r="IZ47" s="344"/>
      <c r="JA47" s="344"/>
      <c r="JB47" s="344"/>
      <c r="JC47" s="344"/>
      <c r="JD47" s="344"/>
      <c r="JE47" s="344"/>
      <c r="JF47" s="344"/>
      <c r="JG47" s="344"/>
      <c r="JH47" s="344"/>
      <c r="JI47" s="344"/>
      <c r="JJ47" s="344"/>
      <c r="JK47" s="344"/>
      <c r="JL47" s="344"/>
      <c r="JM47" s="344"/>
      <c r="JN47" s="344"/>
      <c r="JO47" s="344"/>
      <c r="JP47" s="344"/>
      <c r="JQ47" s="344"/>
      <c r="JR47" s="344"/>
      <c r="JS47" s="344"/>
      <c r="JT47" s="344"/>
      <c r="JU47" s="344"/>
      <c r="JV47" s="344"/>
      <c r="JW47" s="344"/>
      <c r="JX47" s="344"/>
      <c r="JY47" s="344"/>
      <c r="JZ47" s="344"/>
      <c r="KA47" s="344"/>
      <c r="KB47" s="344"/>
      <c r="KC47" s="344"/>
      <c r="KD47" s="344"/>
      <c r="KE47" s="344"/>
      <c r="KF47" s="344"/>
      <c r="KG47" s="344"/>
      <c r="KH47" s="344"/>
      <c r="KI47" s="344"/>
      <c r="KJ47" s="344"/>
      <c r="KK47" s="344"/>
      <c r="KL47" s="344"/>
      <c r="KM47" s="344"/>
      <c r="KN47" s="344"/>
      <c r="KO47" s="344"/>
      <c r="KP47" s="344"/>
      <c r="KQ47" s="344"/>
      <c r="KR47" s="344"/>
      <c r="KS47" s="344"/>
      <c r="KT47" s="344"/>
      <c r="KU47" s="344"/>
      <c r="KV47" s="344"/>
      <c r="KW47" s="344"/>
      <c r="KX47" s="344"/>
      <c r="KY47" s="344"/>
      <c r="KZ47" s="344"/>
      <c r="LA47" s="344"/>
      <c r="LB47" s="344"/>
      <c r="LC47" s="344"/>
      <c r="LD47" s="344"/>
      <c r="LE47" s="344"/>
      <c r="LF47" s="344"/>
      <c r="LG47" s="344"/>
      <c r="LH47" s="344"/>
      <c r="LI47" s="344"/>
      <c r="LJ47" s="344"/>
      <c r="LK47" s="344"/>
      <c r="LL47" s="344"/>
      <c r="LM47" s="344"/>
      <c r="LN47" s="344"/>
      <c r="LO47" s="344"/>
      <c r="LP47" s="344"/>
      <c r="LQ47" s="344"/>
      <c r="LR47" s="344"/>
      <c r="LS47" s="344"/>
      <c r="LT47" s="344"/>
      <c r="LU47" s="344"/>
      <c r="LV47" s="344"/>
      <c r="LW47" s="344"/>
      <c r="LX47" s="344"/>
      <c r="LY47" s="344"/>
      <c r="LZ47" s="344"/>
      <c r="MA47" s="344"/>
      <c r="MB47" s="344"/>
      <c r="MC47" s="344"/>
      <c r="MD47" s="344"/>
      <c r="ME47" s="344"/>
      <c r="MF47" s="344"/>
      <c r="MG47" s="344"/>
      <c r="MH47" s="344"/>
      <c r="MI47" s="344"/>
      <c r="MJ47" s="344"/>
      <c r="MK47" s="344"/>
      <c r="ML47" s="344"/>
      <c r="MM47" s="344"/>
      <c r="MN47" s="344"/>
      <c r="MO47" s="344"/>
      <c r="MP47" s="344"/>
      <c r="MQ47" s="344"/>
      <c r="MR47" s="344"/>
      <c r="MS47" s="344"/>
      <c r="MT47" s="344"/>
      <c r="MU47" s="344"/>
      <c r="MV47" s="344"/>
      <c r="MW47" s="344"/>
      <c r="MX47" s="344"/>
      <c r="MY47" s="344"/>
      <c r="MZ47" s="344"/>
      <c r="NA47" s="344"/>
      <c r="NB47" s="344"/>
      <c r="NC47" s="344"/>
      <c r="ND47" s="344"/>
      <c r="NE47" s="344"/>
      <c r="NF47" s="344"/>
      <c r="NG47" s="344"/>
      <c r="NH47" s="344"/>
      <c r="NI47" s="344"/>
      <c r="NJ47" s="344"/>
      <c r="NK47" s="344"/>
      <c r="NL47" s="344"/>
      <c r="NM47" s="344"/>
      <c r="NN47" s="344"/>
      <c r="NO47" s="344"/>
      <c r="NP47" s="344"/>
      <c r="NQ47" s="344"/>
      <c r="NR47" s="344"/>
      <c r="NS47" s="344"/>
      <c r="NT47" s="344"/>
      <c r="NU47" s="344"/>
      <c r="NV47" s="344"/>
      <c r="NW47" s="344"/>
      <c r="NX47" s="344"/>
      <c r="NY47" s="344"/>
      <c r="NZ47" s="344"/>
      <c r="OA47" s="344"/>
      <c r="OB47" s="344"/>
      <c r="OC47" s="344"/>
      <c r="OD47" s="344"/>
      <c r="OE47" s="344"/>
      <c r="OF47" s="344"/>
      <c r="OG47" s="344"/>
      <c r="OH47" s="344"/>
      <c r="OI47" s="344"/>
      <c r="OJ47" s="344"/>
      <c r="OK47" s="344"/>
      <c r="OL47" s="344"/>
      <c r="OM47" s="344"/>
      <c r="ON47" s="344"/>
      <c r="OO47" s="344"/>
      <c r="OP47" s="344"/>
      <c r="OQ47" s="344"/>
      <c r="OR47" s="344"/>
      <c r="OS47" s="344"/>
      <c r="OT47" s="344"/>
      <c r="OU47" s="344"/>
      <c r="OV47" s="344"/>
      <c r="OW47" s="344"/>
      <c r="OX47" s="344"/>
      <c r="OY47" s="344"/>
      <c r="OZ47" s="344"/>
      <c r="PA47" s="344"/>
      <c r="PB47" s="344"/>
      <c r="PC47" s="344"/>
      <c r="PD47" s="344"/>
      <c r="PE47" s="344"/>
      <c r="PF47" s="344"/>
      <c r="PG47" s="344"/>
      <c r="PH47" s="344"/>
      <c r="PI47" s="344"/>
      <c r="PJ47" s="344"/>
      <c r="PK47" s="344"/>
      <c r="PL47" s="344"/>
      <c r="PM47" s="344"/>
      <c r="PN47" s="344"/>
      <c r="PO47" s="344"/>
      <c r="PP47" s="344"/>
      <c r="PQ47" s="344"/>
      <c r="PR47" s="344"/>
      <c r="PS47" s="344"/>
      <c r="PT47" s="344"/>
      <c r="PU47" s="344"/>
      <c r="PV47" s="344"/>
      <c r="PW47" s="344"/>
      <c r="PX47" s="344"/>
      <c r="PY47" s="344"/>
      <c r="PZ47" s="344"/>
      <c r="QA47" s="344"/>
      <c r="QB47" s="344"/>
      <c r="QC47" s="344"/>
      <c r="QD47" s="344"/>
      <c r="QE47" s="344"/>
      <c r="QF47" s="344"/>
      <c r="QG47" s="344"/>
      <c r="QH47" s="344"/>
      <c r="QI47" s="344"/>
      <c r="QJ47" s="344"/>
      <c r="QK47" s="344"/>
      <c r="QL47" s="344"/>
      <c r="QM47" s="344"/>
      <c r="QN47" s="344"/>
      <c r="QO47" s="344"/>
      <c r="QP47" s="344"/>
      <c r="QQ47" s="344"/>
      <c r="QR47" s="344"/>
      <c r="QS47" s="344"/>
      <c r="QT47" s="344"/>
      <c r="QU47" s="344"/>
      <c r="QV47" s="344"/>
      <c r="QW47" s="344"/>
      <c r="QX47" s="344"/>
      <c r="QY47" s="344"/>
      <c r="QZ47" s="344"/>
      <c r="RA47" s="344"/>
      <c r="RB47" s="344"/>
      <c r="RC47" s="344"/>
      <c r="RD47" s="344"/>
      <c r="RE47" s="344"/>
      <c r="RF47" s="344"/>
      <c r="RG47" s="344"/>
      <c r="RH47" s="344"/>
      <c r="RI47" s="344"/>
      <c r="RJ47" s="344"/>
      <c r="RK47" s="344"/>
      <c r="RL47" s="344"/>
      <c r="RM47" s="344"/>
      <c r="RN47" s="344"/>
      <c r="RO47" s="344"/>
      <c r="RP47" s="344"/>
      <c r="RQ47" s="344"/>
      <c r="RR47" s="344"/>
      <c r="RS47" s="344"/>
      <c r="RT47" s="344"/>
      <c r="RU47" s="344"/>
      <c r="RV47" s="344"/>
      <c r="RW47" s="344"/>
      <c r="RX47" s="344"/>
      <c r="RY47" s="344"/>
      <c r="RZ47" s="344"/>
      <c r="SA47" s="344"/>
      <c r="SB47" s="344"/>
      <c r="SC47" s="344"/>
      <c r="SD47" s="344"/>
      <c r="SE47" s="344"/>
      <c r="SF47" s="344"/>
      <c r="SG47" s="344"/>
      <c r="SH47" s="344"/>
      <c r="SI47" s="344"/>
      <c r="SJ47" s="344"/>
      <c r="SK47" s="344"/>
      <c r="SL47" s="344"/>
      <c r="SM47" s="344"/>
      <c r="SN47" s="344"/>
      <c r="SO47" s="344"/>
      <c r="SP47" s="344"/>
      <c r="SQ47" s="344"/>
      <c r="SR47" s="344"/>
      <c r="SS47" s="344"/>
      <c r="ST47" s="344"/>
      <c r="SU47" s="344"/>
      <c r="SV47" s="344"/>
      <c r="SW47" s="344"/>
      <c r="SX47" s="344"/>
      <c r="SY47" s="344"/>
      <c r="SZ47" s="344"/>
      <c r="TA47" s="344"/>
      <c r="TB47" s="344"/>
      <c r="TC47" s="344"/>
      <c r="TD47" s="344"/>
      <c r="TE47" s="344"/>
      <c r="TF47" s="344"/>
      <c r="TG47" s="344"/>
      <c r="TH47" s="344"/>
      <c r="TI47" s="344"/>
      <c r="TJ47" s="344"/>
      <c r="TK47" s="344"/>
      <c r="TL47" s="344"/>
      <c r="TM47" s="344"/>
      <c r="TN47" s="344"/>
      <c r="TO47" s="344"/>
      <c r="TP47" s="344"/>
      <c r="TQ47" s="344"/>
      <c r="TR47" s="344"/>
      <c r="TS47" s="344"/>
      <c r="TT47" s="344"/>
      <c r="TU47" s="344"/>
      <c r="TV47" s="344"/>
      <c r="TW47" s="344"/>
      <c r="TX47" s="344"/>
      <c r="TY47" s="344"/>
      <c r="TZ47" s="344"/>
      <c r="UA47" s="344"/>
      <c r="UB47" s="344"/>
      <c r="UC47" s="344"/>
      <c r="UD47" s="344"/>
      <c r="UE47" s="344"/>
      <c r="UF47" s="344"/>
      <c r="UG47" s="344"/>
      <c r="UH47" s="344"/>
      <c r="UI47" s="344"/>
      <c r="UJ47" s="344"/>
      <c r="UK47" s="344"/>
      <c r="UL47" s="344"/>
      <c r="UM47" s="344"/>
      <c r="UN47" s="344"/>
      <c r="UO47" s="344"/>
      <c r="UP47" s="344"/>
      <c r="UQ47" s="344"/>
      <c r="UR47" s="344"/>
      <c r="US47" s="344"/>
      <c r="UT47" s="344"/>
      <c r="UU47" s="344"/>
      <c r="UV47" s="344"/>
      <c r="UW47" s="344"/>
      <c r="UX47" s="344"/>
      <c r="UY47" s="344"/>
      <c r="UZ47" s="344"/>
      <c r="VA47" s="344"/>
      <c r="VB47" s="344"/>
      <c r="VC47" s="344"/>
      <c r="VD47" s="344"/>
      <c r="VE47" s="344"/>
      <c r="VF47" s="344"/>
      <c r="VG47" s="344"/>
      <c r="VH47" s="344"/>
      <c r="VI47" s="344"/>
      <c r="VJ47" s="344"/>
      <c r="VK47" s="344"/>
      <c r="VL47" s="344"/>
      <c r="VM47" s="344"/>
      <c r="VN47" s="344"/>
      <c r="VO47" s="344"/>
      <c r="VP47" s="344"/>
      <c r="VQ47" s="344"/>
      <c r="VR47" s="344"/>
      <c r="VS47" s="344"/>
      <c r="VT47" s="344"/>
      <c r="VU47" s="344"/>
      <c r="VV47" s="344"/>
      <c r="VW47" s="344"/>
      <c r="VX47" s="344"/>
      <c r="VY47" s="344"/>
      <c r="VZ47" s="344"/>
      <c r="WA47" s="344"/>
      <c r="WB47" s="344"/>
      <c r="WC47" s="344"/>
      <c r="WD47" s="344"/>
      <c r="WE47" s="344"/>
      <c r="WF47" s="344"/>
      <c r="WG47" s="344"/>
      <c r="WH47" s="344"/>
      <c r="WI47" s="344"/>
      <c r="WJ47" s="344"/>
      <c r="WK47" s="344"/>
      <c r="WL47" s="344"/>
      <c r="WM47" s="344"/>
      <c r="WN47" s="344"/>
      <c r="WO47" s="344"/>
      <c r="WP47" s="344"/>
      <c r="WQ47" s="344"/>
      <c r="WR47" s="344"/>
      <c r="WS47" s="344"/>
      <c r="WT47" s="344"/>
      <c r="WU47" s="344"/>
      <c r="WV47" s="344"/>
      <c r="WW47" s="344"/>
      <c r="WX47" s="344"/>
      <c r="WY47" s="344"/>
      <c r="WZ47" s="344"/>
      <c r="XA47" s="344"/>
      <c r="XB47" s="344"/>
      <c r="XC47" s="344"/>
      <c r="XD47" s="344"/>
      <c r="XE47" s="344"/>
      <c r="XF47" s="344"/>
      <c r="XG47" s="344"/>
      <c r="XH47" s="344"/>
      <c r="XI47" s="344"/>
      <c r="XJ47" s="344"/>
      <c r="XK47" s="344"/>
      <c r="XL47" s="344"/>
      <c r="XM47" s="344"/>
      <c r="XN47" s="344"/>
      <c r="XO47" s="344"/>
      <c r="XP47" s="344"/>
      <c r="XQ47" s="344"/>
      <c r="XR47" s="344"/>
      <c r="XS47" s="344"/>
      <c r="XT47" s="344"/>
      <c r="XU47" s="344"/>
      <c r="XV47" s="344"/>
      <c r="XW47" s="344"/>
      <c r="XX47" s="344"/>
      <c r="XY47" s="344"/>
      <c r="XZ47" s="344"/>
      <c r="YA47" s="344"/>
      <c r="YB47" s="344"/>
      <c r="YC47" s="344"/>
      <c r="YD47" s="344"/>
      <c r="YE47" s="344"/>
      <c r="YF47" s="344"/>
      <c r="YG47" s="344"/>
      <c r="YH47" s="344"/>
      <c r="YI47" s="344"/>
      <c r="YJ47" s="344"/>
      <c r="YK47" s="344"/>
      <c r="YL47" s="344"/>
      <c r="YM47" s="344"/>
      <c r="YN47" s="344"/>
      <c r="YO47" s="344"/>
      <c r="YP47" s="344"/>
      <c r="YQ47" s="344"/>
      <c r="YR47" s="344"/>
      <c r="YS47" s="344"/>
      <c r="YT47" s="344"/>
      <c r="YU47" s="344"/>
      <c r="YV47" s="344"/>
      <c r="YW47" s="344"/>
      <c r="YX47" s="344"/>
      <c r="YY47" s="344"/>
      <c r="YZ47" s="344"/>
      <c r="ZA47" s="344"/>
      <c r="ZB47" s="344"/>
      <c r="ZC47" s="344"/>
      <c r="ZD47" s="344"/>
      <c r="ZE47" s="344"/>
      <c r="ZF47" s="344"/>
      <c r="ZG47" s="344"/>
      <c r="ZH47" s="344"/>
      <c r="ZI47" s="344"/>
      <c r="ZJ47" s="344"/>
      <c r="ZK47" s="344"/>
      <c r="ZL47" s="344"/>
      <c r="ZM47" s="344"/>
      <c r="ZN47" s="344"/>
      <c r="ZO47" s="344"/>
      <c r="ZP47" s="344"/>
      <c r="ZQ47" s="344"/>
      <c r="ZR47" s="344"/>
      <c r="ZS47" s="344"/>
      <c r="ZT47" s="344"/>
      <c r="ZU47" s="344"/>
      <c r="ZV47" s="344"/>
      <c r="ZW47" s="344"/>
      <c r="ZX47" s="344"/>
      <c r="ZY47" s="344"/>
      <c r="ZZ47" s="344"/>
      <c r="AAA47" s="344"/>
      <c r="AAB47" s="344"/>
      <c r="AAC47" s="344"/>
      <c r="AAD47" s="344"/>
      <c r="AAE47" s="344"/>
      <c r="AAF47" s="344"/>
      <c r="AAG47" s="344"/>
      <c r="AAH47" s="344"/>
      <c r="AAI47" s="344"/>
      <c r="AAJ47" s="344"/>
      <c r="AAK47" s="344"/>
      <c r="AAL47" s="344"/>
      <c r="AAM47" s="344"/>
      <c r="AAN47" s="344"/>
      <c r="AAO47" s="344"/>
      <c r="AAP47" s="344"/>
      <c r="AAQ47" s="344"/>
      <c r="AAR47" s="344"/>
      <c r="AAS47" s="344"/>
      <c r="AAT47" s="344"/>
      <c r="AAU47" s="344"/>
      <c r="AAV47" s="344"/>
      <c r="AAW47" s="344"/>
      <c r="AAX47" s="344"/>
      <c r="AAY47" s="344"/>
      <c r="AAZ47" s="344"/>
      <c r="ABA47" s="344"/>
      <c r="ABB47" s="344"/>
      <c r="ABC47" s="344"/>
      <c r="ABD47" s="344"/>
      <c r="ABE47" s="344"/>
      <c r="ABF47" s="344"/>
      <c r="ABG47" s="344"/>
      <c r="ABH47" s="344"/>
      <c r="ABI47" s="344"/>
      <c r="ABJ47" s="344"/>
      <c r="ABK47" s="344"/>
      <c r="ABL47" s="344"/>
      <c r="ABM47" s="344"/>
      <c r="ABN47" s="344"/>
      <c r="ABO47" s="344"/>
      <c r="ABP47" s="344"/>
      <c r="ABQ47" s="344"/>
      <c r="ABR47" s="344"/>
      <c r="ABS47" s="344"/>
      <c r="ABT47" s="344"/>
      <c r="ABU47" s="344"/>
      <c r="ABV47" s="344"/>
      <c r="ABW47" s="344"/>
      <c r="ABX47" s="344"/>
      <c r="ABY47" s="344"/>
      <c r="ABZ47" s="344"/>
      <c r="ACA47" s="344"/>
      <c r="ACB47" s="344"/>
      <c r="ACC47" s="344"/>
      <c r="ACD47" s="344"/>
      <c r="ACE47" s="344"/>
      <c r="ACF47" s="344"/>
      <c r="ACG47" s="344"/>
      <c r="ACH47" s="344"/>
      <c r="ACI47" s="344"/>
      <c r="ACJ47" s="344"/>
      <c r="ACK47" s="344"/>
      <c r="ACL47" s="344"/>
      <c r="ACM47" s="344"/>
      <c r="ACN47" s="344"/>
      <c r="ACO47" s="344"/>
      <c r="ACP47" s="344"/>
      <c r="ACQ47" s="344"/>
      <c r="ACR47" s="344"/>
      <c r="ACS47" s="344"/>
      <c r="ACT47" s="344"/>
      <c r="ACU47" s="344"/>
      <c r="ACV47" s="344"/>
      <c r="ACW47" s="344"/>
      <c r="ACX47" s="344"/>
      <c r="ACY47" s="344"/>
      <c r="ACZ47" s="344"/>
      <c r="ADA47" s="344"/>
      <c r="ADB47" s="344"/>
      <c r="ADC47" s="344"/>
      <c r="ADD47" s="344"/>
      <c r="ADE47" s="344"/>
      <c r="ADF47" s="344"/>
      <c r="ADG47" s="344"/>
      <c r="ADH47" s="344"/>
      <c r="ADI47" s="344"/>
      <c r="ADJ47" s="344"/>
      <c r="ADK47" s="344"/>
      <c r="ADL47" s="344"/>
      <c r="ADM47" s="344"/>
      <c r="ADN47" s="344"/>
      <c r="ADO47" s="344"/>
      <c r="ADP47" s="344"/>
      <c r="ADQ47" s="344"/>
      <c r="ADR47" s="344"/>
      <c r="ADS47" s="344"/>
      <c r="ADT47" s="344"/>
      <c r="ADU47" s="344"/>
      <c r="ADV47" s="344"/>
      <c r="ADW47" s="344"/>
      <c r="ADX47" s="344"/>
      <c r="ADY47" s="344"/>
      <c r="ADZ47" s="344"/>
      <c r="AEA47" s="344"/>
      <c r="AEB47" s="344"/>
      <c r="AEC47" s="344"/>
      <c r="AED47" s="344"/>
      <c r="AEE47" s="344"/>
      <c r="AEF47" s="344"/>
      <c r="AEG47" s="344"/>
      <c r="AEH47" s="344"/>
      <c r="AEI47" s="344"/>
      <c r="AEJ47" s="344"/>
      <c r="AEK47" s="344"/>
      <c r="AEL47" s="344"/>
      <c r="AEM47" s="344"/>
      <c r="AEN47" s="344"/>
      <c r="AEO47" s="344"/>
      <c r="AEP47" s="344"/>
      <c r="AEQ47" s="344"/>
      <c r="AER47" s="344"/>
      <c r="AES47" s="344"/>
      <c r="AET47" s="344"/>
      <c r="AEU47" s="344"/>
      <c r="AEV47" s="344"/>
      <c r="AEW47" s="344"/>
      <c r="AEX47" s="344"/>
      <c r="AEY47" s="344"/>
      <c r="AEZ47" s="344"/>
      <c r="AFA47" s="344"/>
      <c r="AFB47" s="344"/>
      <c r="AFC47" s="344"/>
      <c r="AFD47" s="344"/>
      <c r="AFE47" s="344"/>
      <c r="AFF47" s="344"/>
      <c r="AFG47" s="344"/>
      <c r="AFH47" s="344"/>
      <c r="AFI47" s="344"/>
      <c r="AFJ47" s="344"/>
      <c r="AFK47" s="344"/>
      <c r="AFL47" s="344"/>
      <c r="AFM47" s="344"/>
      <c r="AFN47" s="344"/>
      <c r="AFO47" s="344"/>
      <c r="AFP47" s="344"/>
      <c r="AFQ47" s="344"/>
      <c r="AFR47" s="344"/>
      <c r="AFS47" s="344"/>
      <c r="AFT47" s="344"/>
      <c r="AFU47" s="344"/>
      <c r="AFV47" s="344"/>
      <c r="AFW47" s="344"/>
      <c r="AFX47" s="344"/>
      <c r="AFY47" s="344"/>
      <c r="AFZ47" s="344"/>
      <c r="AGA47" s="344"/>
      <c r="AGB47" s="344"/>
      <c r="AGC47" s="344"/>
      <c r="AGD47" s="344"/>
      <c r="AGE47" s="344"/>
      <c r="AGF47" s="344"/>
      <c r="AGG47" s="344"/>
      <c r="AGH47" s="344"/>
      <c r="AGI47" s="344"/>
      <c r="AGJ47" s="344"/>
      <c r="AGK47" s="344"/>
      <c r="AGL47" s="344"/>
      <c r="AGM47" s="344"/>
      <c r="AGN47" s="344"/>
      <c r="AGO47" s="344"/>
      <c r="AGP47" s="344"/>
      <c r="AGQ47" s="344"/>
      <c r="AGR47" s="344"/>
      <c r="AGS47" s="344"/>
      <c r="AGT47" s="344"/>
      <c r="AGU47" s="344"/>
      <c r="AGV47" s="344"/>
      <c r="AGW47" s="344"/>
      <c r="AGX47" s="344"/>
      <c r="AGY47" s="344"/>
      <c r="AGZ47" s="344"/>
      <c r="AHA47" s="344"/>
      <c r="AHB47" s="344"/>
      <c r="AHC47" s="344"/>
      <c r="AHD47" s="344"/>
      <c r="AHE47" s="344"/>
      <c r="AHF47" s="344"/>
      <c r="AHG47" s="344"/>
      <c r="AHH47" s="344"/>
      <c r="AHI47" s="344"/>
      <c r="AHJ47" s="344"/>
      <c r="AHK47" s="344"/>
      <c r="AHL47" s="344"/>
      <c r="AHM47" s="344"/>
      <c r="AHN47" s="344"/>
      <c r="AHO47" s="344"/>
      <c r="AHP47" s="344"/>
      <c r="AHQ47" s="344"/>
      <c r="AHR47" s="344"/>
      <c r="AHS47" s="344"/>
      <c r="AHT47" s="344"/>
      <c r="AHU47" s="344"/>
      <c r="AHV47" s="344"/>
      <c r="AHW47" s="344"/>
      <c r="AHX47" s="344"/>
      <c r="AHY47" s="344"/>
      <c r="AHZ47" s="344"/>
      <c r="AIA47" s="344"/>
      <c r="AIB47" s="344"/>
      <c r="AIC47" s="344"/>
      <c r="AID47" s="344"/>
      <c r="AIE47" s="344"/>
      <c r="AIF47" s="344"/>
      <c r="AIG47" s="344"/>
      <c r="AIH47" s="344"/>
      <c r="AII47" s="344"/>
      <c r="AIJ47" s="344"/>
      <c r="AIK47" s="344"/>
      <c r="AIL47" s="344"/>
      <c r="AIM47" s="344"/>
      <c r="AIN47" s="344"/>
      <c r="AIO47" s="344"/>
      <c r="AIP47" s="344"/>
      <c r="AIQ47" s="344"/>
      <c r="AIR47" s="344"/>
      <c r="AIS47" s="344"/>
      <c r="AIT47" s="344"/>
      <c r="AIU47" s="344"/>
      <c r="AIV47" s="344"/>
      <c r="AIW47" s="344"/>
      <c r="AIX47" s="344"/>
      <c r="AIY47" s="344"/>
      <c r="AIZ47" s="344"/>
      <c r="AJA47" s="344"/>
      <c r="AJB47" s="344"/>
      <c r="AJC47" s="344"/>
      <c r="AJD47" s="344"/>
      <c r="AJE47" s="344"/>
      <c r="AJF47" s="344"/>
      <c r="AJG47" s="344"/>
      <c r="AJH47" s="344"/>
      <c r="AJI47" s="344"/>
      <c r="AJJ47" s="344"/>
      <c r="AJK47" s="344"/>
      <c r="AJL47" s="344"/>
      <c r="AJM47" s="344"/>
      <c r="AJN47" s="344"/>
      <c r="AJO47" s="344"/>
      <c r="AJP47" s="344"/>
      <c r="AJQ47" s="344"/>
      <c r="AJR47" s="344"/>
      <c r="AJS47" s="344"/>
      <c r="AJT47" s="344"/>
      <c r="AJU47" s="344"/>
      <c r="AJV47" s="344"/>
      <c r="AJW47" s="344"/>
      <c r="AJX47" s="344"/>
      <c r="AJY47" s="344"/>
      <c r="AJZ47" s="344"/>
      <c r="AKA47" s="344"/>
      <c r="AKB47" s="344"/>
      <c r="AKC47" s="344"/>
      <c r="AKD47" s="344"/>
      <c r="AKE47" s="344"/>
      <c r="AKF47" s="344"/>
      <c r="AKG47" s="344"/>
      <c r="AKH47" s="344"/>
      <c r="AKI47" s="344"/>
      <c r="AKJ47" s="344"/>
      <c r="AKK47" s="344"/>
      <c r="AKL47" s="344"/>
      <c r="AKM47" s="344"/>
      <c r="AKN47" s="344"/>
      <c r="AKO47" s="344"/>
      <c r="AKP47" s="344"/>
      <c r="AKQ47" s="344"/>
      <c r="AKR47" s="344"/>
      <c r="AKS47" s="344"/>
      <c r="AKT47" s="344"/>
      <c r="AKU47" s="344"/>
      <c r="AKV47" s="344"/>
      <c r="AKW47" s="344"/>
      <c r="AKX47" s="344"/>
      <c r="AKY47" s="344"/>
      <c r="AKZ47" s="344"/>
      <c r="ALA47" s="344"/>
      <c r="ALB47" s="344"/>
      <c r="ALC47" s="344"/>
      <c r="ALD47" s="344"/>
      <c r="ALE47" s="344"/>
      <c r="ALF47" s="344"/>
      <c r="ALG47" s="344"/>
      <c r="ALH47" s="344"/>
      <c r="ALI47" s="344"/>
      <c r="ALJ47" s="344"/>
      <c r="ALK47" s="344"/>
      <c r="ALL47" s="344"/>
      <c r="ALM47" s="344"/>
      <c r="ALN47" s="344"/>
      <c r="ALO47" s="344"/>
      <c r="ALP47" s="344"/>
      <c r="ALQ47" s="344"/>
      <c r="ALR47" s="344"/>
      <c r="ALS47" s="344"/>
      <c r="ALT47" s="344"/>
      <c r="ALU47" s="344"/>
      <c r="ALV47" s="344"/>
      <c r="ALW47" s="344"/>
      <c r="ALX47" s="344"/>
      <c r="ALY47" s="344"/>
      <c r="ALZ47" s="344"/>
      <c r="AMA47" s="344"/>
      <c r="AMB47" s="344"/>
      <c r="AMC47" s="344"/>
      <c r="AMD47" s="344"/>
      <c r="AME47" s="344"/>
      <c r="AMF47" s="344"/>
      <c r="AMG47" s="344"/>
      <c r="AMH47" s="344"/>
      <c r="AMI47" s="344"/>
      <c r="AMJ47" s="344"/>
      <c r="AMK47" s="344"/>
      <c r="AML47" s="344"/>
      <c r="AMM47" s="344"/>
      <c r="AMN47" s="344"/>
      <c r="AMO47" s="344"/>
      <c r="AMP47" s="344"/>
      <c r="AMQ47" s="344"/>
      <c r="AMR47" s="344"/>
      <c r="AMS47" s="344"/>
      <c r="AMT47" s="344"/>
      <c r="AMU47" s="344"/>
      <c r="AMV47" s="344"/>
      <c r="AMW47" s="344"/>
      <c r="AMX47" s="344"/>
      <c r="AMY47" s="344"/>
      <c r="AMZ47" s="344"/>
      <c r="ANA47" s="344"/>
      <c r="ANB47" s="344"/>
      <c r="ANC47" s="344"/>
      <c r="AND47" s="344"/>
      <c r="ANE47" s="344"/>
      <c r="ANF47" s="344"/>
      <c r="ANG47" s="344"/>
      <c r="ANH47" s="344"/>
      <c r="ANI47" s="344"/>
      <c r="ANJ47" s="344"/>
      <c r="ANK47" s="344"/>
      <c r="ANL47" s="344"/>
      <c r="ANM47" s="344"/>
      <c r="ANN47" s="344"/>
      <c r="ANO47" s="344"/>
      <c r="ANP47" s="344"/>
      <c r="ANQ47" s="344"/>
      <c r="ANR47" s="344"/>
      <c r="ANS47" s="344"/>
      <c r="ANT47" s="344"/>
      <c r="ANU47" s="344"/>
      <c r="ANV47" s="344"/>
      <c r="ANW47" s="344"/>
      <c r="ANX47" s="344"/>
      <c r="ANY47" s="344"/>
      <c r="ANZ47" s="344"/>
      <c r="AOA47" s="344"/>
      <c r="AOB47" s="344"/>
      <c r="AOC47" s="344"/>
      <c r="AOD47" s="344"/>
      <c r="AOE47" s="344"/>
      <c r="AOF47" s="344"/>
      <c r="AOG47" s="344"/>
      <c r="AOH47" s="344"/>
      <c r="AOI47" s="344"/>
      <c r="AOJ47" s="344"/>
      <c r="AOK47" s="344"/>
      <c r="AOL47" s="344"/>
      <c r="AOM47" s="344"/>
      <c r="AON47" s="344"/>
      <c r="AOO47" s="344"/>
      <c r="AOP47" s="344"/>
      <c r="AOQ47" s="344"/>
      <c r="AOR47" s="344"/>
      <c r="AOS47" s="344"/>
      <c r="AOT47" s="344"/>
      <c r="AOU47" s="344"/>
      <c r="AOV47" s="344"/>
      <c r="AOW47" s="344"/>
      <c r="AOX47" s="344"/>
      <c r="AOY47" s="344"/>
      <c r="AOZ47" s="344"/>
      <c r="APA47" s="344"/>
      <c r="APB47" s="344"/>
      <c r="APC47" s="344"/>
      <c r="APD47" s="344"/>
      <c r="APE47" s="344"/>
      <c r="APF47" s="344"/>
      <c r="APG47" s="344"/>
      <c r="APH47" s="344"/>
      <c r="API47" s="344"/>
      <c r="APJ47" s="344"/>
      <c r="APK47" s="344"/>
      <c r="APL47" s="344"/>
      <c r="APM47" s="344"/>
      <c r="APN47" s="344"/>
      <c r="APO47" s="344"/>
      <c r="APP47" s="344"/>
      <c r="APQ47" s="344"/>
      <c r="APR47" s="344"/>
      <c r="APS47" s="344"/>
      <c r="APT47" s="344"/>
      <c r="APU47" s="344"/>
      <c r="APV47" s="344"/>
      <c r="APW47" s="344"/>
      <c r="APX47" s="344"/>
      <c r="APY47" s="344"/>
      <c r="APZ47" s="344"/>
      <c r="AQA47" s="344"/>
      <c r="AQB47" s="344"/>
      <c r="AQC47" s="344"/>
      <c r="AQD47" s="344"/>
      <c r="AQE47" s="344"/>
      <c r="AQF47" s="344"/>
      <c r="AQG47" s="344"/>
      <c r="AQH47" s="344"/>
      <c r="AQI47" s="344"/>
      <c r="AQJ47" s="344"/>
      <c r="AQK47" s="344"/>
      <c r="AQL47" s="344"/>
      <c r="AQM47" s="344"/>
      <c r="AQN47" s="344"/>
      <c r="AQO47" s="344"/>
      <c r="AQP47" s="344"/>
      <c r="AQQ47" s="344"/>
      <c r="AQR47" s="344"/>
      <c r="AQS47" s="344"/>
      <c r="AQT47" s="344"/>
      <c r="AQU47" s="344"/>
      <c r="AQV47" s="344"/>
      <c r="AQW47" s="344"/>
      <c r="AQX47" s="344"/>
      <c r="AQY47" s="344"/>
      <c r="AQZ47" s="344"/>
      <c r="ARA47" s="344"/>
      <c r="ARB47" s="344"/>
      <c r="ARC47" s="344"/>
      <c r="ARD47" s="344"/>
      <c r="ARE47" s="344"/>
      <c r="ARF47" s="344"/>
      <c r="ARG47" s="344"/>
      <c r="ARH47" s="344"/>
      <c r="ARI47" s="344"/>
      <c r="ARJ47" s="344"/>
      <c r="ARK47" s="344"/>
      <c r="ARL47" s="344"/>
      <c r="ARM47" s="344"/>
      <c r="ARN47" s="344"/>
      <c r="ARO47" s="344"/>
      <c r="ARP47" s="344"/>
      <c r="ARQ47" s="344"/>
      <c r="ARR47" s="344"/>
      <c r="ARS47" s="344"/>
      <c r="ART47" s="344"/>
      <c r="ARU47" s="344"/>
      <c r="ARV47" s="344"/>
      <c r="ARW47" s="344"/>
      <c r="ARX47" s="344"/>
      <c r="ARY47" s="344"/>
      <c r="ARZ47" s="344"/>
      <c r="ASA47" s="344"/>
      <c r="ASB47" s="344"/>
      <c r="ASC47" s="344"/>
      <c r="ASD47" s="344"/>
      <c r="ASE47" s="344"/>
      <c r="ASF47" s="344"/>
      <c r="ASG47" s="344"/>
      <c r="ASH47" s="344"/>
      <c r="ASI47" s="344"/>
      <c r="ASJ47" s="344"/>
      <c r="ASK47" s="344"/>
      <c r="ASL47" s="344"/>
      <c r="ASM47" s="344"/>
      <c r="ASN47" s="344"/>
      <c r="ASO47" s="344"/>
      <c r="ASP47" s="344"/>
      <c r="ASQ47" s="344"/>
      <c r="ASR47" s="344"/>
      <c r="ASS47" s="344"/>
      <c r="AST47" s="344"/>
      <c r="ASU47" s="344"/>
      <c r="ASV47" s="344"/>
      <c r="ASW47" s="344"/>
      <c r="ASX47" s="344"/>
      <c r="ASY47" s="344"/>
      <c r="ASZ47" s="344"/>
      <c r="ATA47" s="344"/>
      <c r="ATB47" s="344"/>
      <c r="ATC47" s="344"/>
      <c r="ATD47" s="344"/>
      <c r="ATE47" s="344"/>
      <c r="ATF47" s="344"/>
      <c r="ATG47" s="344"/>
      <c r="ATH47" s="344"/>
      <c r="ATI47" s="344"/>
      <c r="ATJ47" s="344"/>
      <c r="ATK47" s="344"/>
      <c r="ATL47" s="344"/>
      <c r="ATM47" s="344"/>
      <c r="ATN47" s="344"/>
      <c r="ATO47" s="344"/>
      <c r="ATP47" s="344"/>
      <c r="ATQ47" s="344"/>
      <c r="ATR47" s="344"/>
      <c r="ATS47" s="344"/>
      <c r="ATT47" s="344"/>
      <c r="ATU47" s="344"/>
      <c r="ATV47" s="344"/>
      <c r="ATW47" s="344"/>
      <c r="ATX47" s="344"/>
      <c r="ATY47" s="344"/>
      <c r="ATZ47" s="344"/>
      <c r="AUA47" s="344"/>
      <c r="AUB47" s="344"/>
      <c r="AUC47" s="344"/>
      <c r="AUD47" s="344"/>
      <c r="AUE47" s="344"/>
      <c r="AUF47" s="344"/>
      <c r="AUG47" s="344"/>
      <c r="AUH47" s="344"/>
      <c r="AUI47" s="344"/>
      <c r="AUJ47" s="344"/>
      <c r="AUK47" s="344"/>
      <c r="AUL47" s="344"/>
      <c r="AUM47" s="344"/>
      <c r="AUN47" s="344"/>
      <c r="AUO47" s="344"/>
      <c r="AUP47" s="344"/>
      <c r="AUQ47" s="344"/>
      <c r="AUR47" s="344"/>
      <c r="AUS47" s="344"/>
      <c r="AUT47" s="344"/>
      <c r="AUU47" s="344"/>
      <c r="AUV47" s="344"/>
      <c r="AUW47" s="344"/>
      <c r="AUX47" s="344"/>
      <c r="AUY47" s="344"/>
      <c r="AUZ47" s="344"/>
      <c r="AVA47" s="344"/>
      <c r="AVB47" s="344"/>
      <c r="AVC47" s="344"/>
      <c r="AVD47" s="344"/>
      <c r="AVE47" s="344"/>
      <c r="AVF47" s="344"/>
      <c r="AVG47" s="344"/>
      <c r="AVH47" s="344"/>
      <c r="AVI47" s="344"/>
      <c r="AVJ47" s="344"/>
      <c r="AVK47" s="344"/>
      <c r="AVL47" s="344"/>
      <c r="AVM47" s="344"/>
      <c r="AVN47" s="344"/>
      <c r="AVO47" s="344"/>
      <c r="AVP47" s="344"/>
      <c r="AVQ47" s="344"/>
      <c r="AVR47" s="344"/>
      <c r="AVS47" s="344"/>
      <c r="AVT47" s="344"/>
      <c r="AVU47" s="344"/>
      <c r="AVV47" s="344"/>
      <c r="AVW47" s="344"/>
      <c r="AVX47" s="344"/>
      <c r="AVY47" s="344"/>
      <c r="AVZ47" s="344"/>
      <c r="AWA47" s="344"/>
      <c r="AWB47" s="344"/>
      <c r="AWC47" s="344"/>
      <c r="AWD47" s="344"/>
      <c r="AWE47" s="344"/>
      <c r="AWF47" s="344"/>
      <c r="AWG47" s="344"/>
      <c r="AWH47" s="344"/>
      <c r="AWI47" s="344"/>
      <c r="AWJ47" s="344"/>
      <c r="AWK47" s="344"/>
      <c r="AWL47" s="344"/>
      <c r="AWM47" s="344"/>
      <c r="AWN47" s="344"/>
      <c r="AWO47" s="344"/>
      <c r="AWP47" s="344"/>
      <c r="AWQ47" s="344"/>
      <c r="AWR47" s="344"/>
      <c r="AWS47" s="344"/>
      <c r="AWT47" s="344"/>
      <c r="AWU47" s="344"/>
      <c r="AWV47" s="344"/>
      <c r="AWW47" s="344"/>
      <c r="AWX47" s="344"/>
      <c r="AWY47" s="344"/>
      <c r="AWZ47" s="344"/>
      <c r="AXA47" s="344"/>
      <c r="AXB47" s="344"/>
      <c r="AXC47" s="344"/>
      <c r="AXD47" s="344"/>
      <c r="AXE47" s="344"/>
      <c r="AXF47" s="344"/>
      <c r="AXG47" s="344"/>
      <c r="AXH47" s="344"/>
      <c r="AXI47" s="344"/>
      <c r="AXJ47" s="344"/>
      <c r="AXK47" s="344"/>
      <c r="AXL47" s="344"/>
      <c r="AXM47" s="344"/>
      <c r="AXN47" s="344"/>
      <c r="AXO47" s="344"/>
      <c r="AXP47" s="344"/>
      <c r="AXQ47" s="344"/>
      <c r="AXR47" s="344"/>
      <c r="AXS47" s="344"/>
      <c r="AXT47" s="344"/>
      <c r="AXU47" s="344"/>
      <c r="AXV47" s="344"/>
      <c r="AXW47" s="344"/>
      <c r="AXX47" s="344"/>
      <c r="AXY47" s="344"/>
      <c r="AXZ47" s="344"/>
      <c r="AYA47" s="344"/>
      <c r="AYB47" s="344"/>
      <c r="AYC47" s="344"/>
      <c r="AYD47" s="344"/>
      <c r="AYE47" s="344"/>
      <c r="AYF47" s="344"/>
      <c r="AYG47" s="344"/>
      <c r="AYH47" s="344"/>
      <c r="AYI47" s="344"/>
      <c r="AYJ47" s="344"/>
      <c r="AYK47" s="344"/>
      <c r="AYL47" s="344"/>
      <c r="AYM47" s="344"/>
      <c r="AYN47" s="344"/>
      <c r="AYO47" s="344"/>
      <c r="AYP47" s="344"/>
      <c r="AYQ47" s="344"/>
      <c r="AYR47" s="344"/>
      <c r="AYS47" s="344"/>
      <c r="AYT47" s="344"/>
      <c r="AYU47" s="344"/>
      <c r="AYV47" s="344"/>
      <c r="AYW47" s="344"/>
      <c r="AYX47" s="344"/>
      <c r="AYY47" s="344"/>
      <c r="AYZ47" s="344"/>
      <c r="AZA47" s="344"/>
      <c r="AZB47" s="344"/>
      <c r="AZC47" s="344"/>
      <c r="AZD47" s="344"/>
      <c r="AZE47" s="344"/>
      <c r="AZF47" s="344"/>
      <c r="AZG47" s="344"/>
      <c r="AZH47" s="344"/>
      <c r="AZI47" s="344"/>
      <c r="AZJ47" s="344"/>
      <c r="AZK47" s="344"/>
      <c r="AZL47" s="344"/>
      <c r="AZM47" s="344"/>
      <c r="AZN47" s="344"/>
      <c r="AZO47" s="344"/>
      <c r="AZP47" s="344"/>
      <c r="AZQ47" s="344"/>
      <c r="AZR47" s="344"/>
      <c r="AZS47" s="344"/>
      <c r="AZT47" s="344"/>
      <c r="AZU47" s="344"/>
      <c r="AZV47" s="344"/>
      <c r="AZW47" s="344"/>
      <c r="AZX47" s="344"/>
      <c r="AZY47" s="344"/>
      <c r="AZZ47" s="344"/>
      <c r="BAA47" s="344"/>
      <c r="BAB47" s="344"/>
      <c r="BAC47" s="344"/>
      <c r="BAD47" s="344"/>
      <c r="BAE47" s="344"/>
      <c r="BAF47" s="344"/>
      <c r="BAG47" s="344"/>
      <c r="BAH47" s="344"/>
      <c r="BAI47" s="344"/>
      <c r="BAJ47" s="344"/>
      <c r="BAK47" s="344"/>
      <c r="BAL47" s="344"/>
      <c r="BAM47" s="344"/>
      <c r="BAN47" s="344"/>
      <c r="BAO47" s="344"/>
      <c r="BAP47" s="344"/>
      <c r="BAQ47" s="344"/>
      <c r="BAR47" s="344"/>
      <c r="BAS47" s="344"/>
      <c r="BAT47" s="344"/>
      <c r="BAU47" s="344"/>
      <c r="BAV47" s="344"/>
      <c r="BAW47" s="344"/>
      <c r="BAX47" s="344"/>
      <c r="BAY47" s="344"/>
      <c r="BAZ47" s="344"/>
      <c r="BBA47" s="344"/>
      <c r="BBB47" s="344"/>
      <c r="BBC47" s="344"/>
      <c r="BBD47" s="344"/>
      <c r="BBE47" s="344"/>
      <c r="BBF47" s="344"/>
      <c r="BBG47" s="344"/>
      <c r="BBH47" s="344"/>
      <c r="BBI47" s="344"/>
      <c r="BBJ47" s="344"/>
      <c r="BBK47" s="344"/>
      <c r="BBL47" s="344"/>
      <c r="BBM47" s="344"/>
      <c r="BBN47" s="344"/>
      <c r="BBO47" s="344"/>
      <c r="BBP47" s="344"/>
      <c r="BBQ47" s="344"/>
      <c r="BBR47" s="344"/>
      <c r="BBS47" s="344"/>
      <c r="BBT47" s="344"/>
      <c r="BBU47" s="344"/>
      <c r="BBV47" s="344"/>
      <c r="BBW47" s="344"/>
      <c r="BBX47" s="344"/>
      <c r="BBY47" s="344"/>
      <c r="BBZ47" s="344"/>
      <c r="BCA47" s="344"/>
      <c r="BCB47" s="344"/>
      <c r="BCC47" s="344"/>
      <c r="BCD47" s="344"/>
      <c r="BCE47" s="344"/>
      <c r="BCF47" s="344"/>
      <c r="BCG47" s="344"/>
      <c r="BCH47" s="344"/>
      <c r="BCI47" s="344"/>
      <c r="BCJ47" s="344"/>
      <c r="BCK47" s="344"/>
      <c r="BCL47" s="344"/>
      <c r="BCM47" s="344"/>
      <c r="BCN47" s="344"/>
      <c r="BCO47" s="344"/>
      <c r="BCP47" s="344"/>
      <c r="BCQ47" s="344"/>
      <c r="BCR47" s="344"/>
      <c r="BCS47" s="344"/>
      <c r="BCT47" s="344"/>
      <c r="BCU47" s="344"/>
      <c r="BCV47" s="344"/>
      <c r="BCW47" s="344"/>
      <c r="BCX47" s="344"/>
      <c r="BCY47" s="344"/>
      <c r="BCZ47" s="344"/>
      <c r="BDA47" s="344"/>
      <c r="BDB47" s="344"/>
      <c r="BDC47" s="344"/>
      <c r="BDD47" s="344"/>
      <c r="BDE47" s="344"/>
      <c r="BDF47" s="344"/>
      <c r="BDG47" s="344"/>
      <c r="BDH47" s="344"/>
      <c r="BDI47" s="344"/>
      <c r="BDJ47" s="344"/>
      <c r="BDK47" s="344"/>
      <c r="BDL47" s="344"/>
      <c r="BDM47" s="344"/>
      <c r="BDN47" s="344"/>
      <c r="BDO47" s="344"/>
      <c r="BDP47" s="344"/>
      <c r="BDQ47" s="344"/>
      <c r="BDR47" s="344"/>
      <c r="BDS47" s="344"/>
      <c r="BDT47" s="344"/>
      <c r="BDU47" s="344"/>
      <c r="BDV47" s="344"/>
      <c r="BDW47" s="344"/>
      <c r="BDX47" s="344"/>
      <c r="BDY47" s="344"/>
      <c r="BDZ47" s="344"/>
      <c r="BEA47" s="344"/>
      <c r="BEB47" s="344"/>
      <c r="BEC47" s="344"/>
      <c r="BED47" s="344"/>
      <c r="BEE47" s="344"/>
      <c r="BEF47" s="344"/>
      <c r="BEG47" s="344"/>
      <c r="BEH47" s="344"/>
      <c r="BEI47" s="344"/>
      <c r="BEJ47" s="344"/>
      <c r="BEK47" s="344"/>
      <c r="BEL47" s="344"/>
      <c r="BEM47" s="344"/>
      <c r="BEN47" s="344"/>
      <c r="BEO47" s="344"/>
      <c r="BEP47" s="344"/>
      <c r="BEQ47" s="344"/>
      <c r="BER47" s="344"/>
      <c r="BES47" s="344"/>
      <c r="BET47" s="344"/>
      <c r="BEU47" s="344"/>
      <c r="BEV47" s="344"/>
      <c r="BEW47" s="344"/>
      <c r="BEX47" s="344"/>
      <c r="BEY47" s="344"/>
      <c r="BEZ47" s="344"/>
      <c r="BFA47" s="344"/>
      <c r="BFB47" s="344"/>
      <c r="BFC47" s="344"/>
      <c r="BFD47" s="344"/>
      <c r="BFE47" s="344"/>
      <c r="BFF47" s="344"/>
      <c r="BFG47" s="344"/>
      <c r="BFH47" s="344"/>
      <c r="BFI47" s="344"/>
      <c r="BFJ47" s="344"/>
      <c r="BFK47" s="344"/>
      <c r="BFL47" s="344"/>
      <c r="BFM47" s="344"/>
      <c r="BFN47" s="344"/>
      <c r="BFO47" s="344"/>
      <c r="BFP47" s="344"/>
      <c r="BFQ47" s="344"/>
      <c r="BFR47" s="344"/>
      <c r="BFS47" s="344"/>
      <c r="BFT47" s="344"/>
      <c r="BFU47" s="344"/>
      <c r="BFV47" s="344"/>
      <c r="BFW47" s="344"/>
      <c r="BFX47" s="344"/>
      <c r="BFY47" s="344"/>
      <c r="BFZ47" s="344"/>
      <c r="BGA47" s="344"/>
      <c r="BGB47" s="344"/>
      <c r="BGC47" s="344"/>
      <c r="BGD47" s="344"/>
      <c r="BGE47" s="344"/>
      <c r="BGF47" s="344"/>
      <c r="BGG47" s="344"/>
      <c r="BGH47" s="344"/>
      <c r="BGI47" s="344"/>
      <c r="BGJ47" s="344"/>
      <c r="BGK47" s="344"/>
      <c r="BGL47" s="344"/>
      <c r="BGM47" s="344"/>
      <c r="BGN47" s="344"/>
      <c r="BGO47" s="344"/>
      <c r="BGP47" s="344"/>
      <c r="BGQ47" s="344"/>
      <c r="BGR47" s="344"/>
      <c r="BGS47" s="344"/>
      <c r="BGT47" s="344"/>
      <c r="BGU47" s="344"/>
      <c r="BGV47" s="344"/>
      <c r="BGW47" s="344"/>
      <c r="BGX47" s="344"/>
      <c r="BGY47" s="344"/>
      <c r="BGZ47" s="344"/>
      <c r="BHA47" s="344"/>
      <c r="BHB47" s="344"/>
      <c r="BHC47" s="344"/>
      <c r="BHD47" s="344"/>
      <c r="BHE47" s="344"/>
      <c r="BHF47" s="344"/>
      <c r="BHG47" s="344"/>
      <c r="BHH47" s="344"/>
      <c r="BHI47" s="344"/>
      <c r="BHJ47" s="344"/>
      <c r="BHK47" s="344"/>
      <c r="BHL47" s="344"/>
      <c r="BHM47" s="344"/>
      <c r="BHN47" s="344"/>
      <c r="BHO47" s="344"/>
      <c r="BHP47" s="344"/>
      <c r="BHQ47" s="344"/>
      <c r="BHR47" s="344"/>
      <c r="BHS47" s="344"/>
      <c r="BHT47" s="344"/>
      <c r="BHU47" s="344"/>
      <c r="BHV47" s="344"/>
      <c r="BHW47" s="344"/>
      <c r="BHX47" s="344"/>
      <c r="BHY47" s="344"/>
      <c r="BHZ47" s="344"/>
      <c r="BIA47" s="344"/>
      <c r="BIB47" s="344"/>
      <c r="BIC47" s="344"/>
      <c r="BID47" s="344"/>
      <c r="BIE47" s="344"/>
      <c r="BIF47" s="344"/>
      <c r="BIG47" s="344"/>
      <c r="BIH47" s="344"/>
      <c r="BII47" s="344"/>
      <c r="BIJ47" s="344"/>
      <c r="BIK47" s="344"/>
      <c r="BIL47" s="344"/>
      <c r="BIM47" s="344"/>
      <c r="BIN47" s="344"/>
      <c r="BIO47" s="344"/>
      <c r="BIP47" s="344"/>
      <c r="BIQ47" s="344"/>
      <c r="BIR47" s="344"/>
      <c r="BIS47" s="344"/>
      <c r="BIT47" s="344"/>
      <c r="BIU47" s="344"/>
      <c r="BIV47" s="344"/>
      <c r="BIW47" s="344"/>
      <c r="BIX47" s="344"/>
      <c r="BIY47" s="344"/>
      <c r="BIZ47" s="344"/>
      <c r="BJA47" s="344"/>
      <c r="BJB47" s="344"/>
      <c r="BJC47" s="344"/>
      <c r="BJD47" s="344"/>
      <c r="BJE47" s="344"/>
      <c r="BJF47" s="344"/>
      <c r="BJG47" s="344"/>
      <c r="BJH47" s="344"/>
      <c r="BJI47" s="344"/>
      <c r="BJJ47" s="344"/>
      <c r="BJK47" s="344"/>
      <c r="BJL47" s="344"/>
      <c r="BJM47" s="344"/>
      <c r="BJN47" s="344"/>
      <c r="BJO47" s="344"/>
      <c r="BJP47" s="344"/>
      <c r="BJQ47" s="344"/>
      <c r="BJR47" s="344"/>
      <c r="BJS47" s="344"/>
      <c r="BJT47" s="344"/>
      <c r="BJU47" s="344"/>
      <c r="BJV47" s="344"/>
      <c r="BJW47" s="344"/>
      <c r="BJX47" s="344"/>
      <c r="BJY47" s="344"/>
      <c r="BJZ47" s="344"/>
      <c r="BKA47" s="344"/>
      <c r="BKB47" s="344"/>
      <c r="BKC47" s="344"/>
      <c r="BKD47" s="344"/>
      <c r="BKE47" s="344"/>
      <c r="BKF47" s="344"/>
      <c r="BKG47" s="344"/>
      <c r="BKH47" s="344"/>
      <c r="BKI47" s="344"/>
      <c r="BKJ47" s="344"/>
      <c r="BKK47" s="344"/>
      <c r="BKL47" s="344"/>
      <c r="BKM47" s="344"/>
      <c r="BKN47" s="344"/>
      <c r="BKO47" s="344"/>
      <c r="BKP47" s="344"/>
      <c r="BKQ47" s="344"/>
      <c r="BKR47" s="344"/>
      <c r="BKS47" s="344"/>
      <c r="BKT47" s="344"/>
      <c r="BKU47" s="344"/>
      <c r="BKV47" s="344"/>
      <c r="BKW47" s="344"/>
      <c r="BKX47" s="344"/>
      <c r="BKY47" s="344"/>
      <c r="BKZ47" s="344"/>
      <c r="BLA47" s="344"/>
      <c r="BLB47" s="344"/>
      <c r="BLC47" s="344"/>
      <c r="BLD47" s="344"/>
      <c r="BLE47" s="344"/>
      <c r="BLF47" s="344"/>
      <c r="BLG47" s="344"/>
      <c r="BLH47" s="344"/>
      <c r="BLI47" s="344"/>
      <c r="BLJ47" s="344"/>
      <c r="BLK47" s="344"/>
      <c r="BLL47" s="344"/>
      <c r="BLM47" s="344"/>
      <c r="BLN47" s="344"/>
      <c r="BLO47" s="344"/>
      <c r="BLP47" s="344"/>
      <c r="BLQ47" s="344"/>
      <c r="BLR47" s="344"/>
      <c r="BLS47" s="344"/>
      <c r="BLT47" s="344"/>
      <c r="BLU47" s="344"/>
      <c r="BLV47" s="344"/>
      <c r="BLW47" s="344"/>
      <c r="BLX47" s="344"/>
      <c r="BLY47" s="344"/>
      <c r="BLZ47" s="344"/>
      <c r="BMA47" s="344"/>
      <c r="BMB47" s="344"/>
      <c r="BMC47" s="344"/>
      <c r="BMD47" s="344"/>
      <c r="BME47" s="344"/>
      <c r="BMF47" s="344"/>
      <c r="BMG47" s="344"/>
      <c r="BMH47" s="344"/>
      <c r="BMI47" s="344"/>
      <c r="BMJ47" s="344"/>
      <c r="BMK47" s="344"/>
      <c r="BML47" s="344"/>
      <c r="BMM47" s="344"/>
      <c r="BMN47" s="344"/>
      <c r="BMO47" s="344"/>
      <c r="BMP47" s="344"/>
      <c r="BMQ47" s="344"/>
      <c r="BMR47" s="344"/>
      <c r="BMS47" s="344"/>
      <c r="BMT47" s="344"/>
      <c r="BMU47" s="344"/>
      <c r="BMV47" s="344"/>
      <c r="BMW47" s="344"/>
      <c r="BMX47" s="344"/>
      <c r="BMY47" s="344"/>
      <c r="BMZ47" s="344"/>
      <c r="BNA47" s="344"/>
      <c r="BNB47" s="344"/>
      <c r="BNC47" s="344"/>
      <c r="BND47" s="344"/>
      <c r="BNE47" s="344"/>
      <c r="BNF47" s="344"/>
      <c r="BNG47" s="344"/>
      <c r="BNH47" s="344"/>
      <c r="BNI47" s="344"/>
      <c r="BNJ47" s="344"/>
      <c r="BNK47" s="344"/>
      <c r="BNL47" s="344"/>
      <c r="BNM47" s="344"/>
      <c r="BNN47" s="344"/>
      <c r="BNO47" s="344"/>
      <c r="BNP47" s="344"/>
      <c r="BNQ47" s="344"/>
      <c r="BNR47" s="344"/>
      <c r="BNS47" s="344"/>
      <c r="BNT47" s="344"/>
      <c r="BNU47" s="344"/>
      <c r="BNV47" s="344"/>
      <c r="BNW47" s="344"/>
      <c r="BNX47" s="344"/>
      <c r="BNY47" s="344"/>
      <c r="BNZ47" s="344"/>
      <c r="BOA47" s="344"/>
      <c r="BOB47" s="344"/>
      <c r="BOC47" s="344"/>
      <c r="BOD47" s="344"/>
      <c r="BOE47" s="344"/>
      <c r="BOF47" s="344"/>
      <c r="BOG47" s="344"/>
      <c r="BOH47" s="344"/>
      <c r="BOI47" s="344"/>
      <c r="BOJ47" s="344"/>
      <c r="BOK47" s="344"/>
      <c r="BOL47" s="344"/>
      <c r="BOM47" s="344"/>
      <c r="BON47" s="344"/>
      <c r="BOO47" s="344"/>
      <c r="BOP47" s="344"/>
      <c r="BOQ47" s="344"/>
      <c r="BOR47" s="344"/>
      <c r="BOS47" s="344"/>
      <c r="BOT47" s="344"/>
      <c r="BOU47" s="344"/>
      <c r="BOV47" s="344"/>
      <c r="BOW47" s="344"/>
      <c r="BOX47" s="344"/>
      <c r="BOY47" s="344"/>
      <c r="BOZ47" s="344"/>
      <c r="BPA47" s="344"/>
      <c r="BPB47" s="344"/>
      <c r="BPC47" s="344"/>
      <c r="BPD47" s="344"/>
      <c r="BPE47" s="344"/>
      <c r="BPF47" s="344"/>
      <c r="BPG47" s="344"/>
      <c r="BPH47" s="344"/>
      <c r="BPI47" s="344"/>
      <c r="BPJ47" s="344"/>
      <c r="BPK47" s="344"/>
      <c r="BPL47" s="344"/>
      <c r="BPM47" s="344"/>
      <c r="BPN47" s="344"/>
      <c r="BPO47" s="344"/>
      <c r="BPP47" s="344"/>
      <c r="BPQ47" s="344"/>
      <c r="BPR47" s="344"/>
      <c r="BPS47" s="344"/>
      <c r="BPT47" s="344"/>
      <c r="BPU47" s="344"/>
      <c r="BPV47" s="344"/>
      <c r="BPW47" s="344"/>
      <c r="BPX47" s="344"/>
      <c r="BPY47" s="344"/>
      <c r="BPZ47" s="344"/>
      <c r="BQA47" s="344"/>
      <c r="BQB47" s="344"/>
      <c r="BQC47" s="344"/>
      <c r="BQD47" s="344"/>
      <c r="BQE47" s="344"/>
      <c r="BQF47" s="344"/>
      <c r="BQG47" s="344"/>
      <c r="BQH47" s="344"/>
      <c r="BQI47" s="344"/>
      <c r="BQJ47" s="344"/>
      <c r="BQK47" s="344"/>
      <c r="BQL47" s="344"/>
      <c r="BQM47" s="344"/>
      <c r="BQN47" s="344"/>
      <c r="BQO47" s="344"/>
      <c r="BQP47" s="344"/>
      <c r="BQQ47" s="344"/>
      <c r="BQR47" s="344"/>
      <c r="BQS47" s="344"/>
      <c r="BQT47" s="344"/>
      <c r="BQU47" s="344"/>
      <c r="BQV47" s="344"/>
      <c r="BQW47" s="344"/>
      <c r="BQX47" s="344"/>
      <c r="BQY47" s="344"/>
      <c r="BQZ47" s="344"/>
      <c r="BRA47" s="344"/>
      <c r="BRB47" s="344"/>
      <c r="BRC47" s="344"/>
      <c r="BRD47" s="344"/>
      <c r="BRE47" s="344"/>
      <c r="BRF47" s="344"/>
      <c r="BRG47" s="344"/>
      <c r="BRH47" s="344"/>
      <c r="BRI47" s="344"/>
      <c r="BRJ47" s="344"/>
      <c r="BRK47" s="344"/>
      <c r="BRL47" s="344"/>
      <c r="BRM47" s="344"/>
      <c r="BRN47" s="344"/>
      <c r="BRO47" s="344"/>
      <c r="BRP47" s="344"/>
      <c r="BRQ47" s="344"/>
      <c r="BRR47" s="344"/>
      <c r="BRS47" s="344"/>
      <c r="BRT47" s="344"/>
      <c r="BRU47" s="344"/>
      <c r="BRV47" s="344"/>
      <c r="BRW47" s="344"/>
      <c r="BRX47" s="344"/>
      <c r="BRY47" s="344"/>
      <c r="BRZ47" s="344"/>
      <c r="BSA47" s="344"/>
      <c r="BSB47" s="344"/>
      <c r="BSC47" s="344"/>
      <c r="BSD47" s="344"/>
      <c r="BSE47" s="344"/>
      <c r="BSF47" s="344"/>
      <c r="BSG47" s="344"/>
      <c r="BSH47" s="344"/>
      <c r="BSI47" s="344"/>
      <c r="BSJ47" s="344"/>
      <c r="BSK47" s="344"/>
      <c r="BSL47" s="344"/>
      <c r="BSM47" s="344"/>
      <c r="BSN47" s="344"/>
      <c r="BSO47" s="344"/>
      <c r="BSP47" s="344"/>
      <c r="BSQ47" s="344"/>
      <c r="BSR47" s="344"/>
      <c r="BSS47" s="344"/>
      <c r="BST47" s="344"/>
      <c r="BSU47" s="344"/>
      <c r="BSV47" s="344"/>
      <c r="BSW47" s="344"/>
      <c r="BSX47" s="344"/>
      <c r="BSY47" s="344"/>
      <c r="BSZ47" s="344"/>
      <c r="BTA47" s="344"/>
      <c r="BTB47" s="344"/>
      <c r="BTC47" s="344"/>
      <c r="BTD47" s="344"/>
      <c r="BTE47" s="344"/>
      <c r="BTF47" s="344"/>
      <c r="BTG47" s="344"/>
      <c r="BTH47" s="344"/>
      <c r="BTI47" s="344"/>
      <c r="BTJ47" s="344"/>
      <c r="BTK47" s="344"/>
      <c r="BTL47" s="344"/>
      <c r="BTM47" s="344"/>
      <c r="BTN47" s="344"/>
      <c r="BTO47" s="344"/>
      <c r="BTP47" s="344"/>
      <c r="BTQ47" s="344"/>
      <c r="BTR47" s="344"/>
      <c r="BTS47" s="344"/>
      <c r="BTT47" s="344"/>
      <c r="BTU47" s="344"/>
      <c r="BTV47" s="344"/>
      <c r="BTW47" s="344"/>
      <c r="BTX47" s="344"/>
      <c r="BTY47" s="344"/>
      <c r="BTZ47" s="344"/>
      <c r="BUA47" s="344"/>
      <c r="BUB47" s="344"/>
      <c r="BUC47" s="344"/>
      <c r="BUD47" s="344"/>
      <c r="BUE47" s="344"/>
      <c r="BUF47" s="344"/>
      <c r="BUG47" s="344"/>
      <c r="BUH47" s="344"/>
      <c r="BUI47" s="344"/>
      <c r="BUJ47" s="344"/>
      <c r="BUK47" s="344"/>
      <c r="BUL47" s="344"/>
      <c r="BUM47" s="344"/>
      <c r="BUN47" s="344"/>
      <c r="BUO47" s="344"/>
      <c r="BUP47" s="344"/>
      <c r="BUQ47" s="344"/>
      <c r="BUR47" s="344"/>
      <c r="BUS47" s="344"/>
      <c r="BUT47" s="344"/>
      <c r="BUU47" s="344"/>
      <c r="BUV47" s="344"/>
      <c r="BUW47" s="344"/>
      <c r="BUX47" s="344"/>
      <c r="BUY47" s="344"/>
      <c r="BUZ47" s="344"/>
      <c r="BVA47" s="344"/>
      <c r="BVB47" s="344"/>
      <c r="BVC47" s="344"/>
      <c r="BVD47" s="344"/>
      <c r="BVE47" s="344"/>
      <c r="BVF47" s="344"/>
      <c r="BVG47" s="344"/>
      <c r="BVH47" s="344"/>
      <c r="BVI47" s="344"/>
      <c r="BVJ47" s="344"/>
      <c r="BVK47" s="344"/>
      <c r="BVL47" s="344"/>
      <c r="BVM47" s="344"/>
      <c r="BVN47" s="344"/>
      <c r="BVO47" s="344"/>
      <c r="BVP47" s="344"/>
      <c r="BVQ47" s="344"/>
      <c r="BVR47" s="344"/>
      <c r="BVS47" s="344"/>
      <c r="BVT47" s="344"/>
      <c r="BVU47" s="344"/>
      <c r="BVV47" s="344"/>
      <c r="BVW47" s="344"/>
      <c r="BVX47" s="344"/>
      <c r="BVY47" s="344"/>
      <c r="BVZ47" s="344"/>
      <c r="BWA47" s="344"/>
      <c r="BWB47" s="344"/>
      <c r="BWC47" s="344"/>
      <c r="BWD47" s="344"/>
      <c r="BWE47" s="344"/>
      <c r="BWF47" s="344"/>
      <c r="BWG47" s="344"/>
      <c r="BWH47" s="344"/>
      <c r="BWI47" s="344"/>
      <c r="BWJ47" s="344"/>
      <c r="BWK47" s="344"/>
      <c r="BWL47" s="344"/>
      <c r="BWM47" s="344"/>
      <c r="BWN47" s="344"/>
      <c r="BWO47" s="344"/>
      <c r="BWP47" s="344"/>
      <c r="BWQ47" s="344"/>
      <c r="BWR47" s="344"/>
      <c r="BWS47" s="344"/>
      <c r="BWT47" s="344"/>
      <c r="BWU47" s="344"/>
      <c r="BWV47" s="344"/>
      <c r="BWW47" s="344"/>
      <c r="BWX47" s="344"/>
      <c r="BWY47" s="344"/>
      <c r="BWZ47" s="344"/>
      <c r="BXA47" s="344"/>
      <c r="BXB47" s="344"/>
      <c r="BXC47" s="344"/>
      <c r="BXD47" s="344"/>
      <c r="BXE47" s="344"/>
      <c r="BXF47" s="344"/>
      <c r="BXG47" s="344"/>
      <c r="BXH47" s="344"/>
      <c r="BXI47" s="344"/>
      <c r="BXJ47" s="344"/>
      <c r="BXK47" s="344"/>
      <c r="BXL47" s="344"/>
      <c r="BXM47" s="344"/>
      <c r="BXN47" s="344"/>
      <c r="BXO47" s="344"/>
      <c r="BXP47" s="344"/>
      <c r="BXQ47" s="344"/>
      <c r="BXR47" s="344"/>
      <c r="BXS47" s="344"/>
      <c r="BXT47" s="344"/>
      <c r="BXU47" s="344"/>
      <c r="BXV47" s="344"/>
      <c r="BXW47" s="344"/>
      <c r="BXX47" s="344"/>
      <c r="BXY47" s="344"/>
      <c r="BXZ47" s="344"/>
      <c r="BYA47" s="344"/>
      <c r="BYB47" s="344"/>
      <c r="BYC47" s="344"/>
      <c r="BYD47" s="344"/>
      <c r="BYE47" s="344"/>
      <c r="BYF47" s="344"/>
      <c r="BYG47" s="344"/>
      <c r="BYH47" s="344"/>
      <c r="BYI47" s="344"/>
      <c r="BYJ47" s="344"/>
      <c r="BYK47" s="344"/>
      <c r="BYL47" s="344"/>
      <c r="BYM47" s="344"/>
      <c r="BYN47" s="344"/>
      <c r="BYO47" s="344"/>
      <c r="BYP47" s="344"/>
      <c r="BYQ47" s="344"/>
      <c r="BYR47" s="344"/>
      <c r="BYS47" s="344"/>
      <c r="BYT47" s="344"/>
      <c r="BYU47" s="344"/>
      <c r="BYV47" s="344"/>
      <c r="BYW47" s="344"/>
      <c r="BYX47" s="344"/>
      <c r="BYY47" s="344"/>
      <c r="BYZ47" s="344"/>
      <c r="BZA47" s="344"/>
      <c r="BZB47" s="344"/>
      <c r="BZC47" s="344"/>
      <c r="BZD47" s="344"/>
      <c r="BZE47" s="344"/>
      <c r="BZF47" s="344"/>
      <c r="BZG47" s="344"/>
      <c r="BZH47" s="344"/>
      <c r="BZI47" s="344"/>
      <c r="BZJ47" s="344"/>
      <c r="BZK47" s="344"/>
      <c r="BZL47" s="344"/>
      <c r="BZM47" s="344"/>
      <c r="BZN47" s="344"/>
      <c r="BZO47" s="344"/>
      <c r="BZP47" s="344"/>
      <c r="BZQ47" s="344"/>
      <c r="BZR47" s="344"/>
      <c r="BZS47" s="344"/>
      <c r="BZT47" s="344"/>
      <c r="BZU47" s="344"/>
      <c r="BZV47" s="344"/>
      <c r="BZW47" s="344"/>
      <c r="BZX47" s="344"/>
      <c r="BZY47" s="344"/>
      <c r="BZZ47" s="344"/>
      <c r="CAA47" s="344"/>
      <c r="CAB47" s="344"/>
      <c r="CAC47" s="344"/>
      <c r="CAD47" s="344"/>
      <c r="CAE47" s="344"/>
      <c r="CAF47" s="344"/>
      <c r="CAG47" s="344"/>
      <c r="CAH47" s="344"/>
      <c r="CAI47" s="344"/>
      <c r="CAJ47" s="344"/>
      <c r="CAK47" s="344"/>
      <c r="CAL47" s="344"/>
      <c r="CAM47" s="344"/>
      <c r="CAN47" s="344"/>
      <c r="CAO47" s="344"/>
      <c r="CAP47" s="344"/>
      <c r="CAQ47" s="344"/>
      <c r="CAR47" s="344"/>
      <c r="CAS47" s="344"/>
      <c r="CAT47" s="344"/>
      <c r="CAU47" s="344"/>
      <c r="CAV47" s="344"/>
      <c r="CAW47" s="344"/>
      <c r="CAX47" s="344"/>
      <c r="CAY47" s="344"/>
      <c r="CAZ47" s="344"/>
      <c r="CBA47" s="344"/>
      <c r="CBB47" s="344"/>
      <c r="CBC47" s="344"/>
      <c r="CBD47" s="344"/>
      <c r="CBE47" s="344"/>
      <c r="CBF47" s="344"/>
      <c r="CBG47" s="344"/>
      <c r="CBH47" s="344"/>
      <c r="CBI47" s="344"/>
      <c r="CBJ47" s="344"/>
      <c r="CBK47" s="344"/>
      <c r="CBL47" s="344"/>
      <c r="CBM47" s="344"/>
      <c r="CBN47" s="344"/>
      <c r="CBO47" s="344"/>
      <c r="CBP47" s="344"/>
      <c r="CBQ47" s="344"/>
      <c r="CBR47" s="344"/>
      <c r="CBS47" s="344"/>
      <c r="CBT47" s="344"/>
      <c r="CBU47" s="344"/>
      <c r="CBV47" s="344"/>
      <c r="CBW47" s="344"/>
      <c r="CBX47" s="344"/>
      <c r="CBY47" s="344"/>
      <c r="CBZ47" s="344"/>
      <c r="CCA47" s="344"/>
      <c r="CCB47" s="344"/>
      <c r="CCC47" s="344"/>
      <c r="CCD47" s="344"/>
      <c r="CCE47" s="344"/>
      <c r="CCF47" s="344"/>
      <c r="CCG47" s="344"/>
      <c r="CCH47" s="344"/>
      <c r="CCI47" s="344"/>
      <c r="CCJ47" s="344"/>
      <c r="CCK47" s="344"/>
      <c r="CCL47" s="344"/>
      <c r="CCM47" s="344"/>
      <c r="CCN47" s="344"/>
      <c r="CCO47" s="344"/>
      <c r="CCP47" s="344"/>
      <c r="CCQ47" s="344"/>
      <c r="CCR47" s="344"/>
      <c r="CCS47" s="344"/>
      <c r="CCT47" s="344"/>
      <c r="CCU47" s="344"/>
      <c r="CCV47" s="344"/>
      <c r="CCW47" s="344"/>
      <c r="CCX47" s="344"/>
      <c r="CCY47" s="344"/>
      <c r="CCZ47" s="344"/>
      <c r="CDA47" s="344"/>
      <c r="CDB47" s="344"/>
      <c r="CDC47" s="344"/>
      <c r="CDD47" s="344"/>
      <c r="CDE47" s="344"/>
      <c r="CDF47" s="344"/>
      <c r="CDG47" s="344"/>
      <c r="CDH47" s="344"/>
      <c r="CDI47" s="344"/>
      <c r="CDJ47" s="344"/>
      <c r="CDK47" s="344"/>
      <c r="CDL47" s="344"/>
      <c r="CDM47" s="344"/>
      <c r="CDN47" s="344"/>
      <c r="CDO47" s="344"/>
      <c r="CDP47" s="344"/>
      <c r="CDQ47" s="344"/>
      <c r="CDR47" s="344"/>
      <c r="CDS47" s="344"/>
      <c r="CDT47" s="344"/>
      <c r="CDU47" s="344"/>
      <c r="CDV47" s="344"/>
      <c r="CDW47" s="344"/>
      <c r="CDX47" s="344"/>
      <c r="CDY47" s="344"/>
      <c r="CDZ47" s="344"/>
      <c r="CEA47" s="344"/>
      <c r="CEB47" s="344"/>
      <c r="CEC47" s="344"/>
      <c r="CED47" s="344"/>
      <c r="CEE47" s="344"/>
      <c r="CEF47" s="344"/>
      <c r="CEG47" s="344"/>
      <c r="CEH47" s="344"/>
      <c r="CEI47" s="344"/>
      <c r="CEJ47" s="344"/>
      <c r="CEK47" s="344"/>
      <c r="CEL47" s="344"/>
      <c r="CEM47" s="344"/>
      <c r="CEN47" s="344"/>
      <c r="CEO47" s="344"/>
      <c r="CEP47" s="344"/>
      <c r="CEQ47" s="344"/>
      <c r="CER47" s="344"/>
      <c r="CES47" s="344"/>
      <c r="CET47" s="344"/>
      <c r="CEU47" s="344"/>
      <c r="CEV47" s="344"/>
      <c r="CEW47" s="344"/>
      <c r="CEX47" s="344"/>
      <c r="CEY47" s="344"/>
      <c r="CEZ47" s="344"/>
      <c r="CFA47" s="344"/>
      <c r="CFB47" s="344"/>
      <c r="CFC47" s="344"/>
      <c r="CFD47" s="344"/>
      <c r="CFE47" s="344"/>
      <c r="CFF47" s="344"/>
      <c r="CFG47" s="344"/>
      <c r="CFH47" s="344"/>
      <c r="CFI47" s="344"/>
      <c r="CFJ47" s="344"/>
      <c r="CFK47" s="344"/>
      <c r="CFL47" s="344"/>
      <c r="CFM47" s="344"/>
      <c r="CFN47" s="344"/>
      <c r="CFO47" s="344"/>
      <c r="CFP47" s="344"/>
      <c r="CFQ47" s="344"/>
      <c r="CFR47" s="344"/>
      <c r="CFS47" s="344"/>
      <c r="CFT47" s="344"/>
      <c r="CFU47" s="344"/>
      <c r="CFV47" s="344"/>
      <c r="CFW47" s="344"/>
      <c r="CFX47" s="344"/>
      <c r="CFY47" s="344"/>
      <c r="CFZ47" s="344"/>
      <c r="CGA47" s="344"/>
      <c r="CGB47" s="344"/>
      <c r="CGC47" s="344"/>
      <c r="CGD47" s="344"/>
      <c r="CGE47" s="344"/>
      <c r="CGF47" s="344"/>
      <c r="CGG47" s="344"/>
      <c r="CGH47" s="344"/>
      <c r="CGI47" s="344"/>
      <c r="CGJ47" s="344"/>
      <c r="CGK47" s="344"/>
      <c r="CGL47" s="344"/>
      <c r="CGM47" s="344"/>
      <c r="CGN47" s="344"/>
      <c r="CGO47" s="344"/>
      <c r="CGP47" s="344"/>
      <c r="CGQ47" s="344"/>
      <c r="CGR47" s="344"/>
      <c r="CGS47" s="344"/>
      <c r="CGT47" s="344"/>
      <c r="CGU47" s="344"/>
      <c r="CGV47" s="344"/>
      <c r="CGW47" s="344"/>
      <c r="CGX47" s="344"/>
      <c r="CGY47" s="344"/>
      <c r="CGZ47" s="344"/>
      <c r="CHA47" s="344"/>
      <c r="CHB47" s="344"/>
      <c r="CHC47" s="344"/>
      <c r="CHD47" s="344"/>
      <c r="CHE47" s="344"/>
      <c r="CHF47" s="344"/>
      <c r="CHG47" s="344"/>
      <c r="CHH47" s="344"/>
      <c r="CHI47" s="344"/>
      <c r="CHJ47" s="344"/>
      <c r="CHK47" s="344"/>
      <c r="CHL47" s="344"/>
      <c r="CHM47" s="344"/>
      <c r="CHN47" s="344"/>
      <c r="CHO47" s="344"/>
      <c r="CHP47" s="344"/>
      <c r="CHQ47" s="344"/>
      <c r="CHR47" s="344"/>
      <c r="CHS47" s="344"/>
      <c r="CHT47" s="344"/>
      <c r="CHU47" s="344"/>
      <c r="CHV47" s="344"/>
      <c r="CHW47" s="344"/>
      <c r="CHX47" s="344"/>
      <c r="CHY47" s="344"/>
      <c r="CHZ47" s="344"/>
      <c r="CIA47" s="344"/>
      <c r="CIB47" s="344"/>
      <c r="CIC47" s="344"/>
      <c r="CID47" s="344"/>
      <c r="CIE47" s="344"/>
      <c r="CIF47" s="344"/>
      <c r="CIG47" s="344"/>
      <c r="CIH47" s="344"/>
      <c r="CII47" s="344"/>
      <c r="CIJ47" s="344"/>
      <c r="CIK47" s="344"/>
      <c r="CIL47" s="344"/>
      <c r="CIM47" s="344"/>
      <c r="CIN47" s="344"/>
      <c r="CIO47" s="344"/>
      <c r="CIP47" s="344"/>
      <c r="CIQ47" s="344"/>
      <c r="CIR47" s="344"/>
      <c r="CIS47" s="344"/>
      <c r="CIT47" s="344"/>
      <c r="CIU47" s="344"/>
      <c r="CIV47" s="344"/>
      <c r="CIW47" s="344"/>
      <c r="CIX47" s="344"/>
      <c r="CIY47" s="344"/>
      <c r="CIZ47" s="344"/>
      <c r="CJA47" s="344"/>
      <c r="CJB47" s="344"/>
      <c r="CJC47" s="344"/>
      <c r="CJD47" s="344"/>
      <c r="CJE47" s="344"/>
      <c r="CJF47" s="344"/>
      <c r="CJG47" s="344"/>
      <c r="CJH47" s="344"/>
      <c r="CJI47" s="344"/>
      <c r="CJJ47" s="344"/>
      <c r="CJK47" s="344"/>
      <c r="CJL47" s="344"/>
      <c r="CJM47" s="344"/>
      <c r="CJN47" s="344"/>
      <c r="CJO47" s="344"/>
      <c r="CJP47" s="344"/>
      <c r="CJQ47" s="344"/>
      <c r="CJR47" s="344"/>
      <c r="CJS47" s="344"/>
      <c r="CJT47" s="344"/>
      <c r="CJU47" s="344"/>
      <c r="CJV47" s="344"/>
      <c r="CJW47" s="344"/>
      <c r="CJX47" s="344"/>
      <c r="CJY47" s="344"/>
      <c r="CJZ47" s="344"/>
      <c r="CKA47" s="344"/>
      <c r="CKB47" s="344"/>
      <c r="CKC47" s="344"/>
      <c r="CKD47" s="344"/>
      <c r="CKE47" s="344"/>
      <c r="CKF47" s="344"/>
      <c r="CKG47" s="344"/>
      <c r="CKH47" s="344"/>
      <c r="CKI47" s="344"/>
      <c r="CKJ47" s="344"/>
      <c r="CKK47" s="344"/>
      <c r="CKL47" s="344"/>
      <c r="CKM47" s="344"/>
      <c r="CKN47" s="344"/>
      <c r="CKO47" s="344"/>
      <c r="CKP47" s="344"/>
      <c r="CKQ47" s="344"/>
      <c r="CKR47" s="344"/>
      <c r="CKS47" s="344"/>
      <c r="CKT47" s="344"/>
      <c r="CKU47" s="344"/>
      <c r="CKV47" s="344"/>
      <c r="CKW47" s="344"/>
      <c r="CKX47" s="344"/>
      <c r="CKY47" s="344"/>
      <c r="CKZ47" s="344"/>
      <c r="CLA47" s="344"/>
      <c r="CLB47" s="344"/>
      <c r="CLC47" s="344"/>
      <c r="CLD47" s="344"/>
      <c r="CLE47" s="344"/>
      <c r="CLF47" s="344"/>
      <c r="CLG47" s="344"/>
      <c r="CLH47" s="344"/>
      <c r="CLI47" s="344"/>
      <c r="CLJ47" s="344"/>
      <c r="CLK47" s="344"/>
      <c r="CLL47" s="344"/>
      <c r="CLM47" s="344"/>
      <c r="CLN47" s="344"/>
      <c r="CLO47" s="344"/>
      <c r="CLP47" s="344"/>
      <c r="CLQ47" s="344"/>
      <c r="CLR47" s="344"/>
      <c r="CLS47" s="344"/>
      <c r="CLT47" s="344"/>
      <c r="CLU47" s="344"/>
      <c r="CLV47" s="344"/>
      <c r="CLW47" s="344"/>
      <c r="CLX47" s="344"/>
      <c r="CLY47" s="344"/>
      <c r="CLZ47" s="344"/>
      <c r="CMA47" s="344"/>
      <c r="CMB47" s="344"/>
      <c r="CMC47" s="344"/>
      <c r="CMD47" s="344"/>
      <c r="CME47" s="344"/>
      <c r="CMF47" s="344"/>
      <c r="CMG47" s="344"/>
      <c r="CMH47" s="344"/>
      <c r="CMI47" s="344"/>
      <c r="CMJ47" s="344"/>
      <c r="CMK47" s="344"/>
      <c r="CML47" s="344"/>
      <c r="CMM47" s="344"/>
      <c r="CMN47" s="344"/>
      <c r="CMO47" s="344"/>
      <c r="CMP47" s="344"/>
      <c r="CMQ47" s="344"/>
      <c r="CMR47" s="344"/>
      <c r="CMS47" s="344"/>
      <c r="CMT47" s="344"/>
      <c r="CMU47" s="344"/>
      <c r="CMV47" s="344"/>
      <c r="CMW47" s="344"/>
      <c r="CMX47" s="344"/>
      <c r="CMY47" s="344"/>
      <c r="CMZ47" s="344"/>
      <c r="CNA47" s="344"/>
      <c r="CNB47" s="344"/>
      <c r="CNC47" s="344"/>
      <c r="CND47" s="344"/>
      <c r="CNE47" s="344"/>
      <c r="CNF47" s="344"/>
      <c r="CNG47" s="344"/>
      <c r="CNH47" s="344"/>
      <c r="CNI47" s="344"/>
      <c r="CNJ47" s="344"/>
      <c r="CNK47" s="344"/>
      <c r="CNL47" s="344"/>
      <c r="CNM47" s="344"/>
      <c r="CNN47" s="344"/>
      <c r="CNO47" s="344"/>
      <c r="CNP47" s="344"/>
      <c r="CNQ47" s="344"/>
      <c r="CNR47" s="344"/>
      <c r="CNS47" s="344"/>
      <c r="CNT47" s="344"/>
      <c r="CNU47" s="344"/>
      <c r="CNV47" s="344"/>
      <c r="CNW47" s="344"/>
      <c r="CNX47" s="344"/>
      <c r="CNY47" s="344"/>
      <c r="CNZ47" s="344"/>
      <c r="COA47" s="344"/>
      <c r="COB47" s="344"/>
      <c r="COC47" s="344"/>
      <c r="COD47" s="344"/>
      <c r="COE47" s="344"/>
      <c r="COF47" s="344"/>
      <c r="COG47" s="344"/>
      <c r="COH47" s="344"/>
      <c r="COI47" s="344"/>
      <c r="COJ47" s="344"/>
      <c r="COK47" s="344"/>
      <c r="COL47" s="344"/>
      <c r="COM47" s="344"/>
      <c r="CON47" s="344"/>
      <c r="COO47" s="344"/>
      <c r="COP47" s="344"/>
      <c r="COQ47" s="344"/>
      <c r="COR47" s="344"/>
      <c r="COS47" s="344"/>
      <c r="COT47" s="344"/>
      <c r="COU47" s="344"/>
      <c r="COV47" s="344"/>
      <c r="COW47" s="344"/>
      <c r="COX47" s="344"/>
      <c r="COY47" s="344"/>
      <c r="COZ47" s="344"/>
      <c r="CPA47" s="344"/>
      <c r="CPB47" s="344"/>
      <c r="CPC47" s="344"/>
      <c r="CPD47" s="344"/>
      <c r="CPE47" s="344"/>
      <c r="CPF47" s="344"/>
      <c r="CPG47" s="344"/>
      <c r="CPH47" s="344"/>
      <c r="CPI47" s="344"/>
      <c r="CPJ47" s="344"/>
      <c r="CPK47" s="344"/>
      <c r="CPL47" s="344"/>
      <c r="CPM47" s="344"/>
      <c r="CPN47" s="344"/>
      <c r="CPO47" s="344"/>
      <c r="CPP47" s="344"/>
      <c r="CPQ47" s="344"/>
      <c r="CPR47" s="344"/>
      <c r="CPS47" s="344"/>
      <c r="CPT47" s="344"/>
      <c r="CPU47" s="344"/>
      <c r="CPV47" s="344"/>
      <c r="CPW47" s="344"/>
      <c r="CPX47" s="344"/>
      <c r="CPY47" s="344"/>
      <c r="CPZ47" s="344"/>
      <c r="CQA47" s="344"/>
      <c r="CQB47" s="344"/>
      <c r="CQC47" s="344"/>
      <c r="CQD47" s="344"/>
      <c r="CQE47" s="344"/>
      <c r="CQF47" s="344"/>
      <c r="CQG47" s="344"/>
      <c r="CQH47" s="344"/>
      <c r="CQI47" s="344"/>
      <c r="CQJ47" s="344"/>
      <c r="CQK47" s="344"/>
      <c r="CQL47" s="344"/>
      <c r="CQM47" s="344"/>
      <c r="CQN47" s="344"/>
      <c r="CQO47" s="344"/>
      <c r="CQP47" s="344"/>
      <c r="CQQ47" s="344"/>
      <c r="CQR47" s="344"/>
      <c r="CQS47" s="344"/>
      <c r="CQT47" s="344"/>
      <c r="CQU47" s="344"/>
      <c r="CQV47" s="344"/>
      <c r="CQW47" s="344"/>
      <c r="CQX47" s="344"/>
      <c r="CQY47" s="344"/>
      <c r="CQZ47" s="344"/>
      <c r="CRA47" s="344"/>
      <c r="CRB47" s="344"/>
      <c r="CRC47" s="344"/>
      <c r="CRD47" s="344"/>
      <c r="CRE47" s="344"/>
      <c r="CRF47" s="344"/>
      <c r="CRG47" s="344"/>
      <c r="CRH47" s="344"/>
      <c r="CRI47" s="344"/>
      <c r="CRJ47" s="344"/>
      <c r="CRK47" s="344"/>
      <c r="CRL47" s="344"/>
      <c r="CRM47" s="344"/>
      <c r="CRN47" s="344"/>
      <c r="CRO47" s="344"/>
      <c r="CRP47" s="344"/>
      <c r="CRQ47" s="344"/>
      <c r="CRR47" s="344"/>
      <c r="CRS47" s="344"/>
      <c r="CRT47" s="344"/>
      <c r="CRU47" s="344"/>
      <c r="CRV47" s="344"/>
      <c r="CRW47" s="344"/>
      <c r="CRX47" s="344"/>
      <c r="CRY47" s="344"/>
      <c r="CRZ47" s="344"/>
      <c r="CSA47" s="344"/>
      <c r="CSB47" s="344"/>
      <c r="CSC47" s="344"/>
      <c r="CSD47" s="344"/>
      <c r="CSE47" s="344"/>
      <c r="CSF47" s="344"/>
      <c r="CSG47" s="344"/>
      <c r="CSH47" s="344"/>
      <c r="CSI47" s="344"/>
      <c r="CSJ47" s="344"/>
      <c r="CSK47" s="344"/>
      <c r="CSL47" s="344"/>
      <c r="CSM47" s="344"/>
      <c r="CSN47" s="344"/>
      <c r="CSO47" s="344"/>
      <c r="CSP47" s="344"/>
      <c r="CSQ47" s="344"/>
      <c r="CSR47" s="344"/>
      <c r="CSS47" s="344"/>
      <c r="CST47" s="344"/>
      <c r="CSU47" s="344"/>
      <c r="CSV47" s="344"/>
      <c r="CSW47" s="344"/>
      <c r="CSX47" s="344"/>
      <c r="CSY47" s="344"/>
      <c r="CSZ47" s="344"/>
      <c r="CTA47" s="344"/>
      <c r="CTB47" s="344"/>
      <c r="CTC47" s="344"/>
      <c r="CTD47" s="344"/>
      <c r="CTE47" s="344"/>
      <c r="CTF47" s="344"/>
      <c r="CTG47" s="344"/>
      <c r="CTH47" s="344"/>
      <c r="CTI47" s="344"/>
      <c r="CTJ47" s="344"/>
      <c r="CTK47" s="344"/>
      <c r="CTL47" s="344"/>
      <c r="CTM47" s="344"/>
      <c r="CTN47" s="344"/>
      <c r="CTO47" s="344"/>
      <c r="CTP47" s="344"/>
      <c r="CTQ47" s="344"/>
      <c r="CTR47" s="344"/>
      <c r="CTS47" s="344"/>
      <c r="CTT47" s="344"/>
      <c r="CTU47" s="344"/>
      <c r="CTV47" s="344"/>
      <c r="CTW47" s="344"/>
      <c r="CTX47" s="344"/>
      <c r="CTY47" s="344"/>
      <c r="CTZ47" s="344"/>
      <c r="CUA47" s="344"/>
      <c r="CUB47" s="344"/>
      <c r="CUC47" s="344"/>
      <c r="CUD47" s="344"/>
      <c r="CUE47" s="344"/>
      <c r="CUF47" s="344"/>
      <c r="CUG47" s="344"/>
      <c r="CUH47" s="344"/>
      <c r="CUI47" s="344"/>
      <c r="CUJ47" s="344"/>
      <c r="CUK47" s="344"/>
      <c r="CUL47" s="344"/>
      <c r="CUM47" s="344"/>
      <c r="CUN47" s="344"/>
      <c r="CUO47" s="344"/>
      <c r="CUP47" s="344"/>
      <c r="CUQ47" s="344"/>
      <c r="CUR47" s="344"/>
      <c r="CUS47" s="344"/>
      <c r="CUT47" s="344"/>
      <c r="CUU47" s="344"/>
      <c r="CUV47" s="344"/>
      <c r="CUW47" s="344"/>
      <c r="CUX47" s="344"/>
      <c r="CUY47" s="344"/>
      <c r="CUZ47" s="344"/>
      <c r="CVA47" s="344"/>
      <c r="CVB47" s="344"/>
      <c r="CVC47" s="344"/>
      <c r="CVD47" s="344"/>
      <c r="CVE47" s="344"/>
      <c r="CVF47" s="344"/>
      <c r="CVG47" s="344"/>
      <c r="CVH47" s="344"/>
      <c r="CVI47" s="344"/>
      <c r="CVJ47" s="344"/>
      <c r="CVK47" s="344"/>
      <c r="CVL47" s="344"/>
      <c r="CVM47" s="344"/>
      <c r="CVN47" s="344"/>
      <c r="CVO47" s="344"/>
      <c r="CVP47" s="344"/>
      <c r="CVQ47" s="344"/>
      <c r="CVR47" s="344"/>
      <c r="CVS47" s="344"/>
      <c r="CVT47" s="344"/>
      <c r="CVU47" s="344"/>
      <c r="CVV47" s="344"/>
      <c r="CVW47" s="344"/>
      <c r="CVX47" s="344"/>
      <c r="CVY47" s="344"/>
      <c r="CVZ47" s="344"/>
      <c r="CWA47" s="344"/>
      <c r="CWB47" s="344"/>
      <c r="CWC47" s="344"/>
      <c r="CWD47" s="344"/>
      <c r="CWE47" s="344"/>
      <c r="CWF47" s="344"/>
      <c r="CWG47" s="344"/>
      <c r="CWH47" s="344"/>
      <c r="CWI47" s="344"/>
      <c r="CWJ47" s="344"/>
      <c r="CWK47" s="344"/>
      <c r="CWL47" s="344"/>
      <c r="CWM47" s="344"/>
      <c r="CWN47" s="344"/>
      <c r="CWO47" s="344"/>
      <c r="CWP47" s="344"/>
      <c r="CWQ47" s="344"/>
      <c r="CWR47" s="344"/>
      <c r="CWS47" s="344"/>
      <c r="CWT47" s="344"/>
      <c r="CWU47" s="344"/>
      <c r="CWV47" s="344"/>
      <c r="CWW47" s="344"/>
      <c r="CWX47" s="344"/>
      <c r="CWY47" s="344"/>
      <c r="CWZ47" s="344"/>
      <c r="CXA47" s="344"/>
      <c r="CXB47" s="344"/>
      <c r="CXC47" s="344"/>
      <c r="CXD47" s="344"/>
      <c r="CXE47" s="344"/>
      <c r="CXF47" s="344"/>
      <c r="CXG47" s="344"/>
      <c r="CXH47" s="344"/>
      <c r="CXI47" s="344"/>
      <c r="CXJ47" s="344"/>
      <c r="CXK47" s="344"/>
      <c r="CXL47" s="344"/>
      <c r="CXM47" s="344"/>
      <c r="CXN47" s="344"/>
      <c r="CXO47" s="344"/>
      <c r="CXP47" s="344"/>
      <c r="CXQ47" s="344"/>
      <c r="CXR47" s="344"/>
      <c r="CXS47" s="344"/>
      <c r="CXT47" s="344"/>
      <c r="CXU47" s="344"/>
      <c r="CXV47" s="344"/>
      <c r="CXW47" s="344"/>
      <c r="CXX47" s="344"/>
      <c r="CXY47" s="344"/>
      <c r="CXZ47" s="344"/>
      <c r="CYA47" s="344"/>
      <c r="CYB47" s="344"/>
      <c r="CYC47" s="344"/>
      <c r="CYD47" s="344"/>
      <c r="CYE47" s="344"/>
      <c r="CYF47" s="344"/>
      <c r="CYG47" s="344"/>
      <c r="CYH47" s="344"/>
      <c r="CYI47" s="344"/>
      <c r="CYJ47" s="344"/>
      <c r="CYK47" s="344"/>
      <c r="CYL47" s="344"/>
      <c r="CYM47" s="344"/>
      <c r="CYN47" s="344"/>
      <c r="CYO47" s="344"/>
      <c r="CYP47" s="344"/>
      <c r="CYQ47" s="344"/>
      <c r="CYR47" s="344"/>
      <c r="CYS47" s="344"/>
      <c r="CYT47" s="344"/>
      <c r="CYU47" s="344"/>
      <c r="CYV47" s="344"/>
      <c r="CYW47" s="344"/>
      <c r="CYX47" s="344"/>
      <c r="CYY47" s="344"/>
      <c r="CYZ47" s="344"/>
      <c r="CZA47" s="344"/>
      <c r="CZB47" s="344"/>
      <c r="CZC47" s="344"/>
      <c r="CZD47" s="344"/>
      <c r="CZE47" s="344"/>
      <c r="CZF47" s="344"/>
      <c r="CZG47" s="344"/>
      <c r="CZH47" s="344"/>
      <c r="CZI47" s="344"/>
      <c r="CZJ47" s="344"/>
      <c r="CZK47" s="344"/>
      <c r="CZL47" s="344"/>
      <c r="CZM47" s="344"/>
      <c r="CZN47" s="344"/>
      <c r="CZO47" s="344"/>
      <c r="CZP47" s="344"/>
      <c r="CZQ47" s="344"/>
      <c r="CZR47" s="344"/>
      <c r="CZS47" s="344"/>
      <c r="CZT47" s="344"/>
      <c r="CZU47" s="344"/>
      <c r="CZV47" s="344"/>
      <c r="CZW47" s="344"/>
      <c r="CZX47" s="344"/>
      <c r="CZY47" s="344"/>
      <c r="CZZ47" s="344"/>
      <c r="DAA47" s="344"/>
      <c r="DAB47" s="344"/>
      <c r="DAC47" s="344"/>
      <c r="DAD47" s="344"/>
      <c r="DAE47" s="344"/>
      <c r="DAF47" s="344"/>
      <c r="DAG47" s="344"/>
      <c r="DAH47" s="344"/>
      <c r="DAI47" s="344"/>
      <c r="DAJ47" s="344"/>
      <c r="DAK47" s="344"/>
      <c r="DAL47" s="344"/>
      <c r="DAM47" s="344"/>
      <c r="DAN47" s="344"/>
      <c r="DAO47" s="344"/>
      <c r="DAP47" s="344"/>
      <c r="DAQ47" s="344"/>
      <c r="DAR47" s="344"/>
      <c r="DAS47" s="344"/>
      <c r="DAT47" s="344"/>
      <c r="DAU47" s="344"/>
      <c r="DAV47" s="344"/>
      <c r="DAW47" s="344"/>
      <c r="DAX47" s="344"/>
      <c r="DAY47" s="344"/>
      <c r="DAZ47" s="344"/>
      <c r="DBA47" s="344"/>
      <c r="DBB47" s="344"/>
      <c r="DBC47" s="344"/>
      <c r="DBD47" s="344"/>
      <c r="DBE47" s="344"/>
      <c r="DBF47" s="344"/>
      <c r="DBG47" s="344"/>
      <c r="DBH47" s="344"/>
      <c r="DBI47" s="344"/>
      <c r="DBJ47" s="344"/>
      <c r="DBK47" s="344"/>
      <c r="DBL47" s="344"/>
      <c r="DBM47" s="344"/>
      <c r="DBN47" s="344"/>
      <c r="DBO47" s="344"/>
      <c r="DBP47" s="344"/>
      <c r="DBQ47" s="344"/>
      <c r="DBR47" s="344"/>
      <c r="DBS47" s="344"/>
      <c r="DBT47" s="344"/>
      <c r="DBU47" s="344"/>
      <c r="DBV47" s="344"/>
      <c r="DBW47" s="344"/>
      <c r="DBX47" s="344"/>
      <c r="DBY47" s="344"/>
      <c r="DBZ47" s="344"/>
      <c r="DCA47" s="344"/>
      <c r="DCB47" s="344"/>
      <c r="DCC47" s="344"/>
      <c r="DCD47" s="344"/>
      <c r="DCE47" s="344"/>
      <c r="DCF47" s="344"/>
      <c r="DCG47" s="344"/>
      <c r="DCH47" s="344"/>
      <c r="DCI47" s="344"/>
      <c r="DCJ47" s="344"/>
      <c r="DCK47" s="344"/>
      <c r="DCL47" s="344"/>
      <c r="DCM47" s="344"/>
      <c r="DCN47" s="344"/>
      <c r="DCO47" s="344"/>
      <c r="DCP47" s="344"/>
      <c r="DCQ47" s="344"/>
      <c r="DCR47" s="344"/>
      <c r="DCS47" s="344"/>
      <c r="DCT47" s="344"/>
      <c r="DCU47" s="344"/>
      <c r="DCV47" s="344"/>
      <c r="DCW47" s="344"/>
      <c r="DCX47" s="344"/>
      <c r="DCY47" s="344"/>
      <c r="DCZ47" s="344"/>
      <c r="DDA47" s="344"/>
      <c r="DDB47" s="344"/>
      <c r="DDC47" s="344"/>
      <c r="DDD47" s="344"/>
      <c r="DDE47" s="344"/>
      <c r="DDF47" s="344"/>
      <c r="DDG47" s="344"/>
      <c r="DDH47" s="344"/>
      <c r="DDI47" s="344"/>
      <c r="DDJ47" s="344"/>
      <c r="DDK47" s="344"/>
      <c r="DDL47" s="344"/>
      <c r="DDM47" s="344"/>
      <c r="DDN47" s="344"/>
      <c r="DDO47" s="344"/>
      <c r="DDP47" s="344"/>
      <c r="DDQ47" s="344"/>
      <c r="DDR47" s="344"/>
      <c r="DDS47" s="344"/>
      <c r="DDT47" s="344"/>
      <c r="DDU47" s="344"/>
      <c r="DDV47" s="344"/>
      <c r="DDW47" s="344"/>
      <c r="DDX47" s="344"/>
      <c r="DDY47" s="344"/>
      <c r="DDZ47" s="344"/>
      <c r="DEA47" s="344"/>
      <c r="DEB47" s="344"/>
      <c r="DEC47" s="344"/>
      <c r="DED47" s="344"/>
      <c r="DEE47" s="344"/>
      <c r="DEF47" s="344"/>
      <c r="DEG47" s="344"/>
      <c r="DEH47" s="344"/>
      <c r="DEI47" s="344"/>
      <c r="DEJ47" s="344"/>
      <c r="DEK47" s="344"/>
      <c r="DEL47" s="344"/>
      <c r="DEM47" s="344"/>
      <c r="DEN47" s="344"/>
      <c r="DEO47" s="344"/>
      <c r="DEP47" s="344"/>
      <c r="DEQ47" s="344"/>
      <c r="DER47" s="344"/>
      <c r="DES47" s="344"/>
      <c r="DET47" s="344"/>
      <c r="DEU47" s="344"/>
      <c r="DEV47" s="344"/>
      <c r="DEW47" s="344"/>
      <c r="DEX47" s="344"/>
      <c r="DEY47" s="344"/>
      <c r="DEZ47" s="344"/>
      <c r="DFA47" s="344"/>
      <c r="DFB47" s="344"/>
      <c r="DFC47" s="344"/>
      <c r="DFD47" s="344"/>
      <c r="DFE47" s="344"/>
      <c r="DFF47" s="344"/>
      <c r="DFG47" s="344"/>
      <c r="DFH47" s="344"/>
      <c r="DFI47" s="344"/>
      <c r="DFJ47" s="344"/>
      <c r="DFK47" s="344"/>
      <c r="DFL47" s="344"/>
      <c r="DFM47" s="344"/>
      <c r="DFN47" s="344"/>
      <c r="DFO47" s="344"/>
      <c r="DFP47" s="344"/>
      <c r="DFQ47" s="344"/>
      <c r="DFR47" s="344"/>
      <c r="DFS47" s="344"/>
      <c r="DFT47" s="344"/>
      <c r="DFU47" s="344"/>
      <c r="DFV47" s="344"/>
      <c r="DFW47" s="344"/>
      <c r="DFX47" s="344"/>
      <c r="DFY47" s="344"/>
      <c r="DFZ47" s="344"/>
      <c r="DGA47" s="344"/>
      <c r="DGB47" s="344"/>
      <c r="DGC47" s="344"/>
      <c r="DGD47" s="344"/>
      <c r="DGE47" s="344"/>
      <c r="DGF47" s="344"/>
      <c r="DGG47" s="344"/>
      <c r="DGH47" s="344"/>
      <c r="DGI47" s="344"/>
      <c r="DGJ47" s="344"/>
      <c r="DGK47" s="344"/>
      <c r="DGL47" s="344"/>
      <c r="DGM47" s="344"/>
      <c r="DGN47" s="344"/>
      <c r="DGO47" s="344"/>
      <c r="DGP47" s="344"/>
      <c r="DGQ47" s="344"/>
      <c r="DGR47" s="344"/>
      <c r="DGS47" s="344"/>
      <c r="DGT47" s="344"/>
      <c r="DGU47" s="344"/>
      <c r="DGV47" s="344"/>
      <c r="DGW47" s="344"/>
      <c r="DGX47" s="344"/>
      <c r="DGY47" s="344"/>
      <c r="DGZ47" s="344"/>
      <c r="DHA47" s="344"/>
      <c r="DHB47" s="344"/>
      <c r="DHC47" s="344"/>
      <c r="DHD47" s="344"/>
      <c r="DHE47" s="344"/>
      <c r="DHF47" s="344"/>
      <c r="DHG47" s="344"/>
      <c r="DHH47" s="344"/>
      <c r="DHI47" s="344"/>
      <c r="DHJ47" s="344"/>
      <c r="DHK47" s="344"/>
      <c r="DHL47" s="344"/>
      <c r="DHM47" s="344"/>
      <c r="DHN47" s="344"/>
      <c r="DHO47" s="344"/>
      <c r="DHP47" s="344"/>
      <c r="DHQ47" s="344"/>
      <c r="DHR47" s="344"/>
      <c r="DHS47" s="344"/>
      <c r="DHT47" s="344"/>
      <c r="DHU47" s="344"/>
      <c r="DHV47" s="344"/>
      <c r="DHW47" s="344"/>
      <c r="DHX47" s="344"/>
      <c r="DHY47" s="344"/>
      <c r="DHZ47" s="344"/>
      <c r="DIA47" s="344"/>
      <c r="DIB47" s="344"/>
      <c r="DIC47" s="344"/>
      <c r="DID47" s="344"/>
      <c r="DIE47" s="344"/>
      <c r="DIF47" s="344"/>
      <c r="DIG47" s="344"/>
      <c r="DIH47" s="344"/>
      <c r="DII47" s="344"/>
      <c r="DIJ47" s="344"/>
      <c r="DIK47" s="344"/>
      <c r="DIL47" s="344"/>
      <c r="DIM47" s="344"/>
      <c r="DIN47" s="344"/>
      <c r="DIO47" s="344"/>
      <c r="DIP47" s="344"/>
      <c r="DIQ47" s="344"/>
      <c r="DIR47" s="344"/>
      <c r="DIS47" s="344"/>
      <c r="DIT47" s="344"/>
      <c r="DIU47" s="344"/>
      <c r="DIV47" s="344"/>
      <c r="DIW47" s="344"/>
      <c r="DIX47" s="344"/>
      <c r="DIY47" s="344"/>
      <c r="DIZ47" s="344"/>
      <c r="DJA47" s="344"/>
      <c r="DJB47" s="344"/>
      <c r="DJC47" s="344"/>
      <c r="DJD47" s="344"/>
      <c r="DJE47" s="344"/>
      <c r="DJF47" s="344"/>
      <c r="DJG47" s="344"/>
      <c r="DJH47" s="344"/>
      <c r="DJI47" s="344"/>
      <c r="DJJ47" s="344"/>
      <c r="DJK47" s="344"/>
      <c r="DJL47" s="344"/>
      <c r="DJM47" s="344"/>
      <c r="DJN47" s="344"/>
      <c r="DJO47" s="344"/>
      <c r="DJP47" s="344"/>
      <c r="DJQ47" s="344"/>
      <c r="DJR47" s="344"/>
      <c r="DJS47" s="344"/>
      <c r="DJT47" s="344"/>
      <c r="DJU47" s="344"/>
      <c r="DJV47" s="344"/>
      <c r="DJW47" s="344"/>
      <c r="DJX47" s="344"/>
      <c r="DJY47" s="344"/>
      <c r="DJZ47" s="344"/>
      <c r="DKA47" s="344"/>
      <c r="DKB47" s="344"/>
      <c r="DKC47" s="344"/>
      <c r="DKD47" s="344"/>
      <c r="DKE47" s="344"/>
      <c r="DKF47" s="344"/>
      <c r="DKG47" s="344"/>
      <c r="DKH47" s="344"/>
      <c r="DKI47" s="344"/>
      <c r="DKJ47" s="344"/>
      <c r="DKK47" s="344"/>
      <c r="DKL47" s="344"/>
      <c r="DKM47" s="344"/>
      <c r="DKN47" s="344"/>
      <c r="DKO47" s="344"/>
      <c r="DKP47" s="344"/>
      <c r="DKQ47" s="344"/>
      <c r="DKR47" s="344"/>
      <c r="DKS47" s="344"/>
      <c r="DKT47" s="344"/>
      <c r="DKU47" s="344"/>
      <c r="DKV47" s="344"/>
      <c r="DKW47" s="344"/>
      <c r="DKX47" s="344"/>
      <c r="DKY47" s="344"/>
      <c r="DKZ47" s="344"/>
      <c r="DLA47" s="344"/>
      <c r="DLB47" s="344"/>
      <c r="DLC47" s="344"/>
      <c r="DLD47" s="344"/>
      <c r="DLE47" s="344"/>
      <c r="DLF47" s="344"/>
      <c r="DLG47" s="344"/>
      <c r="DLH47" s="344"/>
      <c r="DLI47" s="344"/>
      <c r="DLJ47" s="344"/>
      <c r="DLK47" s="344"/>
      <c r="DLL47" s="344"/>
      <c r="DLM47" s="344"/>
      <c r="DLN47" s="344"/>
      <c r="DLO47" s="344"/>
      <c r="DLP47" s="344"/>
      <c r="DLQ47" s="344"/>
      <c r="DLR47" s="344"/>
      <c r="DLS47" s="344"/>
      <c r="DLT47" s="344"/>
      <c r="DLU47" s="344"/>
      <c r="DLV47" s="344"/>
      <c r="DLW47" s="344"/>
      <c r="DLX47" s="344"/>
      <c r="DLY47" s="344"/>
      <c r="DLZ47" s="344"/>
      <c r="DMA47" s="344"/>
      <c r="DMB47" s="344"/>
      <c r="DMC47" s="344"/>
      <c r="DMD47" s="344"/>
      <c r="DME47" s="344"/>
      <c r="DMF47" s="344"/>
      <c r="DMG47" s="344"/>
      <c r="DMH47" s="344"/>
      <c r="DMI47" s="344"/>
      <c r="DMJ47" s="344"/>
      <c r="DMK47" s="344"/>
      <c r="DML47" s="344"/>
      <c r="DMM47" s="344"/>
      <c r="DMN47" s="344"/>
      <c r="DMO47" s="344"/>
      <c r="DMP47" s="344"/>
      <c r="DMQ47" s="344"/>
      <c r="DMR47" s="344"/>
      <c r="DMS47" s="344"/>
      <c r="DMT47" s="344"/>
      <c r="DMU47" s="344"/>
      <c r="DMV47" s="344"/>
      <c r="DMW47" s="344"/>
      <c r="DMX47" s="344"/>
      <c r="DMY47" s="344"/>
      <c r="DMZ47" s="344"/>
      <c r="DNA47" s="344"/>
      <c r="DNB47" s="344"/>
      <c r="DNC47" s="344"/>
      <c r="DND47" s="344"/>
      <c r="DNE47" s="344"/>
      <c r="DNF47" s="344"/>
      <c r="DNG47" s="344"/>
      <c r="DNH47" s="344"/>
      <c r="DNI47" s="344"/>
      <c r="DNJ47" s="344"/>
      <c r="DNK47" s="344"/>
      <c r="DNL47" s="344"/>
      <c r="DNM47" s="344"/>
      <c r="DNN47" s="344"/>
      <c r="DNO47" s="344"/>
      <c r="DNP47" s="344"/>
      <c r="DNQ47" s="344"/>
      <c r="DNR47" s="344"/>
      <c r="DNS47" s="344"/>
      <c r="DNT47" s="344"/>
      <c r="DNU47" s="344"/>
      <c r="DNV47" s="344"/>
      <c r="DNW47" s="344"/>
      <c r="DNX47" s="344"/>
      <c r="DNY47" s="344"/>
      <c r="DNZ47" s="344"/>
      <c r="DOA47" s="344"/>
      <c r="DOB47" s="344"/>
      <c r="DOC47" s="344"/>
      <c r="DOD47" s="344"/>
      <c r="DOE47" s="344"/>
      <c r="DOF47" s="344"/>
      <c r="DOG47" s="344"/>
      <c r="DOH47" s="344"/>
      <c r="DOI47" s="344"/>
      <c r="DOJ47" s="344"/>
      <c r="DOK47" s="344"/>
      <c r="DOL47" s="344"/>
      <c r="DOM47" s="344"/>
      <c r="DON47" s="344"/>
      <c r="DOO47" s="344"/>
      <c r="DOP47" s="344"/>
      <c r="DOQ47" s="344"/>
      <c r="DOR47" s="344"/>
      <c r="DOS47" s="344"/>
      <c r="DOT47" s="344"/>
      <c r="DOU47" s="344"/>
      <c r="DOV47" s="344"/>
      <c r="DOW47" s="344"/>
      <c r="DOX47" s="344"/>
      <c r="DOY47" s="344"/>
      <c r="DOZ47" s="344"/>
      <c r="DPA47" s="344"/>
      <c r="DPB47" s="344"/>
      <c r="DPC47" s="344"/>
      <c r="DPD47" s="344"/>
      <c r="DPE47" s="344"/>
      <c r="DPF47" s="344"/>
      <c r="DPG47" s="344"/>
      <c r="DPH47" s="344"/>
      <c r="DPI47" s="344"/>
      <c r="DPJ47" s="344"/>
      <c r="DPK47" s="344"/>
      <c r="DPL47" s="344"/>
      <c r="DPM47" s="344"/>
      <c r="DPN47" s="344"/>
      <c r="DPO47" s="344"/>
      <c r="DPP47" s="344"/>
      <c r="DPQ47" s="344"/>
      <c r="DPR47" s="344"/>
      <c r="DPS47" s="344"/>
      <c r="DPT47" s="344"/>
      <c r="DPU47" s="344"/>
      <c r="DPV47" s="344"/>
      <c r="DPW47" s="344"/>
      <c r="DPX47" s="344"/>
      <c r="DPY47" s="344"/>
      <c r="DPZ47" s="344"/>
      <c r="DQA47" s="344"/>
      <c r="DQB47" s="344"/>
      <c r="DQC47" s="344"/>
      <c r="DQD47" s="344"/>
      <c r="DQE47" s="344"/>
      <c r="DQF47" s="344"/>
      <c r="DQG47" s="344"/>
      <c r="DQH47" s="344"/>
      <c r="DQI47" s="344"/>
      <c r="DQJ47" s="344"/>
      <c r="DQK47" s="344"/>
      <c r="DQL47" s="344"/>
      <c r="DQM47" s="344"/>
      <c r="DQN47" s="344"/>
      <c r="DQO47" s="344"/>
      <c r="DQP47" s="344"/>
      <c r="DQQ47" s="344"/>
      <c r="DQR47" s="344"/>
      <c r="DQS47" s="344"/>
      <c r="DQT47" s="344"/>
      <c r="DQU47" s="344"/>
      <c r="DQV47" s="344"/>
      <c r="DQW47" s="344"/>
      <c r="DQX47" s="344"/>
      <c r="DQY47" s="344"/>
      <c r="DQZ47" s="344"/>
      <c r="DRA47" s="344"/>
      <c r="DRB47" s="344"/>
      <c r="DRC47" s="344"/>
      <c r="DRD47" s="344"/>
      <c r="DRE47" s="344"/>
      <c r="DRF47" s="344"/>
      <c r="DRG47" s="344"/>
      <c r="DRH47" s="344"/>
      <c r="DRI47" s="344"/>
      <c r="DRJ47" s="344"/>
      <c r="DRK47" s="344"/>
      <c r="DRL47" s="344"/>
      <c r="DRM47" s="344"/>
      <c r="DRN47" s="344"/>
      <c r="DRO47" s="344"/>
      <c r="DRP47" s="344"/>
      <c r="DRQ47" s="344"/>
      <c r="DRR47" s="344"/>
      <c r="DRS47" s="344"/>
      <c r="DRT47" s="344"/>
      <c r="DRU47" s="344"/>
      <c r="DRV47" s="344"/>
      <c r="DRW47" s="344"/>
      <c r="DRX47" s="344"/>
      <c r="DRY47" s="344"/>
      <c r="DRZ47" s="344"/>
      <c r="DSA47" s="344"/>
      <c r="DSB47" s="344"/>
      <c r="DSC47" s="344"/>
      <c r="DSD47" s="344"/>
      <c r="DSE47" s="344"/>
      <c r="DSF47" s="344"/>
      <c r="DSG47" s="344"/>
      <c r="DSH47" s="344"/>
      <c r="DSI47" s="344"/>
      <c r="DSJ47" s="344"/>
      <c r="DSK47" s="344"/>
      <c r="DSL47" s="344"/>
      <c r="DSM47" s="344"/>
      <c r="DSN47" s="344"/>
      <c r="DSO47" s="344"/>
      <c r="DSP47" s="344"/>
      <c r="DSQ47" s="344"/>
      <c r="DSR47" s="344"/>
      <c r="DSS47" s="344"/>
      <c r="DST47" s="344"/>
      <c r="DSU47" s="344"/>
      <c r="DSV47" s="344"/>
      <c r="DSW47" s="344"/>
      <c r="DSX47" s="344"/>
      <c r="DSY47" s="344"/>
      <c r="DSZ47" s="344"/>
      <c r="DTA47" s="344"/>
      <c r="DTB47" s="344"/>
      <c r="DTC47" s="344"/>
      <c r="DTD47" s="344"/>
      <c r="DTE47" s="344"/>
      <c r="DTF47" s="344"/>
      <c r="DTG47" s="344"/>
      <c r="DTH47" s="344"/>
      <c r="DTI47" s="344"/>
      <c r="DTJ47" s="344"/>
      <c r="DTK47" s="344"/>
      <c r="DTL47" s="344"/>
      <c r="DTM47" s="344"/>
      <c r="DTN47" s="344"/>
      <c r="DTO47" s="344"/>
      <c r="DTP47" s="344"/>
      <c r="DTQ47" s="344"/>
      <c r="DTR47" s="344"/>
      <c r="DTS47" s="344"/>
      <c r="DTT47" s="344"/>
      <c r="DTU47" s="344"/>
      <c r="DTV47" s="344"/>
      <c r="DTW47" s="344"/>
      <c r="DTX47" s="344"/>
      <c r="DTY47" s="344"/>
      <c r="DTZ47" s="344"/>
      <c r="DUA47" s="344"/>
      <c r="DUB47" s="344"/>
      <c r="DUC47" s="344"/>
      <c r="DUD47" s="344"/>
      <c r="DUE47" s="344"/>
      <c r="DUF47" s="344"/>
      <c r="DUG47" s="344"/>
      <c r="DUH47" s="344"/>
      <c r="DUI47" s="344"/>
      <c r="DUJ47" s="344"/>
      <c r="DUK47" s="344"/>
      <c r="DUL47" s="344"/>
      <c r="DUM47" s="344"/>
      <c r="DUN47" s="344"/>
      <c r="DUO47" s="344"/>
      <c r="DUP47" s="344"/>
      <c r="DUQ47" s="344"/>
      <c r="DUR47" s="344"/>
      <c r="DUS47" s="344"/>
      <c r="DUT47" s="344"/>
      <c r="DUU47" s="344"/>
      <c r="DUV47" s="344"/>
      <c r="DUW47" s="344"/>
      <c r="DUX47" s="344"/>
      <c r="DUY47" s="344"/>
      <c r="DUZ47" s="344"/>
      <c r="DVA47" s="344"/>
      <c r="DVB47" s="344"/>
      <c r="DVC47" s="344"/>
      <c r="DVD47" s="344"/>
      <c r="DVE47" s="344"/>
      <c r="DVF47" s="344"/>
      <c r="DVG47" s="344"/>
      <c r="DVH47" s="344"/>
      <c r="DVI47" s="344"/>
      <c r="DVJ47" s="344"/>
      <c r="DVK47" s="344"/>
      <c r="DVL47" s="344"/>
      <c r="DVM47" s="344"/>
      <c r="DVN47" s="344"/>
      <c r="DVO47" s="344"/>
      <c r="DVP47" s="344"/>
      <c r="DVQ47" s="344"/>
      <c r="DVR47" s="344"/>
      <c r="DVS47" s="344"/>
      <c r="DVT47" s="344"/>
      <c r="DVU47" s="344"/>
      <c r="DVV47" s="344"/>
      <c r="DVW47" s="344"/>
      <c r="DVX47" s="344"/>
      <c r="DVY47" s="344"/>
      <c r="DVZ47" s="344"/>
      <c r="DWA47" s="344"/>
      <c r="DWB47" s="344"/>
      <c r="DWC47" s="344"/>
      <c r="DWD47" s="344"/>
      <c r="DWE47" s="344"/>
      <c r="DWF47" s="344"/>
      <c r="DWG47" s="344"/>
      <c r="DWH47" s="344"/>
      <c r="DWI47" s="344"/>
      <c r="DWJ47" s="344"/>
      <c r="DWK47" s="344"/>
      <c r="DWL47" s="344"/>
      <c r="DWM47" s="344"/>
      <c r="DWN47" s="344"/>
      <c r="DWO47" s="344"/>
      <c r="DWP47" s="344"/>
      <c r="DWQ47" s="344"/>
      <c r="DWR47" s="344"/>
      <c r="DWS47" s="344"/>
      <c r="DWT47" s="344"/>
      <c r="DWU47" s="344"/>
      <c r="DWV47" s="344"/>
      <c r="DWW47" s="344"/>
      <c r="DWX47" s="344"/>
      <c r="DWY47" s="344"/>
      <c r="DWZ47" s="344"/>
      <c r="DXA47" s="344"/>
      <c r="DXB47" s="344"/>
      <c r="DXC47" s="344"/>
      <c r="DXD47" s="344"/>
      <c r="DXE47" s="344"/>
      <c r="DXF47" s="344"/>
      <c r="DXG47" s="344"/>
      <c r="DXH47" s="344"/>
      <c r="DXI47" s="344"/>
      <c r="DXJ47" s="344"/>
      <c r="DXK47" s="344"/>
      <c r="DXL47" s="344"/>
      <c r="DXM47" s="344"/>
      <c r="DXN47" s="344"/>
      <c r="DXO47" s="344"/>
      <c r="DXP47" s="344"/>
      <c r="DXQ47" s="344"/>
      <c r="DXR47" s="344"/>
      <c r="DXS47" s="344"/>
      <c r="DXT47" s="344"/>
      <c r="DXU47" s="344"/>
      <c r="DXV47" s="344"/>
      <c r="DXW47" s="344"/>
      <c r="DXX47" s="344"/>
      <c r="DXY47" s="344"/>
      <c r="DXZ47" s="344"/>
      <c r="DYA47" s="344"/>
      <c r="DYB47" s="344"/>
      <c r="DYC47" s="344"/>
      <c r="DYD47" s="344"/>
      <c r="DYE47" s="344"/>
      <c r="DYF47" s="344"/>
      <c r="DYG47" s="344"/>
      <c r="DYH47" s="344"/>
      <c r="DYI47" s="344"/>
      <c r="DYJ47" s="344"/>
      <c r="DYK47" s="344"/>
      <c r="DYL47" s="344"/>
      <c r="DYM47" s="344"/>
      <c r="DYN47" s="344"/>
      <c r="DYO47" s="344"/>
      <c r="DYP47" s="344"/>
      <c r="DYQ47" s="344"/>
      <c r="DYR47" s="344"/>
      <c r="DYS47" s="344"/>
      <c r="DYT47" s="344"/>
      <c r="DYU47" s="344"/>
      <c r="DYV47" s="344"/>
      <c r="DYW47" s="344"/>
      <c r="DYX47" s="344"/>
      <c r="DYY47" s="344"/>
      <c r="DYZ47" s="344"/>
      <c r="DZA47" s="344"/>
      <c r="DZB47" s="344"/>
      <c r="DZC47" s="344"/>
      <c r="DZD47" s="344"/>
      <c r="DZE47" s="344"/>
      <c r="DZF47" s="344"/>
      <c r="DZG47" s="344"/>
      <c r="DZH47" s="344"/>
      <c r="DZI47" s="344"/>
      <c r="DZJ47" s="344"/>
      <c r="DZK47" s="344"/>
      <c r="DZL47" s="344"/>
      <c r="DZM47" s="344"/>
      <c r="DZN47" s="344"/>
      <c r="DZO47" s="344"/>
      <c r="DZP47" s="344"/>
      <c r="DZQ47" s="344"/>
      <c r="DZR47" s="344"/>
      <c r="DZS47" s="344"/>
      <c r="DZT47" s="344"/>
      <c r="DZU47" s="344"/>
      <c r="DZV47" s="344"/>
      <c r="DZW47" s="344"/>
      <c r="DZX47" s="344"/>
      <c r="DZY47" s="344"/>
      <c r="DZZ47" s="344"/>
      <c r="EAA47" s="344"/>
      <c r="EAB47" s="344"/>
      <c r="EAC47" s="344"/>
      <c r="EAD47" s="344"/>
      <c r="EAE47" s="344"/>
      <c r="EAF47" s="344"/>
      <c r="EAG47" s="344"/>
      <c r="EAH47" s="344"/>
      <c r="EAI47" s="344"/>
      <c r="EAJ47" s="344"/>
      <c r="EAK47" s="344"/>
      <c r="EAL47" s="344"/>
      <c r="EAM47" s="344"/>
      <c r="EAN47" s="344"/>
      <c r="EAO47" s="344"/>
      <c r="EAP47" s="344"/>
      <c r="EAQ47" s="344"/>
      <c r="EAR47" s="344"/>
      <c r="EAS47" s="344"/>
      <c r="EAT47" s="344"/>
      <c r="EAU47" s="344"/>
      <c r="EAV47" s="344"/>
      <c r="EAW47" s="344"/>
      <c r="EAX47" s="344"/>
      <c r="EAY47" s="344"/>
      <c r="EAZ47" s="344"/>
      <c r="EBA47" s="344"/>
      <c r="EBB47" s="344"/>
      <c r="EBC47" s="344"/>
      <c r="EBD47" s="344"/>
      <c r="EBE47" s="344"/>
      <c r="EBF47" s="344"/>
      <c r="EBG47" s="344"/>
      <c r="EBH47" s="344"/>
      <c r="EBI47" s="344"/>
      <c r="EBJ47" s="344"/>
      <c r="EBK47" s="344"/>
      <c r="EBL47" s="344"/>
      <c r="EBM47" s="344"/>
      <c r="EBN47" s="344"/>
      <c r="EBO47" s="344"/>
      <c r="EBP47" s="344"/>
      <c r="EBQ47" s="344"/>
      <c r="EBR47" s="344"/>
      <c r="EBS47" s="344"/>
      <c r="EBT47" s="344"/>
      <c r="EBU47" s="344"/>
      <c r="EBV47" s="344"/>
      <c r="EBW47" s="344"/>
      <c r="EBX47" s="344"/>
      <c r="EBY47" s="344"/>
      <c r="EBZ47" s="344"/>
      <c r="ECA47" s="344"/>
      <c r="ECB47" s="344"/>
      <c r="ECC47" s="344"/>
      <c r="ECD47" s="344"/>
      <c r="ECE47" s="344"/>
      <c r="ECF47" s="344"/>
      <c r="ECG47" s="344"/>
      <c r="ECH47" s="344"/>
      <c r="ECI47" s="344"/>
      <c r="ECJ47" s="344"/>
      <c r="ECK47" s="344"/>
      <c r="ECL47" s="344"/>
      <c r="ECM47" s="344"/>
      <c r="ECN47" s="344"/>
      <c r="ECO47" s="344"/>
      <c r="ECP47" s="344"/>
      <c r="ECQ47" s="344"/>
      <c r="ECR47" s="344"/>
      <c r="ECS47" s="344"/>
      <c r="ECT47" s="344"/>
      <c r="ECU47" s="344"/>
      <c r="ECV47" s="344"/>
      <c r="ECW47" s="344"/>
      <c r="ECX47" s="344"/>
      <c r="ECY47" s="344"/>
      <c r="ECZ47" s="344"/>
      <c r="EDA47" s="344"/>
      <c r="EDB47" s="344"/>
      <c r="EDC47" s="344"/>
      <c r="EDD47" s="344"/>
      <c r="EDE47" s="344"/>
      <c r="EDF47" s="344"/>
      <c r="EDG47" s="344"/>
      <c r="EDH47" s="344"/>
      <c r="EDI47" s="344"/>
      <c r="EDJ47" s="344"/>
      <c r="EDK47" s="344"/>
      <c r="EDL47" s="344"/>
      <c r="EDM47" s="344"/>
      <c r="EDN47" s="344"/>
      <c r="EDO47" s="344"/>
      <c r="EDP47" s="344"/>
      <c r="EDQ47" s="344"/>
      <c r="EDR47" s="344"/>
      <c r="EDS47" s="344"/>
      <c r="EDT47" s="344"/>
      <c r="EDU47" s="344"/>
      <c r="EDV47" s="344"/>
      <c r="EDW47" s="344"/>
      <c r="EDX47" s="344"/>
      <c r="EDY47" s="344"/>
      <c r="EDZ47" s="344"/>
      <c r="EEA47" s="344"/>
      <c r="EEB47" s="344"/>
      <c r="EEC47" s="344"/>
      <c r="EED47" s="344"/>
      <c r="EEE47" s="344"/>
      <c r="EEF47" s="344"/>
      <c r="EEG47" s="344"/>
      <c r="EEH47" s="344"/>
      <c r="EEI47" s="344"/>
      <c r="EEJ47" s="344"/>
      <c r="EEK47" s="344"/>
      <c r="EEL47" s="344"/>
      <c r="EEM47" s="344"/>
      <c r="EEN47" s="344"/>
      <c r="EEO47" s="344"/>
      <c r="EEP47" s="344"/>
      <c r="EEQ47" s="344"/>
      <c r="EER47" s="344"/>
      <c r="EES47" s="344"/>
      <c r="EET47" s="344"/>
      <c r="EEU47" s="344"/>
      <c r="EEV47" s="344"/>
      <c r="EEW47" s="344"/>
      <c r="EEX47" s="344"/>
      <c r="EEY47" s="344"/>
      <c r="EEZ47" s="344"/>
      <c r="EFA47" s="344"/>
      <c r="EFB47" s="344"/>
      <c r="EFC47" s="344"/>
      <c r="EFD47" s="344"/>
      <c r="EFE47" s="344"/>
      <c r="EFF47" s="344"/>
      <c r="EFG47" s="344"/>
      <c r="EFH47" s="344"/>
      <c r="EFI47" s="344"/>
      <c r="EFJ47" s="344"/>
      <c r="EFK47" s="344"/>
      <c r="EFL47" s="344"/>
      <c r="EFM47" s="344"/>
      <c r="EFN47" s="344"/>
      <c r="EFO47" s="344"/>
      <c r="EFP47" s="344"/>
      <c r="EFQ47" s="344"/>
      <c r="EFR47" s="344"/>
      <c r="EFS47" s="344"/>
      <c r="EFT47" s="344"/>
      <c r="EFU47" s="344"/>
      <c r="EFV47" s="344"/>
      <c r="EFW47" s="344"/>
      <c r="EFX47" s="344"/>
      <c r="EFY47" s="344"/>
      <c r="EFZ47" s="344"/>
      <c r="EGA47" s="344"/>
      <c r="EGB47" s="344"/>
      <c r="EGC47" s="344"/>
      <c r="EGD47" s="344"/>
      <c r="EGE47" s="344"/>
      <c r="EGF47" s="344"/>
      <c r="EGG47" s="344"/>
      <c r="EGH47" s="344"/>
      <c r="EGI47" s="344"/>
      <c r="EGJ47" s="344"/>
      <c r="EGK47" s="344"/>
      <c r="EGL47" s="344"/>
      <c r="EGM47" s="344"/>
      <c r="EGN47" s="344"/>
      <c r="EGO47" s="344"/>
      <c r="EGP47" s="344"/>
      <c r="EGQ47" s="344"/>
      <c r="EGR47" s="344"/>
      <c r="EGS47" s="344"/>
      <c r="EGT47" s="344"/>
      <c r="EGU47" s="344"/>
      <c r="EGV47" s="344"/>
      <c r="EGW47" s="344"/>
      <c r="EGX47" s="344"/>
      <c r="EGY47" s="344"/>
      <c r="EGZ47" s="344"/>
      <c r="EHA47" s="344"/>
      <c r="EHB47" s="344"/>
      <c r="EHC47" s="344"/>
      <c r="EHD47" s="344"/>
      <c r="EHE47" s="344"/>
      <c r="EHF47" s="344"/>
      <c r="EHG47" s="344"/>
      <c r="EHH47" s="344"/>
      <c r="EHI47" s="344"/>
      <c r="EHJ47" s="344"/>
      <c r="EHK47" s="344"/>
      <c r="EHL47" s="344"/>
      <c r="EHM47" s="344"/>
      <c r="EHN47" s="344"/>
      <c r="EHO47" s="344"/>
      <c r="EHP47" s="344"/>
      <c r="EHQ47" s="344"/>
      <c r="EHR47" s="344"/>
      <c r="EHS47" s="344"/>
      <c r="EHT47" s="344"/>
      <c r="EHU47" s="344"/>
      <c r="EHV47" s="344"/>
      <c r="EHW47" s="344"/>
      <c r="EHX47" s="344"/>
      <c r="EHY47" s="344"/>
      <c r="EHZ47" s="344"/>
      <c r="EIA47" s="344"/>
      <c r="EIB47" s="344"/>
      <c r="EIC47" s="344"/>
      <c r="EID47" s="344"/>
      <c r="EIE47" s="344"/>
      <c r="EIF47" s="344"/>
      <c r="EIG47" s="344"/>
      <c r="EIH47" s="344"/>
      <c r="EII47" s="344"/>
      <c r="EIJ47" s="344"/>
      <c r="EIK47" s="344"/>
      <c r="EIL47" s="344"/>
      <c r="EIM47" s="344"/>
      <c r="EIN47" s="344"/>
      <c r="EIO47" s="344"/>
      <c r="EIP47" s="344"/>
      <c r="EIQ47" s="344"/>
      <c r="EIR47" s="344"/>
      <c r="EIS47" s="344"/>
      <c r="EIT47" s="344"/>
      <c r="EIU47" s="344"/>
      <c r="EIV47" s="344"/>
      <c r="EIW47" s="344"/>
      <c r="EIX47" s="344"/>
      <c r="EIY47" s="344"/>
      <c r="EIZ47" s="344"/>
      <c r="EJA47" s="344"/>
      <c r="EJB47" s="344"/>
      <c r="EJC47" s="344"/>
      <c r="EJD47" s="344"/>
      <c r="EJE47" s="344"/>
      <c r="EJF47" s="344"/>
      <c r="EJG47" s="344"/>
      <c r="EJH47" s="344"/>
      <c r="EJI47" s="344"/>
      <c r="EJJ47" s="344"/>
      <c r="EJK47" s="344"/>
      <c r="EJL47" s="344"/>
      <c r="EJM47" s="344"/>
      <c r="EJN47" s="344"/>
      <c r="EJO47" s="344"/>
      <c r="EJP47" s="344"/>
      <c r="EJQ47" s="344"/>
      <c r="EJR47" s="344"/>
      <c r="EJS47" s="344"/>
      <c r="EJT47" s="344"/>
      <c r="EJU47" s="344"/>
      <c r="EJV47" s="344"/>
      <c r="EJW47" s="344"/>
      <c r="EJX47" s="344"/>
      <c r="EJY47" s="344"/>
      <c r="EJZ47" s="344"/>
      <c r="EKA47" s="344"/>
      <c r="EKB47" s="344"/>
      <c r="EKC47" s="344"/>
      <c r="EKD47" s="344"/>
      <c r="EKE47" s="344"/>
      <c r="EKF47" s="344"/>
      <c r="EKG47" s="344"/>
      <c r="EKH47" s="344"/>
      <c r="EKI47" s="344"/>
      <c r="EKJ47" s="344"/>
      <c r="EKK47" s="344"/>
      <c r="EKL47" s="344"/>
      <c r="EKM47" s="344"/>
      <c r="EKN47" s="344"/>
      <c r="EKO47" s="344"/>
      <c r="EKP47" s="344"/>
      <c r="EKQ47" s="344"/>
      <c r="EKR47" s="344"/>
      <c r="EKS47" s="344"/>
      <c r="EKT47" s="344"/>
      <c r="EKU47" s="344"/>
      <c r="EKV47" s="344"/>
      <c r="EKW47" s="344"/>
      <c r="EKX47" s="344"/>
      <c r="EKY47" s="344"/>
      <c r="EKZ47" s="344"/>
      <c r="ELA47" s="344"/>
      <c r="ELB47" s="344"/>
      <c r="ELC47" s="344"/>
      <c r="ELD47" s="344"/>
      <c r="ELE47" s="344"/>
      <c r="ELF47" s="344"/>
      <c r="ELG47" s="344"/>
      <c r="ELH47" s="344"/>
      <c r="ELI47" s="344"/>
      <c r="ELJ47" s="344"/>
      <c r="ELK47" s="344"/>
      <c r="ELL47" s="344"/>
      <c r="ELM47" s="344"/>
      <c r="ELN47" s="344"/>
      <c r="ELO47" s="344"/>
      <c r="ELP47" s="344"/>
      <c r="ELQ47" s="344"/>
      <c r="ELR47" s="344"/>
      <c r="ELS47" s="344"/>
      <c r="ELT47" s="344"/>
      <c r="ELU47" s="344"/>
      <c r="ELV47" s="344"/>
      <c r="ELW47" s="344"/>
      <c r="ELX47" s="344"/>
      <c r="ELY47" s="344"/>
      <c r="ELZ47" s="344"/>
      <c r="EMA47" s="344"/>
      <c r="EMB47" s="344"/>
      <c r="EMC47" s="344"/>
      <c r="EMD47" s="344"/>
      <c r="EME47" s="344"/>
      <c r="EMF47" s="344"/>
      <c r="EMG47" s="344"/>
      <c r="EMH47" s="344"/>
      <c r="EMI47" s="344"/>
      <c r="EMJ47" s="344"/>
      <c r="EMK47" s="344"/>
      <c r="EML47" s="344"/>
      <c r="EMM47" s="344"/>
      <c r="EMN47" s="344"/>
      <c r="EMO47" s="344"/>
      <c r="EMP47" s="344"/>
      <c r="EMQ47" s="344"/>
      <c r="EMR47" s="344"/>
      <c r="EMS47" s="344"/>
      <c r="EMT47" s="344"/>
      <c r="EMU47" s="344"/>
      <c r="EMV47" s="344"/>
      <c r="EMW47" s="344"/>
      <c r="EMX47" s="344"/>
      <c r="EMY47" s="344"/>
      <c r="EMZ47" s="344"/>
      <c r="ENA47" s="344"/>
      <c r="ENB47" s="344"/>
      <c r="ENC47" s="344"/>
      <c r="END47" s="344"/>
      <c r="ENE47" s="344"/>
      <c r="ENF47" s="344"/>
      <c r="ENG47" s="344"/>
      <c r="ENH47" s="344"/>
      <c r="ENI47" s="344"/>
      <c r="ENJ47" s="344"/>
      <c r="ENK47" s="344"/>
      <c r="ENL47" s="344"/>
      <c r="ENM47" s="344"/>
      <c r="ENN47" s="344"/>
      <c r="ENO47" s="344"/>
      <c r="ENP47" s="344"/>
      <c r="ENQ47" s="344"/>
      <c r="ENR47" s="344"/>
      <c r="ENS47" s="344"/>
      <c r="ENT47" s="344"/>
      <c r="ENU47" s="344"/>
      <c r="ENV47" s="344"/>
      <c r="ENW47" s="344"/>
      <c r="ENX47" s="344"/>
      <c r="ENY47" s="344"/>
      <c r="ENZ47" s="344"/>
      <c r="EOA47" s="344"/>
      <c r="EOB47" s="344"/>
      <c r="EOC47" s="344"/>
      <c r="EOD47" s="344"/>
      <c r="EOE47" s="344"/>
      <c r="EOF47" s="344"/>
      <c r="EOG47" s="344"/>
      <c r="EOH47" s="344"/>
      <c r="EOI47" s="344"/>
      <c r="EOJ47" s="344"/>
      <c r="EOK47" s="344"/>
      <c r="EOL47" s="344"/>
      <c r="EOM47" s="344"/>
      <c r="EON47" s="344"/>
      <c r="EOO47" s="344"/>
      <c r="EOP47" s="344"/>
      <c r="EOQ47" s="344"/>
      <c r="EOR47" s="344"/>
      <c r="EOS47" s="344"/>
      <c r="EOT47" s="344"/>
      <c r="EOU47" s="344"/>
      <c r="EOV47" s="344"/>
      <c r="EOW47" s="344"/>
      <c r="EOX47" s="344"/>
      <c r="EOY47" s="344"/>
      <c r="EOZ47" s="344"/>
      <c r="EPA47" s="344"/>
      <c r="EPB47" s="344"/>
      <c r="EPC47" s="344"/>
      <c r="EPD47" s="344"/>
      <c r="EPE47" s="344"/>
      <c r="EPF47" s="344"/>
      <c r="EPG47" s="344"/>
      <c r="EPH47" s="344"/>
      <c r="EPI47" s="344"/>
      <c r="EPJ47" s="344"/>
      <c r="EPK47" s="344"/>
      <c r="EPL47" s="344"/>
      <c r="EPM47" s="344"/>
      <c r="EPN47" s="344"/>
      <c r="EPO47" s="344"/>
      <c r="EPP47" s="344"/>
      <c r="EPQ47" s="344"/>
      <c r="EPR47" s="344"/>
      <c r="EPS47" s="344"/>
      <c r="EPT47" s="344"/>
      <c r="EPU47" s="344"/>
      <c r="EPV47" s="344"/>
      <c r="EPW47" s="344"/>
      <c r="EPX47" s="344"/>
      <c r="EPY47" s="344"/>
      <c r="EPZ47" s="344"/>
      <c r="EQA47" s="344"/>
      <c r="EQB47" s="344"/>
      <c r="EQC47" s="344"/>
      <c r="EQD47" s="344"/>
      <c r="EQE47" s="344"/>
      <c r="EQF47" s="344"/>
      <c r="EQG47" s="344"/>
      <c r="EQH47" s="344"/>
      <c r="EQI47" s="344"/>
      <c r="EQJ47" s="344"/>
      <c r="EQK47" s="344"/>
      <c r="EQL47" s="344"/>
      <c r="EQM47" s="344"/>
      <c r="EQN47" s="344"/>
      <c r="EQO47" s="344"/>
      <c r="EQP47" s="344"/>
      <c r="EQQ47" s="344"/>
      <c r="EQR47" s="344"/>
      <c r="EQS47" s="344"/>
      <c r="EQT47" s="344"/>
      <c r="EQU47" s="344"/>
      <c r="EQV47" s="344"/>
      <c r="EQW47" s="344"/>
      <c r="EQX47" s="344"/>
      <c r="EQY47" s="344"/>
      <c r="EQZ47" s="344"/>
      <c r="ERA47" s="344"/>
      <c r="ERB47" s="344"/>
      <c r="ERC47" s="344"/>
      <c r="ERD47" s="344"/>
      <c r="ERE47" s="344"/>
      <c r="ERF47" s="344"/>
      <c r="ERG47" s="344"/>
      <c r="ERH47" s="344"/>
      <c r="ERI47" s="344"/>
      <c r="ERJ47" s="344"/>
      <c r="ERK47" s="344"/>
      <c r="ERL47" s="344"/>
      <c r="ERM47" s="344"/>
      <c r="ERN47" s="344"/>
      <c r="ERO47" s="344"/>
      <c r="ERP47" s="344"/>
      <c r="ERQ47" s="344"/>
      <c r="ERR47" s="344"/>
      <c r="ERS47" s="344"/>
      <c r="ERT47" s="344"/>
      <c r="ERU47" s="344"/>
      <c r="ERV47" s="344"/>
      <c r="ERW47" s="344"/>
      <c r="ERX47" s="344"/>
      <c r="ERY47" s="344"/>
      <c r="ERZ47" s="344"/>
      <c r="ESA47" s="344"/>
      <c r="ESB47" s="344"/>
      <c r="ESC47" s="344"/>
      <c r="ESD47" s="344"/>
      <c r="ESE47" s="344"/>
      <c r="ESF47" s="344"/>
      <c r="ESG47" s="344"/>
      <c r="ESH47" s="344"/>
      <c r="ESI47" s="344"/>
      <c r="ESJ47" s="344"/>
      <c r="ESK47" s="344"/>
      <c r="ESL47" s="344"/>
      <c r="ESM47" s="344"/>
      <c r="ESN47" s="344"/>
      <c r="ESO47" s="344"/>
      <c r="ESP47" s="344"/>
      <c r="ESQ47" s="344"/>
      <c r="ESR47" s="344"/>
      <c r="ESS47" s="344"/>
      <c r="EST47" s="344"/>
      <c r="ESU47" s="344"/>
      <c r="ESV47" s="344"/>
      <c r="ESW47" s="344"/>
      <c r="ESX47" s="344"/>
      <c r="ESY47" s="344"/>
      <c r="ESZ47" s="344"/>
      <c r="ETA47" s="344"/>
      <c r="ETB47" s="344"/>
      <c r="ETC47" s="344"/>
      <c r="ETD47" s="344"/>
      <c r="ETE47" s="344"/>
      <c r="ETF47" s="344"/>
      <c r="ETG47" s="344"/>
      <c r="ETH47" s="344"/>
      <c r="ETI47" s="344"/>
      <c r="ETJ47" s="344"/>
      <c r="ETK47" s="344"/>
      <c r="ETL47" s="344"/>
      <c r="ETM47" s="344"/>
      <c r="ETN47" s="344"/>
      <c r="ETO47" s="344"/>
      <c r="ETP47" s="344"/>
      <c r="ETQ47" s="344"/>
      <c r="ETR47" s="344"/>
      <c r="ETS47" s="344"/>
      <c r="ETT47" s="344"/>
      <c r="ETU47" s="344"/>
      <c r="ETV47" s="344"/>
      <c r="ETW47" s="344"/>
      <c r="ETX47" s="344"/>
      <c r="ETY47" s="344"/>
      <c r="ETZ47" s="344"/>
      <c r="EUA47" s="344"/>
      <c r="EUB47" s="344"/>
      <c r="EUC47" s="344"/>
      <c r="EUD47" s="344"/>
      <c r="EUE47" s="344"/>
      <c r="EUF47" s="344"/>
      <c r="EUG47" s="344"/>
      <c r="EUH47" s="344"/>
      <c r="EUI47" s="344"/>
      <c r="EUJ47" s="344"/>
      <c r="EUK47" s="344"/>
      <c r="EUL47" s="344"/>
      <c r="EUM47" s="344"/>
      <c r="EUN47" s="344"/>
      <c r="EUO47" s="344"/>
      <c r="EUP47" s="344"/>
      <c r="EUQ47" s="344"/>
      <c r="EUR47" s="344"/>
      <c r="EUS47" s="344"/>
      <c r="EUT47" s="344"/>
      <c r="EUU47" s="344"/>
      <c r="EUV47" s="344"/>
      <c r="EUW47" s="344"/>
      <c r="EUX47" s="344"/>
      <c r="EUY47" s="344"/>
      <c r="EUZ47" s="344"/>
      <c r="EVA47" s="344"/>
      <c r="EVB47" s="344"/>
      <c r="EVC47" s="344"/>
      <c r="EVD47" s="344"/>
      <c r="EVE47" s="344"/>
      <c r="EVF47" s="344"/>
      <c r="EVG47" s="344"/>
      <c r="EVH47" s="344"/>
      <c r="EVI47" s="344"/>
      <c r="EVJ47" s="344"/>
      <c r="EVK47" s="344"/>
      <c r="EVL47" s="344"/>
      <c r="EVM47" s="344"/>
      <c r="EVN47" s="344"/>
      <c r="EVO47" s="344"/>
      <c r="EVP47" s="344"/>
      <c r="EVQ47" s="344"/>
      <c r="EVR47" s="344"/>
      <c r="EVS47" s="344"/>
      <c r="EVT47" s="344"/>
      <c r="EVU47" s="344"/>
      <c r="EVV47" s="344"/>
      <c r="EVW47" s="344"/>
      <c r="EVX47" s="344"/>
      <c r="EVY47" s="344"/>
      <c r="EVZ47" s="344"/>
      <c r="EWA47" s="344"/>
      <c r="EWB47" s="344"/>
      <c r="EWC47" s="344"/>
      <c r="EWD47" s="344"/>
      <c r="EWE47" s="344"/>
      <c r="EWF47" s="344"/>
      <c r="EWG47" s="344"/>
      <c r="EWH47" s="344"/>
      <c r="EWI47" s="344"/>
      <c r="EWJ47" s="344"/>
      <c r="EWK47" s="344"/>
      <c r="EWL47" s="344"/>
      <c r="EWM47" s="344"/>
      <c r="EWN47" s="344"/>
      <c r="EWO47" s="344"/>
      <c r="EWP47" s="344"/>
      <c r="EWQ47" s="344"/>
      <c r="EWR47" s="344"/>
      <c r="EWS47" s="344"/>
      <c r="EWT47" s="344"/>
      <c r="EWU47" s="344"/>
      <c r="EWV47" s="344"/>
      <c r="EWW47" s="344"/>
      <c r="EWX47" s="344"/>
      <c r="EWY47" s="344"/>
      <c r="EWZ47" s="344"/>
      <c r="EXA47" s="344"/>
      <c r="EXB47" s="344"/>
      <c r="EXC47" s="344"/>
      <c r="EXD47" s="344"/>
      <c r="EXE47" s="344"/>
      <c r="EXF47" s="344"/>
      <c r="EXG47" s="344"/>
      <c r="EXH47" s="344"/>
      <c r="EXI47" s="344"/>
      <c r="EXJ47" s="344"/>
      <c r="EXK47" s="344"/>
      <c r="EXL47" s="344"/>
      <c r="EXM47" s="344"/>
      <c r="EXN47" s="344"/>
      <c r="EXO47" s="344"/>
      <c r="EXP47" s="344"/>
      <c r="EXQ47" s="344"/>
      <c r="EXR47" s="344"/>
      <c r="EXS47" s="344"/>
      <c r="EXT47" s="344"/>
      <c r="EXU47" s="344"/>
      <c r="EXV47" s="344"/>
      <c r="EXW47" s="344"/>
      <c r="EXX47" s="344"/>
      <c r="EXY47" s="344"/>
      <c r="EXZ47" s="344"/>
      <c r="EYA47" s="344"/>
      <c r="EYB47" s="344"/>
      <c r="EYC47" s="344"/>
      <c r="EYD47" s="344"/>
      <c r="EYE47" s="344"/>
      <c r="EYF47" s="344"/>
      <c r="EYG47" s="344"/>
      <c r="EYH47" s="344"/>
      <c r="EYI47" s="344"/>
      <c r="EYJ47" s="344"/>
      <c r="EYK47" s="344"/>
      <c r="EYL47" s="344"/>
      <c r="EYM47" s="344"/>
      <c r="EYN47" s="344"/>
      <c r="EYO47" s="344"/>
      <c r="EYP47" s="344"/>
      <c r="EYQ47" s="344"/>
      <c r="EYR47" s="344"/>
      <c r="EYS47" s="344"/>
      <c r="EYT47" s="344"/>
      <c r="EYU47" s="344"/>
      <c r="EYV47" s="344"/>
      <c r="EYW47" s="344"/>
      <c r="EYX47" s="344"/>
      <c r="EYY47" s="344"/>
      <c r="EYZ47" s="344"/>
      <c r="EZA47" s="344"/>
      <c r="EZB47" s="344"/>
      <c r="EZC47" s="344"/>
      <c r="EZD47" s="344"/>
      <c r="EZE47" s="344"/>
      <c r="EZF47" s="344"/>
      <c r="EZG47" s="344"/>
      <c r="EZH47" s="344"/>
      <c r="EZI47" s="344"/>
      <c r="EZJ47" s="344"/>
      <c r="EZK47" s="344"/>
      <c r="EZL47" s="344"/>
      <c r="EZM47" s="344"/>
      <c r="EZN47" s="344"/>
      <c r="EZO47" s="344"/>
      <c r="EZP47" s="344"/>
      <c r="EZQ47" s="344"/>
      <c r="EZR47" s="344"/>
      <c r="EZS47" s="344"/>
      <c r="EZT47" s="344"/>
      <c r="EZU47" s="344"/>
      <c r="EZV47" s="344"/>
      <c r="EZW47" s="344"/>
      <c r="EZX47" s="344"/>
      <c r="EZY47" s="344"/>
      <c r="EZZ47" s="344"/>
      <c r="FAA47" s="344"/>
      <c r="FAB47" s="344"/>
      <c r="FAC47" s="344"/>
      <c r="FAD47" s="344"/>
      <c r="FAE47" s="344"/>
      <c r="FAF47" s="344"/>
      <c r="FAG47" s="344"/>
      <c r="FAH47" s="344"/>
      <c r="FAI47" s="344"/>
      <c r="FAJ47" s="344"/>
      <c r="FAK47" s="344"/>
      <c r="FAL47" s="344"/>
      <c r="FAM47" s="344"/>
      <c r="FAN47" s="344"/>
      <c r="FAO47" s="344"/>
      <c r="FAP47" s="344"/>
      <c r="FAQ47" s="344"/>
      <c r="FAR47" s="344"/>
      <c r="FAS47" s="344"/>
      <c r="FAT47" s="344"/>
      <c r="FAU47" s="344"/>
      <c r="FAV47" s="344"/>
      <c r="FAW47" s="344"/>
      <c r="FAX47" s="344"/>
      <c r="FAY47" s="344"/>
      <c r="FAZ47" s="344"/>
      <c r="FBA47" s="344"/>
      <c r="FBB47" s="344"/>
      <c r="FBC47" s="344"/>
      <c r="FBD47" s="344"/>
      <c r="FBE47" s="344"/>
      <c r="FBF47" s="344"/>
      <c r="FBG47" s="344"/>
      <c r="FBH47" s="344"/>
      <c r="FBI47" s="344"/>
      <c r="FBJ47" s="344"/>
      <c r="FBK47" s="344"/>
      <c r="FBL47" s="344"/>
      <c r="FBM47" s="344"/>
      <c r="FBN47" s="344"/>
      <c r="FBO47" s="344"/>
      <c r="FBP47" s="344"/>
      <c r="FBQ47" s="344"/>
      <c r="FBR47" s="344"/>
      <c r="FBS47" s="344"/>
      <c r="FBT47" s="344"/>
      <c r="FBU47" s="344"/>
      <c r="FBV47" s="344"/>
      <c r="FBW47" s="344"/>
      <c r="FBX47" s="344"/>
      <c r="FBY47" s="344"/>
      <c r="FBZ47" s="344"/>
      <c r="FCA47" s="344"/>
      <c r="FCB47" s="344"/>
      <c r="FCC47" s="344"/>
      <c r="FCD47" s="344"/>
      <c r="FCE47" s="344"/>
      <c r="FCF47" s="344"/>
      <c r="FCG47" s="344"/>
      <c r="FCH47" s="344"/>
      <c r="FCI47" s="344"/>
      <c r="FCJ47" s="344"/>
      <c r="FCK47" s="344"/>
      <c r="FCL47" s="344"/>
      <c r="FCM47" s="344"/>
      <c r="FCN47" s="344"/>
      <c r="FCO47" s="344"/>
      <c r="FCP47" s="344"/>
      <c r="FCQ47" s="344"/>
      <c r="FCR47" s="344"/>
      <c r="FCS47" s="344"/>
      <c r="FCT47" s="344"/>
      <c r="FCU47" s="344"/>
      <c r="FCV47" s="344"/>
      <c r="FCW47" s="344"/>
      <c r="FCX47" s="344"/>
      <c r="FCY47" s="344"/>
      <c r="FCZ47" s="344"/>
      <c r="FDA47" s="344"/>
      <c r="FDB47" s="344"/>
      <c r="FDC47" s="344"/>
      <c r="FDD47" s="344"/>
      <c r="FDE47" s="344"/>
      <c r="FDF47" s="344"/>
      <c r="FDG47" s="344"/>
      <c r="FDH47" s="344"/>
      <c r="FDI47" s="344"/>
      <c r="FDJ47" s="344"/>
      <c r="FDK47" s="344"/>
      <c r="FDL47" s="344"/>
      <c r="FDM47" s="344"/>
      <c r="FDN47" s="344"/>
      <c r="FDO47" s="344"/>
      <c r="FDP47" s="344"/>
      <c r="FDQ47" s="344"/>
      <c r="FDR47" s="344"/>
      <c r="FDS47" s="344"/>
      <c r="FDT47" s="344"/>
      <c r="FDU47" s="344"/>
      <c r="FDV47" s="344"/>
      <c r="FDW47" s="344"/>
      <c r="FDX47" s="344"/>
      <c r="FDY47" s="344"/>
      <c r="FDZ47" s="344"/>
      <c r="FEA47" s="344"/>
      <c r="FEB47" s="344"/>
      <c r="FEC47" s="344"/>
      <c r="FED47" s="344"/>
      <c r="FEE47" s="344"/>
      <c r="FEF47" s="344"/>
      <c r="FEG47" s="344"/>
      <c r="FEH47" s="344"/>
      <c r="FEI47" s="344"/>
      <c r="FEJ47" s="344"/>
      <c r="FEK47" s="344"/>
      <c r="FEL47" s="344"/>
      <c r="FEM47" s="344"/>
      <c r="FEN47" s="344"/>
      <c r="FEO47" s="344"/>
      <c r="FEP47" s="344"/>
      <c r="FEQ47" s="344"/>
      <c r="FER47" s="344"/>
      <c r="FES47" s="344"/>
      <c r="FET47" s="344"/>
      <c r="FEU47" s="344"/>
      <c r="FEV47" s="344"/>
      <c r="FEW47" s="344"/>
      <c r="FEX47" s="344"/>
      <c r="FEY47" s="344"/>
      <c r="FEZ47" s="344"/>
      <c r="FFA47" s="344"/>
      <c r="FFB47" s="344"/>
      <c r="FFC47" s="344"/>
      <c r="FFD47" s="344"/>
      <c r="FFE47" s="344"/>
      <c r="FFF47" s="344"/>
      <c r="FFG47" s="344"/>
      <c r="FFH47" s="344"/>
      <c r="FFI47" s="344"/>
      <c r="FFJ47" s="344"/>
      <c r="FFK47" s="344"/>
      <c r="FFL47" s="344"/>
      <c r="FFM47" s="344"/>
      <c r="FFN47" s="344"/>
      <c r="FFO47" s="344"/>
      <c r="FFP47" s="344"/>
      <c r="FFQ47" s="344"/>
      <c r="FFR47" s="344"/>
      <c r="FFS47" s="344"/>
      <c r="FFT47" s="344"/>
      <c r="FFU47" s="344"/>
      <c r="FFV47" s="344"/>
      <c r="FFW47" s="344"/>
      <c r="FFX47" s="344"/>
      <c r="FFY47" s="344"/>
      <c r="FFZ47" s="344"/>
      <c r="FGA47" s="344"/>
      <c r="FGB47" s="344"/>
      <c r="FGC47" s="344"/>
      <c r="FGD47" s="344"/>
      <c r="FGE47" s="344"/>
      <c r="FGF47" s="344"/>
      <c r="FGG47" s="344"/>
      <c r="FGH47" s="344"/>
      <c r="FGI47" s="344"/>
      <c r="FGJ47" s="344"/>
      <c r="FGK47" s="344"/>
      <c r="FGL47" s="344"/>
      <c r="FGM47" s="344"/>
      <c r="FGN47" s="344"/>
      <c r="FGO47" s="344"/>
      <c r="FGP47" s="344"/>
      <c r="FGQ47" s="344"/>
      <c r="FGR47" s="344"/>
      <c r="FGS47" s="344"/>
      <c r="FGT47" s="344"/>
      <c r="FGU47" s="344"/>
      <c r="FGV47" s="344"/>
      <c r="FGW47" s="344"/>
      <c r="FGX47" s="344"/>
      <c r="FGY47" s="344"/>
      <c r="FGZ47" s="344"/>
      <c r="FHA47" s="344"/>
      <c r="FHB47" s="344"/>
      <c r="FHC47" s="344"/>
      <c r="FHD47" s="344"/>
      <c r="FHE47" s="344"/>
      <c r="FHF47" s="344"/>
      <c r="FHG47" s="344"/>
      <c r="FHH47" s="344"/>
      <c r="FHI47" s="344"/>
      <c r="FHJ47" s="344"/>
      <c r="FHK47" s="344"/>
      <c r="FHL47" s="344"/>
      <c r="FHM47" s="344"/>
      <c r="FHN47" s="344"/>
      <c r="FHO47" s="344"/>
      <c r="FHP47" s="344"/>
      <c r="FHQ47" s="344"/>
      <c r="FHR47" s="344"/>
      <c r="FHS47" s="344"/>
      <c r="FHT47" s="344"/>
      <c r="FHU47" s="344"/>
      <c r="FHV47" s="344"/>
      <c r="FHW47" s="344"/>
      <c r="FHX47" s="344"/>
      <c r="FHY47" s="344"/>
      <c r="FHZ47" s="344"/>
      <c r="FIA47" s="344"/>
      <c r="FIB47" s="344"/>
      <c r="FIC47" s="344"/>
      <c r="FID47" s="344"/>
      <c r="FIE47" s="344"/>
      <c r="FIF47" s="344"/>
      <c r="FIG47" s="344"/>
      <c r="FIH47" s="344"/>
      <c r="FII47" s="344"/>
      <c r="FIJ47" s="344"/>
      <c r="FIK47" s="344"/>
      <c r="FIL47" s="344"/>
      <c r="FIM47" s="344"/>
      <c r="FIN47" s="344"/>
      <c r="FIO47" s="344"/>
      <c r="FIP47" s="344"/>
      <c r="FIQ47" s="344"/>
      <c r="FIR47" s="344"/>
      <c r="FIS47" s="344"/>
      <c r="FIT47" s="344"/>
      <c r="FIU47" s="344"/>
      <c r="FIV47" s="344"/>
      <c r="FIW47" s="344"/>
      <c r="FIX47" s="344"/>
      <c r="FIY47" s="344"/>
      <c r="FIZ47" s="344"/>
      <c r="FJA47" s="344"/>
      <c r="FJB47" s="344"/>
      <c r="FJC47" s="344"/>
      <c r="FJD47" s="344"/>
      <c r="FJE47" s="344"/>
      <c r="FJF47" s="344"/>
      <c r="FJG47" s="344"/>
      <c r="FJH47" s="344"/>
      <c r="FJI47" s="344"/>
      <c r="FJJ47" s="344"/>
      <c r="FJK47" s="344"/>
      <c r="FJL47" s="344"/>
      <c r="FJM47" s="344"/>
      <c r="FJN47" s="344"/>
      <c r="FJO47" s="344"/>
      <c r="FJP47" s="344"/>
      <c r="FJQ47" s="344"/>
      <c r="FJR47" s="344"/>
      <c r="FJS47" s="344"/>
      <c r="FJT47" s="344"/>
      <c r="FJU47" s="344"/>
      <c r="FJV47" s="344"/>
      <c r="FJW47" s="344"/>
      <c r="FJX47" s="344"/>
      <c r="FJY47" s="344"/>
      <c r="FJZ47" s="344"/>
      <c r="FKA47" s="344"/>
      <c r="FKB47" s="344"/>
      <c r="FKC47" s="344"/>
      <c r="FKD47" s="344"/>
      <c r="FKE47" s="344"/>
      <c r="FKF47" s="344"/>
      <c r="FKG47" s="344"/>
      <c r="FKH47" s="344"/>
      <c r="FKI47" s="344"/>
      <c r="FKJ47" s="344"/>
      <c r="FKK47" s="344"/>
      <c r="FKL47" s="344"/>
      <c r="FKM47" s="344"/>
      <c r="FKN47" s="344"/>
      <c r="FKO47" s="344"/>
      <c r="FKP47" s="344"/>
      <c r="FKQ47" s="344"/>
      <c r="FKR47" s="344"/>
      <c r="FKS47" s="344"/>
      <c r="FKT47" s="344"/>
      <c r="FKU47" s="344"/>
      <c r="FKV47" s="344"/>
      <c r="FKW47" s="344"/>
      <c r="FKX47" s="344"/>
      <c r="FKY47" s="344"/>
      <c r="FKZ47" s="344"/>
      <c r="FLA47" s="344"/>
      <c r="FLB47" s="344"/>
      <c r="FLC47" s="344"/>
      <c r="FLD47" s="344"/>
      <c r="FLE47" s="344"/>
      <c r="FLF47" s="344"/>
      <c r="FLG47" s="344"/>
      <c r="FLH47" s="344"/>
      <c r="FLI47" s="344"/>
      <c r="FLJ47" s="344"/>
      <c r="FLK47" s="344"/>
      <c r="FLL47" s="344"/>
      <c r="FLM47" s="344"/>
      <c r="FLN47" s="344"/>
      <c r="FLO47" s="344"/>
      <c r="FLP47" s="344"/>
      <c r="FLQ47" s="344"/>
      <c r="FLR47" s="344"/>
      <c r="FLS47" s="344"/>
      <c r="FLT47" s="344"/>
      <c r="FLU47" s="344"/>
      <c r="FLV47" s="344"/>
      <c r="FLW47" s="344"/>
      <c r="FLX47" s="344"/>
      <c r="FLY47" s="344"/>
      <c r="FLZ47" s="344"/>
      <c r="FMA47" s="344"/>
      <c r="FMB47" s="344"/>
      <c r="FMC47" s="344"/>
      <c r="FMD47" s="344"/>
      <c r="FME47" s="344"/>
      <c r="FMF47" s="344"/>
      <c r="FMG47" s="344"/>
      <c r="FMH47" s="344"/>
      <c r="FMI47" s="344"/>
      <c r="FMJ47" s="344"/>
      <c r="FMK47" s="344"/>
      <c r="FML47" s="344"/>
      <c r="FMM47" s="344"/>
      <c r="FMN47" s="344"/>
      <c r="FMO47" s="344"/>
      <c r="FMP47" s="344"/>
      <c r="FMQ47" s="344"/>
      <c r="FMR47" s="344"/>
      <c r="FMS47" s="344"/>
      <c r="FMT47" s="344"/>
      <c r="FMU47" s="344"/>
      <c r="FMV47" s="344"/>
      <c r="FMW47" s="344"/>
      <c r="FMX47" s="344"/>
      <c r="FMY47" s="344"/>
      <c r="FMZ47" s="344"/>
      <c r="FNA47" s="344"/>
      <c r="FNB47" s="344"/>
      <c r="FNC47" s="344"/>
      <c r="FND47" s="344"/>
      <c r="FNE47" s="344"/>
      <c r="FNF47" s="344"/>
      <c r="FNG47" s="344"/>
      <c r="FNH47" s="344"/>
      <c r="FNI47" s="344"/>
      <c r="FNJ47" s="344"/>
      <c r="FNK47" s="344"/>
      <c r="FNL47" s="344"/>
      <c r="FNM47" s="344"/>
      <c r="FNN47" s="344"/>
      <c r="FNO47" s="344"/>
      <c r="FNP47" s="344"/>
      <c r="FNQ47" s="344"/>
      <c r="FNR47" s="344"/>
      <c r="FNS47" s="344"/>
      <c r="FNT47" s="344"/>
      <c r="FNU47" s="344"/>
      <c r="FNV47" s="344"/>
      <c r="FNW47" s="344"/>
      <c r="FNX47" s="344"/>
      <c r="FNY47" s="344"/>
      <c r="FNZ47" s="344"/>
      <c r="FOA47" s="344"/>
      <c r="FOB47" s="344"/>
      <c r="FOC47" s="344"/>
      <c r="FOD47" s="344"/>
      <c r="FOE47" s="344"/>
      <c r="FOF47" s="344"/>
      <c r="FOG47" s="344"/>
      <c r="FOH47" s="344"/>
      <c r="FOI47" s="344"/>
      <c r="FOJ47" s="344"/>
      <c r="FOK47" s="344"/>
      <c r="FOL47" s="344"/>
      <c r="FOM47" s="344"/>
      <c r="FON47" s="344"/>
      <c r="FOO47" s="344"/>
      <c r="FOP47" s="344"/>
      <c r="FOQ47" s="344"/>
      <c r="FOR47" s="344"/>
      <c r="FOS47" s="344"/>
      <c r="FOT47" s="344"/>
      <c r="FOU47" s="344"/>
      <c r="FOV47" s="344"/>
      <c r="FOW47" s="344"/>
      <c r="FOX47" s="344"/>
      <c r="FOY47" s="344"/>
      <c r="FOZ47" s="344"/>
      <c r="FPA47" s="344"/>
      <c r="FPB47" s="344"/>
      <c r="FPC47" s="344"/>
      <c r="FPD47" s="344"/>
      <c r="FPE47" s="344"/>
      <c r="FPF47" s="344"/>
      <c r="FPG47" s="344"/>
      <c r="FPH47" s="344"/>
      <c r="FPI47" s="344"/>
      <c r="FPJ47" s="344"/>
      <c r="FPK47" s="344"/>
      <c r="FPL47" s="344"/>
      <c r="FPM47" s="344"/>
      <c r="FPN47" s="344"/>
      <c r="FPO47" s="344"/>
      <c r="FPP47" s="344"/>
      <c r="FPQ47" s="344"/>
      <c r="FPR47" s="344"/>
      <c r="FPS47" s="344"/>
      <c r="FPT47" s="344"/>
      <c r="FPU47" s="344"/>
      <c r="FPV47" s="344"/>
      <c r="FPW47" s="344"/>
      <c r="FPX47" s="344"/>
      <c r="FPY47" s="344"/>
      <c r="FPZ47" s="344"/>
      <c r="FQA47" s="344"/>
      <c r="FQB47" s="344"/>
      <c r="FQC47" s="344"/>
      <c r="FQD47" s="344"/>
      <c r="FQE47" s="344"/>
      <c r="FQF47" s="344"/>
      <c r="FQG47" s="344"/>
      <c r="FQH47" s="344"/>
      <c r="FQI47" s="344"/>
      <c r="FQJ47" s="344"/>
      <c r="FQK47" s="344"/>
      <c r="FQL47" s="344"/>
      <c r="FQM47" s="344"/>
      <c r="FQN47" s="344"/>
      <c r="FQO47" s="344"/>
      <c r="FQP47" s="344"/>
      <c r="FQQ47" s="344"/>
      <c r="FQR47" s="344"/>
      <c r="FQS47" s="344"/>
      <c r="FQT47" s="344"/>
      <c r="FQU47" s="344"/>
      <c r="FQV47" s="344"/>
      <c r="FQW47" s="344"/>
      <c r="FQX47" s="344"/>
      <c r="FQY47" s="344"/>
      <c r="FQZ47" s="344"/>
      <c r="FRA47" s="344"/>
      <c r="FRB47" s="344"/>
      <c r="FRC47" s="344"/>
      <c r="FRD47" s="344"/>
      <c r="FRE47" s="344"/>
      <c r="FRF47" s="344"/>
      <c r="FRG47" s="344"/>
      <c r="FRH47" s="344"/>
      <c r="FRI47" s="344"/>
      <c r="FRJ47" s="344"/>
      <c r="FRK47" s="344"/>
      <c r="FRL47" s="344"/>
      <c r="FRM47" s="344"/>
      <c r="FRN47" s="344"/>
      <c r="FRO47" s="344"/>
      <c r="FRP47" s="344"/>
      <c r="FRQ47" s="344"/>
      <c r="FRR47" s="344"/>
      <c r="FRS47" s="344"/>
      <c r="FRT47" s="344"/>
      <c r="FRU47" s="344"/>
      <c r="FRV47" s="344"/>
      <c r="FRW47" s="344"/>
      <c r="FRX47" s="344"/>
      <c r="FRY47" s="344"/>
      <c r="FRZ47" s="344"/>
      <c r="FSA47" s="344"/>
      <c r="FSB47" s="344"/>
      <c r="FSC47" s="344"/>
      <c r="FSD47" s="344"/>
      <c r="FSE47" s="344"/>
      <c r="FSF47" s="344"/>
      <c r="FSG47" s="344"/>
      <c r="FSH47" s="344"/>
      <c r="FSI47" s="344"/>
      <c r="FSJ47" s="344"/>
      <c r="FSK47" s="344"/>
      <c r="FSL47" s="344"/>
      <c r="FSM47" s="344"/>
      <c r="FSN47" s="344"/>
      <c r="FSO47" s="344"/>
      <c r="FSP47" s="344"/>
      <c r="FSQ47" s="344"/>
      <c r="FSR47" s="344"/>
      <c r="FSS47" s="344"/>
      <c r="FST47" s="344"/>
      <c r="FSU47" s="344"/>
      <c r="FSV47" s="344"/>
      <c r="FSW47" s="344"/>
      <c r="FSX47" s="344"/>
      <c r="FSY47" s="344"/>
      <c r="FSZ47" s="344"/>
      <c r="FTA47" s="344"/>
      <c r="FTB47" s="344"/>
      <c r="FTC47" s="344"/>
      <c r="FTD47" s="344"/>
      <c r="FTE47" s="344"/>
      <c r="FTF47" s="344"/>
      <c r="FTG47" s="344"/>
      <c r="FTH47" s="344"/>
      <c r="FTI47" s="344"/>
      <c r="FTJ47" s="344"/>
      <c r="FTK47" s="344"/>
      <c r="FTL47" s="344"/>
      <c r="FTM47" s="344"/>
      <c r="FTN47" s="344"/>
      <c r="FTO47" s="344"/>
      <c r="FTP47" s="344"/>
      <c r="FTQ47" s="344"/>
      <c r="FTR47" s="344"/>
      <c r="FTS47" s="344"/>
      <c r="FTT47" s="344"/>
      <c r="FTU47" s="344"/>
      <c r="FTV47" s="344"/>
      <c r="FTW47" s="344"/>
      <c r="FTX47" s="344"/>
      <c r="FTY47" s="344"/>
      <c r="FTZ47" s="344"/>
      <c r="FUA47" s="344"/>
      <c r="FUB47" s="344"/>
      <c r="FUC47" s="344"/>
      <c r="FUD47" s="344"/>
      <c r="FUE47" s="344"/>
      <c r="FUF47" s="344"/>
      <c r="FUG47" s="344"/>
      <c r="FUH47" s="344"/>
      <c r="FUI47" s="344"/>
      <c r="FUJ47" s="344"/>
      <c r="FUK47" s="344"/>
      <c r="FUL47" s="344"/>
      <c r="FUM47" s="344"/>
      <c r="FUN47" s="344"/>
      <c r="FUO47" s="344"/>
      <c r="FUP47" s="344"/>
      <c r="FUQ47" s="344"/>
      <c r="FUR47" s="344"/>
      <c r="FUS47" s="344"/>
      <c r="FUT47" s="344"/>
      <c r="FUU47" s="344"/>
      <c r="FUV47" s="344"/>
      <c r="FUW47" s="344"/>
      <c r="FUX47" s="344"/>
      <c r="FUY47" s="344"/>
      <c r="FUZ47" s="344"/>
      <c r="FVA47" s="344"/>
      <c r="FVB47" s="344"/>
      <c r="FVC47" s="344"/>
      <c r="FVD47" s="344"/>
      <c r="FVE47" s="344"/>
      <c r="FVF47" s="344"/>
      <c r="FVG47" s="344"/>
      <c r="FVH47" s="344"/>
      <c r="FVI47" s="344"/>
      <c r="FVJ47" s="344"/>
      <c r="FVK47" s="344"/>
      <c r="FVL47" s="344"/>
      <c r="FVM47" s="344"/>
      <c r="FVN47" s="344"/>
      <c r="FVO47" s="344"/>
      <c r="FVP47" s="344"/>
      <c r="FVQ47" s="344"/>
      <c r="FVR47" s="344"/>
      <c r="FVS47" s="344"/>
      <c r="FVT47" s="344"/>
      <c r="FVU47" s="344"/>
      <c r="FVV47" s="344"/>
      <c r="FVW47" s="344"/>
      <c r="FVX47" s="344"/>
      <c r="FVY47" s="344"/>
      <c r="FVZ47" s="344"/>
      <c r="FWA47" s="344"/>
      <c r="FWB47" s="344"/>
      <c r="FWC47" s="344"/>
      <c r="FWD47" s="344"/>
      <c r="FWE47" s="344"/>
      <c r="FWF47" s="344"/>
      <c r="FWG47" s="344"/>
      <c r="FWH47" s="344"/>
      <c r="FWI47" s="344"/>
      <c r="FWJ47" s="344"/>
      <c r="FWK47" s="344"/>
      <c r="FWL47" s="344"/>
      <c r="FWM47" s="344"/>
      <c r="FWN47" s="344"/>
      <c r="FWO47" s="344"/>
      <c r="FWP47" s="344"/>
      <c r="FWQ47" s="344"/>
      <c r="FWR47" s="344"/>
      <c r="FWS47" s="344"/>
      <c r="FWT47" s="344"/>
      <c r="FWU47" s="344"/>
      <c r="FWV47" s="344"/>
      <c r="FWW47" s="344"/>
      <c r="FWX47" s="344"/>
      <c r="FWY47" s="344"/>
      <c r="FWZ47" s="344"/>
      <c r="FXA47" s="344"/>
      <c r="FXB47" s="344"/>
      <c r="FXC47" s="344"/>
      <c r="FXD47" s="344"/>
      <c r="FXE47" s="344"/>
      <c r="FXF47" s="344"/>
      <c r="FXG47" s="344"/>
      <c r="FXH47" s="344"/>
      <c r="FXI47" s="344"/>
      <c r="FXJ47" s="344"/>
      <c r="FXK47" s="344"/>
      <c r="FXL47" s="344"/>
      <c r="FXM47" s="344"/>
      <c r="FXN47" s="344"/>
      <c r="FXO47" s="344"/>
      <c r="FXP47" s="344"/>
      <c r="FXQ47" s="344"/>
      <c r="FXR47" s="344"/>
      <c r="FXS47" s="344"/>
      <c r="FXT47" s="344"/>
      <c r="FXU47" s="344"/>
      <c r="FXV47" s="344"/>
      <c r="FXW47" s="344"/>
      <c r="FXX47" s="344"/>
      <c r="FXY47" s="344"/>
      <c r="FXZ47" s="344"/>
      <c r="FYA47" s="344"/>
      <c r="FYB47" s="344"/>
      <c r="FYC47" s="344"/>
      <c r="FYD47" s="344"/>
      <c r="FYE47" s="344"/>
      <c r="FYF47" s="344"/>
      <c r="FYG47" s="344"/>
      <c r="FYH47" s="344"/>
      <c r="FYI47" s="344"/>
      <c r="FYJ47" s="344"/>
      <c r="FYK47" s="344"/>
      <c r="FYL47" s="344"/>
      <c r="FYM47" s="344"/>
      <c r="FYN47" s="344"/>
      <c r="FYO47" s="344"/>
      <c r="FYP47" s="344"/>
      <c r="FYQ47" s="344"/>
      <c r="FYR47" s="344"/>
      <c r="FYS47" s="344"/>
      <c r="FYT47" s="344"/>
      <c r="FYU47" s="344"/>
      <c r="FYV47" s="344"/>
      <c r="FYW47" s="344"/>
      <c r="FYX47" s="344"/>
      <c r="FYY47" s="344"/>
      <c r="FYZ47" s="344"/>
      <c r="FZA47" s="344"/>
      <c r="FZB47" s="344"/>
      <c r="FZC47" s="344"/>
      <c r="FZD47" s="344"/>
      <c r="FZE47" s="344"/>
      <c r="FZF47" s="344"/>
      <c r="FZG47" s="344"/>
      <c r="FZH47" s="344"/>
      <c r="FZI47" s="344"/>
      <c r="FZJ47" s="344"/>
      <c r="FZK47" s="344"/>
      <c r="FZL47" s="344"/>
      <c r="FZM47" s="344"/>
      <c r="FZN47" s="344"/>
      <c r="FZO47" s="344"/>
      <c r="FZP47" s="344"/>
      <c r="FZQ47" s="344"/>
      <c r="FZR47" s="344"/>
      <c r="FZS47" s="344"/>
      <c r="FZT47" s="344"/>
      <c r="FZU47" s="344"/>
      <c r="FZV47" s="344"/>
      <c r="FZW47" s="344"/>
      <c r="FZX47" s="344"/>
      <c r="FZY47" s="344"/>
      <c r="FZZ47" s="344"/>
      <c r="GAA47" s="344"/>
      <c r="GAB47" s="344"/>
      <c r="GAC47" s="344"/>
      <c r="GAD47" s="344"/>
      <c r="GAE47" s="344"/>
      <c r="GAF47" s="344"/>
      <c r="GAG47" s="344"/>
      <c r="GAH47" s="344"/>
      <c r="GAI47" s="344"/>
      <c r="GAJ47" s="344"/>
      <c r="GAK47" s="344"/>
      <c r="GAL47" s="344"/>
      <c r="GAM47" s="344"/>
      <c r="GAN47" s="344"/>
      <c r="GAO47" s="344"/>
      <c r="GAP47" s="344"/>
      <c r="GAQ47" s="344"/>
      <c r="GAR47" s="344"/>
      <c r="GAS47" s="344"/>
      <c r="GAT47" s="344"/>
      <c r="GAU47" s="344"/>
      <c r="GAV47" s="344"/>
      <c r="GAW47" s="344"/>
      <c r="GAX47" s="344"/>
      <c r="GAY47" s="344"/>
      <c r="GAZ47" s="344"/>
      <c r="GBA47" s="344"/>
      <c r="GBB47" s="344"/>
      <c r="GBC47" s="344"/>
      <c r="GBD47" s="344"/>
      <c r="GBE47" s="344"/>
      <c r="GBF47" s="344"/>
      <c r="GBG47" s="344"/>
      <c r="GBH47" s="344"/>
      <c r="GBI47" s="344"/>
      <c r="GBJ47" s="344"/>
      <c r="GBK47" s="344"/>
      <c r="GBL47" s="344"/>
      <c r="GBM47" s="344"/>
      <c r="GBN47" s="344"/>
      <c r="GBO47" s="344"/>
      <c r="GBP47" s="344"/>
      <c r="GBQ47" s="344"/>
      <c r="GBR47" s="344"/>
      <c r="GBS47" s="344"/>
      <c r="GBT47" s="344"/>
      <c r="GBU47" s="344"/>
      <c r="GBV47" s="344"/>
      <c r="GBW47" s="344"/>
      <c r="GBX47" s="344"/>
      <c r="GBY47" s="344"/>
      <c r="GBZ47" s="344"/>
      <c r="GCA47" s="344"/>
      <c r="GCB47" s="344"/>
      <c r="GCC47" s="344"/>
      <c r="GCD47" s="344"/>
      <c r="GCE47" s="344"/>
      <c r="GCF47" s="344"/>
      <c r="GCG47" s="344"/>
      <c r="GCH47" s="344"/>
      <c r="GCI47" s="344"/>
      <c r="GCJ47" s="344"/>
      <c r="GCK47" s="344"/>
      <c r="GCL47" s="344"/>
      <c r="GCM47" s="344"/>
      <c r="GCN47" s="344"/>
      <c r="GCO47" s="344"/>
      <c r="GCP47" s="344"/>
      <c r="GCQ47" s="344"/>
      <c r="GCR47" s="344"/>
      <c r="GCS47" s="344"/>
      <c r="GCT47" s="344"/>
      <c r="GCU47" s="344"/>
      <c r="GCV47" s="344"/>
      <c r="GCW47" s="344"/>
      <c r="GCX47" s="344"/>
      <c r="GCY47" s="344"/>
      <c r="GCZ47" s="344"/>
      <c r="GDA47" s="344"/>
      <c r="GDB47" s="344"/>
      <c r="GDC47" s="344"/>
      <c r="GDD47" s="344"/>
      <c r="GDE47" s="344"/>
      <c r="GDF47" s="344"/>
      <c r="GDG47" s="344"/>
      <c r="GDH47" s="344"/>
      <c r="GDI47" s="344"/>
      <c r="GDJ47" s="344"/>
      <c r="GDK47" s="344"/>
      <c r="GDL47" s="344"/>
      <c r="GDM47" s="344"/>
      <c r="GDN47" s="344"/>
      <c r="GDO47" s="344"/>
      <c r="GDP47" s="344"/>
      <c r="GDQ47" s="344"/>
      <c r="GDR47" s="344"/>
      <c r="GDS47" s="344"/>
      <c r="GDT47" s="344"/>
      <c r="GDU47" s="344"/>
      <c r="GDV47" s="344"/>
      <c r="GDW47" s="344"/>
      <c r="GDX47" s="344"/>
      <c r="GDY47" s="344"/>
      <c r="GDZ47" s="344"/>
      <c r="GEA47" s="344"/>
      <c r="GEB47" s="344"/>
      <c r="GEC47" s="344"/>
      <c r="GED47" s="344"/>
      <c r="GEE47" s="344"/>
      <c r="GEF47" s="344"/>
      <c r="GEG47" s="344"/>
      <c r="GEH47" s="344"/>
      <c r="GEI47" s="344"/>
      <c r="GEJ47" s="344"/>
      <c r="GEK47" s="344"/>
      <c r="GEL47" s="344"/>
      <c r="GEM47" s="344"/>
      <c r="GEN47" s="344"/>
      <c r="GEO47" s="344"/>
      <c r="GEP47" s="344"/>
      <c r="GEQ47" s="344"/>
      <c r="GER47" s="344"/>
      <c r="GES47" s="344"/>
      <c r="GET47" s="344"/>
      <c r="GEU47" s="344"/>
      <c r="GEV47" s="344"/>
      <c r="GEW47" s="344"/>
      <c r="GEX47" s="344"/>
      <c r="GEY47" s="344"/>
      <c r="GEZ47" s="344"/>
      <c r="GFA47" s="344"/>
      <c r="GFB47" s="344"/>
      <c r="GFC47" s="344"/>
      <c r="GFD47" s="344"/>
      <c r="GFE47" s="344"/>
      <c r="GFF47" s="344"/>
      <c r="GFG47" s="344"/>
      <c r="GFH47" s="344"/>
      <c r="GFI47" s="344"/>
      <c r="GFJ47" s="344"/>
      <c r="GFK47" s="344"/>
      <c r="GFL47" s="344"/>
      <c r="GFM47" s="344"/>
      <c r="GFN47" s="344"/>
      <c r="GFO47" s="344"/>
      <c r="GFP47" s="344"/>
      <c r="GFQ47" s="344"/>
      <c r="GFR47" s="344"/>
      <c r="GFS47" s="344"/>
      <c r="GFT47" s="344"/>
      <c r="GFU47" s="344"/>
      <c r="GFV47" s="344"/>
      <c r="GFW47" s="344"/>
      <c r="GFX47" s="344"/>
      <c r="GFY47" s="344"/>
      <c r="GFZ47" s="344"/>
      <c r="GGA47" s="344"/>
      <c r="GGB47" s="344"/>
      <c r="GGC47" s="344"/>
      <c r="GGD47" s="344"/>
      <c r="GGE47" s="344"/>
      <c r="GGF47" s="344"/>
      <c r="GGG47" s="344"/>
      <c r="GGH47" s="344"/>
      <c r="GGI47" s="344"/>
      <c r="GGJ47" s="344"/>
      <c r="GGK47" s="344"/>
      <c r="GGL47" s="344"/>
      <c r="GGM47" s="344"/>
      <c r="GGN47" s="344"/>
      <c r="GGO47" s="344"/>
      <c r="GGP47" s="344"/>
      <c r="GGQ47" s="344"/>
      <c r="GGR47" s="344"/>
      <c r="GGS47" s="344"/>
      <c r="GGT47" s="344"/>
      <c r="GGU47" s="344"/>
      <c r="GGV47" s="344"/>
      <c r="GGW47" s="344"/>
      <c r="GGX47" s="344"/>
      <c r="GGY47" s="344"/>
      <c r="GGZ47" s="344"/>
      <c r="GHA47" s="344"/>
      <c r="GHB47" s="344"/>
      <c r="GHC47" s="344"/>
      <c r="GHD47" s="344"/>
      <c r="GHE47" s="344"/>
      <c r="GHF47" s="344"/>
      <c r="GHG47" s="344"/>
      <c r="GHH47" s="344"/>
      <c r="GHI47" s="344"/>
      <c r="GHJ47" s="344"/>
      <c r="GHK47" s="344"/>
      <c r="GHL47" s="344"/>
      <c r="GHM47" s="344"/>
      <c r="GHN47" s="344"/>
      <c r="GHO47" s="344"/>
      <c r="GHP47" s="344"/>
      <c r="GHQ47" s="344"/>
      <c r="GHR47" s="344"/>
      <c r="GHS47" s="344"/>
      <c r="GHT47" s="344"/>
      <c r="GHU47" s="344"/>
      <c r="GHV47" s="344"/>
      <c r="GHW47" s="344"/>
      <c r="GHX47" s="344"/>
      <c r="GHY47" s="344"/>
      <c r="GHZ47" s="344"/>
      <c r="GIA47" s="344"/>
      <c r="GIB47" s="344"/>
      <c r="GIC47" s="344"/>
      <c r="GID47" s="344"/>
      <c r="GIE47" s="344"/>
      <c r="GIF47" s="344"/>
      <c r="GIG47" s="344"/>
      <c r="GIH47" s="344"/>
      <c r="GII47" s="344"/>
      <c r="GIJ47" s="344"/>
      <c r="GIK47" s="344"/>
      <c r="GIL47" s="344"/>
      <c r="GIM47" s="344"/>
      <c r="GIN47" s="344"/>
      <c r="GIO47" s="344"/>
      <c r="GIP47" s="344"/>
      <c r="GIQ47" s="344"/>
      <c r="GIR47" s="344"/>
      <c r="GIS47" s="344"/>
      <c r="GIT47" s="344"/>
      <c r="GIU47" s="344"/>
      <c r="GIV47" s="344"/>
      <c r="GIW47" s="344"/>
      <c r="GIX47" s="344"/>
      <c r="GIY47" s="344"/>
      <c r="GIZ47" s="344"/>
      <c r="GJA47" s="344"/>
      <c r="GJB47" s="344"/>
      <c r="GJC47" s="344"/>
      <c r="GJD47" s="344"/>
      <c r="GJE47" s="344"/>
      <c r="GJF47" s="344"/>
      <c r="GJG47" s="344"/>
      <c r="GJH47" s="344"/>
      <c r="GJI47" s="344"/>
      <c r="GJJ47" s="344"/>
      <c r="GJK47" s="344"/>
      <c r="GJL47" s="344"/>
      <c r="GJM47" s="344"/>
      <c r="GJN47" s="344"/>
      <c r="GJO47" s="344"/>
      <c r="GJP47" s="344"/>
      <c r="GJQ47" s="344"/>
      <c r="GJR47" s="344"/>
      <c r="GJS47" s="344"/>
      <c r="GJT47" s="344"/>
      <c r="GJU47" s="344"/>
      <c r="GJV47" s="344"/>
      <c r="GJW47" s="344"/>
      <c r="GJX47" s="344"/>
      <c r="GJY47" s="344"/>
      <c r="GJZ47" s="344"/>
      <c r="GKA47" s="344"/>
      <c r="GKB47" s="344"/>
      <c r="GKC47" s="344"/>
      <c r="GKD47" s="344"/>
      <c r="GKE47" s="344"/>
      <c r="GKF47" s="344"/>
      <c r="GKG47" s="344"/>
      <c r="GKH47" s="344"/>
      <c r="GKI47" s="344"/>
      <c r="GKJ47" s="344"/>
      <c r="GKK47" s="344"/>
      <c r="GKL47" s="344"/>
      <c r="GKM47" s="344"/>
      <c r="GKN47" s="344"/>
      <c r="GKO47" s="344"/>
      <c r="GKP47" s="344"/>
      <c r="GKQ47" s="344"/>
      <c r="GKR47" s="344"/>
      <c r="GKS47" s="344"/>
      <c r="GKT47" s="344"/>
      <c r="GKU47" s="344"/>
      <c r="GKV47" s="344"/>
      <c r="GKW47" s="344"/>
      <c r="GKX47" s="344"/>
      <c r="GKY47" s="344"/>
      <c r="GKZ47" s="344"/>
      <c r="GLA47" s="344"/>
      <c r="GLB47" s="344"/>
      <c r="GLC47" s="344"/>
      <c r="GLD47" s="344"/>
      <c r="GLE47" s="344"/>
      <c r="GLF47" s="344"/>
      <c r="GLG47" s="344"/>
      <c r="GLH47" s="344"/>
      <c r="GLI47" s="344"/>
      <c r="GLJ47" s="344"/>
      <c r="GLK47" s="344"/>
      <c r="GLL47" s="344"/>
      <c r="GLM47" s="344"/>
      <c r="GLN47" s="344"/>
      <c r="GLO47" s="344"/>
      <c r="GLP47" s="344"/>
      <c r="GLQ47" s="344"/>
      <c r="GLR47" s="344"/>
      <c r="GLS47" s="344"/>
      <c r="GLT47" s="344"/>
      <c r="GLU47" s="344"/>
      <c r="GLV47" s="344"/>
      <c r="GLW47" s="344"/>
      <c r="GLX47" s="344"/>
      <c r="GLY47" s="344"/>
      <c r="GLZ47" s="344"/>
      <c r="GMA47" s="344"/>
      <c r="GMB47" s="344"/>
      <c r="GMC47" s="344"/>
      <c r="GMD47" s="344"/>
      <c r="GME47" s="344"/>
      <c r="GMF47" s="344"/>
      <c r="GMG47" s="344"/>
      <c r="GMH47" s="344"/>
      <c r="GMI47" s="344"/>
      <c r="GMJ47" s="344"/>
      <c r="GMK47" s="344"/>
      <c r="GML47" s="344"/>
      <c r="GMM47" s="344"/>
      <c r="GMN47" s="344"/>
      <c r="GMO47" s="344"/>
      <c r="GMP47" s="344"/>
      <c r="GMQ47" s="344"/>
      <c r="GMR47" s="344"/>
      <c r="GMS47" s="344"/>
      <c r="GMT47" s="344"/>
      <c r="GMU47" s="344"/>
      <c r="GMV47" s="344"/>
      <c r="GMW47" s="344"/>
      <c r="GMX47" s="344"/>
      <c r="GMY47" s="344"/>
      <c r="GMZ47" s="344"/>
      <c r="GNA47" s="344"/>
      <c r="GNB47" s="344"/>
      <c r="GNC47" s="344"/>
      <c r="GND47" s="344"/>
      <c r="GNE47" s="344"/>
      <c r="GNF47" s="344"/>
      <c r="GNG47" s="344"/>
      <c r="GNH47" s="344"/>
      <c r="GNI47" s="344"/>
      <c r="GNJ47" s="344"/>
      <c r="GNK47" s="344"/>
      <c r="GNL47" s="344"/>
      <c r="GNM47" s="344"/>
      <c r="GNN47" s="344"/>
      <c r="GNO47" s="344"/>
      <c r="GNP47" s="344"/>
      <c r="GNQ47" s="344"/>
      <c r="GNR47" s="344"/>
      <c r="GNS47" s="344"/>
      <c r="GNT47" s="344"/>
      <c r="GNU47" s="344"/>
      <c r="GNV47" s="344"/>
      <c r="GNW47" s="344"/>
      <c r="GNX47" s="344"/>
      <c r="GNY47" s="344"/>
      <c r="GNZ47" s="344"/>
      <c r="GOA47" s="344"/>
      <c r="GOB47" s="344"/>
      <c r="GOC47" s="344"/>
      <c r="GOD47" s="344"/>
      <c r="GOE47" s="344"/>
      <c r="GOF47" s="344"/>
      <c r="GOG47" s="344"/>
      <c r="GOH47" s="344"/>
      <c r="GOI47" s="344"/>
      <c r="GOJ47" s="344"/>
      <c r="GOK47" s="344"/>
      <c r="GOL47" s="344"/>
      <c r="GOM47" s="344"/>
      <c r="GON47" s="344"/>
      <c r="GOO47" s="344"/>
      <c r="GOP47" s="344"/>
      <c r="GOQ47" s="344"/>
      <c r="GOR47" s="344"/>
      <c r="GOS47" s="344"/>
      <c r="GOT47" s="344"/>
      <c r="GOU47" s="344"/>
      <c r="GOV47" s="344"/>
      <c r="GOW47" s="344"/>
      <c r="GOX47" s="344"/>
      <c r="GOY47" s="344"/>
      <c r="GOZ47" s="344"/>
      <c r="GPA47" s="344"/>
      <c r="GPB47" s="344"/>
      <c r="GPC47" s="344"/>
      <c r="GPD47" s="344"/>
      <c r="GPE47" s="344"/>
      <c r="GPF47" s="344"/>
      <c r="GPG47" s="344"/>
      <c r="GPH47" s="344"/>
      <c r="GPI47" s="344"/>
      <c r="GPJ47" s="344"/>
      <c r="GPK47" s="344"/>
      <c r="GPL47" s="344"/>
      <c r="GPM47" s="344"/>
      <c r="GPN47" s="344"/>
      <c r="GPO47" s="344"/>
      <c r="GPP47" s="344"/>
      <c r="GPQ47" s="344"/>
      <c r="GPR47" s="344"/>
      <c r="GPS47" s="344"/>
      <c r="GPT47" s="344"/>
      <c r="GPU47" s="344"/>
      <c r="GPV47" s="344"/>
      <c r="GPW47" s="344"/>
      <c r="GPX47" s="344"/>
      <c r="GPY47" s="344"/>
      <c r="GPZ47" s="344"/>
      <c r="GQA47" s="344"/>
      <c r="GQB47" s="344"/>
      <c r="GQC47" s="344"/>
      <c r="GQD47" s="344"/>
      <c r="GQE47" s="344"/>
      <c r="GQF47" s="344"/>
      <c r="GQG47" s="344"/>
      <c r="GQH47" s="344"/>
      <c r="GQI47" s="344"/>
      <c r="GQJ47" s="344"/>
      <c r="GQK47" s="344"/>
      <c r="GQL47" s="344"/>
      <c r="GQM47" s="344"/>
      <c r="GQN47" s="344"/>
      <c r="GQO47" s="344"/>
      <c r="GQP47" s="344"/>
      <c r="GQQ47" s="344"/>
      <c r="GQR47" s="344"/>
      <c r="GQS47" s="344"/>
      <c r="GQT47" s="344"/>
      <c r="GQU47" s="344"/>
      <c r="GQV47" s="344"/>
      <c r="GQW47" s="344"/>
      <c r="GQX47" s="344"/>
      <c r="GQY47" s="344"/>
      <c r="GQZ47" s="344"/>
      <c r="GRA47" s="344"/>
      <c r="GRB47" s="344"/>
      <c r="GRC47" s="344"/>
      <c r="GRD47" s="344"/>
      <c r="GRE47" s="344"/>
      <c r="GRF47" s="344"/>
      <c r="GRG47" s="344"/>
      <c r="GRH47" s="344"/>
      <c r="GRI47" s="344"/>
      <c r="GRJ47" s="344"/>
      <c r="GRK47" s="344"/>
      <c r="GRL47" s="344"/>
      <c r="GRM47" s="344"/>
      <c r="GRN47" s="344"/>
      <c r="GRO47" s="344"/>
      <c r="GRP47" s="344"/>
      <c r="GRQ47" s="344"/>
      <c r="GRR47" s="344"/>
      <c r="GRS47" s="344"/>
      <c r="GRT47" s="344"/>
      <c r="GRU47" s="344"/>
      <c r="GRV47" s="344"/>
      <c r="GRW47" s="344"/>
      <c r="GRX47" s="344"/>
      <c r="GRY47" s="344"/>
      <c r="GRZ47" s="344"/>
      <c r="GSA47" s="344"/>
      <c r="GSB47" s="344"/>
      <c r="GSC47" s="344"/>
      <c r="GSD47" s="344"/>
      <c r="GSE47" s="344"/>
      <c r="GSF47" s="344"/>
      <c r="GSG47" s="344"/>
      <c r="GSH47" s="344"/>
      <c r="GSI47" s="344"/>
      <c r="GSJ47" s="344"/>
      <c r="GSK47" s="344"/>
      <c r="GSL47" s="344"/>
      <c r="GSM47" s="344"/>
      <c r="GSN47" s="344"/>
      <c r="GSO47" s="344"/>
      <c r="GSP47" s="344"/>
      <c r="GSQ47" s="344"/>
      <c r="GSR47" s="344"/>
      <c r="GSS47" s="344"/>
      <c r="GST47" s="344"/>
      <c r="GSU47" s="344"/>
      <c r="GSV47" s="344"/>
      <c r="GSW47" s="344"/>
      <c r="GSX47" s="344"/>
      <c r="GSY47" s="344"/>
      <c r="GSZ47" s="344"/>
      <c r="GTA47" s="344"/>
      <c r="GTB47" s="344"/>
      <c r="GTC47" s="344"/>
      <c r="GTD47" s="344"/>
      <c r="GTE47" s="344"/>
      <c r="GTF47" s="344"/>
      <c r="GTG47" s="344"/>
      <c r="GTH47" s="344"/>
      <c r="GTI47" s="344"/>
      <c r="GTJ47" s="344"/>
      <c r="GTK47" s="344"/>
      <c r="GTL47" s="344"/>
      <c r="GTM47" s="344"/>
      <c r="GTN47" s="344"/>
      <c r="GTO47" s="344"/>
      <c r="GTP47" s="344"/>
      <c r="GTQ47" s="344"/>
      <c r="GTR47" s="344"/>
      <c r="GTS47" s="344"/>
      <c r="GTT47" s="344"/>
      <c r="GTU47" s="344"/>
      <c r="GTV47" s="344"/>
      <c r="GTW47" s="344"/>
      <c r="GTX47" s="344"/>
      <c r="GTY47" s="344"/>
      <c r="GTZ47" s="344"/>
      <c r="GUA47" s="344"/>
      <c r="GUB47" s="344"/>
      <c r="GUC47" s="344"/>
      <c r="GUD47" s="344"/>
      <c r="GUE47" s="344"/>
      <c r="GUF47" s="344"/>
      <c r="GUG47" s="344"/>
      <c r="GUH47" s="344"/>
      <c r="GUI47" s="344"/>
      <c r="GUJ47" s="344"/>
      <c r="GUK47" s="344"/>
      <c r="GUL47" s="344"/>
      <c r="GUM47" s="344"/>
      <c r="GUN47" s="344"/>
      <c r="GUO47" s="344"/>
      <c r="GUP47" s="344"/>
      <c r="GUQ47" s="344"/>
      <c r="GUR47" s="344"/>
      <c r="GUS47" s="344"/>
      <c r="GUT47" s="344"/>
      <c r="GUU47" s="344"/>
      <c r="GUV47" s="344"/>
      <c r="GUW47" s="344"/>
      <c r="GUX47" s="344"/>
      <c r="GUY47" s="344"/>
      <c r="GUZ47" s="344"/>
      <c r="GVA47" s="344"/>
      <c r="GVB47" s="344"/>
      <c r="GVC47" s="344"/>
      <c r="GVD47" s="344"/>
      <c r="GVE47" s="344"/>
      <c r="GVF47" s="344"/>
      <c r="GVG47" s="344"/>
      <c r="GVH47" s="344"/>
      <c r="GVI47" s="344"/>
      <c r="GVJ47" s="344"/>
      <c r="GVK47" s="344"/>
      <c r="GVL47" s="344"/>
      <c r="GVM47" s="344"/>
      <c r="GVN47" s="344"/>
      <c r="GVO47" s="344"/>
      <c r="GVP47" s="344"/>
      <c r="GVQ47" s="344"/>
      <c r="GVR47" s="344"/>
      <c r="GVS47" s="344"/>
      <c r="GVT47" s="344"/>
      <c r="GVU47" s="344"/>
      <c r="GVV47" s="344"/>
      <c r="GVW47" s="344"/>
      <c r="GVX47" s="344"/>
      <c r="GVY47" s="344"/>
      <c r="GVZ47" s="344"/>
      <c r="GWA47" s="344"/>
      <c r="GWB47" s="344"/>
      <c r="GWC47" s="344"/>
      <c r="GWD47" s="344"/>
      <c r="GWE47" s="344"/>
      <c r="GWF47" s="344"/>
      <c r="GWG47" s="344"/>
      <c r="GWH47" s="344"/>
      <c r="GWI47" s="344"/>
      <c r="GWJ47" s="344"/>
      <c r="GWK47" s="344"/>
      <c r="GWL47" s="344"/>
      <c r="GWM47" s="344"/>
      <c r="GWN47" s="344"/>
      <c r="GWO47" s="344"/>
      <c r="GWP47" s="344"/>
      <c r="GWQ47" s="344"/>
      <c r="GWR47" s="344"/>
      <c r="GWS47" s="344"/>
      <c r="GWT47" s="344"/>
      <c r="GWU47" s="344"/>
      <c r="GWV47" s="344"/>
      <c r="GWW47" s="344"/>
      <c r="GWX47" s="344"/>
      <c r="GWY47" s="344"/>
      <c r="GWZ47" s="344"/>
      <c r="GXA47" s="344"/>
      <c r="GXB47" s="344"/>
      <c r="GXC47" s="344"/>
      <c r="GXD47" s="344"/>
      <c r="GXE47" s="344"/>
      <c r="GXF47" s="344"/>
      <c r="GXG47" s="344"/>
      <c r="GXH47" s="344"/>
      <c r="GXI47" s="344"/>
      <c r="GXJ47" s="344"/>
      <c r="GXK47" s="344"/>
      <c r="GXL47" s="344"/>
      <c r="GXM47" s="344"/>
      <c r="GXN47" s="344"/>
      <c r="GXO47" s="344"/>
      <c r="GXP47" s="344"/>
      <c r="GXQ47" s="344"/>
      <c r="GXR47" s="344"/>
      <c r="GXS47" s="344"/>
      <c r="GXT47" s="344"/>
      <c r="GXU47" s="344"/>
      <c r="GXV47" s="344"/>
      <c r="GXW47" s="344"/>
      <c r="GXX47" s="344"/>
      <c r="GXY47" s="344"/>
      <c r="GXZ47" s="344"/>
      <c r="GYA47" s="344"/>
      <c r="GYB47" s="344"/>
      <c r="GYC47" s="344"/>
      <c r="GYD47" s="344"/>
      <c r="GYE47" s="344"/>
      <c r="GYF47" s="344"/>
      <c r="GYG47" s="344"/>
      <c r="GYH47" s="344"/>
      <c r="GYI47" s="344"/>
      <c r="GYJ47" s="344"/>
      <c r="GYK47" s="344"/>
      <c r="GYL47" s="344"/>
      <c r="GYM47" s="344"/>
      <c r="GYN47" s="344"/>
      <c r="GYO47" s="344"/>
      <c r="GYP47" s="344"/>
      <c r="GYQ47" s="344"/>
      <c r="GYR47" s="344"/>
      <c r="GYS47" s="344"/>
      <c r="GYT47" s="344"/>
      <c r="GYU47" s="344"/>
      <c r="GYV47" s="344"/>
      <c r="GYW47" s="344"/>
      <c r="GYX47" s="344"/>
      <c r="GYY47" s="344"/>
      <c r="GYZ47" s="344"/>
      <c r="GZA47" s="344"/>
      <c r="GZB47" s="344"/>
      <c r="GZC47" s="344"/>
      <c r="GZD47" s="344"/>
      <c r="GZE47" s="344"/>
      <c r="GZF47" s="344"/>
      <c r="GZG47" s="344"/>
      <c r="GZH47" s="344"/>
      <c r="GZI47" s="344"/>
      <c r="GZJ47" s="344"/>
      <c r="GZK47" s="344"/>
      <c r="GZL47" s="344"/>
      <c r="GZM47" s="344"/>
      <c r="GZN47" s="344"/>
      <c r="GZO47" s="344"/>
      <c r="GZP47" s="344"/>
      <c r="GZQ47" s="344"/>
      <c r="GZR47" s="344"/>
      <c r="GZS47" s="344"/>
      <c r="GZT47" s="344"/>
      <c r="GZU47" s="344"/>
      <c r="GZV47" s="344"/>
      <c r="GZW47" s="344"/>
      <c r="GZX47" s="344"/>
      <c r="GZY47" s="344"/>
      <c r="GZZ47" s="344"/>
      <c r="HAA47" s="344"/>
      <c r="HAB47" s="344"/>
      <c r="HAC47" s="344"/>
      <c r="HAD47" s="344"/>
      <c r="HAE47" s="344"/>
      <c r="HAF47" s="344"/>
      <c r="HAG47" s="344"/>
      <c r="HAH47" s="344"/>
      <c r="HAI47" s="344"/>
      <c r="HAJ47" s="344"/>
      <c r="HAK47" s="344"/>
      <c r="HAL47" s="344"/>
      <c r="HAM47" s="344"/>
      <c r="HAN47" s="344"/>
      <c r="HAO47" s="344"/>
      <c r="HAP47" s="344"/>
      <c r="HAQ47" s="344"/>
      <c r="HAR47" s="344"/>
      <c r="HAS47" s="344"/>
      <c r="HAT47" s="344"/>
      <c r="HAU47" s="344"/>
      <c r="HAV47" s="344"/>
      <c r="HAW47" s="344"/>
      <c r="HAX47" s="344"/>
      <c r="HAY47" s="344"/>
      <c r="HAZ47" s="344"/>
      <c r="HBA47" s="344"/>
      <c r="HBB47" s="344"/>
      <c r="HBC47" s="344"/>
      <c r="HBD47" s="344"/>
      <c r="HBE47" s="344"/>
      <c r="HBF47" s="344"/>
      <c r="HBG47" s="344"/>
      <c r="HBH47" s="344"/>
      <c r="HBI47" s="344"/>
      <c r="HBJ47" s="344"/>
      <c r="HBK47" s="344"/>
      <c r="HBL47" s="344"/>
      <c r="HBM47" s="344"/>
      <c r="HBN47" s="344"/>
      <c r="HBO47" s="344"/>
      <c r="HBP47" s="344"/>
      <c r="HBQ47" s="344"/>
      <c r="HBR47" s="344"/>
      <c r="HBS47" s="344"/>
      <c r="HBT47" s="344"/>
      <c r="HBU47" s="344"/>
      <c r="HBV47" s="344"/>
      <c r="HBW47" s="344"/>
      <c r="HBX47" s="344"/>
      <c r="HBY47" s="344"/>
      <c r="HBZ47" s="344"/>
      <c r="HCA47" s="344"/>
      <c r="HCB47" s="344"/>
      <c r="HCC47" s="344"/>
      <c r="HCD47" s="344"/>
      <c r="HCE47" s="344"/>
      <c r="HCF47" s="344"/>
      <c r="HCG47" s="344"/>
      <c r="HCH47" s="344"/>
      <c r="HCI47" s="344"/>
      <c r="HCJ47" s="344"/>
      <c r="HCK47" s="344"/>
      <c r="HCL47" s="344"/>
      <c r="HCM47" s="344"/>
      <c r="HCN47" s="344"/>
      <c r="HCO47" s="344"/>
      <c r="HCP47" s="344"/>
      <c r="HCQ47" s="344"/>
      <c r="HCR47" s="344"/>
      <c r="HCS47" s="344"/>
      <c r="HCT47" s="344"/>
      <c r="HCU47" s="344"/>
      <c r="HCV47" s="344"/>
      <c r="HCW47" s="344"/>
      <c r="HCX47" s="344"/>
      <c r="HCY47" s="344"/>
      <c r="HCZ47" s="344"/>
      <c r="HDA47" s="344"/>
      <c r="HDB47" s="344"/>
      <c r="HDC47" s="344"/>
      <c r="HDD47" s="344"/>
      <c r="HDE47" s="344"/>
      <c r="HDF47" s="344"/>
      <c r="HDG47" s="344"/>
      <c r="HDH47" s="344"/>
      <c r="HDI47" s="344"/>
      <c r="HDJ47" s="344"/>
      <c r="HDK47" s="344"/>
      <c r="HDL47" s="344"/>
      <c r="HDM47" s="344"/>
      <c r="HDN47" s="344"/>
      <c r="HDO47" s="344"/>
      <c r="HDP47" s="344"/>
      <c r="HDQ47" s="344"/>
      <c r="HDR47" s="344"/>
      <c r="HDS47" s="344"/>
      <c r="HDT47" s="344"/>
      <c r="HDU47" s="344"/>
      <c r="HDV47" s="344"/>
      <c r="HDW47" s="344"/>
      <c r="HDX47" s="344"/>
      <c r="HDY47" s="344"/>
      <c r="HDZ47" s="344"/>
      <c r="HEA47" s="344"/>
      <c r="HEB47" s="344"/>
      <c r="HEC47" s="344"/>
      <c r="HED47" s="344"/>
      <c r="HEE47" s="344"/>
      <c r="HEF47" s="344"/>
      <c r="HEG47" s="344"/>
      <c r="HEH47" s="344"/>
      <c r="HEI47" s="344"/>
      <c r="HEJ47" s="344"/>
      <c r="HEK47" s="344"/>
      <c r="HEL47" s="344"/>
      <c r="HEM47" s="344"/>
      <c r="HEN47" s="344"/>
      <c r="HEO47" s="344"/>
      <c r="HEP47" s="344"/>
      <c r="HEQ47" s="344"/>
      <c r="HER47" s="344"/>
      <c r="HES47" s="344"/>
      <c r="HET47" s="344"/>
      <c r="HEU47" s="344"/>
      <c r="HEV47" s="344"/>
      <c r="HEW47" s="344"/>
      <c r="HEX47" s="344"/>
      <c r="HEY47" s="344"/>
      <c r="HEZ47" s="344"/>
      <c r="HFA47" s="344"/>
      <c r="HFB47" s="344"/>
      <c r="HFC47" s="344"/>
      <c r="HFD47" s="344"/>
      <c r="HFE47" s="344"/>
      <c r="HFF47" s="344"/>
      <c r="HFG47" s="344"/>
      <c r="HFH47" s="344"/>
      <c r="HFI47" s="344"/>
      <c r="HFJ47" s="344"/>
      <c r="HFK47" s="344"/>
      <c r="HFL47" s="344"/>
      <c r="HFM47" s="344"/>
      <c r="HFN47" s="344"/>
      <c r="HFO47" s="344"/>
      <c r="HFP47" s="344"/>
      <c r="HFQ47" s="344"/>
      <c r="HFR47" s="344"/>
      <c r="HFS47" s="344"/>
      <c r="HFT47" s="344"/>
      <c r="HFU47" s="344"/>
      <c r="HFV47" s="344"/>
      <c r="HFW47" s="344"/>
      <c r="HFX47" s="344"/>
      <c r="HFY47" s="344"/>
      <c r="HFZ47" s="344"/>
      <c r="HGA47" s="344"/>
      <c r="HGB47" s="344"/>
      <c r="HGC47" s="344"/>
      <c r="HGD47" s="344"/>
      <c r="HGE47" s="344"/>
      <c r="HGF47" s="344"/>
      <c r="HGG47" s="344"/>
      <c r="HGH47" s="344"/>
      <c r="HGI47" s="344"/>
      <c r="HGJ47" s="344"/>
      <c r="HGK47" s="344"/>
      <c r="HGL47" s="344"/>
      <c r="HGM47" s="344"/>
      <c r="HGN47" s="344"/>
      <c r="HGO47" s="344"/>
      <c r="HGP47" s="344"/>
      <c r="HGQ47" s="344"/>
      <c r="HGR47" s="344"/>
      <c r="HGS47" s="344"/>
      <c r="HGT47" s="344"/>
      <c r="HGU47" s="344"/>
      <c r="HGV47" s="344"/>
      <c r="HGW47" s="344"/>
      <c r="HGX47" s="344"/>
      <c r="HGY47" s="344"/>
      <c r="HGZ47" s="344"/>
      <c r="HHA47" s="344"/>
      <c r="HHB47" s="344"/>
      <c r="HHC47" s="344"/>
      <c r="HHD47" s="344"/>
      <c r="HHE47" s="344"/>
      <c r="HHF47" s="344"/>
      <c r="HHG47" s="344"/>
      <c r="HHH47" s="344"/>
      <c r="HHI47" s="344"/>
      <c r="HHJ47" s="344"/>
      <c r="HHK47" s="344"/>
      <c r="HHL47" s="344"/>
      <c r="HHM47" s="344"/>
      <c r="HHN47" s="344"/>
      <c r="HHO47" s="344"/>
      <c r="HHP47" s="344"/>
      <c r="HHQ47" s="344"/>
      <c r="HHR47" s="344"/>
      <c r="HHS47" s="344"/>
      <c r="HHT47" s="344"/>
      <c r="HHU47" s="344"/>
      <c r="HHV47" s="344"/>
      <c r="HHW47" s="344"/>
      <c r="HHX47" s="344"/>
      <c r="HHY47" s="344"/>
      <c r="HHZ47" s="344"/>
      <c r="HIA47" s="344"/>
      <c r="HIB47" s="344"/>
      <c r="HIC47" s="344"/>
      <c r="HID47" s="344"/>
      <c r="HIE47" s="344"/>
      <c r="HIF47" s="344"/>
      <c r="HIG47" s="344"/>
      <c r="HIH47" s="344"/>
      <c r="HII47" s="344"/>
      <c r="HIJ47" s="344"/>
      <c r="HIK47" s="344"/>
      <c r="HIL47" s="344"/>
      <c r="HIM47" s="344"/>
      <c r="HIN47" s="344"/>
      <c r="HIO47" s="344"/>
      <c r="HIP47" s="344"/>
      <c r="HIQ47" s="344"/>
      <c r="HIR47" s="344"/>
      <c r="HIS47" s="344"/>
      <c r="HIT47" s="344"/>
      <c r="HIU47" s="344"/>
      <c r="HIV47" s="344"/>
      <c r="HIW47" s="344"/>
      <c r="HIX47" s="344"/>
      <c r="HIY47" s="344"/>
      <c r="HIZ47" s="344"/>
      <c r="HJA47" s="344"/>
      <c r="HJB47" s="344"/>
      <c r="HJC47" s="344"/>
      <c r="HJD47" s="344"/>
      <c r="HJE47" s="344"/>
      <c r="HJF47" s="344"/>
      <c r="HJG47" s="344"/>
      <c r="HJH47" s="344"/>
      <c r="HJI47" s="344"/>
      <c r="HJJ47" s="344"/>
      <c r="HJK47" s="344"/>
      <c r="HJL47" s="344"/>
      <c r="HJM47" s="344"/>
      <c r="HJN47" s="344"/>
      <c r="HJO47" s="344"/>
      <c r="HJP47" s="344"/>
      <c r="HJQ47" s="344"/>
      <c r="HJR47" s="344"/>
      <c r="HJS47" s="344"/>
      <c r="HJT47" s="344"/>
      <c r="HJU47" s="344"/>
      <c r="HJV47" s="344"/>
      <c r="HJW47" s="344"/>
      <c r="HJX47" s="344"/>
      <c r="HJY47" s="344"/>
      <c r="HJZ47" s="344"/>
      <c r="HKA47" s="344"/>
      <c r="HKB47" s="344"/>
      <c r="HKC47" s="344"/>
      <c r="HKD47" s="344"/>
      <c r="HKE47" s="344"/>
      <c r="HKF47" s="344"/>
      <c r="HKG47" s="344"/>
      <c r="HKH47" s="344"/>
      <c r="HKI47" s="344"/>
      <c r="HKJ47" s="344"/>
      <c r="HKK47" s="344"/>
      <c r="HKL47" s="344"/>
      <c r="HKM47" s="344"/>
      <c r="HKN47" s="344"/>
      <c r="HKO47" s="344"/>
      <c r="HKP47" s="344"/>
      <c r="HKQ47" s="344"/>
      <c r="HKR47" s="344"/>
      <c r="HKS47" s="344"/>
      <c r="HKT47" s="344"/>
      <c r="HKU47" s="344"/>
      <c r="HKV47" s="344"/>
      <c r="HKW47" s="344"/>
      <c r="HKX47" s="344"/>
      <c r="HKY47" s="344"/>
      <c r="HKZ47" s="344"/>
      <c r="HLA47" s="344"/>
      <c r="HLB47" s="344"/>
      <c r="HLC47" s="344"/>
      <c r="HLD47" s="344"/>
      <c r="HLE47" s="344"/>
      <c r="HLF47" s="344"/>
      <c r="HLG47" s="344"/>
      <c r="HLH47" s="344"/>
      <c r="HLI47" s="344"/>
      <c r="HLJ47" s="344"/>
      <c r="HLK47" s="344"/>
      <c r="HLL47" s="344"/>
      <c r="HLM47" s="344"/>
      <c r="HLN47" s="344"/>
      <c r="HLO47" s="344"/>
      <c r="HLP47" s="344"/>
      <c r="HLQ47" s="344"/>
      <c r="HLR47" s="344"/>
      <c r="HLS47" s="344"/>
      <c r="HLT47" s="344"/>
      <c r="HLU47" s="344"/>
      <c r="HLV47" s="344"/>
      <c r="HLW47" s="344"/>
      <c r="HLX47" s="344"/>
      <c r="HLY47" s="344"/>
      <c r="HLZ47" s="344"/>
      <c r="HMA47" s="344"/>
      <c r="HMB47" s="344"/>
      <c r="HMC47" s="344"/>
      <c r="HMD47" s="344"/>
      <c r="HME47" s="344"/>
      <c r="HMF47" s="344"/>
      <c r="HMG47" s="344"/>
      <c r="HMH47" s="344"/>
      <c r="HMI47" s="344"/>
      <c r="HMJ47" s="344"/>
      <c r="HMK47" s="344"/>
      <c r="HML47" s="344"/>
      <c r="HMM47" s="344"/>
      <c r="HMN47" s="344"/>
      <c r="HMO47" s="344"/>
      <c r="HMP47" s="344"/>
      <c r="HMQ47" s="344"/>
      <c r="HMR47" s="344"/>
      <c r="HMS47" s="344"/>
      <c r="HMT47" s="344"/>
      <c r="HMU47" s="344"/>
      <c r="HMV47" s="344"/>
      <c r="HMW47" s="344"/>
      <c r="HMX47" s="344"/>
      <c r="HMY47" s="344"/>
      <c r="HMZ47" s="344"/>
      <c r="HNA47" s="344"/>
      <c r="HNB47" s="344"/>
      <c r="HNC47" s="344"/>
      <c r="HND47" s="344"/>
      <c r="HNE47" s="344"/>
      <c r="HNF47" s="344"/>
      <c r="HNG47" s="344"/>
      <c r="HNH47" s="344"/>
      <c r="HNI47" s="344"/>
      <c r="HNJ47" s="344"/>
      <c r="HNK47" s="344"/>
      <c r="HNL47" s="344"/>
      <c r="HNM47" s="344"/>
      <c r="HNN47" s="344"/>
      <c r="HNO47" s="344"/>
      <c r="HNP47" s="344"/>
      <c r="HNQ47" s="344"/>
      <c r="HNR47" s="344"/>
      <c r="HNS47" s="344"/>
      <c r="HNT47" s="344"/>
      <c r="HNU47" s="344"/>
      <c r="HNV47" s="344"/>
      <c r="HNW47" s="344"/>
      <c r="HNX47" s="344"/>
      <c r="HNY47" s="344"/>
      <c r="HNZ47" s="344"/>
      <c r="HOA47" s="344"/>
      <c r="HOB47" s="344"/>
      <c r="HOC47" s="344"/>
      <c r="HOD47" s="344"/>
      <c r="HOE47" s="344"/>
      <c r="HOF47" s="344"/>
      <c r="HOG47" s="344"/>
      <c r="HOH47" s="344"/>
      <c r="HOI47" s="344"/>
      <c r="HOJ47" s="344"/>
      <c r="HOK47" s="344"/>
      <c r="HOL47" s="344"/>
      <c r="HOM47" s="344"/>
      <c r="HON47" s="344"/>
      <c r="HOO47" s="344"/>
      <c r="HOP47" s="344"/>
      <c r="HOQ47" s="344"/>
      <c r="HOR47" s="344"/>
      <c r="HOS47" s="344"/>
      <c r="HOT47" s="344"/>
      <c r="HOU47" s="344"/>
      <c r="HOV47" s="344"/>
      <c r="HOW47" s="344"/>
      <c r="HOX47" s="344"/>
      <c r="HOY47" s="344"/>
      <c r="HOZ47" s="344"/>
      <c r="HPA47" s="344"/>
      <c r="HPB47" s="344"/>
      <c r="HPC47" s="344"/>
      <c r="HPD47" s="344"/>
      <c r="HPE47" s="344"/>
      <c r="HPF47" s="344"/>
      <c r="HPG47" s="344"/>
      <c r="HPH47" s="344"/>
      <c r="HPI47" s="344"/>
      <c r="HPJ47" s="344"/>
      <c r="HPK47" s="344"/>
      <c r="HPL47" s="344"/>
      <c r="HPM47" s="344"/>
      <c r="HPN47" s="344"/>
      <c r="HPO47" s="344"/>
      <c r="HPP47" s="344"/>
      <c r="HPQ47" s="344"/>
      <c r="HPR47" s="344"/>
      <c r="HPS47" s="344"/>
      <c r="HPT47" s="344"/>
      <c r="HPU47" s="344"/>
      <c r="HPV47" s="344"/>
      <c r="HPW47" s="344"/>
      <c r="HPX47" s="344"/>
      <c r="HPY47" s="344"/>
      <c r="HPZ47" s="344"/>
      <c r="HQA47" s="344"/>
      <c r="HQB47" s="344"/>
      <c r="HQC47" s="344"/>
      <c r="HQD47" s="344"/>
      <c r="HQE47" s="344"/>
      <c r="HQF47" s="344"/>
      <c r="HQG47" s="344"/>
      <c r="HQH47" s="344"/>
      <c r="HQI47" s="344"/>
      <c r="HQJ47" s="344"/>
      <c r="HQK47" s="344"/>
      <c r="HQL47" s="344"/>
      <c r="HQM47" s="344"/>
      <c r="HQN47" s="344"/>
      <c r="HQO47" s="344"/>
      <c r="HQP47" s="344"/>
      <c r="HQQ47" s="344"/>
      <c r="HQR47" s="344"/>
      <c r="HQS47" s="344"/>
      <c r="HQT47" s="344"/>
      <c r="HQU47" s="344"/>
      <c r="HQV47" s="344"/>
      <c r="HQW47" s="344"/>
      <c r="HQX47" s="344"/>
      <c r="HQY47" s="344"/>
      <c r="HQZ47" s="344"/>
      <c r="HRA47" s="344"/>
      <c r="HRB47" s="344"/>
      <c r="HRC47" s="344"/>
      <c r="HRD47" s="344"/>
      <c r="HRE47" s="344"/>
      <c r="HRF47" s="344"/>
      <c r="HRG47" s="344"/>
      <c r="HRH47" s="344"/>
      <c r="HRI47" s="344"/>
      <c r="HRJ47" s="344"/>
      <c r="HRK47" s="344"/>
      <c r="HRL47" s="344"/>
      <c r="HRM47" s="344"/>
      <c r="HRN47" s="344"/>
      <c r="HRO47" s="344"/>
      <c r="HRP47" s="344"/>
      <c r="HRQ47" s="344"/>
      <c r="HRR47" s="344"/>
      <c r="HRS47" s="344"/>
      <c r="HRT47" s="344"/>
      <c r="HRU47" s="344"/>
      <c r="HRV47" s="344"/>
      <c r="HRW47" s="344"/>
      <c r="HRX47" s="344"/>
      <c r="HRY47" s="344"/>
      <c r="HRZ47" s="344"/>
      <c r="HSA47" s="344"/>
      <c r="HSB47" s="344"/>
      <c r="HSC47" s="344"/>
      <c r="HSD47" s="344"/>
      <c r="HSE47" s="344"/>
      <c r="HSF47" s="344"/>
      <c r="HSG47" s="344"/>
      <c r="HSH47" s="344"/>
      <c r="HSI47" s="344"/>
      <c r="HSJ47" s="344"/>
      <c r="HSK47" s="344"/>
      <c r="HSL47" s="344"/>
      <c r="HSM47" s="344"/>
      <c r="HSN47" s="344"/>
      <c r="HSO47" s="344"/>
      <c r="HSP47" s="344"/>
      <c r="HSQ47" s="344"/>
      <c r="HSR47" s="344"/>
      <c r="HSS47" s="344"/>
      <c r="HST47" s="344"/>
      <c r="HSU47" s="344"/>
      <c r="HSV47" s="344"/>
      <c r="HSW47" s="344"/>
      <c r="HSX47" s="344"/>
      <c r="HSY47" s="344"/>
      <c r="HSZ47" s="344"/>
      <c r="HTA47" s="344"/>
      <c r="HTB47" s="344"/>
      <c r="HTC47" s="344"/>
      <c r="HTD47" s="344"/>
      <c r="HTE47" s="344"/>
      <c r="HTF47" s="344"/>
      <c r="HTG47" s="344"/>
      <c r="HTH47" s="344"/>
      <c r="HTI47" s="344"/>
      <c r="HTJ47" s="344"/>
      <c r="HTK47" s="344"/>
      <c r="HTL47" s="344"/>
      <c r="HTM47" s="344"/>
      <c r="HTN47" s="344"/>
      <c r="HTO47" s="344"/>
      <c r="HTP47" s="344"/>
      <c r="HTQ47" s="344"/>
      <c r="HTR47" s="344"/>
      <c r="HTS47" s="344"/>
      <c r="HTT47" s="344"/>
      <c r="HTU47" s="344"/>
      <c r="HTV47" s="344"/>
      <c r="HTW47" s="344"/>
      <c r="HTX47" s="344"/>
      <c r="HTY47" s="344"/>
      <c r="HTZ47" s="344"/>
      <c r="HUA47" s="344"/>
      <c r="HUB47" s="344"/>
      <c r="HUC47" s="344"/>
      <c r="HUD47" s="344"/>
      <c r="HUE47" s="344"/>
      <c r="HUF47" s="344"/>
      <c r="HUG47" s="344"/>
      <c r="HUH47" s="344"/>
      <c r="HUI47" s="344"/>
      <c r="HUJ47" s="344"/>
      <c r="HUK47" s="344"/>
      <c r="HUL47" s="344"/>
      <c r="HUM47" s="344"/>
      <c r="HUN47" s="344"/>
      <c r="HUO47" s="344"/>
      <c r="HUP47" s="344"/>
      <c r="HUQ47" s="344"/>
      <c r="HUR47" s="344"/>
      <c r="HUS47" s="344"/>
      <c r="HUT47" s="344"/>
      <c r="HUU47" s="344"/>
      <c r="HUV47" s="344"/>
      <c r="HUW47" s="344"/>
      <c r="HUX47" s="344"/>
      <c r="HUY47" s="344"/>
      <c r="HUZ47" s="344"/>
      <c r="HVA47" s="344"/>
      <c r="HVB47" s="344"/>
      <c r="HVC47" s="344"/>
      <c r="HVD47" s="344"/>
      <c r="HVE47" s="344"/>
      <c r="HVF47" s="344"/>
      <c r="HVG47" s="344"/>
      <c r="HVH47" s="344"/>
      <c r="HVI47" s="344"/>
      <c r="HVJ47" s="344"/>
      <c r="HVK47" s="344"/>
      <c r="HVL47" s="344"/>
      <c r="HVM47" s="344"/>
      <c r="HVN47" s="344"/>
      <c r="HVO47" s="344"/>
      <c r="HVP47" s="344"/>
      <c r="HVQ47" s="344"/>
      <c r="HVR47" s="344"/>
      <c r="HVS47" s="344"/>
      <c r="HVT47" s="344"/>
      <c r="HVU47" s="344"/>
      <c r="HVV47" s="344"/>
      <c r="HVW47" s="344"/>
      <c r="HVX47" s="344"/>
      <c r="HVY47" s="344"/>
      <c r="HVZ47" s="344"/>
      <c r="HWA47" s="344"/>
      <c r="HWB47" s="344"/>
      <c r="HWC47" s="344"/>
      <c r="HWD47" s="344"/>
      <c r="HWE47" s="344"/>
      <c r="HWF47" s="344"/>
      <c r="HWG47" s="344"/>
      <c r="HWH47" s="344"/>
      <c r="HWI47" s="344"/>
      <c r="HWJ47" s="344"/>
      <c r="HWK47" s="344"/>
      <c r="HWL47" s="344"/>
      <c r="HWM47" s="344"/>
      <c r="HWN47" s="344"/>
      <c r="HWO47" s="344"/>
      <c r="HWP47" s="344"/>
      <c r="HWQ47" s="344"/>
      <c r="HWR47" s="344"/>
      <c r="HWS47" s="344"/>
      <c r="HWT47" s="344"/>
      <c r="HWU47" s="344"/>
      <c r="HWV47" s="344"/>
      <c r="HWW47" s="344"/>
      <c r="HWX47" s="344"/>
      <c r="HWY47" s="344"/>
      <c r="HWZ47" s="344"/>
      <c r="HXA47" s="344"/>
      <c r="HXB47" s="344"/>
      <c r="HXC47" s="344"/>
      <c r="HXD47" s="344"/>
      <c r="HXE47" s="344"/>
      <c r="HXF47" s="344"/>
      <c r="HXG47" s="344"/>
      <c r="HXH47" s="344"/>
      <c r="HXI47" s="344"/>
      <c r="HXJ47" s="344"/>
      <c r="HXK47" s="344"/>
      <c r="HXL47" s="344"/>
      <c r="HXM47" s="344"/>
      <c r="HXN47" s="344"/>
      <c r="HXO47" s="344"/>
      <c r="HXP47" s="344"/>
      <c r="HXQ47" s="344"/>
      <c r="HXR47" s="344"/>
      <c r="HXS47" s="344"/>
      <c r="HXT47" s="344"/>
      <c r="HXU47" s="344"/>
      <c r="HXV47" s="344"/>
      <c r="HXW47" s="344"/>
      <c r="HXX47" s="344"/>
      <c r="HXY47" s="344"/>
      <c r="HXZ47" s="344"/>
      <c r="HYA47" s="344"/>
      <c r="HYB47" s="344"/>
      <c r="HYC47" s="344"/>
      <c r="HYD47" s="344"/>
      <c r="HYE47" s="344"/>
      <c r="HYF47" s="344"/>
      <c r="HYG47" s="344"/>
      <c r="HYH47" s="344"/>
      <c r="HYI47" s="344"/>
      <c r="HYJ47" s="344"/>
      <c r="HYK47" s="344"/>
      <c r="HYL47" s="344"/>
      <c r="HYM47" s="344"/>
      <c r="HYN47" s="344"/>
      <c r="HYO47" s="344"/>
      <c r="HYP47" s="344"/>
      <c r="HYQ47" s="344"/>
      <c r="HYR47" s="344"/>
      <c r="HYS47" s="344"/>
      <c r="HYT47" s="344"/>
      <c r="HYU47" s="344"/>
      <c r="HYV47" s="344"/>
      <c r="HYW47" s="344"/>
      <c r="HYX47" s="344"/>
      <c r="HYY47" s="344"/>
      <c r="HYZ47" s="344"/>
      <c r="HZA47" s="344"/>
      <c r="HZB47" s="344"/>
      <c r="HZC47" s="344"/>
      <c r="HZD47" s="344"/>
      <c r="HZE47" s="344"/>
      <c r="HZF47" s="344"/>
      <c r="HZG47" s="344"/>
      <c r="HZH47" s="344"/>
      <c r="HZI47" s="344"/>
      <c r="HZJ47" s="344"/>
      <c r="HZK47" s="344"/>
      <c r="HZL47" s="344"/>
      <c r="HZM47" s="344"/>
      <c r="HZN47" s="344"/>
      <c r="HZO47" s="344"/>
      <c r="HZP47" s="344"/>
      <c r="HZQ47" s="344"/>
      <c r="HZR47" s="344"/>
      <c r="HZS47" s="344"/>
      <c r="HZT47" s="344"/>
      <c r="HZU47" s="344"/>
      <c r="HZV47" s="344"/>
      <c r="HZW47" s="344"/>
      <c r="HZX47" s="344"/>
      <c r="HZY47" s="344"/>
      <c r="HZZ47" s="344"/>
      <c r="IAA47" s="344"/>
      <c r="IAB47" s="344"/>
      <c r="IAC47" s="344"/>
      <c r="IAD47" s="344"/>
      <c r="IAE47" s="344"/>
      <c r="IAF47" s="344"/>
      <c r="IAG47" s="344"/>
      <c r="IAH47" s="344"/>
      <c r="IAI47" s="344"/>
      <c r="IAJ47" s="344"/>
      <c r="IAK47" s="344"/>
      <c r="IAL47" s="344"/>
      <c r="IAM47" s="344"/>
      <c r="IAN47" s="344"/>
      <c r="IAO47" s="344"/>
      <c r="IAP47" s="344"/>
      <c r="IAQ47" s="344"/>
      <c r="IAR47" s="344"/>
      <c r="IAS47" s="344"/>
      <c r="IAT47" s="344"/>
      <c r="IAU47" s="344"/>
      <c r="IAV47" s="344"/>
      <c r="IAW47" s="344"/>
      <c r="IAX47" s="344"/>
      <c r="IAY47" s="344"/>
      <c r="IAZ47" s="344"/>
      <c r="IBA47" s="344"/>
      <c r="IBB47" s="344"/>
      <c r="IBC47" s="344"/>
      <c r="IBD47" s="344"/>
      <c r="IBE47" s="344"/>
      <c r="IBF47" s="344"/>
      <c r="IBG47" s="344"/>
      <c r="IBH47" s="344"/>
      <c r="IBI47" s="344"/>
      <c r="IBJ47" s="344"/>
      <c r="IBK47" s="344"/>
      <c r="IBL47" s="344"/>
      <c r="IBM47" s="344"/>
      <c r="IBN47" s="344"/>
      <c r="IBO47" s="344"/>
      <c r="IBP47" s="344"/>
      <c r="IBQ47" s="344"/>
      <c r="IBR47" s="344"/>
      <c r="IBS47" s="344"/>
      <c r="IBT47" s="344"/>
      <c r="IBU47" s="344"/>
      <c r="IBV47" s="344"/>
      <c r="IBW47" s="344"/>
      <c r="IBX47" s="344"/>
      <c r="IBY47" s="344"/>
      <c r="IBZ47" s="344"/>
      <c r="ICA47" s="344"/>
      <c r="ICB47" s="344"/>
      <c r="ICC47" s="344"/>
      <c r="ICD47" s="344"/>
      <c r="ICE47" s="344"/>
      <c r="ICF47" s="344"/>
      <c r="ICG47" s="344"/>
      <c r="ICH47" s="344"/>
      <c r="ICI47" s="344"/>
      <c r="ICJ47" s="344"/>
      <c r="ICK47" s="344"/>
      <c r="ICL47" s="344"/>
      <c r="ICM47" s="344"/>
      <c r="ICN47" s="344"/>
      <c r="ICO47" s="344"/>
      <c r="ICP47" s="344"/>
      <c r="ICQ47" s="344"/>
      <c r="ICR47" s="344"/>
      <c r="ICS47" s="344"/>
      <c r="ICT47" s="344"/>
      <c r="ICU47" s="344"/>
      <c r="ICV47" s="344"/>
      <c r="ICW47" s="344"/>
      <c r="ICX47" s="344"/>
      <c r="ICY47" s="344"/>
      <c r="ICZ47" s="344"/>
      <c r="IDA47" s="344"/>
      <c r="IDB47" s="344"/>
      <c r="IDC47" s="344"/>
      <c r="IDD47" s="344"/>
      <c r="IDE47" s="344"/>
      <c r="IDF47" s="344"/>
      <c r="IDG47" s="344"/>
      <c r="IDH47" s="344"/>
      <c r="IDI47" s="344"/>
      <c r="IDJ47" s="344"/>
      <c r="IDK47" s="344"/>
      <c r="IDL47" s="344"/>
      <c r="IDM47" s="344"/>
      <c r="IDN47" s="344"/>
      <c r="IDO47" s="344"/>
      <c r="IDP47" s="344"/>
      <c r="IDQ47" s="344"/>
      <c r="IDR47" s="344"/>
      <c r="IDS47" s="344"/>
      <c r="IDT47" s="344"/>
      <c r="IDU47" s="344"/>
      <c r="IDV47" s="344"/>
      <c r="IDW47" s="344"/>
      <c r="IDX47" s="344"/>
      <c r="IDY47" s="344"/>
      <c r="IDZ47" s="344"/>
      <c r="IEA47" s="344"/>
      <c r="IEB47" s="344"/>
      <c r="IEC47" s="344"/>
      <c r="IED47" s="344"/>
      <c r="IEE47" s="344"/>
      <c r="IEF47" s="344"/>
      <c r="IEG47" s="344"/>
      <c r="IEH47" s="344"/>
      <c r="IEI47" s="344"/>
      <c r="IEJ47" s="344"/>
      <c r="IEK47" s="344"/>
      <c r="IEL47" s="344"/>
      <c r="IEM47" s="344"/>
      <c r="IEN47" s="344"/>
      <c r="IEO47" s="344"/>
      <c r="IEP47" s="344"/>
      <c r="IEQ47" s="344"/>
      <c r="IER47" s="344"/>
      <c r="IES47" s="344"/>
      <c r="IET47" s="344"/>
      <c r="IEU47" s="344"/>
      <c r="IEV47" s="344"/>
      <c r="IEW47" s="344"/>
      <c r="IEX47" s="344"/>
      <c r="IEY47" s="344"/>
      <c r="IEZ47" s="344"/>
      <c r="IFA47" s="344"/>
      <c r="IFB47" s="344"/>
      <c r="IFC47" s="344"/>
      <c r="IFD47" s="344"/>
      <c r="IFE47" s="344"/>
      <c r="IFF47" s="344"/>
      <c r="IFG47" s="344"/>
      <c r="IFH47" s="344"/>
      <c r="IFI47" s="344"/>
      <c r="IFJ47" s="344"/>
      <c r="IFK47" s="344"/>
      <c r="IFL47" s="344"/>
      <c r="IFM47" s="344"/>
      <c r="IFN47" s="344"/>
      <c r="IFO47" s="344"/>
      <c r="IFP47" s="344"/>
      <c r="IFQ47" s="344"/>
      <c r="IFR47" s="344"/>
      <c r="IFS47" s="344"/>
      <c r="IFT47" s="344"/>
      <c r="IFU47" s="344"/>
      <c r="IFV47" s="344"/>
      <c r="IFW47" s="344"/>
      <c r="IFX47" s="344"/>
      <c r="IFY47" s="344"/>
      <c r="IFZ47" s="344"/>
      <c r="IGA47" s="344"/>
      <c r="IGB47" s="344"/>
      <c r="IGC47" s="344"/>
      <c r="IGD47" s="344"/>
      <c r="IGE47" s="344"/>
      <c r="IGF47" s="344"/>
      <c r="IGG47" s="344"/>
      <c r="IGH47" s="344"/>
      <c r="IGI47" s="344"/>
      <c r="IGJ47" s="344"/>
      <c r="IGK47" s="344"/>
      <c r="IGL47" s="344"/>
      <c r="IGM47" s="344"/>
      <c r="IGN47" s="344"/>
      <c r="IGO47" s="344"/>
      <c r="IGP47" s="344"/>
      <c r="IGQ47" s="344"/>
      <c r="IGR47" s="344"/>
      <c r="IGS47" s="344"/>
      <c r="IGT47" s="344"/>
      <c r="IGU47" s="344"/>
      <c r="IGV47" s="344"/>
      <c r="IGW47" s="344"/>
      <c r="IGX47" s="344"/>
      <c r="IGY47" s="344"/>
      <c r="IGZ47" s="344"/>
      <c r="IHA47" s="344"/>
      <c r="IHB47" s="344"/>
      <c r="IHC47" s="344"/>
      <c r="IHD47" s="344"/>
      <c r="IHE47" s="344"/>
      <c r="IHF47" s="344"/>
      <c r="IHG47" s="344"/>
      <c r="IHH47" s="344"/>
      <c r="IHI47" s="344"/>
      <c r="IHJ47" s="344"/>
      <c r="IHK47" s="344"/>
      <c r="IHL47" s="344"/>
      <c r="IHM47" s="344"/>
      <c r="IHN47" s="344"/>
      <c r="IHO47" s="344"/>
      <c r="IHP47" s="344"/>
      <c r="IHQ47" s="344"/>
      <c r="IHR47" s="344"/>
      <c r="IHS47" s="344"/>
      <c r="IHT47" s="344"/>
      <c r="IHU47" s="344"/>
      <c r="IHV47" s="344"/>
      <c r="IHW47" s="344"/>
      <c r="IHX47" s="344"/>
      <c r="IHY47" s="344"/>
      <c r="IHZ47" s="344"/>
      <c r="IIA47" s="344"/>
      <c r="IIB47" s="344"/>
      <c r="IIC47" s="344"/>
      <c r="IID47" s="344"/>
      <c r="IIE47" s="344"/>
      <c r="IIF47" s="344"/>
      <c r="IIG47" s="344"/>
      <c r="IIH47" s="344"/>
      <c r="III47" s="344"/>
      <c r="IIJ47" s="344"/>
      <c r="IIK47" s="344"/>
      <c r="IIL47" s="344"/>
      <c r="IIM47" s="344"/>
      <c r="IIN47" s="344"/>
      <c r="IIO47" s="344"/>
      <c r="IIP47" s="344"/>
      <c r="IIQ47" s="344"/>
      <c r="IIR47" s="344"/>
      <c r="IIS47" s="344"/>
      <c r="IIT47" s="344"/>
      <c r="IIU47" s="344"/>
      <c r="IIV47" s="344"/>
      <c r="IIW47" s="344"/>
      <c r="IIX47" s="344"/>
      <c r="IIY47" s="344"/>
      <c r="IIZ47" s="344"/>
      <c r="IJA47" s="344"/>
      <c r="IJB47" s="344"/>
      <c r="IJC47" s="344"/>
      <c r="IJD47" s="344"/>
      <c r="IJE47" s="344"/>
      <c r="IJF47" s="344"/>
      <c r="IJG47" s="344"/>
      <c r="IJH47" s="344"/>
      <c r="IJI47" s="344"/>
      <c r="IJJ47" s="344"/>
      <c r="IJK47" s="344"/>
      <c r="IJL47" s="344"/>
      <c r="IJM47" s="344"/>
      <c r="IJN47" s="344"/>
      <c r="IJO47" s="344"/>
      <c r="IJP47" s="344"/>
      <c r="IJQ47" s="344"/>
      <c r="IJR47" s="344"/>
      <c r="IJS47" s="344"/>
      <c r="IJT47" s="344"/>
      <c r="IJU47" s="344"/>
      <c r="IJV47" s="344"/>
      <c r="IJW47" s="344"/>
      <c r="IJX47" s="344"/>
      <c r="IJY47" s="344"/>
      <c r="IJZ47" s="344"/>
      <c r="IKA47" s="344"/>
      <c r="IKB47" s="344"/>
      <c r="IKC47" s="344"/>
      <c r="IKD47" s="344"/>
      <c r="IKE47" s="344"/>
      <c r="IKF47" s="344"/>
      <c r="IKG47" s="344"/>
      <c r="IKH47" s="344"/>
      <c r="IKI47" s="344"/>
      <c r="IKJ47" s="344"/>
      <c r="IKK47" s="344"/>
      <c r="IKL47" s="344"/>
      <c r="IKM47" s="344"/>
      <c r="IKN47" s="344"/>
      <c r="IKO47" s="344"/>
      <c r="IKP47" s="344"/>
      <c r="IKQ47" s="344"/>
      <c r="IKR47" s="344"/>
      <c r="IKS47" s="344"/>
      <c r="IKT47" s="344"/>
      <c r="IKU47" s="344"/>
      <c r="IKV47" s="344"/>
      <c r="IKW47" s="344"/>
      <c r="IKX47" s="344"/>
      <c r="IKY47" s="344"/>
      <c r="IKZ47" s="344"/>
      <c r="ILA47" s="344"/>
      <c r="ILB47" s="344"/>
      <c r="ILC47" s="344"/>
      <c r="ILD47" s="344"/>
      <c r="ILE47" s="344"/>
      <c r="ILF47" s="344"/>
      <c r="ILG47" s="344"/>
      <c r="ILH47" s="344"/>
      <c r="ILI47" s="344"/>
      <c r="ILJ47" s="344"/>
      <c r="ILK47" s="344"/>
      <c r="ILL47" s="344"/>
      <c r="ILM47" s="344"/>
      <c r="ILN47" s="344"/>
      <c r="ILO47" s="344"/>
      <c r="ILP47" s="344"/>
      <c r="ILQ47" s="344"/>
      <c r="ILR47" s="344"/>
      <c r="ILS47" s="344"/>
      <c r="ILT47" s="344"/>
      <c r="ILU47" s="344"/>
      <c r="ILV47" s="344"/>
      <c r="ILW47" s="344"/>
      <c r="ILX47" s="344"/>
      <c r="ILY47" s="344"/>
      <c r="ILZ47" s="344"/>
      <c r="IMA47" s="344"/>
      <c r="IMB47" s="344"/>
      <c r="IMC47" s="344"/>
      <c r="IMD47" s="344"/>
      <c r="IME47" s="344"/>
      <c r="IMF47" s="344"/>
      <c r="IMG47" s="344"/>
      <c r="IMH47" s="344"/>
      <c r="IMI47" s="344"/>
      <c r="IMJ47" s="344"/>
      <c r="IMK47" s="344"/>
      <c r="IML47" s="344"/>
      <c r="IMM47" s="344"/>
      <c r="IMN47" s="344"/>
      <c r="IMO47" s="344"/>
      <c r="IMP47" s="344"/>
      <c r="IMQ47" s="344"/>
      <c r="IMR47" s="344"/>
      <c r="IMS47" s="344"/>
      <c r="IMT47" s="344"/>
      <c r="IMU47" s="344"/>
      <c r="IMV47" s="344"/>
      <c r="IMW47" s="344"/>
      <c r="IMX47" s="344"/>
      <c r="IMY47" s="344"/>
      <c r="IMZ47" s="344"/>
      <c r="INA47" s="344"/>
      <c r="INB47" s="344"/>
      <c r="INC47" s="344"/>
      <c r="IND47" s="344"/>
      <c r="INE47" s="344"/>
      <c r="INF47" s="344"/>
      <c r="ING47" s="344"/>
      <c r="INH47" s="344"/>
      <c r="INI47" s="344"/>
      <c r="INJ47" s="344"/>
      <c r="INK47" s="344"/>
      <c r="INL47" s="344"/>
      <c r="INM47" s="344"/>
      <c r="INN47" s="344"/>
      <c r="INO47" s="344"/>
      <c r="INP47" s="344"/>
      <c r="INQ47" s="344"/>
      <c r="INR47" s="344"/>
      <c r="INS47" s="344"/>
      <c r="INT47" s="344"/>
      <c r="INU47" s="344"/>
      <c r="INV47" s="344"/>
      <c r="INW47" s="344"/>
      <c r="INX47" s="344"/>
      <c r="INY47" s="344"/>
      <c r="INZ47" s="344"/>
      <c r="IOA47" s="344"/>
      <c r="IOB47" s="344"/>
      <c r="IOC47" s="344"/>
      <c r="IOD47" s="344"/>
      <c r="IOE47" s="344"/>
      <c r="IOF47" s="344"/>
      <c r="IOG47" s="344"/>
      <c r="IOH47" s="344"/>
      <c r="IOI47" s="344"/>
      <c r="IOJ47" s="344"/>
      <c r="IOK47" s="344"/>
      <c r="IOL47" s="344"/>
      <c r="IOM47" s="344"/>
      <c r="ION47" s="344"/>
      <c r="IOO47" s="344"/>
      <c r="IOP47" s="344"/>
      <c r="IOQ47" s="344"/>
      <c r="IOR47" s="344"/>
      <c r="IOS47" s="344"/>
      <c r="IOT47" s="344"/>
      <c r="IOU47" s="344"/>
      <c r="IOV47" s="344"/>
      <c r="IOW47" s="344"/>
      <c r="IOX47" s="344"/>
      <c r="IOY47" s="344"/>
      <c r="IOZ47" s="344"/>
      <c r="IPA47" s="344"/>
      <c r="IPB47" s="344"/>
      <c r="IPC47" s="344"/>
      <c r="IPD47" s="344"/>
      <c r="IPE47" s="344"/>
      <c r="IPF47" s="344"/>
      <c r="IPG47" s="344"/>
      <c r="IPH47" s="344"/>
      <c r="IPI47" s="344"/>
      <c r="IPJ47" s="344"/>
      <c r="IPK47" s="344"/>
      <c r="IPL47" s="344"/>
      <c r="IPM47" s="344"/>
      <c r="IPN47" s="344"/>
      <c r="IPO47" s="344"/>
      <c r="IPP47" s="344"/>
      <c r="IPQ47" s="344"/>
      <c r="IPR47" s="344"/>
      <c r="IPS47" s="344"/>
      <c r="IPT47" s="344"/>
      <c r="IPU47" s="344"/>
      <c r="IPV47" s="344"/>
      <c r="IPW47" s="344"/>
      <c r="IPX47" s="344"/>
      <c r="IPY47" s="344"/>
      <c r="IPZ47" s="344"/>
      <c r="IQA47" s="344"/>
      <c r="IQB47" s="344"/>
      <c r="IQC47" s="344"/>
      <c r="IQD47" s="344"/>
      <c r="IQE47" s="344"/>
      <c r="IQF47" s="344"/>
      <c r="IQG47" s="344"/>
      <c r="IQH47" s="344"/>
      <c r="IQI47" s="344"/>
      <c r="IQJ47" s="344"/>
      <c r="IQK47" s="344"/>
      <c r="IQL47" s="344"/>
      <c r="IQM47" s="344"/>
      <c r="IQN47" s="344"/>
      <c r="IQO47" s="344"/>
      <c r="IQP47" s="344"/>
      <c r="IQQ47" s="344"/>
      <c r="IQR47" s="344"/>
      <c r="IQS47" s="344"/>
      <c r="IQT47" s="344"/>
      <c r="IQU47" s="344"/>
      <c r="IQV47" s="344"/>
      <c r="IQW47" s="344"/>
      <c r="IQX47" s="344"/>
      <c r="IQY47" s="344"/>
      <c r="IQZ47" s="344"/>
      <c r="IRA47" s="344"/>
      <c r="IRB47" s="344"/>
      <c r="IRC47" s="344"/>
      <c r="IRD47" s="344"/>
      <c r="IRE47" s="344"/>
      <c r="IRF47" s="344"/>
      <c r="IRG47" s="344"/>
      <c r="IRH47" s="344"/>
      <c r="IRI47" s="344"/>
      <c r="IRJ47" s="344"/>
      <c r="IRK47" s="344"/>
      <c r="IRL47" s="344"/>
      <c r="IRM47" s="344"/>
      <c r="IRN47" s="344"/>
      <c r="IRO47" s="344"/>
      <c r="IRP47" s="344"/>
      <c r="IRQ47" s="344"/>
      <c r="IRR47" s="344"/>
      <c r="IRS47" s="344"/>
      <c r="IRT47" s="344"/>
      <c r="IRU47" s="344"/>
      <c r="IRV47" s="344"/>
      <c r="IRW47" s="344"/>
      <c r="IRX47" s="344"/>
      <c r="IRY47" s="344"/>
      <c r="IRZ47" s="344"/>
      <c r="ISA47" s="344"/>
      <c r="ISB47" s="344"/>
      <c r="ISC47" s="344"/>
      <c r="ISD47" s="344"/>
      <c r="ISE47" s="344"/>
      <c r="ISF47" s="344"/>
      <c r="ISG47" s="344"/>
      <c r="ISH47" s="344"/>
      <c r="ISI47" s="344"/>
      <c r="ISJ47" s="344"/>
      <c r="ISK47" s="344"/>
      <c r="ISL47" s="344"/>
      <c r="ISM47" s="344"/>
      <c r="ISN47" s="344"/>
      <c r="ISO47" s="344"/>
      <c r="ISP47" s="344"/>
      <c r="ISQ47" s="344"/>
      <c r="ISR47" s="344"/>
      <c r="ISS47" s="344"/>
      <c r="IST47" s="344"/>
      <c r="ISU47" s="344"/>
      <c r="ISV47" s="344"/>
      <c r="ISW47" s="344"/>
      <c r="ISX47" s="344"/>
      <c r="ISY47" s="344"/>
      <c r="ISZ47" s="344"/>
      <c r="ITA47" s="344"/>
      <c r="ITB47" s="344"/>
      <c r="ITC47" s="344"/>
      <c r="ITD47" s="344"/>
      <c r="ITE47" s="344"/>
      <c r="ITF47" s="344"/>
      <c r="ITG47" s="344"/>
      <c r="ITH47" s="344"/>
      <c r="ITI47" s="344"/>
      <c r="ITJ47" s="344"/>
      <c r="ITK47" s="344"/>
      <c r="ITL47" s="344"/>
      <c r="ITM47" s="344"/>
      <c r="ITN47" s="344"/>
      <c r="ITO47" s="344"/>
      <c r="ITP47" s="344"/>
      <c r="ITQ47" s="344"/>
      <c r="ITR47" s="344"/>
      <c r="ITS47" s="344"/>
      <c r="ITT47" s="344"/>
      <c r="ITU47" s="344"/>
      <c r="ITV47" s="344"/>
      <c r="ITW47" s="344"/>
      <c r="ITX47" s="344"/>
      <c r="ITY47" s="344"/>
      <c r="ITZ47" s="344"/>
      <c r="IUA47" s="344"/>
      <c r="IUB47" s="344"/>
      <c r="IUC47" s="344"/>
      <c r="IUD47" s="344"/>
      <c r="IUE47" s="344"/>
      <c r="IUF47" s="344"/>
      <c r="IUG47" s="344"/>
      <c r="IUH47" s="344"/>
      <c r="IUI47" s="344"/>
      <c r="IUJ47" s="344"/>
      <c r="IUK47" s="344"/>
      <c r="IUL47" s="344"/>
      <c r="IUM47" s="344"/>
      <c r="IUN47" s="344"/>
      <c r="IUO47" s="344"/>
      <c r="IUP47" s="344"/>
      <c r="IUQ47" s="344"/>
      <c r="IUR47" s="344"/>
      <c r="IUS47" s="344"/>
      <c r="IUT47" s="344"/>
      <c r="IUU47" s="344"/>
      <c r="IUV47" s="344"/>
      <c r="IUW47" s="344"/>
      <c r="IUX47" s="344"/>
      <c r="IUY47" s="344"/>
      <c r="IUZ47" s="344"/>
      <c r="IVA47" s="344"/>
      <c r="IVB47" s="344"/>
      <c r="IVC47" s="344"/>
      <c r="IVD47" s="344"/>
      <c r="IVE47" s="344"/>
      <c r="IVF47" s="344"/>
      <c r="IVG47" s="344"/>
      <c r="IVH47" s="344"/>
      <c r="IVI47" s="344"/>
      <c r="IVJ47" s="344"/>
      <c r="IVK47" s="344"/>
      <c r="IVL47" s="344"/>
      <c r="IVM47" s="344"/>
      <c r="IVN47" s="344"/>
      <c r="IVO47" s="344"/>
      <c r="IVP47" s="344"/>
      <c r="IVQ47" s="344"/>
      <c r="IVR47" s="344"/>
      <c r="IVS47" s="344"/>
      <c r="IVT47" s="344"/>
      <c r="IVU47" s="344"/>
      <c r="IVV47" s="344"/>
      <c r="IVW47" s="344"/>
      <c r="IVX47" s="344"/>
      <c r="IVY47" s="344"/>
      <c r="IVZ47" s="344"/>
      <c r="IWA47" s="344"/>
      <c r="IWB47" s="344"/>
      <c r="IWC47" s="344"/>
      <c r="IWD47" s="344"/>
      <c r="IWE47" s="344"/>
      <c r="IWF47" s="344"/>
      <c r="IWG47" s="344"/>
      <c r="IWH47" s="344"/>
      <c r="IWI47" s="344"/>
      <c r="IWJ47" s="344"/>
      <c r="IWK47" s="344"/>
      <c r="IWL47" s="344"/>
      <c r="IWM47" s="344"/>
      <c r="IWN47" s="344"/>
      <c r="IWO47" s="344"/>
      <c r="IWP47" s="344"/>
      <c r="IWQ47" s="344"/>
      <c r="IWR47" s="344"/>
      <c r="IWS47" s="344"/>
      <c r="IWT47" s="344"/>
      <c r="IWU47" s="344"/>
      <c r="IWV47" s="344"/>
      <c r="IWW47" s="344"/>
      <c r="IWX47" s="344"/>
      <c r="IWY47" s="344"/>
      <c r="IWZ47" s="344"/>
      <c r="IXA47" s="344"/>
      <c r="IXB47" s="344"/>
      <c r="IXC47" s="344"/>
      <c r="IXD47" s="344"/>
      <c r="IXE47" s="344"/>
      <c r="IXF47" s="344"/>
      <c r="IXG47" s="344"/>
      <c r="IXH47" s="344"/>
      <c r="IXI47" s="344"/>
      <c r="IXJ47" s="344"/>
      <c r="IXK47" s="344"/>
      <c r="IXL47" s="344"/>
      <c r="IXM47" s="344"/>
      <c r="IXN47" s="344"/>
      <c r="IXO47" s="344"/>
      <c r="IXP47" s="344"/>
      <c r="IXQ47" s="344"/>
      <c r="IXR47" s="344"/>
      <c r="IXS47" s="344"/>
      <c r="IXT47" s="344"/>
      <c r="IXU47" s="344"/>
      <c r="IXV47" s="344"/>
      <c r="IXW47" s="344"/>
      <c r="IXX47" s="344"/>
      <c r="IXY47" s="344"/>
      <c r="IXZ47" s="344"/>
      <c r="IYA47" s="344"/>
      <c r="IYB47" s="344"/>
      <c r="IYC47" s="344"/>
      <c r="IYD47" s="344"/>
      <c r="IYE47" s="344"/>
      <c r="IYF47" s="344"/>
      <c r="IYG47" s="344"/>
      <c r="IYH47" s="344"/>
      <c r="IYI47" s="344"/>
      <c r="IYJ47" s="344"/>
      <c r="IYK47" s="344"/>
      <c r="IYL47" s="344"/>
      <c r="IYM47" s="344"/>
      <c r="IYN47" s="344"/>
      <c r="IYO47" s="344"/>
      <c r="IYP47" s="344"/>
      <c r="IYQ47" s="344"/>
      <c r="IYR47" s="344"/>
      <c r="IYS47" s="344"/>
      <c r="IYT47" s="344"/>
      <c r="IYU47" s="344"/>
      <c r="IYV47" s="344"/>
      <c r="IYW47" s="344"/>
      <c r="IYX47" s="344"/>
      <c r="IYY47" s="344"/>
      <c r="IYZ47" s="344"/>
      <c r="IZA47" s="344"/>
      <c r="IZB47" s="344"/>
      <c r="IZC47" s="344"/>
      <c r="IZD47" s="344"/>
      <c r="IZE47" s="344"/>
      <c r="IZF47" s="344"/>
      <c r="IZG47" s="344"/>
      <c r="IZH47" s="344"/>
      <c r="IZI47" s="344"/>
      <c r="IZJ47" s="344"/>
      <c r="IZK47" s="344"/>
      <c r="IZL47" s="344"/>
      <c r="IZM47" s="344"/>
      <c r="IZN47" s="344"/>
      <c r="IZO47" s="344"/>
      <c r="IZP47" s="344"/>
      <c r="IZQ47" s="344"/>
      <c r="IZR47" s="344"/>
      <c r="IZS47" s="344"/>
      <c r="IZT47" s="344"/>
      <c r="IZU47" s="344"/>
      <c r="IZV47" s="344"/>
      <c r="IZW47" s="344"/>
      <c r="IZX47" s="344"/>
      <c r="IZY47" s="344"/>
      <c r="IZZ47" s="344"/>
      <c r="JAA47" s="344"/>
      <c r="JAB47" s="344"/>
      <c r="JAC47" s="344"/>
      <c r="JAD47" s="344"/>
      <c r="JAE47" s="344"/>
      <c r="JAF47" s="344"/>
      <c r="JAG47" s="344"/>
      <c r="JAH47" s="344"/>
      <c r="JAI47" s="344"/>
      <c r="JAJ47" s="344"/>
      <c r="JAK47" s="344"/>
      <c r="JAL47" s="344"/>
      <c r="JAM47" s="344"/>
      <c r="JAN47" s="344"/>
      <c r="JAO47" s="344"/>
      <c r="JAP47" s="344"/>
      <c r="JAQ47" s="344"/>
      <c r="JAR47" s="344"/>
      <c r="JAS47" s="344"/>
      <c r="JAT47" s="344"/>
      <c r="JAU47" s="344"/>
      <c r="JAV47" s="344"/>
      <c r="JAW47" s="344"/>
      <c r="JAX47" s="344"/>
      <c r="JAY47" s="344"/>
      <c r="JAZ47" s="344"/>
      <c r="JBA47" s="344"/>
      <c r="JBB47" s="344"/>
      <c r="JBC47" s="344"/>
      <c r="JBD47" s="344"/>
      <c r="JBE47" s="344"/>
      <c r="JBF47" s="344"/>
      <c r="JBG47" s="344"/>
      <c r="JBH47" s="344"/>
      <c r="JBI47" s="344"/>
      <c r="JBJ47" s="344"/>
      <c r="JBK47" s="344"/>
      <c r="JBL47" s="344"/>
      <c r="JBM47" s="344"/>
      <c r="JBN47" s="344"/>
      <c r="JBO47" s="344"/>
      <c r="JBP47" s="344"/>
      <c r="JBQ47" s="344"/>
      <c r="JBR47" s="344"/>
      <c r="JBS47" s="344"/>
      <c r="JBT47" s="344"/>
      <c r="JBU47" s="344"/>
      <c r="JBV47" s="344"/>
      <c r="JBW47" s="344"/>
      <c r="JBX47" s="344"/>
      <c r="JBY47" s="344"/>
      <c r="JBZ47" s="344"/>
      <c r="JCA47" s="344"/>
      <c r="JCB47" s="344"/>
      <c r="JCC47" s="344"/>
      <c r="JCD47" s="344"/>
      <c r="JCE47" s="344"/>
      <c r="JCF47" s="344"/>
      <c r="JCG47" s="344"/>
      <c r="JCH47" s="344"/>
      <c r="JCI47" s="344"/>
      <c r="JCJ47" s="344"/>
      <c r="JCK47" s="344"/>
      <c r="JCL47" s="344"/>
      <c r="JCM47" s="344"/>
      <c r="JCN47" s="344"/>
      <c r="JCO47" s="344"/>
      <c r="JCP47" s="344"/>
      <c r="JCQ47" s="344"/>
      <c r="JCR47" s="344"/>
      <c r="JCS47" s="344"/>
      <c r="JCT47" s="344"/>
      <c r="JCU47" s="344"/>
      <c r="JCV47" s="344"/>
      <c r="JCW47" s="344"/>
      <c r="JCX47" s="344"/>
      <c r="JCY47" s="344"/>
      <c r="JCZ47" s="344"/>
      <c r="JDA47" s="344"/>
      <c r="JDB47" s="344"/>
      <c r="JDC47" s="344"/>
      <c r="JDD47" s="344"/>
      <c r="JDE47" s="344"/>
      <c r="JDF47" s="344"/>
      <c r="JDG47" s="344"/>
      <c r="JDH47" s="344"/>
      <c r="JDI47" s="344"/>
      <c r="JDJ47" s="344"/>
      <c r="JDK47" s="344"/>
      <c r="JDL47" s="344"/>
      <c r="JDM47" s="344"/>
      <c r="JDN47" s="344"/>
      <c r="JDO47" s="344"/>
      <c r="JDP47" s="344"/>
      <c r="JDQ47" s="344"/>
      <c r="JDR47" s="344"/>
      <c r="JDS47" s="344"/>
      <c r="JDT47" s="344"/>
      <c r="JDU47" s="344"/>
      <c r="JDV47" s="344"/>
      <c r="JDW47" s="344"/>
      <c r="JDX47" s="344"/>
      <c r="JDY47" s="344"/>
      <c r="JDZ47" s="344"/>
      <c r="JEA47" s="344"/>
      <c r="JEB47" s="344"/>
      <c r="JEC47" s="344"/>
      <c r="JED47" s="344"/>
      <c r="JEE47" s="344"/>
      <c r="JEF47" s="344"/>
      <c r="JEG47" s="344"/>
      <c r="JEH47" s="344"/>
      <c r="JEI47" s="344"/>
      <c r="JEJ47" s="344"/>
      <c r="JEK47" s="344"/>
      <c r="JEL47" s="344"/>
      <c r="JEM47" s="344"/>
      <c r="JEN47" s="344"/>
      <c r="JEO47" s="344"/>
      <c r="JEP47" s="344"/>
      <c r="JEQ47" s="344"/>
      <c r="JER47" s="344"/>
      <c r="JES47" s="344"/>
      <c r="JET47" s="344"/>
      <c r="JEU47" s="344"/>
      <c r="JEV47" s="344"/>
      <c r="JEW47" s="344"/>
      <c r="JEX47" s="344"/>
      <c r="JEY47" s="344"/>
      <c r="JEZ47" s="344"/>
      <c r="JFA47" s="344"/>
      <c r="JFB47" s="344"/>
      <c r="JFC47" s="344"/>
      <c r="JFD47" s="344"/>
      <c r="JFE47" s="344"/>
      <c r="JFF47" s="344"/>
      <c r="JFG47" s="344"/>
      <c r="JFH47" s="344"/>
      <c r="JFI47" s="344"/>
      <c r="JFJ47" s="344"/>
      <c r="JFK47" s="344"/>
      <c r="JFL47" s="344"/>
      <c r="JFM47" s="344"/>
      <c r="JFN47" s="344"/>
      <c r="JFO47" s="344"/>
      <c r="JFP47" s="344"/>
      <c r="JFQ47" s="344"/>
      <c r="JFR47" s="344"/>
      <c r="JFS47" s="344"/>
      <c r="JFT47" s="344"/>
      <c r="JFU47" s="344"/>
      <c r="JFV47" s="344"/>
      <c r="JFW47" s="344"/>
      <c r="JFX47" s="344"/>
      <c r="JFY47" s="344"/>
      <c r="JFZ47" s="344"/>
      <c r="JGA47" s="344"/>
      <c r="JGB47" s="344"/>
      <c r="JGC47" s="344"/>
      <c r="JGD47" s="344"/>
      <c r="JGE47" s="344"/>
      <c r="JGF47" s="344"/>
      <c r="JGG47" s="344"/>
      <c r="JGH47" s="344"/>
      <c r="JGI47" s="344"/>
      <c r="JGJ47" s="344"/>
      <c r="JGK47" s="344"/>
      <c r="JGL47" s="344"/>
      <c r="JGM47" s="344"/>
      <c r="JGN47" s="344"/>
      <c r="JGO47" s="344"/>
      <c r="JGP47" s="344"/>
      <c r="JGQ47" s="344"/>
      <c r="JGR47" s="344"/>
      <c r="JGS47" s="344"/>
      <c r="JGT47" s="344"/>
      <c r="JGU47" s="344"/>
      <c r="JGV47" s="344"/>
      <c r="JGW47" s="344"/>
      <c r="JGX47" s="344"/>
      <c r="JGY47" s="344"/>
      <c r="JGZ47" s="344"/>
      <c r="JHA47" s="344"/>
      <c r="JHB47" s="344"/>
      <c r="JHC47" s="344"/>
      <c r="JHD47" s="344"/>
      <c r="JHE47" s="344"/>
      <c r="JHF47" s="344"/>
      <c r="JHG47" s="344"/>
      <c r="JHH47" s="344"/>
      <c r="JHI47" s="344"/>
      <c r="JHJ47" s="344"/>
      <c r="JHK47" s="344"/>
      <c r="JHL47" s="344"/>
      <c r="JHM47" s="344"/>
      <c r="JHN47" s="344"/>
      <c r="JHO47" s="344"/>
      <c r="JHP47" s="344"/>
      <c r="JHQ47" s="344"/>
      <c r="JHR47" s="344"/>
      <c r="JHS47" s="344"/>
      <c r="JHT47" s="344"/>
      <c r="JHU47" s="344"/>
      <c r="JHV47" s="344"/>
      <c r="JHW47" s="344"/>
      <c r="JHX47" s="344"/>
      <c r="JHY47" s="344"/>
      <c r="JHZ47" s="344"/>
      <c r="JIA47" s="344"/>
      <c r="JIB47" s="344"/>
      <c r="JIC47" s="344"/>
      <c r="JID47" s="344"/>
      <c r="JIE47" s="344"/>
      <c r="JIF47" s="344"/>
      <c r="JIG47" s="344"/>
      <c r="JIH47" s="344"/>
      <c r="JII47" s="344"/>
      <c r="JIJ47" s="344"/>
      <c r="JIK47" s="344"/>
      <c r="JIL47" s="344"/>
      <c r="JIM47" s="344"/>
      <c r="JIN47" s="344"/>
      <c r="JIO47" s="344"/>
      <c r="JIP47" s="344"/>
      <c r="JIQ47" s="344"/>
      <c r="JIR47" s="344"/>
      <c r="JIS47" s="344"/>
      <c r="JIT47" s="344"/>
      <c r="JIU47" s="344"/>
      <c r="JIV47" s="344"/>
      <c r="JIW47" s="344"/>
      <c r="JIX47" s="344"/>
      <c r="JIY47" s="344"/>
      <c r="JIZ47" s="344"/>
      <c r="JJA47" s="344"/>
      <c r="JJB47" s="344"/>
      <c r="JJC47" s="344"/>
      <c r="JJD47" s="344"/>
      <c r="JJE47" s="344"/>
      <c r="JJF47" s="344"/>
      <c r="JJG47" s="344"/>
      <c r="JJH47" s="344"/>
      <c r="JJI47" s="344"/>
      <c r="JJJ47" s="344"/>
      <c r="JJK47" s="344"/>
      <c r="JJL47" s="344"/>
      <c r="JJM47" s="344"/>
      <c r="JJN47" s="344"/>
      <c r="JJO47" s="344"/>
      <c r="JJP47" s="344"/>
      <c r="JJQ47" s="344"/>
      <c r="JJR47" s="344"/>
      <c r="JJS47" s="344"/>
      <c r="JJT47" s="344"/>
      <c r="JJU47" s="344"/>
      <c r="JJV47" s="344"/>
      <c r="JJW47" s="344"/>
      <c r="JJX47" s="344"/>
      <c r="JJY47" s="344"/>
      <c r="JJZ47" s="344"/>
      <c r="JKA47" s="344"/>
      <c r="JKB47" s="344"/>
      <c r="JKC47" s="344"/>
      <c r="JKD47" s="344"/>
      <c r="JKE47" s="344"/>
      <c r="JKF47" s="344"/>
      <c r="JKG47" s="344"/>
      <c r="JKH47" s="344"/>
      <c r="JKI47" s="344"/>
      <c r="JKJ47" s="344"/>
      <c r="JKK47" s="344"/>
      <c r="JKL47" s="344"/>
      <c r="JKM47" s="344"/>
      <c r="JKN47" s="344"/>
      <c r="JKO47" s="344"/>
      <c r="JKP47" s="344"/>
      <c r="JKQ47" s="344"/>
      <c r="JKR47" s="344"/>
      <c r="JKS47" s="344"/>
      <c r="JKT47" s="344"/>
      <c r="JKU47" s="344"/>
      <c r="JKV47" s="344"/>
      <c r="JKW47" s="344"/>
      <c r="JKX47" s="344"/>
      <c r="JKY47" s="344"/>
      <c r="JKZ47" s="344"/>
      <c r="JLA47" s="344"/>
      <c r="JLB47" s="344"/>
      <c r="JLC47" s="344"/>
      <c r="JLD47" s="344"/>
      <c r="JLE47" s="344"/>
      <c r="JLF47" s="344"/>
      <c r="JLG47" s="344"/>
      <c r="JLH47" s="344"/>
      <c r="JLI47" s="344"/>
      <c r="JLJ47" s="344"/>
      <c r="JLK47" s="344"/>
      <c r="JLL47" s="344"/>
      <c r="JLM47" s="344"/>
      <c r="JLN47" s="344"/>
      <c r="JLO47" s="344"/>
      <c r="JLP47" s="344"/>
      <c r="JLQ47" s="344"/>
      <c r="JLR47" s="344"/>
      <c r="JLS47" s="344"/>
      <c r="JLT47" s="344"/>
      <c r="JLU47" s="344"/>
      <c r="JLV47" s="344"/>
      <c r="JLW47" s="344"/>
      <c r="JLX47" s="344"/>
      <c r="JLY47" s="344"/>
      <c r="JLZ47" s="344"/>
      <c r="JMA47" s="344"/>
      <c r="JMB47" s="344"/>
      <c r="JMC47" s="344"/>
      <c r="JMD47" s="344"/>
      <c r="JME47" s="344"/>
      <c r="JMF47" s="344"/>
      <c r="JMG47" s="344"/>
      <c r="JMH47" s="344"/>
      <c r="JMI47" s="344"/>
      <c r="JMJ47" s="344"/>
      <c r="JMK47" s="344"/>
      <c r="JML47" s="344"/>
      <c r="JMM47" s="344"/>
      <c r="JMN47" s="344"/>
      <c r="JMO47" s="344"/>
      <c r="JMP47" s="344"/>
      <c r="JMQ47" s="344"/>
      <c r="JMR47" s="344"/>
      <c r="JMS47" s="344"/>
      <c r="JMT47" s="344"/>
      <c r="JMU47" s="344"/>
      <c r="JMV47" s="344"/>
      <c r="JMW47" s="344"/>
      <c r="JMX47" s="344"/>
      <c r="JMY47" s="344"/>
      <c r="JMZ47" s="344"/>
      <c r="JNA47" s="344"/>
      <c r="JNB47" s="344"/>
      <c r="JNC47" s="344"/>
      <c r="JND47" s="344"/>
      <c r="JNE47" s="344"/>
      <c r="JNF47" s="344"/>
      <c r="JNG47" s="344"/>
      <c r="JNH47" s="344"/>
      <c r="JNI47" s="344"/>
      <c r="JNJ47" s="344"/>
      <c r="JNK47" s="344"/>
      <c r="JNL47" s="344"/>
      <c r="JNM47" s="344"/>
      <c r="JNN47" s="344"/>
      <c r="JNO47" s="344"/>
      <c r="JNP47" s="344"/>
      <c r="JNQ47" s="344"/>
      <c r="JNR47" s="344"/>
      <c r="JNS47" s="344"/>
      <c r="JNT47" s="344"/>
      <c r="JNU47" s="344"/>
      <c r="JNV47" s="344"/>
      <c r="JNW47" s="344"/>
      <c r="JNX47" s="344"/>
      <c r="JNY47" s="344"/>
      <c r="JNZ47" s="344"/>
      <c r="JOA47" s="344"/>
      <c r="JOB47" s="344"/>
      <c r="JOC47" s="344"/>
      <c r="JOD47" s="344"/>
      <c r="JOE47" s="344"/>
      <c r="JOF47" s="344"/>
      <c r="JOG47" s="344"/>
      <c r="JOH47" s="344"/>
      <c r="JOI47" s="344"/>
      <c r="JOJ47" s="344"/>
      <c r="JOK47" s="344"/>
      <c r="JOL47" s="344"/>
      <c r="JOM47" s="344"/>
      <c r="JON47" s="344"/>
      <c r="JOO47" s="344"/>
      <c r="JOP47" s="344"/>
      <c r="JOQ47" s="344"/>
      <c r="JOR47" s="344"/>
      <c r="JOS47" s="344"/>
      <c r="JOT47" s="344"/>
      <c r="JOU47" s="344"/>
      <c r="JOV47" s="344"/>
      <c r="JOW47" s="344"/>
      <c r="JOX47" s="344"/>
      <c r="JOY47" s="344"/>
      <c r="JOZ47" s="344"/>
      <c r="JPA47" s="344"/>
      <c r="JPB47" s="344"/>
      <c r="JPC47" s="344"/>
      <c r="JPD47" s="344"/>
      <c r="JPE47" s="344"/>
      <c r="JPF47" s="344"/>
      <c r="JPG47" s="344"/>
      <c r="JPH47" s="344"/>
      <c r="JPI47" s="344"/>
      <c r="JPJ47" s="344"/>
      <c r="JPK47" s="344"/>
      <c r="JPL47" s="344"/>
      <c r="JPM47" s="344"/>
      <c r="JPN47" s="344"/>
      <c r="JPO47" s="344"/>
      <c r="JPP47" s="344"/>
      <c r="JPQ47" s="344"/>
      <c r="JPR47" s="344"/>
      <c r="JPS47" s="344"/>
      <c r="JPT47" s="344"/>
      <c r="JPU47" s="344"/>
      <c r="JPV47" s="344"/>
      <c r="JPW47" s="344"/>
      <c r="JPX47" s="344"/>
      <c r="JPY47" s="344"/>
      <c r="JPZ47" s="344"/>
      <c r="JQA47" s="344"/>
      <c r="JQB47" s="344"/>
      <c r="JQC47" s="344"/>
      <c r="JQD47" s="344"/>
      <c r="JQE47" s="344"/>
      <c r="JQF47" s="344"/>
      <c r="JQG47" s="344"/>
      <c r="JQH47" s="344"/>
      <c r="JQI47" s="344"/>
      <c r="JQJ47" s="344"/>
      <c r="JQK47" s="344"/>
      <c r="JQL47" s="344"/>
      <c r="JQM47" s="344"/>
      <c r="JQN47" s="344"/>
      <c r="JQO47" s="344"/>
      <c r="JQP47" s="344"/>
      <c r="JQQ47" s="344"/>
      <c r="JQR47" s="344"/>
      <c r="JQS47" s="344"/>
      <c r="JQT47" s="344"/>
      <c r="JQU47" s="344"/>
      <c r="JQV47" s="344"/>
      <c r="JQW47" s="344"/>
      <c r="JQX47" s="344"/>
      <c r="JQY47" s="344"/>
      <c r="JQZ47" s="344"/>
      <c r="JRA47" s="344"/>
      <c r="JRB47" s="344"/>
      <c r="JRC47" s="344"/>
      <c r="JRD47" s="344"/>
      <c r="JRE47" s="344"/>
      <c r="JRF47" s="344"/>
      <c r="JRG47" s="344"/>
      <c r="JRH47" s="344"/>
      <c r="JRI47" s="344"/>
      <c r="JRJ47" s="344"/>
      <c r="JRK47" s="344"/>
      <c r="JRL47" s="344"/>
      <c r="JRM47" s="344"/>
      <c r="JRN47" s="344"/>
      <c r="JRO47" s="344"/>
      <c r="JRP47" s="344"/>
      <c r="JRQ47" s="344"/>
      <c r="JRR47" s="344"/>
      <c r="JRS47" s="344"/>
      <c r="JRT47" s="344"/>
      <c r="JRU47" s="344"/>
      <c r="JRV47" s="344"/>
      <c r="JRW47" s="344"/>
      <c r="JRX47" s="344"/>
      <c r="JRY47" s="344"/>
      <c r="JRZ47" s="344"/>
      <c r="JSA47" s="344"/>
      <c r="JSB47" s="344"/>
      <c r="JSC47" s="344"/>
      <c r="JSD47" s="344"/>
      <c r="JSE47" s="344"/>
      <c r="JSF47" s="344"/>
      <c r="JSG47" s="344"/>
      <c r="JSH47" s="344"/>
      <c r="JSI47" s="344"/>
      <c r="JSJ47" s="344"/>
      <c r="JSK47" s="344"/>
      <c r="JSL47" s="344"/>
      <c r="JSM47" s="344"/>
      <c r="JSN47" s="344"/>
      <c r="JSO47" s="344"/>
      <c r="JSP47" s="344"/>
      <c r="JSQ47" s="344"/>
      <c r="JSR47" s="344"/>
      <c r="JSS47" s="344"/>
      <c r="JST47" s="344"/>
      <c r="JSU47" s="344"/>
      <c r="JSV47" s="344"/>
      <c r="JSW47" s="344"/>
      <c r="JSX47" s="344"/>
      <c r="JSY47" s="344"/>
      <c r="JSZ47" s="344"/>
      <c r="JTA47" s="344"/>
      <c r="JTB47" s="344"/>
      <c r="JTC47" s="344"/>
      <c r="JTD47" s="344"/>
      <c r="JTE47" s="344"/>
      <c r="JTF47" s="344"/>
      <c r="JTG47" s="344"/>
      <c r="JTH47" s="344"/>
      <c r="JTI47" s="344"/>
      <c r="JTJ47" s="344"/>
      <c r="JTK47" s="344"/>
      <c r="JTL47" s="344"/>
      <c r="JTM47" s="344"/>
      <c r="JTN47" s="344"/>
      <c r="JTO47" s="344"/>
      <c r="JTP47" s="344"/>
      <c r="JTQ47" s="344"/>
      <c r="JTR47" s="344"/>
      <c r="JTS47" s="344"/>
      <c r="JTT47" s="344"/>
      <c r="JTU47" s="344"/>
      <c r="JTV47" s="344"/>
      <c r="JTW47" s="344"/>
      <c r="JTX47" s="344"/>
      <c r="JTY47" s="344"/>
      <c r="JTZ47" s="344"/>
      <c r="JUA47" s="344"/>
      <c r="JUB47" s="344"/>
      <c r="JUC47" s="344"/>
      <c r="JUD47" s="344"/>
      <c r="JUE47" s="344"/>
      <c r="JUF47" s="344"/>
      <c r="JUG47" s="344"/>
      <c r="JUH47" s="344"/>
      <c r="JUI47" s="344"/>
      <c r="JUJ47" s="344"/>
      <c r="JUK47" s="344"/>
      <c r="JUL47" s="344"/>
      <c r="JUM47" s="344"/>
      <c r="JUN47" s="344"/>
      <c r="JUO47" s="344"/>
      <c r="JUP47" s="344"/>
      <c r="JUQ47" s="344"/>
      <c r="JUR47" s="344"/>
      <c r="JUS47" s="344"/>
      <c r="JUT47" s="344"/>
      <c r="JUU47" s="344"/>
      <c r="JUV47" s="344"/>
      <c r="JUW47" s="344"/>
      <c r="JUX47" s="344"/>
      <c r="JUY47" s="344"/>
      <c r="JUZ47" s="344"/>
      <c r="JVA47" s="344"/>
      <c r="JVB47" s="344"/>
      <c r="JVC47" s="344"/>
      <c r="JVD47" s="344"/>
      <c r="JVE47" s="344"/>
      <c r="JVF47" s="344"/>
      <c r="JVG47" s="344"/>
      <c r="JVH47" s="344"/>
      <c r="JVI47" s="344"/>
      <c r="JVJ47" s="344"/>
      <c r="JVK47" s="344"/>
      <c r="JVL47" s="344"/>
      <c r="JVM47" s="344"/>
      <c r="JVN47" s="344"/>
      <c r="JVO47" s="344"/>
      <c r="JVP47" s="344"/>
      <c r="JVQ47" s="344"/>
      <c r="JVR47" s="344"/>
      <c r="JVS47" s="344"/>
      <c r="JVT47" s="344"/>
      <c r="JVU47" s="344"/>
      <c r="JVV47" s="344"/>
      <c r="JVW47" s="344"/>
      <c r="JVX47" s="344"/>
      <c r="JVY47" s="344"/>
      <c r="JVZ47" s="344"/>
      <c r="JWA47" s="344"/>
      <c r="JWB47" s="344"/>
      <c r="JWC47" s="344"/>
      <c r="JWD47" s="344"/>
      <c r="JWE47" s="344"/>
      <c r="JWF47" s="344"/>
      <c r="JWG47" s="344"/>
      <c r="JWH47" s="344"/>
      <c r="JWI47" s="344"/>
      <c r="JWJ47" s="344"/>
      <c r="JWK47" s="344"/>
      <c r="JWL47" s="344"/>
      <c r="JWM47" s="344"/>
      <c r="JWN47" s="344"/>
      <c r="JWO47" s="344"/>
      <c r="JWP47" s="344"/>
      <c r="JWQ47" s="344"/>
      <c r="JWR47" s="344"/>
      <c r="JWS47" s="344"/>
      <c r="JWT47" s="344"/>
      <c r="JWU47" s="344"/>
      <c r="JWV47" s="344"/>
      <c r="JWW47" s="344"/>
      <c r="JWX47" s="344"/>
      <c r="JWY47" s="344"/>
      <c r="JWZ47" s="344"/>
      <c r="JXA47" s="344"/>
      <c r="JXB47" s="344"/>
      <c r="JXC47" s="344"/>
      <c r="JXD47" s="344"/>
      <c r="JXE47" s="344"/>
      <c r="JXF47" s="344"/>
      <c r="JXG47" s="344"/>
      <c r="JXH47" s="344"/>
      <c r="JXI47" s="344"/>
      <c r="JXJ47" s="344"/>
      <c r="JXK47" s="344"/>
      <c r="JXL47" s="344"/>
      <c r="JXM47" s="344"/>
      <c r="JXN47" s="344"/>
      <c r="JXO47" s="344"/>
      <c r="JXP47" s="344"/>
      <c r="JXQ47" s="344"/>
      <c r="JXR47" s="344"/>
      <c r="JXS47" s="344"/>
      <c r="JXT47" s="344"/>
      <c r="JXU47" s="344"/>
      <c r="JXV47" s="344"/>
      <c r="JXW47" s="344"/>
      <c r="JXX47" s="344"/>
      <c r="JXY47" s="344"/>
      <c r="JXZ47" s="344"/>
      <c r="JYA47" s="344"/>
      <c r="JYB47" s="344"/>
      <c r="JYC47" s="344"/>
      <c r="JYD47" s="344"/>
      <c r="JYE47" s="344"/>
      <c r="JYF47" s="344"/>
      <c r="JYG47" s="344"/>
      <c r="JYH47" s="344"/>
      <c r="JYI47" s="344"/>
      <c r="JYJ47" s="344"/>
      <c r="JYK47" s="344"/>
      <c r="JYL47" s="344"/>
      <c r="JYM47" s="344"/>
      <c r="JYN47" s="344"/>
      <c r="JYO47" s="344"/>
      <c r="JYP47" s="344"/>
      <c r="JYQ47" s="344"/>
      <c r="JYR47" s="344"/>
      <c r="JYS47" s="344"/>
      <c r="JYT47" s="344"/>
      <c r="JYU47" s="344"/>
      <c r="JYV47" s="344"/>
      <c r="JYW47" s="344"/>
      <c r="JYX47" s="344"/>
      <c r="JYY47" s="344"/>
      <c r="JYZ47" s="344"/>
      <c r="JZA47" s="344"/>
      <c r="JZB47" s="344"/>
      <c r="JZC47" s="344"/>
      <c r="JZD47" s="344"/>
      <c r="JZE47" s="344"/>
      <c r="JZF47" s="344"/>
      <c r="JZG47" s="344"/>
      <c r="JZH47" s="344"/>
      <c r="JZI47" s="344"/>
      <c r="JZJ47" s="344"/>
      <c r="JZK47" s="344"/>
      <c r="JZL47" s="344"/>
      <c r="JZM47" s="344"/>
      <c r="JZN47" s="344"/>
      <c r="JZO47" s="344"/>
      <c r="JZP47" s="344"/>
      <c r="JZQ47" s="344"/>
      <c r="JZR47" s="344"/>
      <c r="JZS47" s="344"/>
      <c r="JZT47" s="344"/>
      <c r="JZU47" s="344"/>
      <c r="JZV47" s="344"/>
      <c r="JZW47" s="344"/>
      <c r="JZX47" s="344"/>
      <c r="JZY47" s="344"/>
      <c r="JZZ47" s="344"/>
      <c r="KAA47" s="344"/>
      <c r="KAB47" s="344"/>
      <c r="KAC47" s="344"/>
      <c r="KAD47" s="344"/>
      <c r="KAE47" s="344"/>
      <c r="KAF47" s="344"/>
      <c r="KAG47" s="344"/>
      <c r="KAH47" s="344"/>
      <c r="KAI47" s="344"/>
      <c r="KAJ47" s="344"/>
      <c r="KAK47" s="344"/>
      <c r="KAL47" s="344"/>
      <c r="KAM47" s="344"/>
      <c r="KAN47" s="344"/>
      <c r="KAO47" s="344"/>
      <c r="KAP47" s="344"/>
      <c r="KAQ47" s="344"/>
      <c r="KAR47" s="344"/>
      <c r="KAS47" s="344"/>
      <c r="KAT47" s="344"/>
      <c r="KAU47" s="344"/>
      <c r="KAV47" s="344"/>
      <c r="KAW47" s="344"/>
      <c r="KAX47" s="344"/>
      <c r="KAY47" s="344"/>
      <c r="KAZ47" s="344"/>
      <c r="KBA47" s="344"/>
      <c r="KBB47" s="344"/>
      <c r="KBC47" s="344"/>
      <c r="KBD47" s="344"/>
      <c r="KBE47" s="344"/>
      <c r="KBF47" s="344"/>
      <c r="KBG47" s="344"/>
      <c r="KBH47" s="344"/>
      <c r="KBI47" s="344"/>
      <c r="KBJ47" s="344"/>
      <c r="KBK47" s="344"/>
      <c r="KBL47" s="344"/>
      <c r="KBM47" s="344"/>
      <c r="KBN47" s="344"/>
      <c r="KBO47" s="344"/>
      <c r="KBP47" s="344"/>
      <c r="KBQ47" s="344"/>
      <c r="KBR47" s="344"/>
      <c r="KBS47" s="344"/>
      <c r="KBT47" s="344"/>
      <c r="KBU47" s="344"/>
      <c r="KBV47" s="344"/>
      <c r="KBW47" s="344"/>
      <c r="KBX47" s="344"/>
      <c r="KBY47" s="344"/>
      <c r="KBZ47" s="344"/>
      <c r="KCA47" s="344"/>
      <c r="KCB47" s="344"/>
      <c r="KCC47" s="344"/>
      <c r="KCD47" s="344"/>
      <c r="KCE47" s="344"/>
      <c r="KCF47" s="344"/>
      <c r="KCG47" s="344"/>
      <c r="KCH47" s="344"/>
      <c r="KCI47" s="344"/>
      <c r="KCJ47" s="344"/>
      <c r="KCK47" s="344"/>
      <c r="KCL47" s="344"/>
      <c r="KCM47" s="344"/>
      <c r="KCN47" s="344"/>
      <c r="KCO47" s="344"/>
      <c r="KCP47" s="344"/>
      <c r="KCQ47" s="344"/>
      <c r="KCR47" s="344"/>
      <c r="KCS47" s="344"/>
      <c r="KCT47" s="344"/>
      <c r="KCU47" s="344"/>
      <c r="KCV47" s="344"/>
      <c r="KCW47" s="344"/>
      <c r="KCX47" s="344"/>
      <c r="KCY47" s="344"/>
      <c r="KCZ47" s="344"/>
      <c r="KDA47" s="344"/>
      <c r="KDB47" s="344"/>
      <c r="KDC47" s="344"/>
      <c r="KDD47" s="344"/>
      <c r="KDE47" s="344"/>
      <c r="KDF47" s="344"/>
      <c r="KDG47" s="344"/>
      <c r="KDH47" s="344"/>
      <c r="KDI47" s="344"/>
      <c r="KDJ47" s="344"/>
      <c r="KDK47" s="344"/>
      <c r="KDL47" s="344"/>
      <c r="KDM47" s="344"/>
      <c r="KDN47" s="344"/>
      <c r="KDO47" s="344"/>
      <c r="KDP47" s="344"/>
      <c r="KDQ47" s="344"/>
      <c r="KDR47" s="344"/>
      <c r="KDS47" s="344"/>
      <c r="KDT47" s="344"/>
      <c r="KDU47" s="344"/>
      <c r="KDV47" s="344"/>
      <c r="KDW47" s="344"/>
      <c r="KDX47" s="344"/>
      <c r="KDY47" s="344"/>
      <c r="KDZ47" s="344"/>
      <c r="KEA47" s="344"/>
      <c r="KEB47" s="344"/>
      <c r="KEC47" s="344"/>
      <c r="KED47" s="344"/>
      <c r="KEE47" s="344"/>
      <c r="KEF47" s="344"/>
      <c r="KEG47" s="344"/>
      <c r="KEH47" s="344"/>
      <c r="KEI47" s="344"/>
      <c r="KEJ47" s="344"/>
      <c r="KEK47" s="344"/>
      <c r="KEL47" s="344"/>
      <c r="KEM47" s="344"/>
      <c r="KEN47" s="344"/>
      <c r="KEO47" s="344"/>
      <c r="KEP47" s="344"/>
      <c r="KEQ47" s="344"/>
      <c r="KER47" s="344"/>
      <c r="KES47" s="344"/>
      <c r="KET47" s="344"/>
      <c r="KEU47" s="344"/>
      <c r="KEV47" s="344"/>
      <c r="KEW47" s="344"/>
      <c r="KEX47" s="344"/>
      <c r="KEY47" s="344"/>
      <c r="KEZ47" s="344"/>
      <c r="KFA47" s="344"/>
      <c r="KFB47" s="344"/>
      <c r="KFC47" s="344"/>
      <c r="KFD47" s="344"/>
      <c r="KFE47" s="344"/>
      <c r="KFF47" s="344"/>
      <c r="KFG47" s="344"/>
      <c r="KFH47" s="344"/>
      <c r="KFI47" s="344"/>
      <c r="KFJ47" s="344"/>
      <c r="KFK47" s="344"/>
      <c r="KFL47" s="344"/>
      <c r="KFM47" s="344"/>
      <c r="KFN47" s="344"/>
      <c r="KFO47" s="344"/>
      <c r="KFP47" s="344"/>
      <c r="KFQ47" s="344"/>
      <c r="KFR47" s="344"/>
      <c r="KFS47" s="344"/>
      <c r="KFT47" s="344"/>
      <c r="KFU47" s="344"/>
      <c r="KFV47" s="344"/>
      <c r="KFW47" s="344"/>
      <c r="KFX47" s="344"/>
      <c r="KFY47" s="344"/>
      <c r="KFZ47" s="344"/>
      <c r="KGA47" s="344"/>
      <c r="KGB47" s="344"/>
      <c r="KGC47" s="344"/>
      <c r="KGD47" s="344"/>
      <c r="KGE47" s="344"/>
      <c r="KGF47" s="344"/>
      <c r="KGG47" s="344"/>
      <c r="KGH47" s="344"/>
      <c r="KGI47" s="344"/>
      <c r="KGJ47" s="344"/>
      <c r="KGK47" s="344"/>
      <c r="KGL47" s="344"/>
      <c r="KGM47" s="344"/>
      <c r="KGN47" s="344"/>
      <c r="KGO47" s="344"/>
      <c r="KGP47" s="344"/>
      <c r="KGQ47" s="344"/>
      <c r="KGR47" s="344"/>
      <c r="KGS47" s="344"/>
      <c r="KGT47" s="344"/>
      <c r="KGU47" s="344"/>
      <c r="KGV47" s="344"/>
      <c r="KGW47" s="344"/>
      <c r="KGX47" s="344"/>
      <c r="KGY47" s="344"/>
      <c r="KGZ47" s="344"/>
      <c r="KHA47" s="344"/>
      <c r="KHB47" s="344"/>
      <c r="KHC47" s="344"/>
      <c r="KHD47" s="344"/>
      <c r="KHE47" s="344"/>
      <c r="KHF47" s="344"/>
      <c r="KHG47" s="344"/>
      <c r="KHH47" s="344"/>
      <c r="KHI47" s="344"/>
      <c r="KHJ47" s="344"/>
      <c r="KHK47" s="344"/>
      <c r="KHL47" s="344"/>
      <c r="KHM47" s="344"/>
      <c r="KHN47" s="344"/>
      <c r="KHO47" s="344"/>
      <c r="KHP47" s="344"/>
      <c r="KHQ47" s="344"/>
      <c r="KHR47" s="344"/>
      <c r="KHS47" s="344"/>
      <c r="KHT47" s="344"/>
      <c r="KHU47" s="344"/>
      <c r="KHV47" s="344"/>
      <c r="KHW47" s="344"/>
      <c r="KHX47" s="344"/>
      <c r="KHY47" s="344"/>
      <c r="KHZ47" s="344"/>
      <c r="KIA47" s="344"/>
      <c r="KIB47" s="344"/>
      <c r="KIC47" s="344"/>
      <c r="KID47" s="344"/>
      <c r="KIE47" s="344"/>
      <c r="KIF47" s="344"/>
      <c r="KIG47" s="344"/>
      <c r="KIH47" s="344"/>
      <c r="KII47" s="344"/>
      <c r="KIJ47" s="344"/>
      <c r="KIK47" s="344"/>
      <c r="KIL47" s="344"/>
      <c r="KIM47" s="344"/>
      <c r="KIN47" s="344"/>
      <c r="KIO47" s="344"/>
      <c r="KIP47" s="344"/>
      <c r="KIQ47" s="344"/>
      <c r="KIR47" s="344"/>
      <c r="KIS47" s="344"/>
      <c r="KIT47" s="344"/>
      <c r="KIU47" s="344"/>
      <c r="KIV47" s="344"/>
      <c r="KIW47" s="344"/>
      <c r="KIX47" s="344"/>
      <c r="KIY47" s="344"/>
      <c r="KIZ47" s="344"/>
      <c r="KJA47" s="344"/>
      <c r="KJB47" s="344"/>
      <c r="KJC47" s="344"/>
      <c r="KJD47" s="344"/>
      <c r="KJE47" s="344"/>
      <c r="KJF47" s="344"/>
      <c r="KJG47" s="344"/>
      <c r="KJH47" s="344"/>
      <c r="KJI47" s="344"/>
      <c r="KJJ47" s="344"/>
      <c r="KJK47" s="344"/>
      <c r="KJL47" s="344"/>
      <c r="KJM47" s="344"/>
      <c r="KJN47" s="344"/>
      <c r="KJO47" s="344"/>
      <c r="KJP47" s="344"/>
      <c r="KJQ47" s="344"/>
      <c r="KJR47" s="344"/>
      <c r="KJS47" s="344"/>
      <c r="KJT47" s="344"/>
      <c r="KJU47" s="344"/>
      <c r="KJV47" s="344"/>
      <c r="KJW47" s="344"/>
      <c r="KJX47" s="344"/>
      <c r="KJY47" s="344"/>
      <c r="KJZ47" s="344"/>
      <c r="KKA47" s="344"/>
      <c r="KKB47" s="344"/>
      <c r="KKC47" s="344"/>
      <c r="KKD47" s="344"/>
      <c r="KKE47" s="344"/>
      <c r="KKF47" s="344"/>
      <c r="KKG47" s="344"/>
      <c r="KKH47" s="344"/>
      <c r="KKI47" s="344"/>
      <c r="KKJ47" s="344"/>
      <c r="KKK47" s="344"/>
      <c r="KKL47" s="344"/>
      <c r="KKM47" s="344"/>
      <c r="KKN47" s="344"/>
      <c r="KKO47" s="344"/>
      <c r="KKP47" s="344"/>
      <c r="KKQ47" s="344"/>
      <c r="KKR47" s="344"/>
      <c r="KKS47" s="344"/>
      <c r="KKT47" s="344"/>
      <c r="KKU47" s="344"/>
      <c r="KKV47" s="344"/>
      <c r="KKW47" s="344"/>
      <c r="KKX47" s="344"/>
      <c r="KKY47" s="344"/>
      <c r="KKZ47" s="344"/>
      <c r="KLA47" s="344"/>
      <c r="KLB47" s="344"/>
      <c r="KLC47" s="344"/>
      <c r="KLD47" s="344"/>
      <c r="KLE47" s="344"/>
      <c r="KLF47" s="344"/>
      <c r="KLG47" s="344"/>
      <c r="KLH47" s="344"/>
      <c r="KLI47" s="344"/>
      <c r="KLJ47" s="344"/>
      <c r="KLK47" s="344"/>
      <c r="KLL47" s="344"/>
      <c r="KLM47" s="344"/>
      <c r="KLN47" s="344"/>
      <c r="KLO47" s="344"/>
      <c r="KLP47" s="344"/>
      <c r="KLQ47" s="344"/>
      <c r="KLR47" s="344"/>
      <c r="KLS47" s="344"/>
      <c r="KLT47" s="344"/>
      <c r="KLU47" s="344"/>
      <c r="KLV47" s="344"/>
      <c r="KLW47" s="344"/>
      <c r="KLX47" s="344"/>
      <c r="KLY47" s="344"/>
      <c r="KLZ47" s="344"/>
      <c r="KMA47" s="344"/>
      <c r="KMB47" s="344"/>
      <c r="KMC47" s="344"/>
      <c r="KMD47" s="344"/>
      <c r="KME47" s="344"/>
      <c r="KMF47" s="344"/>
      <c r="KMG47" s="344"/>
      <c r="KMH47" s="344"/>
      <c r="KMI47" s="344"/>
      <c r="KMJ47" s="344"/>
      <c r="KMK47" s="344"/>
      <c r="KML47" s="344"/>
      <c r="KMM47" s="344"/>
      <c r="KMN47" s="344"/>
      <c r="KMO47" s="344"/>
      <c r="KMP47" s="344"/>
      <c r="KMQ47" s="344"/>
      <c r="KMR47" s="344"/>
      <c r="KMS47" s="344"/>
      <c r="KMT47" s="344"/>
      <c r="KMU47" s="344"/>
      <c r="KMV47" s="344"/>
      <c r="KMW47" s="344"/>
      <c r="KMX47" s="344"/>
      <c r="KMY47" s="344"/>
      <c r="KMZ47" s="344"/>
      <c r="KNA47" s="344"/>
      <c r="KNB47" s="344"/>
      <c r="KNC47" s="344"/>
      <c r="KND47" s="344"/>
      <c r="KNE47" s="344"/>
      <c r="KNF47" s="344"/>
      <c r="KNG47" s="344"/>
      <c r="KNH47" s="344"/>
      <c r="KNI47" s="344"/>
      <c r="KNJ47" s="344"/>
      <c r="KNK47" s="344"/>
      <c r="KNL47" s="344"/>
      <c r="KNM47" s="344"/>
      <c r="KNN47" s="344"/>
      <c r="KNO47" s="344"/>
      <c r="KNP47" s="344"/>
      <c r="KNQ47" s="344"/>
      <c r="KNR47" s="344"/>
      <c r="KNS47" s="344"/>
      <c r="KNT47" s="344"/>
      <c r="KNU47" s="344"/>
      <c r="KNV47" s="344"/>
      <c r="KNW47" s="344"/>
      <c r="KNX47" s="344"/>
      <c r="KNY47" s="344"/>
      <c r="KNZ47" s="344"/>
      <c r="KOA47" s="344"/>
      <c r="KOB47" s="344"/>
      <c r="KOC47" s="344"/>
      <c r="KOD47" s="344"/>
      <c r="KOE47" s="344"/>
      <c r="KOF47" s="344"/>
      <c r="KOG47" s="344"/>
      <c r="KOH47" s="344"/>
      <c r="KOI47" s="344"/>
      <c r="KOJ47" s="344"/>
      <c r="KOK47" s="344"/>
      <c r="KOL47" s="344"/>
      <c r="KOM47" s="344"/>
      <c r="KON47" s="344"/>
      <c r="KOO47" s="344"/>
      <c r="KOP47" s="344"/>
      <c r="KOQ47" s="344"/>
      <c r="KOR47" s="344"/>
      <c r="KOS47" s="344"/>
      <c r="KOT47" s="344"/>
      <c r="KOU47" s="344"/>
      <c r="KOV47" s="344"/>
      <c r="KOW47" s="344"/>
      <c r="KOX47" s="344"/>
      <c r="KOY47" s="344"/>
      <c r="KOZ47" s="344"/>
      <c r="KPA47" s="344"/>
      <c r="KPB47" s="344"/>
      <c r="KPC47" s="344"/>
      <c r="KPD47" s="344"/>
      <c r="KPE47" s="344"/>
      <c r="KPF47" s="344"/>
      <c r="KPG47" s="344"/>
      <c r="KPH47" s="344"/>
      <c r="KPI47" s="344"/>
      <c r="KPJ47" s="344"/>
      <c r="KPK47" s="344"/>
      <c r="KPL47" s="344"/>
      <c r="KPM47" s="344"/>
      <c r="KPN47" s="344"/>
      <c r="KPO47" s="344"/>
      <c r="KPP47" s="344"/>
      <c r="KPQ47" s="344"/>
      <c r="KPR47" s="344"/>
      <c r="KPS47" s="344"/>
      <c r="KPT47" s="344"/>
      <c r="KPU47" s="344"/>
      <c r="KPV47" s="344"/>
      <c r="KPW47" s="344"/>
      <c r="KPX47" s="344"/>
      <c r="KPY47" s="344"/>
      <c r="KPZ47" s="344"/>
      <c r="KQA47" s="344"/>
      <c r="KQB47" s="344"/>
      <c r="KQC47" s="344"/>
      <c r="KQD47" s="344"/>
      <c r="KQE47" s="344"/>
      <c r="KQF47" s="344"/>
      <c r="KQG47" s="344"/>
      <c r="KQH47" s="344"/>
      <c r="KQI47" s="344"/>
      <c r="KQJ47" s="344"/>
      <c r="KQK47" s="344"/>
      <c r="KQL47" s="344"/>
      <c r="KQM47" s="344"/>
      <c r="KQN47" s="344"/>
      <c r="KQO47" s="344"/>
      <c r="KQP47" s="344"/>
      <c r="KQQ47" s="344"/>
      <c r="KQR47" s="344"/>
      <c r="KQS47" s="344"/>
      <c r="KQT47" s="344"/>
      <c r="KQU47" s="344"/>
      <c r="KQV47" s="344"/>
      <c r="KQW47" s="344"/>
      <c r="KQX47" s="344"/>
      <c r="KQY47" s="344"/>
      <c r="KQZ47" s="344"/>
      <c r="KRA47" s="344"/>
      <c r="KRB47" s="344"/>
      <c r="KRC47" s="344"/>
      <c r="KRD47" s="344"/>
      <c r="KRE47" s="344"/>
      <c r="KRF47" s="344"/>
      <c r="KRG47" s="344"/>
      <c r="KRH47" s="344"/>
      <c r="KRI47" s="344"/>
      <c r="KRJ47" s="344"/>
      <c r="KRK47" s="344"/>
      <c r="KRL47" s="344"/>
      <c r="KRM47" s="344"/>
      <c r="KRN47" s="344"/>
      <c r="KRO47" s="344"/>
      <c r="KRP47" s="344"/>
      <c r="KRQ47" s="344"/>
      <c r="KRR47" s="344"/>
      <c r="KRS47" s="344"/>
      <c r="KRT47" s="344"/>
      <c r="KRU47" s="344"/>
      <c r="KRV47" s="344"/>
      <c r="KRW47" s="344"/>
      <c r="KRX47" s="344"/>
      <c r="KRY47" s="344"/>
      <c r="KRZ47" s="344"/>
      <c r="KSA47" s="344"/>
      <c r="KSB47" s="344"/>
      <c r="KSC47" s="344"/>
      <c r="KSD47" s="344"/>
      <c r="KSE47" s="344"/>
      <c r="KSF47" s="344"/>
      <c r="KSG47" s="344"/>
      <c r="KSH47" s="344"/>
      <c r="KSI47" s="344"/>
      <c r="KSJ47" s="344"/>
      <c r="KSK47" s="344"/>
      <c r="KSL47" s="344"/>
      <c r="KSM47" s="344"/>
      <c r="KSN47" s="344"/>
      <c r="KSO47" s="344"/>
      <c r="KSP47" s="344"/>
      <c r="KSQ47" s="344"/>
      <c r="KSR47" s="344"/>
      <c r="KSS47" s="344"/>
      <c r="KST47" s="344"/>
      <c r="KSU47" s="344"/>
      <c r="KSV47" s="344"/>
      <c r="KSW47" s="344"/>
      <c r="KSX47" s="344"/>
      <c r="KSY47" s="344"/>
      <c r="KSZ47" s="344"/>
      <c r="KTA47" s="344"/>
      <c r="KTB47" s="344"/>
      <c r="KTC47" s="344"/>
      <c r="KTD47" s="344"/>
      <c r="KTE47" s="344"/>
      <c r="KTF47" s="344"/>
      <c r="KTG47" s="344"/>
      <c r="KTH47" s="344"/>
      <c r="KTI47" s="344"/>
      <c r="KTJ47" s="344"/>
      <c r="KTK47" s="344"/>
      <c r="KTL47" s="344"/>
      <c r="KTM47" s="344"/>
      <c r="KTN47" s="344"/>
      <c r="KTO47" s="344"/>
      <c r="KTP47" s="344"/>
      <c r="KTQ47" s="344"/>
      <c r="KTR47" s="344"/>
      <c r="KTS47" s="344"/>
      <c r="KTT47" s="344"/>
      <c r="KTU47" s="344"/>
      <c r="KTV47" s="344"/>
      <c r="KTW47" s="344"/>
      <c r="KTX47" s="344"/>
      <c r="KTY47" s="344"/>
      <c r="KTZ47" s="344"/>
      <c r="KUA47" s="344"/>
      <c r="KUB47" s="344"/>
      <c r="KUC47" s="344"/>
      <c r="KUD47" s="344"/>
      <c r="KUE47" s="344"/>
      <c r="KUF47" s="344"/>
      <c r="KUG47" s="344"/>
      <c r="KUH47" s="344"/>
      <c r="KUI47" s="344"/>
      <c r="KUJ47" s="344"/>
      <c r="KUK47" s="344"/>
      <c r="KUL47" s="344"/>
      <c r="KUM47" s="344"/>
      <c r="KUN47" s="344"/>
      <c r="KUO47" s="344"/>
      <c r="KUP47" s="344"/>
      <c r="KUQ47" s="344"/>
      <c r="KUR47" s="344"/>
      <c r="KUS47" s="344"/>
      <c r="KUT47" s="344"/>
      <c r="KUU47" s="344"/>
      <c r="KUV47" s="344"/>
      <c r="KUW47" s="344"/>
      <c r="KUX47" s="344"/>
      <c r="KUY47" s="344"/>
      <c r="KUZ47" s="344"/>
      <c r="KVA47" s="344"/>
      <c r="KVB47" s="344"/>
      <c r="KVC47" s="344"/>
      <c r="KVD47" s="344"/>
      <c r="KVE47" s="344"/>
      <c r="KVF47" s="344"/>
      <c r="KVG47" s="344"/>
      <c r="KVH47" s="344"/>
      <c r="KVI47" s="344"/>
      <c r="KVJ47" s="344"/>
      <c r="KVK47" s="344"/>
      <c r="KVL47" s="344"/>
      <c r="KVM47" s="344"/>
      <c r="KVN47" s="344"/>
      <c r="KVO47" s="344"/>
      <c r="KVP47" s="344"/>
      <c r="KVQ47" s="344"/>
      <c r="KVR47" s="344"/>
      <c r="KVS47" s="344"/>
      <c r="KVT47" s="344"/>
      <c r="KVU47" s="344"/>
      <c r="KVV47" s="344"/>
      <c r="KVW47" s="344"/>
      <c r="KVX47" s="344"/>
      <c r="KVY47" s="344"/>
      <c r="KVZ47" s="344"/>
      <c r="KWA47" s="344"/>
      <c r="KWB47" s="344"/>
      <c r="KWC47" s="344"/>
      <c r="KWD47" s="344"/>
      <c r="KWE47" s="344"/>
      <c r="KWF47" s="344"/>
      <c r="KWG47" s="344"/>
      <c r="KWH47" s="344"/>
      <c r="KWI47" s="344"/>
      <c r="KWJ47" s="344"/>
      <c r="KWK47" s="344"/>
      <c r="KWL47" s="344"/>
      <c r="KWM47" s="344"/>
      <c r="KWN47" s="344"/>
      <c r="KWO47" s="344"/>
      <c r="KWP47" s="344"/>
      <c r="KWQ47" s="344"/>
      <c r="KWR47" s="344"/>
      <c r="KWS47" s="344"/>
      <c r="KWT47" s="344"/>
      <c r="KWU47" s="344"/>
      <c r="KWV47" s="344"/>
      <c r="KWW47" s="344"/>
      <c r="KWX47" s="344"/>
      <c r="KWY47" s="344"/>
      <c r="KWZ47" s="344"/>
      <c r="KXA47" s="344"/>
      <c r="KXB47" s="344"/>
      <c r="KXC47" s="344"/>
      <c r="KXD47" s="344"/>
      <c r="KXE47" s="344"/>
      <c r="KXF47" s="344"/>
      <c r="KXG47" s="344"/>
      <c r="KXH47" s="344"/>
      <c r="KXI47" s="344"/>
      <c r="KXJ47" s="344"/>
      <c r="KXK47" s="344"/>
      <c r="KXL47" s="344"/>
      <c r="KXM47" s="344"/>
      <c r="KXN47" s="344"/>
      <c r="KXO47" s="344"/>
      <c r="KXP47" s="344"/>
      <c r="KXQ47" s="344"/>
      <c r="KXR47" s="344"/>
      <c r="KXS47" s="344"/>
      <c r="KXT47" s="344"/>
      <c r="KXU47" s="344"/>
      <c r="KXV47" s="344"/>
      <c r="KXW47" s="344"/>
      <c r="KXX47" s="344"/>
      <c r="KXY47" s="344"/>
      <c r="KXZ47" s="344"/>
      <c r="KYA47" s="344"/>
      <c r="KYB47" s="344"/>
      <c r="KYC47" s="344"/>
      <c r="KYD47" s="344"/>
      <c r="KYE47" s="344"/>
      <c r="KYF47" s="344"/>
      <c r="KYG47" s="344"/>
      <c r="KYH47" s="344"/>
      <c r="KYI47" s="344"/>
      <c r="KYJ47" s="344"/>
      <c r="KYK47" s="344"/>
      <c r="KYL47" s="344"/>
      <c r="KYM47" s="344"/>
      <c r="KYN47" s="344"/>
      <c r="KYO47" s="344"/>
      <c r="KYP47" s="344"/>
      <c r="KYQ47" s="344"/>
      <c r="KYR47" s="344"/>
      <c r="KYS47" s="344"/>
      <c r="KYT47" s="344"/>
      <c r="KYU47" s="344"/>
      <c r="KYV47" s="344"/>
      <c r="KYW47" s="344"/>
      <c r="KYX47" s="344"/>
      <c r="KYY47" s="344"/>
      <c r="KYZ47" s="344"/>
      <c r="KZA47" s="344"/>
      <c r="KZB47" s="344"/>
      <c r="KZC47" s="344"/>
      <c r="KZD47" s="344"/>
      <c r="KZE47" s="344"/>
      <c r="KZF47" s="344"/>
      <c r="KZG47" s="344"/>
      <c r="KZH47" s="344"/>
      <c r="KZI47" s="344"/>
      <c r="KZJ47" s="344"/>
      <c r="KZK47" s="344"/>
      <c r="KZL47" s="344"/>
      <c r="KZM47" s="344"/>
      <c r="KZN47" s="344"/>
      <c r="KZO47" s="344"/>
      <c r="KZP47" s="344"/>
      <c r="KZQ47" s="344"/>
      <c r="KZR47" s="344"/>
      <c r="KZS47" s="344"/>
      <c r="KZT47" s="344"/>
      <c r="KZU47" s="344"/>
      <c r="KZV47" s="344"/>
      <c r="KZW47" s="344"/>
      <c r="KZX47" s="344"/>
      <c r="KZY47" s="344"/>
      <c r="KZZ47" s="344"/>
      <c r="LAA47" s="344"/>
      <c r="LAB47" s="344"/>
      <c r="LAC47" s="344"/>
      <c r="LAD47" s="344"/>
      <c r="LAE47" s="344"/>
      <c r="LAF47" s="344"/>
      <c r="LAG47" s="344"/>
      <c r="LAH47" s="344"/>
      <c r="LAI47" s="344"/>
      <c r="LAJ47" s="344"/>
      <c r="LAK47" s="344"/>
      <c r="LAL47" s="344"/>
      <c r="LAM47" s="344"/>
      <c r="LAN47" s="344"/>
      <c r="LAO47" s="344"/>
      <c r="LAP47" s="344"/>
      <c r="LAQ47" s="344"/>
      <c r="LAR47" s="344"/>
      <c r="LAS47" s="344"/>
      <c r="LAT47" s="344"/>
      <c r="LAU47" s="344"/>
      <c r="LAV47" s="344"/>
      <c r="LAW47" s="344"/>
      <c r="LAX47" s="344"/>
      <c r="LAY47" s="344"/>
      <c r="LAZ47" s="344"/>
      <c r="LBA47" s="344"/>
      <c r="LBB47" s="344"/>
      <c r="LBC47" s="344"/>
      <c r="LBD47" s="344"/>
      <c r="LBE47" s="344"/>
      <c r="LBF47" s="344"/>
      <c r="LBG47" s="344"/>
      <c r="LBH47" s="344"/>
      <c r="LBI47" s="344"/>
      <c r="LBJ47" s="344"/>
      <c r="LBK47" s="344"/>
      <c r="LBL47" s="344"/>
      <c r="LBM47" s="344"/>
      <c r="LBN47" s="344"/>
      <c r="LBO47" s="344"/>
      <c r="LBP47" s="344"/>
      <c r="LBQ47" s="344"/>
      <c r="LBR47" s="344"/>
      <c r="LBS47" s="344"/>
      <c r="LBT47" s="344"/>
      <c r="LBU47" s="344"/>
      <c r="LBV47" s="344"/>
      <c r="LBW47" s="344"/>
      <c r="LBX47" s="344"/>
      <c r="LBY47" s="344"/>
      <c r="LBZ47" s="344"/>
      <c r="LCA47" s="344"/>
      <c r="LCB47" s="344"/>
      <c r="LCC47" s="344"/>
      <c r="LCD47" s="344"/>
      <c r="LCE47" s="344"/>
      <c r="LCF47" s="344"/>
      <c r="LCG47" s="344"/>
      <c r="LCH47" s="344"/>
      <c r="LCI47" s="344"/>
      <c r="LCJ47" s="344"/>
      <c r="LCK47" s="344"/>
      <c r="LCL47" s="344"/>
      <c r="LCM47" s="344"/>
      <c r="LCN47" s="344"/>
      <c r="LCO47" s="344"/>
      <c r="LCP47" s="344"/>
      <c r="LCQ47" s="344"/>
      <c r="LCR47" s="344"/>
      <c r="LCS47" s="344"/>
      <c r="LCT47" s="344"/>
      <c r="LCU47" s="344"/>
      <c r="LCV47" s="344"/>
      <c r="LCW47" s="344"/>
      <c r="LCX47" s="344"/>
      <c r="LCY47" s="344"/>
      <c r="LCZ47" s="344"/>
      <c r="LDA47" s="344"/>
      <c r="LDB47" s="344"/>
      <c r="LDC47" s="344"/>
      <c r="LDD47" s="344"/>
      <c r="LDE47" s="344"/>
      <c r="LDF47" s="344"/>
      <c r="LDG47" s="344"/>
      <c r="LDH47" s="344"/>
      <c r="LDI47" s="344"/>
      <c r="LDJ47" s="344"/>
      <c r="LDK47" s="344"/>
      <c r="LDL47" s="344"/>
      <c r="LDM47" s="344"/>
      <c r="LDN47" s="344"/>
      <c r="LDO47" s="344"/>
      <c r="LDP47" s="344"/>
      <c r="LDQ47" s="344"/>
      <c r="LDR47" s="344"/>
      <c r="LDS47" s="344"/>
      <c r="LDT47" s="344"/>
      <c r="LDU47" s="344"/>
      <c r="LDV47" s="344"/>
      <c r="LDW47" s="344"/>
      <c r="LDX47" s="344"/>
      <c r="LDY47" s="344"/>
      <c r="LDZ47" s="344"/>
      <c r="LEA47" s="344"/>
      <c r="LEB47" s="344"/>
      <c r="LEC47" s="344"/>
      <c r="LED47" s="344"/>
      <c r="LEE47" s="344"/>
      <c r="LEF47" s="344"/>
      <c r="LEG47" s="344"/>
      <c r="LEH47" s="344"/>
      <c r="LEI47" s="344"/>
      <c r="LEJ47" s="344"/>
      <c r="LEK47" s="344"/>
      <c r="LEL47" s="344"/>
      <c r="LEM47" s="344"/>
      <c r="LEN47" s="344"/>
      <c r="LEO47" s="344"/>
      <c r="LEP47" s="344"/>
      <c r="LEQ47" s="344"/>
      <c r="LER47" s="344"/>
      <c r="LES47" s="344"/>
      <c r="LET47" s="344"/>
      <c r="LEU47" s="344"/>
      <c r="LEV47" s="344"/>
      <c r="LEW47" s="344"/>
      <c r="LEX47" s="344"/>
      <c r="LEY47" s="344"/>
      <c r="LEZ47" s="344"/>
      <c r="LFA47" s="344"/>
      <c r="LFB47" s="344"/>
      <c r="LFC47" s="344"/>
      <c r="LFD47" s="344"/>
      <c r="LFE47" s="344"/>
      <c r="LFF47" s="344"/>
      <c r="LFG47" s="344"/>
      <c r="LFH47" s="344"/>
      <c r="LFI47" s="344"/>
      <c r="LFJ47" s="344"/>
      <c r="LFK47" s="344"/>
      <c r="LFL47" s="344"/>
      <c r="LFM47" s="344"/>
      <c r="LFN47" s="344"/>
      <c r="LFO47" s="344"/>
      <c r="LFP47" s="344"/>
      <c r="LFQ47" s="344"/>
      <c r="LFR47" s="344"/>
      <c r="LFS47" s="344"/>
      <c r="LFT47" s="344"/>
      <c r="LFU47" s="344"/>
      <c r="LFV47" s="344"/>
      <c r="LFW47" s="344"/>
      <c r="LFX47" s="344"/>
      <c r="LFY47" s="344"/>
      <c r="LFZ47" s="344"/>
      <c r="LGA47" s="344"/>
      <c r="LGB47" s="344"/>
      <c r="LGC47" s="344"/>
      <c r="LGD47" s="344"/>
      <c r="LGE47" s="344"/>
      <c r="LGF47" s="344"/>
      <c r="LGG47" s="344"/>
      <c r="LGH47" s="344"/>
      <c r="LGI47" s="344"/>
      <c r="LGJ47" s="344"/>
      <c r="LGK47" s="344"/>
      <c r="LGL47" s="344"/>
      <c r="LGM47" s="344"/>
      <c r="LGN47" s="344"/>
      <c r="LGO47" s="344"/>
      <c r="LGP47" s="344"/>
      <c r="LGQ47" s="344"/>
      <c r="LGR47" s="344"/>
      <c r="LGS47" s="344"/>
      <c r="LGT47" s="344"/>
      <c r="LGU47" s="344"/>
      <c r="LGV47" s="344"/>
      <c r="LGW47" s="344"/>
      <c r="LGX47" s="344"/>
      <c r="LGY47" s="344"/>
      <c r="LGZ47" s="344"/>
      <c r="LHA47" s="344"/>
      <c r="LHB47" s="344"/>
      <c r="LHC47" s="344"/>
      <c r="LHD47" s="344"/>
      <c r="LHE47" s="344"/>
      <c r="LHF47" s="344"/>
      <c r="LHG47" s="344"/>
      <c r="LHH47" s="344"/>
      <c r="LHI47" s="344"/>
      <c r="LHJ47" s="344"/>
      <c r="LHK47" s="344"/>
      <c r="LHL47" s="344"/>
      <c r="LHM47" s="344"/>
      <c r="LHN47" s="344"/>
      <c r="LHO47" s="344"/>
      <c r="LHP47" s="344"/>
      <c r="LHQ47" s="344"/>
      <c r="LHR47" s="344"/>
      <c r="LHS47" s="344"/>
      <c r="LHT47" s="344"/>
      <c r="LHU47" s="344"/>
      <c r="LHV47" s="344"/>
      <c r="LHW47" s="344"/>
      <c r="LHX47" s="344"/>
      <c r="LHY47" s="344"/>
      <c r="LHZ47" s="344"/>
      <c r="LIA47" s="344"/>
      <c r="LIB47" s="344"/>
      <c r="LIC47" s="344"/>
      <c r="LID47" s="344"/>
      <c r="LIE47" s="344"/>
      <c r="LIF47" s="344"/>
      <c r="LIG47" s="344"/>
      <c r="LIH47" s="344"/>
      <c r="LII47" s="344"/>
      <c r="LIJ47" s="344"/>
      <c r="LIK47" s="344"/>
      <c r="LIL47" s="344"/>
      <c r="LIM47" s="344"/>
      <c r="LIN47" s="344"/>
      <c r="LIO47" s="344"/>
      <c r="LIP47" s="344"/>
      <c r="LIQ47" s="344"/>
      <c r="LIR47" s="344"/>
      <c r="LIS47" s="344"/>
      <c r="LIT47" s="344"/>
      <c r="LIU47" s="344"/>
      <c r="LIV47" s="344"/>
      <c r="LIW47" s="344"/>
      <c r="LIX47" s="344"/>
      <c r="LIY47" s="344"/>
      <c r="LIZ47" s="344"/>
      <c r="LJA47" s="344"/>
      <c r="LJB47" s="344"/>
      <c r="LJC47" s="344"/>
      <c r="LJD47" s="344"/>
      <c r="LJE47" s="344"/>
      <c r="LJF47" s="344"/>
      <c r="LJG47" s="344"/>
      <c r="LJH47" s="344"/>
      <c r="LJI47" s="344"/>
      <c r="LJJ47" s="344"/>
      <c r="LJK47" s="344"/>
      <c r="LJL47" s="344"/>
      <c r="LJM47" s="344"/>
      <c r="LJN47" s="344"/>
      <c r="LJO47" s="344"/>
      <c r="LJP47" s="344"/>
      <c r="LJQ47" s="344"/>
      <c r="LJR47" s="344"/>
      <c r="LJS47" s="344"/>
      <c r="LJT47" s="344"/>
      <c r="LJU47" s="344"/>
      <c r="LJV47" s="344"/>
      <c r="LJW47" s="344"/>
      <c r="LJX47" s="344"/>
      <c r="LJY47" s="344"/>
      <c r="LJZ47" s="344"/>
      <c r="LKA47" s="344"/>
      <c r="LKB47" s="344"/>
      <c r="LKC47" s="344"/>
      <c r="LKD47" s="344"/>
      <c r="LKE47" s="344"/>
      <c r="LKF47" s="344"/>
      <c r="LKG47" s="344"/>
      <c r="LKH47" s="344"/>
      <c r="LKI47" s="344"/>
      <c r="LKJ47" s="344"/>
      <c r="LKK47" s="344"/>
      <c r="LKL47" s="344"/>
      <c r="LKM47" s="344"/>
      <c r="LKN47" s="344"/>
      <c r="LKO47" s="344"/>
      <c r="LKP47" s="344"/>
      <c r="LKQ47" s="344"/>
      <c r="LKR47" s="344"/>
      <c r="LKS47" s="344"/>
      <c r="LKT47" s="344"/>
      <c r="LKU47" s="344"/>
      <c r="LKV47" s="344"/>
      <c r="LKW47" s="344"/>
      <c r="LKX47" s="344"/>
      <c r="LKY47" s="344"/>
      <c r="LKZ47" s="344"/>
      <c r="LLA47" s="344"/>
      <c r="LLB47" s="344"/>
      <c r="LLC47" s="344"/>
      <c r="LLD47" s="344"/>
      <c r="LLE47" s="344"/>
      <c r="LLF47" s="344"/>
      <c r="LLG47" s="344"/>
      <c r="LLH47" s="344"/>
      <c r="LLI47" s="344"/>
      <c r="LLJ47" s="344"/>
      <c r="LLK47" s="344"/>
      <c r="LLL47" s="344"/>
      <c r="LLM47" s="344"/>
      <c r="LLN47" s="344"/>
      <c r="LLO47" s="344"/>
      <c r="LLP47" s="344"/>
      <c r="LLQ47" s="344"/>
      <c r="LLR47" s="344"/>
      <c r="LLS47" s="344"/>
      <c r="LLT47" s="344"/>
      <c r="LLU47" s="344"/>
      <c r="LLV47" s="344"/>
      <c r="LLW47" s="344"/>
      <c r="LLX47" s="344"/>
      <c r="LLY47" s="344"/>
      <c r="LLZ47" s="344"/>
      <c r="LMA47" s="344"/>
      <c r="LMB47" s="344"/>
      <c r="LMC47" s="344"/>
      <c r="LMD47" s="344"/>
      <c r="LME47" s="344"/>
      <c r="LMF47" s="344"/>
      <c r="LMG47" s="344"/>
      <c r="LMH47" s="344"/>
      <c r="LMI47" s="344"/>
      <c r="LMJ47" s="344"/>
      <c r="LMK47" s="344"/>
      <c r="LML47" s="344"/>
      <c r="LMM47" s="344"/>
      <c r="LMN47" s="344"/>
      <c r="LMO47" s="344"/>
      <c r="LMP47" s="344"/>
      <c r="LMQ47" s="344"/>
      <c r="LMR47" s="344"/>
      <c r="LMS47" s="344"/>
      <c r="LMT47" s="344"/>
      <c r="LMU47" s="344"/>
      <c r="LMV47" s="344"/>
      <c r="LMW47" s="344"/>
      <c r="LMX47" s="344"/>
      <c r="LMY47" s="344"/>
      <c r="LMZ47" s="344"/>
      <c r="LNA47" s="344"/>
      <c r="LNB47" s="344"/>
      <c r="LNC47" s="344"/>
      <c r="LND47" s="344"/>
      <c r="LNE47" s="344"/>
      <c r="LNF47" s="344"/>
      <c r="LNG47" s="344"/>
      <c r="LNH47" s="344"/>
      <c r="LNI47" s="344"/>
      <c r="LNJ47" s="344"/>
      <c r="LNK47" s="344"/>
      <c r="LNL47" s="344"/>
      <c r="LNM47" s="344"/>
      <c r="LNN47" s="344"/>
      <c r="LNO47" s="344"/>
      <c r="LNP47" s="344"/>
      <c r="LNQ47" s="344"/>
      <c r="LNR47" s="344"/>
      <c r="LNS47" s="344"/>
      <c r="LNT47" s="344"/>
      <c r="LNU47" s="344"/>
      <c r="LNV47" s="344"/>
      <c r="LNW47" s="344"/>
      <c r="LNX47" s="344"/>
      <c r="LNY47" s="344"/>
      <c r="LNZ47" s="344"/>
      <c r="LOA47" s="344"/>
      <c r="LOB47" s="344"/>
      <c r="LOC47" s="344"/>
      <c r="LOD47" s="344"/>
      <c r="LOE47" s="344"/>
      <c r="LOF47" s="344"/>
      <c r="LOG47" s="344"/>
      <c r="LOH47" s="344"/>
      <c r="LOI47" s="344"/>
      <c r="LOJ47" s="344"/>
      <c r="LOK47" s="344"/>
      <c r="LOL47" s="344"/>
      <c r="LOM47" s="344"/>
      <c r="LON47" s="344"/>
      <c r="LOO47" s="344"/>
      <c r="LOP47" s="344"/>
      <c r="LOQ47" s="344"/>
      <c r="LOR47" s="344"/>
      <c r="LOS47" s="344"/>
      <c r="LOT47" s="344"/>
      <c r="LOU47" s="344"/>
      <c r="LOV47" s="344"/>
      <c r="LOW47" s="344"/>
      <c r="LOX47" s="344"/>
      <c r="LOY47" s="344"/>
      <c r="LOZ47" s="344"/>
      <c r="LPA47" s="344"/>
      <c r="LPB47" s="344"/>
      <c r="LPC47" s="344"/>
      <c r="LPD47" s="344"/>
      <c r="LPE47" s="344"/>
      <c r="LPF47" s="344"/>
      <c r="LPG47" s="344"/>
      <c r="LPH47" s="344"/>
      <c r="LPI47" s="344"/>
      <c r="LPJ47" s="344"/>
      <c r="LPK47" s="344"/>
      <c r="LPL47" s="344"/>
      <c r="LPM47" s="344"/>
      <c r="LPN47" s="344"/>
      <c r="LPO47" s="344"/>
      <c r="LPP47" s="344"/>
      <c r="LPQ47" s="344"/>
      <c r="LPR47" s="344"/>
      <c r="LPS47" s="344"/>
      <c r="LPT47" s="344"/>
      <c r="LPU47" s="344"/>
      <c r="LPV47" s="344"/>
      <c r="LPW47" s="344"/>
      <c r="LPX47" s="344"/>
      <c r="LPY47" s="344"/>
      <c r="LPZ47" s="344"/>
      <c r="LQA47" s="344"/>
      <c r="LQB47" s="344"/>
      <c r="LQC47" s="344"/>
      <c r="LQD47" s="344"/>
      <c r="LQE47" s="344"/>
      <c r="LQF47" s="344"/>
      <c r="LQG47" s="344"/>
      <c r="LQH47" s="344"/>
      <c r="LQI47" s="344"/>
      <c r="LQJ47" s="344"/>
      <c r="LQK47" s="344"/>
      <c r="LQL47" s="344"/>
      <c r="LQM47" s="344"/>
      <c r="LQN47" s="344"/>
      <c r="LQO47" s="344"/>
      <c r="LQP47" s="344"/>
      <c r="LQQ47" s="344"/>
      <c r="LQR47" s="344"/>
      <c r="LQS47" s="344"/>
      <c r="LQT47" s="344"/>
      <c r="LQU47" s="344"/>
      <c r="LQV47" s="344"/>
      <c r="LQW47" s="344"/>
      <c r="LQX47" s="344"/>
      <c r="LQY47" s="344"/>
      <c r="LQZ47" s="344"/>
      <c r="LRA47" s="344"/>
      <c r="LRB47" s="344"/>
      <c r="LRC47" s="344"/>
      <c r="LRD47" s="344"/>
      <c r="LRE47" s="344"/>
      <c r="LRF47" s="344"/>
      <c r="LRG47" s="344"/>
      <c r="LRH47" s="344"/>
      <c r="LRI47" s="344"/>
      <c r="LRJ47" s="344"/>
      <c r="LRK47" s="344"/>
      <c r="LRL47" s="344"/>
      <c r="LRM47" s="344"/>
      <c r="LRN47" s="344"/>
      <c r="LRO47" s="344"/>
      <c r="LRP47" s="344"/>
      <c r="LRQ47" s="344"/>
      <c r="LRR47" s="344"/>
      <c r="LRS47" s="344"/>
      <c r="LRT47" s="344"/>
      <c r="LRU47" s="344"/>
      <c r="LRV47" s="344"/>
      <c r="LRW47" s="344"/>
      <c r="LRX47" s="344"/>
      <c r="LRY47" s="344"/>
      <c r="LRZ47" s="344"/>
      <c r="LSA47" s="344"/>
      <c r="LSB47" s="344"/>
      <c r="LSC47" s="344"/>
      <c r="LSD47" s="344"/>
      <c r="LSE47" s="344"/>
      <c r="LSF47" s="344"/>
      <c r="LSG47" s="344"/>
      <c r="LSH47" s="344"/>
      <c r="LSI47" s="344"/>
      <c r="LSJ47" s="344"/>
      <c r="LSK47" s="344"/>
      <c r="LSL47" s="344"/>
      <c r="LSM47" s="344"/>
      <c r="LSN47" s="344"/>
      <c r="LSO47" s="344"/>
      <c r="LSP47" s="344"/>
      <c r="LSQ47" s="344"/>
      <c r="LSR47" s="344"/>
      <c r="LSS47" s="344"/>
      <c r="LST47" s="344"/>
      <c r="LSU47" s="344"/>
      <c r="LSV47" s="344"/>
      <c r="LSW47" s="344"/>
      <c r="LSX47" s="344"/>
      <c r="LSY47" s="344"/>
      <c r="LSZ47" s="344"/>
      <c r="LTA47" s="344"/>
      <c r="LTB47" s="344"/>
      <c r="LTC47" s="344"/>
      <c r="LTD47" s="344"/>
      <c r="LTE47" s="344"/>
      <c r="LTF47" s="344"/>
      <c r="LTG47" s="344"/>
      <c r="LTH47" s="344"/>
      <c r="LTI47" s="344"/>
      <c r="LTJ47" s="344"/>
      <c r="LTK47" s="344"/>
      <c r="LTL47" s="344"/>
      <c r="LTM47" s="344"/>
      <c r="LTN47" s="344"/>
      <c r="LTO47" s="344"/>
      <c r="LTP47" s="344"/>
      <c r="LTQ47" s="344"/>
      <c r="LTR47" s="344"/>
      <c r="LTS47" s="344"/>
      <c r="LTT47" s="344"/>
      <c r="LTU47" s="344"/>
      <c r="LTV47" s="344"/>
      <c r="LTW47" s="344"/>
      <c r="LTX47" s="344"/>
      <c r="LTY47" s="344"/>
      <c r="LTZ47" s="344"/>
      <c r="LUA47" s="344"/>
      <c r="LUB47" s="344"/>
      <c r="LUC47" s="344"/>
      <c r="LUD47" s="344"/>
      <c r="LUE47" s="344"/>
      <c r="LUF47" s="344"/>
      <c r="LUG47" s="344"/>
      <c r="LUH47" s="344"/>
      <c r="LUI47" s="344"/>
      <c r="LUJ47" s="344"/>
      <c r="LUK47" s="344"/>
      <c r="LUL47" s="344"/>
      <c r="LUM47" s="344"/>
      <c r="LUN47" s="344"/>
      <c r="LUO47" s="344"/>
      <c r="LUP47" s="344"/>
      <c r="LUQ47" s="344"/>
      <c r="LUR47" s="344"/>
      <c r="LUS47" s="344"/>
      <c r="LUT47" s="344"/>
      <c r="LUU47" s="344"/>
      <c r="LUV47" s="344"/>
      <c r="LUW47" s="344"/>
      <c r="LUX47" s="344"/>
      <c r="LUY47" s="344"/>
      <c r="LUZ47" s="344"/>
      <c r="LVA47" s="344"/>
      <c r="LVB47" s="344"/>
      <c r="LVC47" s="344"/>
      <c r="LVD47" s="344"/>
      <c r="LVE47" s="344"/>
      <c r="LVF47" s="344"/>
      <c r="LVG47" s="344"/>
      <c r="LVH47" s="344"/>
      <c r="LVI47" s="344"/>
      <c r="LVJ47" s="344"/>
      <c r="LVK47" s="344"/>
      <c r="LVL47" s="344"/>
      <c r="LVM47" s="344"/>
      <c r="LVN47" s="344"/>
      <c r="LVO47" s="344"/>
      <c r="LVP47" s="344"/>
      <c r="LVQ47" s="344"/>
      <c r="LVR47" s="344"/>
      <c r="LVS47" s="344"/>
      <c r="LVT47" s="344"/>
      <c r="LVU47" s="344"/>
      <c r="LVV47" s="344"/>
      <c r="LVW47" s="344"/>
      <c r="LVX47" s="344"/>
      <c r="LVY47" s="344"/>
      <c r="LVZ47" s="344"/>
      <c r="LWA47" s="344"/>
      <c r="LWB47" s="344"/>
      <c r="LWC47" s="344"/>
      <c r="LWD47" s="344"/>
      <c r="LWE47" s="344"/>
      <c r="LWF47" s="344"/>
      <c r="LWG47" s="344"/>
      <c r="LWH47" s="344"/>
      <c r="LWI47" s="344"/>
      <c r="LWJ47" s="344"/>
      <c r="LWK47" s="344"/>
      <c r="LWL47" s="344"/>
      <c r="LWM47" s="344"/>
      <c r="LWN47" s="344"/>
      <c r="LWO47" s="344"/>
      <c r="LWP47" s="344"/>
      <c r="LWQ47" s="344"/>
      <c r="LWR47" s="344"/>
      <c r="LWS47" s="344"/>
      <c r="LWT47" s="344"/>
      <c r="LWU47" s="344"/>
      <c r="LWV47" s="344"/>
      <c r="LWW47" s="344"/>
      <c r="LWX47" s="344"/>
      <c r="LWY47" s="344"/>
      <c r="LWZ47" s="344"/>
      <c r="LXA47" s="344"/>
      <c r="LXB47" s="344"/>
      <c r="LXC47" s="344"/>
      <c r="LXD47" s="344"/>
      <c r="LXE47" s="344"/>
      <c r="LXF47" s="344"/>
      <c r="LXG47" s="344"/>
      <c r="LXH47" s="344"/>
      <c r="LXI47" s="344"/>
      <c r="LXJ47" s="344"/>
      <c r="LXK47" s="344"/>
      <c r="LXL47" s="344"/>
      <c r="LXM47" s="344"/>
      <c r="LXN47" s="344"/>
      <c r="LXO47" s="344"/>
      <c r="LXP47" s="344"/>
      <c r="LXQ47" s="344"/>
      <c r="LXR47" s="344"/>
      <c r="LXS47" s="344"/>
      <c r="LXT47" s="344"/>
      <c r="LXU47" s="344"/>
      <c r="LXV47" s="344"/>
      <c r="LXW47" s="344"/>
      <c r="LXX47" s="344"/>
      <c r="LXY47" s="344"/>
      <c r="LXZ47" s="344"/>
      <c r="LYA47" s="344"/>
      <c r="LYB47" s="344"/>
      <c r="LYC47" s="344"/>
      <c r="LYD47" s="344"/>
      <c r="LYE47" s="344"/>
      <c r="LYF47" s="344"/>
      <c r="LYG47" s="344"/>
      <c r="LYH47" s="344"/>
      <c r="LYI47" s="344"/>
      <c r="LYJ47" s="344"/>
      <c r="LYK47" s="344"/>
      <c r="LYL47" s="344"/>
      <c r="LYM47" s="344"/>
      <c r="LYN47" s="344"/>
      <c r="LYO47" s="344"/>
      <c r="LYP47" s="344"/>
      <c r="LYQ47" s="344"/>
      <c r="LYR47" s="344"/>
      <c r="LYS47" s="344"/>
      <c r="LYT47" s="344"/>
      <c r="LYU47" s="344"/>
      <c r="LYV47" s="344"/>
      <c r="LYW47" s="344"/>
      <c r="LYX47" s="344"/>
      <c r="LYY47" s="344"/>
      <c r="LYZ47" s="344"/>
      <c r="LZA47" s="344"/>
      <c r="LZB47" s="344"/>
      <c r="LZC47" s="344"/>
      <c r="LZD47" s="344"/>
      <c r="LZE47" s="344"/>
      <c r="LZF47" s="344"/>
      <c r="LZG47" s="344"/>
      <c r="LZH47" s="344"/>
      <c r="LZI47" s="344"/>
      <c r="LZJ47" s="344"/>
      <c r="LZK47" s="344"/>
      <c r="LZL47" s="344"/>
      <c r="LZM47" s="344"/>
      <c r="LZN47" s="344"/>
      <c r="LZO47" s="344"/>
      <c r="LZP47" s="344"/>
      <c r="LZQ47" s="344"/>
      <c r="LZR47" s="344"/>
      <c r="LZS47" s="344"/>
      <c r="LZT47" s="344"/>
      <c r="LZU47" s="344"/>
      <c r="LZV47" s="344"/>
      <c r="LZW47" s="344"/>
      <c r="LZX47" s="344"/>
      <c r="LZY47" s="344"/>
      <c r="LZZ47" s="344"/>
      <c r="MAA47" s="344"/>
      <c r="MAB47" s="344"/>
      <c r="MAC47" s="344"/>
      <c r="MAD47" s="344"/>
      <c r="MAE47" s="344"/>
      <c r="MAF47" s="344"/>
      <c r="MAG47" s="344"/>
      <c r="MAH47" s="344"/>
      <c r="MAI47" s="344"/>
      <c r="MAJ47" s="344"/>
      <c r="MAK47" s="344"/>
      <c r="MAL47" s="344"/>
      <c r="MAM47" s="344"/>
      <c r="MAN47" s="344"/>
      <c r="MAO47" s="344"/>
      <c r="MAP47" s="344"/>
      <c r="MAQ47" s="344"/>
      <c r="MAR47" s="344"/>
      <c r="MAS47" s="344"/>
      <c r="MAT47" s="344"/>
      <c r="MAU47" s="344"/>
      <c r="MAV47" s="344"/>
      <c r="MAW47" s="344"/>
      <c r="MAX47" s="344"/>
      <c r="MAY47" s="344"/>
      <c r="MAZ47" s="344"/>
      <c r="MBA47" s="344"/>
      <c r="MBB47" s="344"/>
      <c r="MBC47" s="344"/>
      <c r="MBD47" s="344"/>
      <c r="MBE47" s="344"/>
      <c r="MBF47" s="344"/>
      <c r="MBG47" s="344"/>
      <c r="MBH47" s="344"/>
      <c r="MBI47" s="344"/>
      <c r="MBJ47" s="344"/>
      <c r="MBK47" s="344"/>
      <c r="MBL47" s="344"/>
      <c r="MBM47" s="344"/>
      <c r="MBN47" s="344"/>
      <c r="MBO47" s="344"/>
      <c r="MBP47" s="344"/>
      <c r="MBQ47" s="344"/>
      <c r="MBR47" s="344"/>
      <c r="MBS47" s="344"/>
      <c r="MBT47" s="344"/>
      <c r="MBU47" s="344"/>
      <c r="MBV47" s="344"/>
      <c r="MBW47" s="344"/>
      <c r="MBX47" s="344"/>
      <c r="MBY47" s="344"/>
      <c r="MBZ47" s="344"/>
      <c r="MCA47" s="344"/>
      <c r="MCB47" s="344"/>
      <c r="MCC47" s="344"/>
      <c r="MCD47" s="344"/>
      <c r="MCE47" s="344"/>
      <c r="MCF47" s="344"/>
      <c r="MCG47" s="344"/>
      <c r="MCH47" s="344"/>
      <c r="MCI47" s="344"/>
      <c r="MCJ47" s="344"/>
      <c r="MCK47" s="344"/>
      <c r="MCL47" s="344"/>
      <c r="MCM47" s="344"/>
      <c r="MCN47" s="344"/>
      <c r="MCO47" s="344"/>
      <c r="MCP47" s="344"/>
      <c r="MCQ47" s="344"/>
      <c r="MCR47" s="344"/>
      <c r="MCS47" s="344"/>
      <c r="MCT47" s="344"/>
      <c r="MCU47" s="344"/>
      <c r="MCV47" s="344"/>
      <c r="MCW47" s="344"/>
      <c r="MCX47" s="344"/>
      <c r="MCY47" s="344"/>
      <c r="MCZ47" s="344"/>
      <c r="MDA47" s="344"/>
      <c r="MDB47" s="344"/>
      <c r="MDC47" s="344"/>
      <c r="MDD47" s="344"/>
      <c r="MDE47" s="344"/>
      <c r="MDF47" s="344"/>
      <c r="MDG47" s="344"/>
      <c r="MDH47" s="344"/>
      <c r="MDI47" s="344"/>
      <c r="MDJ47" s="344"/>
      <c r="MDK47" s="344"/>
      <c r="MDL47" s="344"/>
      <c r="MDM47" s="344"/>
      <c r="MDN47" s="344"/>
      <c r="MDO47" s="344"/>
      <c r="MDP47" s="344"/>
      <c r="MDQ47" s="344"/>
      <c r="MDR47" s="344"/>
      <c r="MDS47" s="344"/>
      <c r="MDT47" s="344"/>
      <c r="MDU47" s="344"/>
      <c r="MDV47" s="344"/>
      <c r="MDW47" s="344"/>
      <c r="MDX47" s="344"/>
      <c r="MDY47" s="344"/>
      <c r="MDZ47" s="344"/>
      <c r="MEA47" s="344"/>
      <c r="MEB47" s="344"/>
      <c r="MEC47" s="344"/>
      <c r="MED47" s="344"/>
      <c r="MEE47" s="344"/>
      <c r="MEF47" s="344"/>
      <c r="MEG47" s="344"/>
      <c r="MEH47" s="344"/>
      <c r="MEI47" s="344"/>
      <c r="MEJ47" s="344"/>
      <c r="MEK47" s="344"/>
      <c r="MEL47" s="344"/>
      <c r="MEM47" s="344"/>
      <c r="MEN47" s="344"/>
      <c r="MEO47" s="344"/>
      <c r="MEP47" s="344"/>
      <c r="MEQ47" s="344"/>
      <c r="MER47" s="344"/>
      <c r="MES47" s="344"/>
      <c r="MET47" s="344"/>
      <c r="MEU47" s="344"/>
      <c r="MEV47" s="344"/>
      <c r="MEW47" s="344"/>
      <c r="MEX47" s="344"/>
      <c r="MEY47" s="344"/>
      <c r="MEZ47" s="344"/>
      <c r="MFA47" s="344"/>
      <c r="MFB47" s="344"/>
      <c r="MFC47" s="344"/>
      <c r="MFD47" s="344"/>
      <c r="MFE47" s="344"/>
      <c r="MFF47" s="344"/>
      <c r="MFG47" s="344"/>
      <c r="MFH47" s="344"/>
      <c r="MFI47" s="344"/>
      <c r="MFJ47" s="344"/>
      <c r="MFK47" s="344"/>
      <c r="MFL47" s="344"/>
      <c r="MFM47" s="344"/>
      <c r="MFN47" s="344"/>
      <c r="MFO47" s="344"/>
      <c r="MFP47" s="344"/>
      <c r="MFQ47" s="344"/>
      <c r="MFR47" s="344"/>
      <c r="MFS47" s="344"/>
      <c r="MFT47" s="344"/>
      <c r="MFU47" s="344"/>
      <c r="MFV47" s="344"/>
      <c r="MFW47" s="344"/>
      <c r="MFX47" s="344"/>
      <c r="MFY47" s="344"/>
      <c r="MFZ47" s="344"/>
      <c r="MGA47" s="344"/>
      <c r="MGB47" s="344"/>
      <c r="MGC47" s="344"/>
      <c r="MGD47" s="344"/>
      <c r="MGE47" s="344"/>
      <c r="MGF47" s="344"/>
      <c r="MGG47" s="344"/>
      <c r="MGH47" s="344"/>
      <c r="MGI47" s="344"/>
      <c r="MGJ47" s="344"/>
      <c r="MGK47" s="344"/>
      <c r="MGL47" s="344"/>
      <c r="MGM47" s="344"/>
      <c r="MGN47" s="344"/>
      <c r="MGO47" s="344"/>
      <c r="MGP47" s="344"/>
      <c r="MGQ47" s="344"/>
      <c r="MGR47" s="344"/>
      <c r="MGS47" s="344"/>
      <c r="MGT47" s="344"/>
      <c r="MGU47" s="344"/>
      <c r="MGV47" s="344"/>
      <c r="MGW47" s="344"/>
      <c r="MGX47" s="344"/>
      <c r="MGY47" s="344"/>
      <c r="MGZ47" s="344"/>
      <c r="MHA47" s="344"/>
      <c r="MHB47" s="344"/>
      <c r="MHC47" s="344"/>
      <c r="MHD47" s="344"/>
      <c r="MHE47" s="344"/>
      <c r="MHF47" s="344"/>
      <c r="MHG47" s="344"/>
      <c r="MHH47" s="344"/>
      <c r="MHI47" s="344"/>
      <c r="MHJ47" s="344"/>
      <c r="MHK47" s="344"/>
      <c r="MHL47" s="344"/>
      <c r="MHM47" s="344"/>
      <c r="MHN47" s="344"/>
      <c r="MHO47" s="344"/>
      <c r="MHP47" s="344"/>
      <c r="MHQ47" s="344"/>
      <c r="MHR47" s="344"/>
      <c r="MHS47" s="344"/>
      <c r="MHT47" s="344"/>
      <c r="MHU47" s="344"/>
      <c r="MHV47" s="344"/>
      <c r="MHW47" s="344"/>
      <c r="MHX47" s="344"/>
      <c r="MHY47" s="344"/>
      <c r="MHZ47" s="344"/>
      <c r="MIA47" s="344"/>
      <c r="MIB47" s="344"/>
      <c r="MIC47" s="344"/>
      <c r="MID47" s="344"/>
      <c r="MIE47" s="344"/>
      <c r="MIF47" s="344"/>
      <c r="MIG47" s="344"/>
      <c r="MIH47" s="344"/>
      <c r="MII47" s="344"/>
      <c r="MIJ47" s="344"/>
      <c r="MIK47" s="344"/>
      <c r="MIL47" s="344"/>
      <c r="MIM47" s="344"/>
      <c r="MIN47" s="344"/>
      <c r="MIO47" s="344"/>
      <c r="MIP47" s="344"/>
      <c r="MIQ47" s="344"/>
      <c r="MIR47" s="344"/>
      <c r="MIS47" s="344"/>
      <c r="MIT47" s="344"/>
      <c r="MIU47" s="344"/>
      <c r="MIV47" s="344"/>
      <c r="MIW47" s="344"/>
      <c r="MIX47" s="344"/>
      <c r="MIY47" s="344"/>
      <c r="MIZ47" s="344"/>
      <c r="MJA47" s="344"/>
      <c r="MJB47" s="344"/>
      <c r="MJC47" s="344"/>
      <c r="MJD47" s="344"/>
      <c r="MJE47" s="344"/>
      <c r="MJF47" s="344"/>
      <c r="MJG47" s="344"/>
      <c r="MJH47" s="344"/>
      <c r="MJI47" s="344"/>
      <c r="MJJ47" s="344"/>
      <c r="MJK47" s="344"/>
      <c r="MJL47" s="344"/>
      <c r="MJM47" s="344"/>
      <c r="MJN47" s="344"/>
      <c r="MJO47" s="344"/>
      <c r="MJP47" s="344"/>
      <c r="MJQ47" s="344"/>
      <c r="MJR47" s="344"/>
      <c r="MJS47" s="344"/>
      <c r="MJT47" s="344"/>
      <c r="MJU47" s="344"/>
      <c r="MJV47" s="344"/>
      <c r="MJW47" s="344"/>
      <c r="MJX47" s="344"/>
      <c r="MJY47" s="344"/>
      <c r="MJZ47" s="344"/>
      <c r="MKA47" s="344"/>
      <c r="MKB47" s="344"/>
      <c r="MKC47" s="344"/>
      <c r="MKD47" s="344"/>
      <c r="MKE47" s="344"/>
      <c r="MKF47" s="344"/>
      <c r="MKG47" s="344"/>
      <c r="MKH47" s="344"/>
      <c r="MKI47" s="344"/>
      <c r="MKJ47" s="344"/>
      <c r="MKK47" s="344"/>
      <c r="MKL47" s="344"/>
      <c r="MKM47" s="344"/>
      <c r="MKN47" s="344"/>
      <c r="MKO47" s="344"/>
      <c r="MKP47" s="344"/>
      <c r="MKQ47" s="344"/>
      <c r="MKR47" s="344"/>
      <c r="MKS47" s="344"/>
      <c r="MKT47" s="344"/>
      <c r="MKU47" s="344"/>
      <c r="MKV47" s="344"/>
      <c r="MKW47" s="344"/>
      <c r="MKX47" s="344"/>
      <c r="MKY47" s="344"/>
      <c r="MKZ47" s="344"/>
      <c r="MLA47" s="344"/>
      <c r="MLB47" s="344"/>
      <c r="MLC47" s="344"/>
      <c r="MLD47" s="344"/>
      <c r="MLE47" s="344"/>
      <c r="MLF47" s="344"/>
      <c r="MLG47" s="344"/>
      <c r="MLH47" s="344"/>
      <c r="MLI47" s="344"/>
      <c r="MLJ47" s="344"/>
      <c r="MLK47" s="344"/>
      <c r="MLL47" s="344"/>
      <c r="MLM47" s="344"/>
      <c r="MLN47" s="344"/>
      <c r="MLO47" s="344"/>
      <c r="MLP47" s="344"/>
      <c r="MLQ47" s="344"/>
      <c r="MLR47" s="344"/>
      <c r="MLS47" s="344"/>
      <c r="MLT47" s="344"/>
      <c r="MLU47" s="344"/>
      <c r="MLV47" s="344"/>
      <c r="MLW47" s="344"/>
      <c r="MLX47" s="344"/>
      <c r="MLY47" s="344"/>
      <c r="MLZ47" s="344"/>
      <c r="MMA47" s="344"/>
      <c r="MMB47" s="344"/>
      <c r="MMC47" s="344"/>
      <c r="MMD47" s="344"/>
      <c r="MME47" s="344"/>
      <c r="MMF47" s="344"/>
      <c r="MMG47" s="344"/>
      <c r="MMH47" s="344"/>
      <c r="MMI47" s="344"/>
      <c r="MMJ47" s="344"/>
      <c r="MMK47" s="344"/>
      <c r="MML47" s="344"/>
      <c r="MMM47" s="344"/>
      <c r="MMN47" s="344"/>
      <c r="MMO47" s="344"/>
      <c r="MMP47" s="344"/>
      <c r="MMQ47" s="344"/>
      <c r="MMR47" s="344"/>
      <c r="MMS47" s="344"/>
      <c r="MMT47" s="344"/>
      <c r="MMU47" s="344"/>
      <c r="MMV47" s="344"/>
      <c r="MMW47" s="344"/>
      <c r="MMX47" s="344"/>
      <c r="MMY47" s="344"/>
      <c r="MMZ47" s="344"/>
      <c r="MNA47" s="344"/>
      <c r="MNB47" s="344"/>
      <c r="MNC47" s="344"/>
      <c r="MND47" s="344"/>
      <c r="MNE47" s="344"/>
      <c r="MNF47" s="344"/>
      <c r="MNG47" s="344"/>
      <c r="MNH47" s="344"/>
      <c r="MNI47" s="344"/>
      <c r="MNJ47" s="344"/>
      <c r="MNK47" s="344"/>
      <c r="MNL47" s="344"/>
      <c r="MNM47" s="344"/>
      <c r="MNN47" s="344"/>
      <c r="MNO47" s="344"/>
      <c r="MNP47" s="344"/>
      <c r="MNQ47" s="344"/>
      <c r="MNR47" s="344"/>
      <c r="MNS47" s="344"/>
      <c r="MNT47" s="344"/>
      <c r="MNU47" s="344"/>
      <c r="MNV47" s="344"/>
      <c r="MNW47" s="344"/>
      <c r="MNX47" s="344"/>
      <c r="MNY47" s="344"/>
      <c r="MNZ47" s="344"/>
      <c r="MOA47" s="344"/>
      <c r="MOB47" s="344"/>
      <c r="MOC47" s="344"/>
      <c r="MOD47" s="344"/>
      <c r="MOE47" s="344"/>
      <c r="MOF47" s="344"/>
      <c r="MOG47" s="344"/>
      <c r="MOH47" s="344"/>
      <c r="MOI47" s="344"/>
      <c r="MOJ47" s="344"/>
      <c r="MOK47" s="344"/>
      <c r="MOL47" s="344"/>
      <c r="MOM47" s="344"/>
      <c r="MON47" s="344"/>
      <c r="MOO47" s="344"/>
      <c r="MOP47" s="344"/>
      <c r="MOQ47" s="344"/>
      <c r="MOR47" s="344"/>
      <c r="MOS47" s="344"/>
      <c r="MOT47" s="344"/>
      <c r="MOU47" s="344"/>
      <c r="MOV47" s="344"/>
      <c r="MOW47" s="344"/>
      <c r="MOX47" s="344"/>
      <c r="MOY47" s="344"/>
      <c r="MOZ47" s="344"/>
      <c r="MPA47" s="344"/>
      <c r="MPB47" s="344"/>
      <c r="MPC47" s="344"/>
      <c r="MPD47" s="344"/>
      <c r="MPE47" s="344"/>
      <c r="MPF47" s="344"/>
      <c r="MPG47" s="344"/>
      <c r="MPH47" s="344"/>
      <c r="MPI47" s="344"/>
      <c r="MPJ47" s="344"/>
      <c r="MPK47" s="344"/>
      <c r="MPL47" s="344"/>
      <c r="MPM47" s="344"/>
      <c r="MPN47" s="344"/>
      <c r="MPO47" s="344"/>
      <c r="MPP47" s="344"/>
      <c r="MPQ47" s="344"/>
      <c r="MPR47" s="344"/>
      <c r="MPS47" s="344"/>
      <c r="MPT47" s="344"/>
      <c r="MPU47" s="344"/>
      <c r="MPV47" s="344"/>
      <c r="MPW47" s="344"/>
      <c r="MPX47" s="344"/>
      <c r="MPY47" s="344"/>
      <c r="MPZ47" s="344"/>
      <c r="MQA47" s="344"/>
      <c r="MQB47" s="344"/>
      <c r="MQC47" s="344"/>
      <c r="MQD47" s="344"/>
      <c r="MQE47" s="344"/>
      <c r="MQF47" s="344"/>
      <c r="MQG47" s="344"/>
      <c r="MQH47" s="344"/>
      <c r="MQI47" s="344"/>
      <c r="MQJ47" s="344"/>
      <c r="MQK47" s="344"/>
      <c r="MQL47" s="344"/>
      <c r="MQM47" s="344"/>
      <c r="MQN47" s="344"/>
      <c r="MQO47" s="344"/>
      <c r="MQP47" s="344"/>
      <c r="MQQ47" s="344"/>
      <c r="MQR47" s="344"/>
      <c r="MQS47" s="344"/>
      <c r="MQT47" s="344"/>
      <c r="MQU47" s="344"/>
      <c r="MQV47" s="344"/>
      <c r="MQW47" s="344"/>
      <c r="MQX47" s="344"/>
      <c r="MQY47" s="344"/>
      <c r="MQZ47" s="344"/>
      <c r="MRA47" s="344"/>
      <c r="MRB47" s="344"/>
      <c r="MRC47" s="344"/>
      <c r="MRD47" s="344"/>
      <c r="MRE47" s="344"/>
      <c r="MRF47" s="344"/>
      <c r="MRG47" s="344"/>
      <c r="MRH47" s="344"/>
      <c r="MRI47" s="344"/>
      <c r="MRJ47" s="344"/>
      <c r="MRK47" s="344"/>
      <c r="MRL47" s="344"/>
      <c r="MRM47" s="344"/>
      <c r="MRN47" s="344"/>
      <c r="MRO47" s="344"/>
      <c r="MRP47" s="344"/>
      <c r="MRQ47" s="344"/>
      <c r="MRR47" s="344"/>
      <c r="MRS47" s="344"/>
      <c r="MRT47" s="344"/>
      <c r="MRU47" s="344"/>
      <c r="MRV47" s="344"/>
      <c r="MRW47" s="344"/>
      <c r="MRX47" s="344"/>
      <c r="MRY47" s="344"/>
      <c r="MRZ47" s="344"/>
      <c r="MSA47" s="344"/>
      <c r="MSB47" s="344"/>
      <c r="MSC47" s="344"/>
      <c r="MSD47" s="344"/>
      <c r="MSE47" s="344"/>
      <c r="MSF47" s="344"/>
      <c r="MSG47" s="344"/>
      <c r="MSH47" s="344"/>
      <c r="MSI47" s="344"/>
      <c r="MSJ47" s="344"/>
      <c r="MSK47" s="344"/>
      <c r="MSL47" s="344"/>
      <c r="MSM47" s="344"/>
      <c r="MSN47" s="344"/>
      <c r="MSO47" s="344"/>
      <c r="MSP47" s="344"/>
      <c r="MSQ47" s="344"/>
      <c r="MSR47" s="344"/>
      <c r="MSS47" s="344"/>
      <c r="MST47" s="344"/>
      <c r="MSU47" s="344"/>
      <c r="MSV47" s="344"/>
      <c r="MSW47" s="344"/>
      <c r="MSX47" s="344"/>
      <c r="MSY47" s="344"/>
      <c r="MSZ47" s="344"/>
      <c r="MTA47" s="344"/>
      <c r="MTB47" s="344"/>
      <c r="MTC47" s="344"/>
      <c r="MTD47" s="344"/>
      <c r="MTE47" s="344"/>
      <c r="MTF47" s="344"/>
      <c r="MTG47" s="344"/>
      <c r="MTH47" s="344"/>
      <c r="MTI47" s="344"/>
      <c r="MTJ47" s="344"/>
      <c r="MTK47" s="344"/>
      <c r="MTL47" s="344"/>
      <c r="MTM47" s="344"/>
      <c r="MTN47" s="344"/>
      <c r="MTO47" s="344"/>
      <c r="MTP47" s="344"/>
      <c r="MTQ47" s="344"/>
      <c r="MTR47" s="344"/>
      <c r="MTS47" s="344"/>
      <c r="MTT47" s="344"/>
      <c r="MTU47" s="344"/>
      <c r="MTV47" s="344"/>
      <c r="MTW47" s="344"/>
      <c r="MTX47" s="344"/>
      <c r="MTY47" s="344"/>
      <c r="MTZ47" s="344"/>
      <c r="MUA47" s="344"/>
      <c r="MUB47" s="344"/>
      <c r="MUC47" s="344"/>
      <c r="MUD47" s="344"/>
      <c r="MUE47" s="344"/>
      <c r="MUF47" s="344"/>
      <c r="MUG47" s="344"/>
      <c r="MUH47" s="344"/>
      <c r="MUI47" s="344"/>
      <c r="MUJ47" s="344"/>
      <c r="MUK47" s="344"/>
      <c r="MUL47" s="344"/>
      <c r="MUM47" s="344"/>
      <c r="MUN47" s="344"/>
      <c r="MUO47" s="344"/>
      <c r="MUP47" s="344"/>
      <c r="MUQ47" s="344"/>
      <c r="MUR47" s="344"/>
      <c r="MUS47" s="344"/>
      <c r="MUT47" s="344"/>
      <c r="MUU47" s="344"/>
      <c r="MUV47" s="344"/>
      <c r="MUW47" s="344"/>
      <c r="MUX47" s="344"/>
      <c r="MUY47" s="344"/>
      <c r="MUZ47" s="344"/>
      <c r="MVA47" s="344"/>
      <c r="MVB47" s="344"/>
      <c r="MVC47" s="344"/>
      <c r="MVD47" s="344"/>
      <c r="MVE47" s="344"/>
      <c r="MVF47" s="344"/>
      <c r="MVG47" s="344"/>
      <c r="MVH47" s="344"/>
      <c r="MVI47" s="344"/>
      <c r="MVJ47" s="344"/>
      <c r="MVK47" s="344"/>
      <c r="MVL47" s="344"/>
      <c r="MVM47" s="344"/>
      <c r="MVN47" s="344"/>
      <c r="MVO47" s="344"/>
      <c r="MVP47" s="344"/>
      <c r="MVQ47" s="344"/>
      <c r="MVR47" s="344"/>
      <c r="MVS47" s="344"/>
      <c r="MVT47" s="344"/>
      <c r="MVU47" s="344"/>
      <c r="MVV47" s="344"/>
      <c r="MVW47" s="344"/>
      <c r="MVX47" s="344"/>
      <c r="MVY47" s="344"/>
      <c r="MVZ47" s="344"/>
      <c r="MWA47" s="344"/>
      <c r="MWB47" s="344"/>
      <c r="MWC47" s="344"/>
      <c r="MWD47" s="344"/>
      <c r="MWE47" s="344"/>
      <c r="MWF47" s="344"/>
      <c r="MWG47" s="344"/>
      <c r="MWH47" s="344"/>
      <c r="MWI47" s="344"/>
      <c r="MWJ47" s="344"/>
      <c r="MWK47" s="344"/>
      <c r="MWL47" s="344"/>
      <c r="MWM47" s="344"/>
      <c r="MWN47" s="344"/>
      <c r="MWO47" s="344"/>
      <c r="MWP47" s="344"/>
      <c r="MWQ47" s="344"/>
      <c r="MWR47" s="344"/>
      <c r="MWS47" s="344"/>
      <c r="MWT47" s="344"/>
      <c r="MWU47" s="344"/>
      <c r="MWV47" s="344"/>
      <c r="MWW47" s="344"/>
      <c r="MWX47" s="344"/>
      <c r="MWY47" s="344"/>
      <c r="MWZ47" s="344"/>
      <c r="MXA47" s="344"/>
      <c r="MXB47" s="344"/>
      <c r="MXC47" s="344"/>
      <c r="MXD47" s="344"/>
      <c r="MXE47" s="344"/>
      <c r="MXF47" s="344"/>
      <c r="MXG47" s="344"/>
      <c r="MXH47" s="344"/>
      <c r="MXI47" s="344"/>
      <c r="MXJ47" s="344"/>
      <c r="MXK47" s="344"/>
      <c r="MXL47" s="344"/>
      <c r="MXM47" s="344"/>
      <c r="MXN47" s="344"/>
      <c r="MXO47" s="344"/>
      <c r="MXP47" s="344"/>
      <c r="MXQ47" s="344"/>
      <c r="MXR47" s="344"/>
      <c r="MXS47" s="344"/>
      <c r="MXT47" s="344"/>
      <c r="MXU47" s="344"/>
      <c r="MXV47" s="344"/>
      <c r="MXW47" s="344"/>
      <c r="MXX47" s="344"/>
      <c r="MXY47" s="344"/>
      <c r="MXZ47" s="344"/>
      <c r="MYA47" s="344"/>
      <c r="MYB47" s="344"/>
      <c r="MYC47" s="344"/>
      <c r="MYD47" s="344"/>
      <c r="MYE47" s="344"/>
      <c r="MYF47" s="344"/>
      <c r="MYG47" s="344"/>
      <c r="MYH47" s="344"/>
      <c r="MYI47" s="344"/>
      <c r="MYJ47" s="344"/>
      <c r="MYK47" s="344"/>
      <c r="MYL47" s="344"/>
      <c r="MYM47" s="344"/>
      <c r="MYN47" s="344"/>
      <c r="MYO47" s="344"/>
      <c r="MYP47" s="344"/>
      <c r="MYQ47" s="344"/>
      <c r="MYR47" s="344"/>
      <c r="MYS47" s="344"/>
      <c r="MYT47" s="344"/>
      <c r="MYU47" s="344"/>
      <c r="MYV47" s="344"/>
      <c r="MYW47" s="344"/>
      <c r="MYX47" s="344"/>
      <c r="MYY47" s="344"/>
      <c r="MYZ47" s="344"/>
      <c r="MZA47" s="344"/>
      <c r="MZB47" s="344"/>
      <c r="MZC47" s="344"/>
      <c r="MZD47" s="344"/>
      <c r="MZE47" s="344"/>
      <c r="MZF47" s="344"/>
      <c r="MZG47" s="344"/>
      <c r="MZH47" s="344"/>
      <c r="MZI47" s="344"/>
      <c r="MZJ47" s="344"/>
      <c r="MZK47" s="344"/>
      <c r="MZL47" s="344"/>
      <c r="MZM47" s="344"/>
      <c r="MZN47" s="344"/>
      <c r="MZO47" s="344"/>
      <c r="MZP47" s="344"/>
      <c r="MZQ47" s="344"/>
      <c r="MZR47" s="344"/>
      <c r="MZS47" s="344"/>
      <c r="MZT47" s="344"/>
      <c r="MZU47" s="344"/>
      <c r="MZV47" s="344"/>
      <c r="MZW47" s="344"/>
      <c r="MZX47" s="344"/>
      <c r="MZY47" s="344"/>
      <c r="MZZ47" s="344"/>
      <c r="NAA47" s="344"/>
      <c r="NAB47" s="344"/>
      <c r="NAC47" s="344"/>
      <c r="NAD47" s="344"/>
      <c r="NAE47" s="344"/>
      <c r="NAF47" s="344"/>
      <c r="NAG47" s="344"/>
      <c r="NAH47" s="344"/>
      <c r="NAI47" s="344"/>
      <c r="NAJ47" s="344"/>
      <c r="NAK47" s="344"/>
      <c r="NAL47" s="344"/>
      <c r="NAM47" s="344"/>
      <c r="NAN47" s="344"/>
      <c r="NAO47" s="344"/>
      <c r="NAP47" s="344"/>
      <c r="NAQ47" s="344"/>
      <c r="NAR47" s="344"/>
      <c r="NAS47" s="344"/>
      <c r="NAT47" s="344"/>
      <c r="NAU47" s="344"/>
      <c r="NAV47" s="344"/>
      <c r="NAW47" s="344"/>
      <c r="NAX47" s="344"/>
      <c r="NAY47" s="344"/>
      <c r="NAZ47" s="344"/>
      <c r="NBA47" s="344"/>
      <c r="NBB47" s="344"/>
      <c r="NBC47" s="344"/>
      <c r="NBD47" s="344"/>
      <c r="NBE47" s="344"/>
      <c r="NBF47" s="344"/>
      <c r="NBG47" s="344"/>
      <c r="NBH47" s="344"/>
      <c r="NBI47" s="344"/>
      <c r="NBJ47" s="344"/>
      <c r="NBK47" s="344"/>
      <c r="NBL47" s="344"/>
      <c r="NBM47" s="344"/>
      <c r="NBN47" s="344"/>
      <c r="NBO47" s="344"/>
      <c r="NBP47" s="344"/>
      <c r="NBQ47" s="344"/>
      <c r="NBR47" s="344"/>
      <c r="NBS47" s="344"/>
      <c r="NBT47" s="344"/>
      <c r="NBU47" s="344"/>
      <c r="NBV47" s="344"/>
      <c r="NBW47" s="344"/>
      <c r="NBX47" s="344"/>
      <c r="NBY47" s="344"/>
      <c r="NBZ47" s="344"/>
      <c r="NCA47" s="344"/>
      <c r="NCB47" s="344"/>
      <c r="NCC47" s="344"/>
      <c r="NCD47" s="344"/>
      <c r="NCE47" s="344"/>
      <c r="NCF47" s="344"/>
      <c r="NCG47" s="344"/>
      <c r="NCH47" s="344"/>
      <c r="NCI47" s="344"/>
      <c r="NCJ47" s="344"/>
      <c r="NCK47" s="344"/>
      <c r="NCL47" s="344"/>
      <c r="NCM47" s="344"/>
      <c r="NCN47" s="344"/>
      <c r="NCO47" s="344"/>
      <c r="NCP47" s="344"/>
      <c r="NCQ47" s="344"/>
      <c r="NCR47" s="344"/>
      <c r="NCS47" s="344"/>
      <c r="NCT47" s="344"/>
      <c r="NCU47" s="344"/>
      <c r="NCV47" s="344"/>
      <c r="NCW47" s="344"/>
      <c r="NCX47" s="344"/>
      <c r="NCY47" s="344"/>
      <c r="NCZ47" s="344"/>
      <c r="NDA47" s="344"/>
      <c r="NDB47" s="344"/>
      <c r="NDC47" s="344"/>
      <c r="NDD47" s="344"/>
      <c r="NDE47" s="344"/>
      <c r="NDF47" s="344"/>
      <c r="NDG47" s="344"/>
      <c r="NDH47" s="344"/>
      <c r="NDI47" s="344"/>
      <c r="NDJ47" s="344"/>
      <c r="NDK47" s="344"/>
      <c r="NDL47" s="344"/>
      <c r="NDM47" s="344"/>
      <c r="NDN47" s="344"/>
      <c r="NDO47" s="344"/>
      <c r="NDP47" s="344"/>
      <c r="NDQ47" s="344"/>
      <c r="NDR47" s="344"/>
      <c r="NDS47" s="344"/>
      <c r="NDT47" s="344"/>
      <c r="NDU47" s="344"/>
      <c r="NDV47" s="344"/>
      <c r="NDW47" s="344"/>
      <c r="NDX47" s="344"/>
      <c r="NDY47" s="344"/>
      <c r="NDZ47" s="344"/>
      <c r="NEA47" s="344"/>
      <c r="NEB47" s="344"/>
      <c r="NEC47" s="344"/>
      <c r="NED47" s="344"/>
      <c r="NEE47" s="344"/>
      <c r="NEF47" s="344"/>
      <c r="NEG47" s="344"/>
      <c r="NEH47" s="344"/>
      <c r="NEI47" s="344"/>
      <c r="NEJ47" s="344"/>
      <c r="NEK47" s="344"/>
      <c r="NEL47" s="344"/>
      <c r="NEM47" s="344"/>
      <c r="NEN47" s="344"/>
      <c r="NEO47" s="344"/>
      <c r="NEP47" s="344"/>
      <c r="NEQ47" s="344"/>
      <c r="NER47" s="344"/>
      <c r="NES47" s="344"/>
      <c r="NET47" s="344"/>
      <c r="NEU47" s="344"/>
      <c r="NEV47" s="344"/>
      <c r="NEW47" s="344"/>
      <c r="NEX47" s="344"/>
      <c r="NEY47" s="344"/>
      <c r="NEZ47" s="344"/>
      <c r="NFA47" s="344"/>
      <c r="NFB47" s="344"/>
      <c r="NFC47" s="344"/>
      <c r="NFD47" s="344"/>
      <c r="NFE47" s="344"/>
      <c r="NFF47" s="344"/>
      <c r="NFG47" s="344"/>
      <c r="NFH47" s="344"/>
      <c r="NFI47" s="344"/>
      <c r="NFJ47" s="344"/>
      <c r="NFK47" s="344"/>
      <c r="NFL47" s="344"/>
      <c r="NFM47" s="344"/>
      <c r="NFN47" s="344"/>
      <c r="NFO47" s="344"/>
      <c r="NFP47" s="344"/>
      <c r="NFQ47" s="344"/>
      <c r="NFR47" s="344"/>
      <c r="NFS47" s="344"/>
      <c r="NFT47" s="344"/>
      <c r="NFU47" s="344"/>
      <c r="NFV47" s="344"/>
      <c r="NFW47" s="344"/>
      <c r="NFX47" s="344"/>
      <c r="NFY47" s="344"/>
      <c r="NFZ47" s="344"/>
      <c r="NGA47" s="344"/>
      <c r="NGB47" s="344"/>
      <c r="NGC47" s="344"/>
      <c r="NGD47" s="344"/>
      <c r="NGE47" s="344"/>
      <c r="NGF47" s="344"/>
      <c r="NGG47" s="344"/>
      <c r="NGH47" s="344"/>
      <c r="NGI47" s="344"/>
      <c r="NGJ47" s="344"/>
      <c r="NGK47" s="344"/>
      <c r="NGL47" s="344"/>
      <c r="NGM47" s="344"/>
      <c r="NGN47" s="344"/>
      <c r="NGO47" s="344"/>
      <c r="NGP47" s="344"/>
      <c r="NGQ47" s="344"/>
      <c r="NGR47" s="344"/>
      <c r="NGS47" s="344"/>
      <c r="NGT47" s="344"/>
      <c r="NGU47" s="344"/>
      <c r="NGV47" s="344"/>
      <c r="NGW47" s="344"/>
      <c r="NGX47" s="344"/>
      <c r="NGY47" s="344"/>
      <c r="NGZ47" s="344"/>
      <c r="NHA47" s="344"/>
      <c r="NHB47" s="344"/>
      <c r="NHC47" s="344"/>
      <c r="NHD47" s="344"/>
      <c r="NHE47" s="344"/>
      <c r="NHF47" s="344"/>
      <c r="NHG47" s="344"/>
      <c r="NHH47" s="344"/>
      <c r="NHI47" s="344"/>
      <c r="NHJ47" s="344"/>
      <c r="NHK47" s="344"/>
      <c r="NHL47" s="344"/>
      <c r="NHM47" s="344"/>
      <c r="NHN47" s="344"/>
      <c r="NHO47" s="344"/>
      <c r="NHP47" s="344"/>
      <c r="NHQ47" s="344"/>
      <c r="NHR47" s="344"/>
      <c r="NHS47" s="344"/>
      <c r="NHT47" s="344"/>
      <c r="NHU47" s="344"/>
      <c r="NHV47" s="344"/>
      <c r="NHW47" s="344"/>
      <c r="NHX47" s="344"/>
      <c r="NHY47" s="344"/>
      <c r="NHZ47" s="344"/>
      <c r="NIA47" s="344"/>
      <c r="NIB47" s="344"/>
      <c r="NIC47" s="344"/>
      <c r="NID47" s="344"/>
      <c r="NIE47" s="344"/>
      <c r="NIF47" s="344"/>
      <c r="NIG47" s="344"/>
      <c r="NIH47" s="344"/>
      <c r="NII47" s="344"/>
      <c r="NIJ47" s="344"/>
      <c r="NIK47" s="344"/>
      <c r="NIL47" s="344"/>
      <c r="NIM47" s="344"/>
      <c r="NIN47" s="344"/>
      <c r="NIO47" s="344"/>
      <c r="NIP47" s="344"/>
      <c r="NIQ47" s="344"/>
      <c r="NIR47" s="344"/>
      <c r="NIS47" s="344"/>
      <c r="NIT47" s="344"/>
      <c r="NIU47" s="344"/>
      <c r="NIV47" s="344"/>
      <c r="NIW47" s="344"/>
      <c r="NIX47" s="344"/>
      <c r="NIY47" s="344"/>
      <c r="NIZ47" s="344"/>
      <c r="NJA47" s="344"/>
      <c r="NJB47" s="344"/>
      <c r="NJC47" s="344"/>
      <c r="NJD47" s="344"/>
      <c r="NJE47" s="344"/>
      <c r="NJF47" s="344"/>
      <c r="NJG47" s="344"/>
      <c r="NJH47" s="344"/>
      <c r="NJI47" s="344"/>
      <c r="NJJ47" s="344"/>
      <c r="NJK47" s="344"/>
      <c r="NJL47" s="344"/>
      <c r="NJM47" s="344"/>
      <c r="NJN47" s="344"/>
      <c r="NJO47" s="344"/>
      <c r="NJP47" s="344"/>
      <c r="NJQ47" s="344"/>
      <c r="NJR47" s="344"/>
      <c r="NJS47" s="344"/>
      <c r="NJT47" s="344"/>
      <c r="NJU47" s="344"/>
      <c r="NJV47" s="344"/>
      <c r="NJW47" s="344"/>
      <c r="NJX47" s="344"/>
      <c r="NJY47" s="344"/>
      <c r="NJZ47" s="344"/>
      <c r="NKA47" s="344"/>
      <c r="NKB47" s="344"/>
      <c r="NKC47" s="344"/>
      <c r="NKD47" s="344"/>
      <c r="NKE47" s="344"/>
      <c r="NKF47" s="344"/>
      <c r="NKG47" s="344"/>
      <c r="NKH47" s="344"/>
      <c r="NKI47" s="344"/>
      <c r="NKJ47" s="344"/>
      <c r="NKK47" s="344"/>
      <c r="NKL47" s="344"/>
      <c r="NKM47" s="344"/>
      <c r="NKN47" s="344"/>
      <c r="NKO47" s="344"/>
      <c r="NKP47" s="344"/>
      <c r="NKQ47" s="344"/>
      <c r="NKR47" s="344"/>
      <c r="NKS47" s="344"/>
      <c r="NKT47" s="344"/>
      <c r="NKU47" s="344"/>
      <c r="NKV47" s="344"/>
      <c r="NKW47" s="344"/>
      <c r="NKX47" s="344"/>
      <c r="NKY47" s="344"/>
      <c r="NKZ47" s="344"/>
      <c r="NLA47" s="344"/>
      <c r="NLB47" s="344"/>
      <c r="NLC47" s="344"/>
      <c r="NLD47" s="344"/>
      <c r="NLE47" s="344"/>
      <c r="NLF47" s="344"/>
      <c r="NLG47" s="344"/>
      <c r="NLH47" s="344"/>
      <c r="NLI47" s="344"/>
      <c r="NLJ47" s="344"/>
      <c r="NLK47" s="344"/>
      <c r="NLL47" s="344"/>
      <c r="NLM47" s="344"/>
      <c r="NLN47" s="344"/>
      <c r="NLO47" s="344"/>
      <c r="NLP47" s="344"/>
      <c r="NLQ47" s="344"/>
      <c r="NLR47" s="344"/>
      <c r="NLS47" s="344"/>
      <c r="NLT47" s="344"/>
      <c r="NLU47" s="344"/>
      <c r="NLV47" s="344"/>
      <c r="NLW47" s="344"/>
      <c r="NLX47" s="344"/>
      <c r="NLY47" s="344"/>
      <c r="NLZ47" s="344"/>
      <c r="NMA47" s="344"/>
      <c r="NMB47" s="344"/>
      <c r="NMC47" s="344"/>
      <c r="NMD47" s="344"/>
      <c r="NME47" s="344"/>
      <c r="NMF47" s="344"/>
      <c r="NMG47" s="344"/>
      <c r="NMH47" s="344"/>
      <c r="NMI47" s="344"/>
      <c r="NMJ47" s="344"/>
      <c r="NMK47" s="344"/>
      <c r="NML47" s="344"/>
      <c r="NMM47" s="344"/>
      <c r="NMN47" s="344"/>
      <c r="NMO47" s="344"/>
      <c r="NMP47" s="344"/>
      <c r="NMQ47" s="344"/>
      <c r="NMR47" s="344"/>
      <c r="NMS47" s="344"/>
      <c r="NMT47" s="344"/>
      <c r="NMU47" s="344"/>
      <c r="NMV47" s="344"/>
      <c r="NMW47" s="344"/>
      <c r="NMX47" s="344"/>
      <c r="NMY47" s="344"/>
      <c r="NMZ47" s="344"/>
      <c r="NNA47" s="344"/>
      <c r="NNB47" s="344"/>
      <c r="NNC47" s="344"/>
      <c r="NND47" s="344"/>
      <c r="NNE47" s="344"/>
      <c r="NNF47" s="344"/>
      <c r="NNG47" s="344"/>
      <c r="NNH47" s="344"/>
      <c r="NNI47" s="344"/>
      <c r="NNJ47" s="344"/>
      <c r="NNK47" s="344"/>
      <c r="NNL47" s="344"/>
      <c r="NNM47" s="344"/>
      <c r="NNN47" s="344"/>
      <c r="NNO47" s="344"/>
      <c r="NNP47" s="344"/>
      <c r="NNQ47" s="344"/>
      <c r="NNR47" s="344"/>
      <c r="NNS47" s="344"/>
      <c r="NNT47" s="344"/>
      <c r="NNU47" s="344"/>
      <c r="NNV47" s="344"/>
      <c r="NNW47" s="344"/>
      <c r="NNX47" s="344"/>
      <c r="NNY47" s="344"/>
      <c r="NNZ47" s="344"/>
      <c r="NOA47" s="344"/>
      <c r="NOB47" s="344"/>
      <c r="NOC47" s="344"/>
      <c r="NOD47" s="344"/>
      <c r="NOE47" s="344"/>
      <c r="NOF47" s="344"/>
      <c r="NOG47" s="344"/>
      <c r="NOH47" s="344"/>
      <c r="NOI47" s="344"/>
      <c r="NOJ47" s="344"/>
      <c r="NOK47" s="344"/>
      <c r="NOL47" s="344"/>
      <c r="NOM47" s="344"/>
      <c r="NON47" s="344"/>
      <c r="NOO47" s="344"/>
      <c r="NOP47" s="344"/>
      <c r="NOQ47" s="344"/>
      <c r="NOR47" s="344"/>
      <c r="NOS47" s="344"/>
      <c r="NOT47" s="344"/>
      <c r="NOU47" s="344"/>
      <c r="NOV47" s="344"/>
      <c r="NOW47" s="344"/>
      <c r="NOX47" s="344"/>
      <c r="NOY47" s="344"/>
      <c r="NOZ47" s="344"/>
      <c r="NPA47" s="344"/>
      <c r="NPB47" s="344"/>
      <c r="NPC47" s="344"/>
      <c r="NPD47" s="344"/>
      <c r="NPE47" s="344"/>
      <c r="NPF47" s="344"/>
      <c r="NPG47" s="344"/>
      <c r="NPH47" s="344"/>
      <c r="NPI47" s="344"/>
      <c r="NPJ47" s="344"/>
      <c r="NPK47" s="344"/>
      <c r="NPL47" s="344"/>
      <c r="NPM47" s="344"/>
      <c r="NPN47" s="344"/>
      <c r="NPO47" s="344"/>
      <c r="NPP47" s="344"/>
      <c r="NPQ47" s="344"/>
      <c r="NPR47" s="344"/>
      <c r="NPS47" s="344"/>
      <c r="NPT47" s="344"/>
      <c r="NPU47" s="344"/>
      <c r="NPV47" s="344"/>
      <c r="NPW47" s="344"/>
      <c r="NPX47" s="344"/>
      <c r="NPY47" s="344"/>
      <c r="NPZ47" s="344"/>
      <c r="NQA47" s="344"/>
      <c r="NQB47" s="344"/>
      <c r="NQC47" s="344"/>
      <c r="NQD47" s="344"/>
      <c r="NQE47" s="344"/>
      <c r="NQF47" s="344"/>
      <c r="NQG47" s="344"/>
      <c r="NQH47" s="344"/>
      <c r="NQI47" s="344"/>
      <c r="NQJ47" s="344"/>
      <c r="NQK47" s="344"/>
      <c r="NQL47" s="344"/>
      <c r="NQM47" s="344"/>
      <c r="NQN47" s="344"/>
      <c r="NQO47" s="344"/>
      <c r="NQP47" s="344"/>
      <c r="NQQ47" s="344"/>
      <c r="NQR47" s="344"/>
      <c r="NQS47" s="344"/>
      <c r="NQT47" s="344"/>
      <c r="NQU47" s="344"/>
      <c r="NQV47" s="344"/>
      <c r="NQW47" s="344"/>
      <c r="NQX47" s="344"/>
      <c r="NQY47" s="344"/>
      <c r="NQZ47" s="344"/>
      <c r="NRA47" s="344"/>
      <c r="NRB47" s="344"/>
      <c r="NRC47" s="344"/>
      <c r="NRD47" s="344"/>
      <c r="NRE47" s="344"/>
      <c r="NRF47" s="344"/>
      <c r="NRG47" s="344"/>
      <c r="NRH47" s="344"/>
      <c r="NRI47" s="344"/>
      <c r="NRJ47" s="344"/>
      <c r="NRK47" s="344"/>
      <c r="NRL47" s="344"/>
      <c r="NRM47" s="344"/>
      <c r="NRN47" s="344"/>
      <c r="NRO47" s="344"/>
      <c r="NRP47" s="344"/>
      <c r="NRQ47" s="344"/>
      <c r="NRR47" s="344"/>
      <c r="NRS47" s="344"/>
      <c r="NRT47" s="344"/>
      <c r="NRU47" s="344"/>
      <c r="NRV47" s="344"/>
      <c r="NRW47" s="344"/>
      <c r="NRX47" s="344"/>
      <c r="NRY47" s="344"/>
      <c r="NRZ47" s="344"/>
      <c r="NSA47" s="344"/>
      <c r="NSB47" s="344"/>
      <c r="NSC47" s="344"/>
      <c r="NSD47" s="344"/>
      <c r="NSE47" s="344"/>
      <c r="NSF47" s="344"/>
      <c r="NSG47" s="344"/>
      <c r="NSH47" s="344"/>
      <c r="NSI47" s="344"/>
      <c r="NSJ47" s="344"/>
      <c r="NSK47" s="344"/>
      <c r="NSL47" s="344"/>
      <c r="NSM47" s="344"/>
      <c r="NSN47" s="344"/>
      <c r="NSO47" s="344"/>
      <c r="NSP47" s="344"/>
      <c r="NSQ47" s="344"/>
      <c r="NSR47" s="344"/>
      <c r="NSS47" s="344"/>
      <c r="NST47" s="344"/>
      <c r="NSU47" s="344"/>
      <c r="NSV47" s="344"/>
      <c r="NSW47" s="344"/>
      <c r="NSX47" s="344"/>
      <c r="NSY47" s="344"/>
      <c r="NSZ47" s="344"/>
      <c r="NTA47" s="344"/>
      <c r="NTB47" s="344"/>
      <c r="NTC47" s="344"/>
      <c r="NTD47" s="344"/>
      <c r="NTE47" s="344"/>
      <c r="NTF47" s="344"/>
      <c r="NTG47" s="344"/>
      <c r="NTH47" s="344"/>
      <c r="NTI47" s="344"/>
      <c r="NTJ47" s="344"/>
      <c r="NTK47" s="344"/>
      <c r="NTL47" s="344"/>
      <c r="NTM47" s="344"/>
      <c r="NTN47" s="344"/>
      <c r="NTO47" s="344"/>
      <c r="NTP47" s="344"/>
      <c r="NTQ47" s="344"/>
      <c r="NTR47" s="344"/>
      <c r="NTS47" s="344"/>
      <c r="NTT47" s="344"/>
      <c r="NTU47" s="344"/>
      <c r="NTV47" s="344"/>
      <c r="NTW47" s="344"/>
      <c r="NTX47" s="344"/>
      <c r="NTY47" s="344"/>
      <c r="NTZ47" s="344"/>
      <c r="NUA47" s="344"/>
      <c r="NUB47" s="344"/>
      <c r="NUC47" s="344"/>
      <c r="NUD47" s="344"/>
      <c r="NUE47" s="344"/>
      <c r="NUF47" s="344"/>
      <c r="NUG47" s="344"/>
      <c r="NUH47" s="344"/>
      <c r="NUI47" s="344"/>
      <c r="NUJ47" s="344"/>
      <c r="NUK47" s="344"/>
      <c r="NUL47" s="344"/>
      <c r="NUM47" s="344"/>
      <c r="NUN47" s="344"/>
      <c r="NUO47" s="344"/>
      <c r="NUP47" s="344"/>
      <c r="NUQ47" s="344"/>
      <c r="NUR47" s="344"/>
      <c r="NUS47" s="344"/>
      <c r="NUT47" s="344"/>
      <c r="NUU47" s="344"/>
      <c r="NUV47" s="344"/>
      <c r="NUW47" s="344"/>
      <c r="NUX47" s="344"/>
      <c r="NUY47" s="344"/>
      <c r="NUZ47" s="344"/>
      <c r="NVA47" s="344"/>
      <c r="NVB47" s="344"/>
      <c r="NVC47" s="344"/>
      <c r="NVD47" s="344"/>
      <c r="NVE47" s="344"/>
      <c r="NVF47" s="344"/>
      <c r="NVG47" s="344"/>
      <c r="NVH47" s="344"/>
      <c r="NVI47" s="344"/>
      <c r="NVJ47" s="344"/>
      <c r="NVK47" s="344"/>
      <c r="NVL47" s="344"/>
      <c r="NVM47" s="344"/>
      <c r="NVN47" s="344"/>
      <c r="NVO47" s="344"/>
      <c r="NVP47" s="344"/>
      <c r="NVQ47" s="344"/>
      <c r="NVR47" s="344"/>
      <c r="NVS47" s="344"/>
      <c r="NVT47" s="344"/>
      <c r="NVU47" s="344"/>
      <c r="NVV47" s="344"/>
      <c r="NVW47" s="344"/>
      <c r="NVX47" s="344"/>
      <c r="NVY47" s="344"/>
      <c r="NVZ47" s="344"/>
      <c r="NWA47" s="344"/>
      <c r="NWB47" s="344"/>
      <c r="NWC47" s="344"/>
      <c r="NWD47" s="344"/>
      <c r="NWE47" s="344"/>
      <c r="NWF47" s="344"/>
      <c r="NWG47" s="344"/>
      <c r="NWH47" s="344"/>
      <c r="NWI47" s="344"/>
      <c r="NWJ47" s="344"/>
      <c r="NWK47" s="344"/>
      <c r="NWL47" s="344"/>
      <c r="NWM47" s="344"/>
      <c r="NWN47" s="344"/>
      <c r="NWO47" s="344"/>
      <c r="NWP47" s="344"/>
      <c r="NWQ47" s="344"/>
      <c r="NWR47" s="344"/>
      <c r="NWS47" s="344"/>
      <c r="NWT47" s="344"/>
      <c r="NWU47" s="344"/>
      <c r="NWV47" s="344"/>
      <c r="NWW47" s="344"/>
      <c r="NWX47" s="344"/>
      <c r="NWY47" s="344"/>
      <c r="NWZ47" s="344"/>
      <c r="NXA47" s="344"/>
      <c r="NXB47" s="344"/>
      <c r="NXC47" s="344"/>
      <c r="NXD47" s="344"/>
      <c r="NXE47" s="344"/>
      <c r="NXF47" s="344"/>
      <c r="NXG47" s="344"/>
      <c r="NXH47" s="344"/>
      <c r="NXI47" s="344"/>
      <c r="NXJ47" s="344"/>
      <c r="NXK47" s="344"/>
      <c r="NXL47" s="344"/>
      <c r="NXM47" s="344"/>
      <c r="NXN47" s="344"/>
      <c r="NXO47" s="344"/>
      <c r="NXP47" s="344"/>
      <c r="NXQ47" s="344"/>
      <c r="NXR47" s="344"/>
      <c r="NXS47" s="344"/>
      <c r="NXT47" s="344"/>
      <c r="NXU47" s="344"/>
      <c r="NXV47" s="344"/>
      <c r="NXW47" s="344"/>
      <c r="NXX47" s="344"/>
      <c r="NXY47" s="344"/>
      <c r="NXZ47" s="344"/>
      <c r="NYA47" s="344"/>
      <c r="NYB47" s="344"/>
      <c r="NYC47" s="344"/>
      <c r="NYD47" s="344"/>
      <c r="NYE47" s="344"/>
      <c r="NYF47" s="344"/>
      <c r="NYG47" s="344"/>
      <c r="NYH47" s="344"/>
      <c r="NYI47" s="344"/>
      <c r="NYJ47" s="344"/>
      <c r="NYK47" s="344"/>
      <c r="NYL47" s="344"/>
      <c r="NYM47" s="344"/>
      <c r="NYN47" s="344"/>
      <c r="NYO47" s="344"/>
      <c r="NYP47" s="344"/>
      <c r="NYQ47" s="344"/>
      <c r="NYR47" s="344"/>
      <c r="NYS47" s="344"/>
      <c r="NYT47" s="344"/>
      <c r="NYU47" s="344"/>
      <c r="NYV47" s="344"/>
      <c r="NYW47" s="344"/>
      <c r="NYX47" s="344"/>
      <c r="NYY47" s="344"/>
      <c r="NYZ47" s="344"/>
      <c r="NZA47" s="344"/>
      <c r="NZB47" s="344"/>
      <c r="NZC47" s="344"/>
      <c r="NZD47" s="344"/>
      <c r="NZE47" s="344"/>
      <c r="NZF47" s="344"/>
      <c r="NZG47" s="344"/>
      <c r="NZH47" s="344"/>
      <c r="NZI47" s="344"/>
      <c r="NZJ47" s="344"/>
      <c r="NZK47" s="344"/>
      <c r="NZL47" s="344"/>
      <c r="NZM47" s="344"/>
      <c r="NZN47" s="344"/>
      <c r="NZO47" s="344"/>
      <c r="NZP47" s="344"/>
      <c r="NZQ47" s="344"/>
      <c r="NZR47" s="344"/>
      <c r="NZS47" s="344"/>
      <c r="NZT47" s="344"/>
      <c r="NZU47" s="344"/>
      <c r="NZV47" s="344"/>
      <c r="NZW47" s="344"/>
      <c r="NZX47" s="344"/>
      <c r="NZY47" s="344"/>
      <c r="NZZ47" s="344"/>
      <c r="OAA47" s="344"/>
      <c r="OAB47" s="344"/>
      <c r="OAC47" s="344"/>
      <c r="OAD47" s="344"/>
      <c r="OAE47" s="344"/>
      <c r="OAF47" s="344"/>
      <c r="OAG47" s="344"/>
      <c r="OAH47" s="344"/>
      <c r="OAI47" s="344"/>
      <c r="OAJ47" s="344"/>
      <c r="OAK47" s="344"/>
      <c r="OAL47" s="344"/>
      <c r="OAM47" s="344"/>
      <c r="OAN47" s="344"/>
      <c r="OAO47" s="344"/>
      <c r="OAP47" s="344"/>
      <c r="OAQ47" s="344"/>
      <c r="OAR47" s="344"/>
      <c r="OAS47" s="344"/>
      <c r="OAT47" s="344"/>
      <c r="OAU47" s="344"/>
      <c r="OAV47" s="344"/>
      <c r="OAW47" s="344"/>
      <c r="OAX47" s="344"/>
      <c r="OAY47" s="344"/>
      <c r="OAZ47" s="344"/>
      <c r="OBA47" s="344"/>
      <c r="OBB47" s="344"/>
      <c r="OBC47" s="344"/>
      <c r="OBD47" s="344"/>
      <c r="OBE47" s="344"/>
      <c r="OBF47" s="344"/>
      <c r="OBG47" s="344"/>
      <c r="OBH47" s="344"/>
      <c r="OBI47" s="344"/>
      <c r="OBJ47" s="344"/>
      <c r="OBK47" s="344"/>
      <c r="OBL47" s="344"/>
      <c r="OBM47" s="344"/>
      <c r="OBN47" s="344"/>
      <c r="OBO47" s="344"/>
      <c r="OBP47" s="344"/>
      <c r="OBQ47" s="344"/>
      <c r="OBR47" s="344"/>
      <c r="OBS47" s="344"/>
      <c r="OBT47" s="344"/>
      <c r="OBU47" s="344"/>
      <c r="OBV47" s="344"/>
      <c r="OBW47" s="344"/>
      <c r="OBX47" s="344"/>
      <c r="OBY47" s="344"/>
      <c r="OBZ47" s="344"/>
      <c r="OCA47" s="344"/>
      <c r="OCB47" s="344"/>
      <c r="OCC47" s="344"/>
      <c r="OCD47" s="344"/>
      <c r="OCE47" s="344"/>
      <c r="OCF47" s="344"/>
      <c r="OCG47" s="344"/>
      <c r="OCH47" s="344"/>
      <c r="OCI47" s="344"/>
      <c r="OCJ47" s="344"/>
      <c r="OCK47" s="344"/>
      <c r="OCL47" s="344"/>
      <c r="OCM47" s="344"/>
      <c r="OCN47" s="344"/>
      <c r="OCO47" s="344"/>
      <c r="OCP47" s="344"/>
      <c r="OCQ47" s="344"/>
      <c r="OCR47" s="344"/>
      <c r="OCS47" s="344"/>
      <c r="OCT47" s="344"/>
      <c r="OCU47" s="344"/>
      <c r="OCV47" s="344"/>
      <c r="OCW47" s="344"/>
      <c r="OCX47" s="344"/>
      <c r="OCY47" s="344"/>
      <c r="OCZ47" s="344"/>
      <c r="ODA47" s="344"/>
      <c r="ODB47" s="344"/>
      <c r="ODC47" s="344"/>
      <c r="ODD47" s="344"/>
      <c r="ODE47" s="344"/>
      <c r="ODF47" s="344"/>
      <c r="ODG47" s="344"/>
      <c r="ODH47" s="344"/>
      <c r="ODI47" s="344"/>
      <c r="ODJ47" s="344"/>
      <c r="ODK47" s="344"/>
      <c r="ODL47" s="344"/>
      <c r="ODM47" s="344"/>
      <c r="ODN47" s="344"/>
      <c r="ODO47" s="344"/>
      <c r="ODP47" s="344"/>
      <c r="ODQ47" s="344"/>
      <c r="ODR47" s="344"/>
      <c r="ODS47" s="344"/>
      <c r="ODT47" s="344"/>
      <c r="ODU47" s="344"/>
      <c r="ODV47" s="344"/>
      <c r="ODW47" s="344"/>
      <c r="ODX47" s="344"/>
      <c r="ODY47" s="344"/>
      <c r="ODZ47" s="344"/>
      <c r="OEA47" s="344"/>
      <c r="OEB47" s="344"/>
      <c r="OEC47" s="344"/>
      <c r="OED47" s="344"/>
      <c r="OEE47" s="344"/>
      <c r="OEF47" s="344"/>
      <c r="OEG47" s="344"/>
      <c r="OEH47" s="344"/>
      <c r="OEI47" s="344"/>
      <c r="OEJ47" s="344"/>
      <c r="OEK47" s="344"/>
      <c r="OEL47" s="344"/>
      <c r="OEM47" s="344"/>
      <c r="OEN47" s="344"/>
      <c r="OEO47" s="344"/>
      <c r="OEP47" s="344"/>
      <c r="OEQ47" s="344"/>
      <c r="OER47" s="344"/>
      <c r="OES47" s="344"/>
      <c r="OET47" s="344"/>
      <c r="OEU47" s="344"/>
      <c r="OEV47" s="344"/>
      <c r="OEW47" s="344"/>
      <c r="OEX47" s="344"/>
      <c r="OEY47" s="344"/>
      <c r="OEZ47" s="344"/>
      <c r="OFA47" s="344"/>
      <c r="OFB47" s="344"/>
      <c r="OFC47" s="344"/>
      <c r="OFD47" s="344"/>
      <c r="OFE47" s="344"/>
      <c r="OFF47" s="344"/>
      <c r="OFG47" s="344"/>
      <c r="OFH47" s="344"/>
      <c r="OFI47" s="344"/>
      <c r="OFJ47" s="344"/>
      <c r="OFK47" s="344"/>
      <c r="OFL47" s="344"/>
      <c r="OFM47" s="344"/>
      <c r="OFN47" s="344"/>
      <c r="OFO47" s="344"/>
      <c r="OFP47" s="344"/>
      <c r="OFQ47" s="344"/>
      <c r="OFR47" s="344"/>
      <c r="OFS47" s="344"/>
      <c r="OFT47" s="344"/>
      <c r="OFU47" s="344"/>
      <c r="OFV47" s="344"/>
      <c r="OFW47" s="344"/>
      <c r="OFX47" s="344"/>
      <c r="OFY47" s="344"/>
      <c r="OFZ47" s="344"/>
      <c r="OGA47" s="344"/>
      <c r="OGB47" s="344"/>
      <c r="OGC47" s="344"/>
      <c r="OGD47" s="344"/>
      <c r="OGE47" s="344"/>
      <c r="OGF47" s="344"/>
      <c r="OGG47" s="344"/>
      <c r="OGH47" s="344"/>
      <c r="OGI47" s="344"/>
      <c r="OGJ47" s="344"/>
      <c r="OGK47" s="344"/>
      <c r="OGL47" s="344"/>
      <c r="OGM47" s="344"/>
      <c r="OGN47" s="344"/>
      <c r="OGO47" s="344"/>
      <c r="OGP47" s="344"/>
      <c r="OGQ47" s="344"/>
      <c r="OGR47" s="344"/>
      <c r="OGS47" s="344"/>
      <c r="OGT47" s="344"/>
      <c r="OGU47" s="344"/>
      <c r="OGV47" s="344"/>
      <c r="OGW47" s="344"/>
      <c r="OGX47" s="344"/>
      <c r="OGY47" s="344"/>
      <c r="OGZ47" s="344"/>
      <c r="OHA47" s="344"/>
      <c r="OHB47" s="344"/>
      <c r="OHC47" s="344"/>
      <c r="OHD47" s="344"/>
      <c r="OHE47" s="344"/>
      <c r="OHF47" s="344"/>
      <c r="OHG47" s="344"/>
      <c r="OHH47" s="344"/>
      <c r="OHI47" s="344"/>
      <c r="OHJ47" s="344"/>
      <c r="OHK47" s="344"/>
      <c r="OHL47" s="344"/>
      <c r="OHM47" s="344"/>
      <c r="OHN47" s="344"/>
      <c r="OHO47" s="344"/>
      <c r="OHP47" s="344"/>
      <c r="OHQ47" s="344"/>
      <c r="OHR47" s="344"/>
      <c r="OHS47" s="344"/>
      <c r="OHT47" s="344"/>
      <c r="OHU47" s="344"/>
      <c r="OHV47" s="344"/>
      <c r="OHW47" s="344"/>
      <c r="OHX47" s="344"/>
      <c r="OHY47" s="344"/>
      <c r="OHZ47" s="344"/>
      <c r="OIA47" s="344"/>
      <c r="OIB47" s="344"/>
      <c r="OIC47" s="344"/>
      <c r="OID47" s="344"/>
      <c r="OIE47" s="344"/>
      <c r="OIF47" s="344"/>
      <c r="OIG47" s="344"/>
      <c r="OIH47" s="344"/>
      <c r="OII47" s="344"/>
      <c r="OIJ47" s="344"/>
      <c r="OIK47" s="344"/>
      <c r="OIL47" s="344"/>
      <c r="OIM47" s="344"/>
      <c r="OIN47" s="344"/>
      <c r="OIO47" s="344"/>
      <c r="OIP47" s="344"/>
      <c r="OIQ47" s="344"/>
      <c r="OIR47" s="344"/>
      <c r="OIS47" s="344"/>
      <c r="OIT47" s="344"/>
      <c r="OIU47" s="344"/>
      <c r="OIV47" s="344"/>
      <c r="OIW47" s="344"/>
      <c r="OIX47" s="344"/>
      <c r="OIY47" s="344"/>
      <c r="OIZ47" s="344"/>
      <c r="OJA47" s="344"/>
      <c r="OJB47" s="344"/>
      <c r="OJC47" s="344"/>
      <c r="OJD47" s="344"/>
      <c r="OJE47" s="344"/>
      <c r="OJF47" s="344"/>
      <c r="OJG47" s="344"/>
      <c r="OJH47" s="344"/>
      <c r="OJI47" s="344"/>
      <c r="OJJ47" s="344"/>
      <c r="OJK47" s="344"/>
      <c r="OJL47" s="344"/>
      <c r="OJM47" s="344"/>
      <c r="OJN47" s="344"/>
      <c r="OJO47" s="344"/>
      <c r="OJP47" s="344"/>
      <c r="OJQ47" s="344"/>
      <c r="OJR47" s="344"/>
      <c r="OJS47" s="344"/>
      <c r="OJT47" s="344"/>
      <c r="OJU47" s="344"/>
      <c r="OJV47" s="344"/>
      <c r="OJW47" s="344"/>
      <c r="OJX47" s="344"/>
      <c r="OJY47" s="344"/>
      <c r="OJZ47" s="344"/>
      <c r="OKA47" s="344"/>
      <c r="OKB47" s="344"/>
      <c r="OKC47" s="344"/>
      <c r="OKD47" s="344"/>
      <c r="OKE47" s="344"/>
      <c r="OKF47" s="344"/>
      <c r="OKG47" s="344"/>
      <c r="OKH47" s="344"/>
      <c r="OKI47" s="344"/>
      <c r="OKJ47" s="344"/>
      <c r="OKK47" s="344"/>
      <c r="OKL47" s="344"/>
      <c r="OKM47" s="344"/>
      <c r="OKN47" s="344"/>
      <c r="OKO47" s="344"/>
      <c r="OKP47" s="344"/>
      <c r="OKQ47" s="344"/>
      <c r="OKR47" s="344"/>
      <c r="OKS47" s="344"/>
      <c r="OKT47" s="344"/>
      <c r="OKU47" s="344"/>
      <c r="OKV47" s="344"/>
      <c r="OKW47" s="344"/>
      <c r="OKX47" s="344"/>
      <c r="OKY47" s="344"/>
      <c r="OKZ47" s="344"/>
      <c r="OLA47" s="344"/>
      <c r="OLB47" s="344"/>
      <c r="OLC47" s="344"/>
      <c r="OLD47" s="344"/>
      <c r="OLE47" s="344"/>
      <c r="OLF47" s="344"/>
      <c r="OLG47" s="344"/>
      <c r="OLH47" s="344"/>
      <c r="OLI47" s="344"/>
      <c r="OLJ47" s="344"/>
      <c r="OLK47" s="344"/>
      <c r="OLL47" s="344"/>
      <c r="OLM47" s="344"/>
      <c r="OLN47" s="344"/>
      <c r="OLO47" s="344"/>
      <c r="OLP47" s="344"/>
      <c r="OLQ47" s="344"/>
      <c r="OLR47" s="344"/>
      <c r="OLS47" s="344"/>
      <c r="OLT47" s="344"/>
      <c r="OLU47" s="344"/>
      <c r="OLV47" s="344"/>
      <c r="OLW47" s="344"/>
      <c r="OLX47" s="344"/>
      <c r="OLY47" s="344"/>
      <c r="OLZ47" s="344"/>
      <c r="OMA47" s="344"/>
      <c r="OMB47" s="344"/>
      <c r="OMC47" s="344"/>
      <c r="OMD47" s="344"/>
      <c r="OME47" s="344"/>
      <c r="OMF47" s="344"/>
      <c r="OMG47" s="344"/>
      <c r="OMH47" s="344"/>
      <c r="OMI47" s="344"/>
      <c r="OMJ47" s="344"/>
      <c r="OMK47" s="344"/>
      <c r="OML47" s="344"/>
      <c r="OMM47" s="344"/>
      <c r="OMN47" s="344"/>
      <c r="OMO47" s="344"/>
      <c r="OMP47" s="344"/>
      <c r="OMQ47" s="344"/>
      <c r="OMR47" s="344"/>
      <c r="OMS47" s="344"/>
      <c r="OMT47" s="344"/>
      <c r="OMU47" s="344"/>
      <c r="OMV47" s="344"/>
      <c r="OMW47" s="344"/>
      <c r="OMX47" s="344"/>
      <c r="OMY47" s="344"/>
      <c r="OMZ47" s="344"/>
      <c r="ONA47" s="344"/>
      <c r="ONB47" s="344"/>
      <c r="ONC47" s="344"/>
      <c r="OND47" s="344"/>
      <c r="ONE47" s="344"/>
      <c r="ONF47" s="344"/>
      <c r="ONG47" s="344"/>
      <c r="ONH47" s="344"/>
      <c r="ONI47" s="344"/>
      <c r="ONJ47" s="344"/>
      <c r="ONK47" s="344"/>
      <c r="ONL47" s="344"/>
      <c r="ONM47" s="344"/>
      <c r="ONN47" s="344"/>
      <c r="ONO47" s="344"/>
      <c r="ONP47" s="344"/>
      <c r="ONQ47" s="344"/>
      <c r="ONR47" s="344"/>
      <c r="ONS47" s="344"/>
      <c r="ONT47" s="344"/>
      <c r="ONU47" s="344"/>
      <c r="ONV47" s="344"/>
      <c r="ONW47" s="344"/>
      <c r="ONX47" s="344"/>
      <c r="ONY47" s="344"/>
      <c r="ONZ47" s="344"/>
      <c r="OOA47" s="344"/>
      <c r="OOB47" s="344"/>
      <c r="OOC47" s="344"/>
      <c r="OOD47" s="344"/>
      <c r="OOE47" s="344"/>
      <c r="OOF47" s="344"/>
      <c r="OOG47" s="344"/>
      <c r="OOH47" s="344"/>
      <c r="OOI47" s="344"/>
      <c r="OOJ47" s="344"/>
      <c r="OOK47" s="344"/>
      <c r="OOL47" s="344"/>
      <c r="OOM47" s="344"/>
      <c r="OON47" s="344"/>
      <c r="OOO47" s="344"/>
      <c r="OOP47" s="344"/>
      <c r="OOQ47" s="344"/>
      <c r="OOR47" s="344"/>
      <c r="OOS47" s="344"/>
      <c r="OOT47" s="344"/>
      <c r="OOU47" s="344"/>
      <c r="OOV47" s="344"/>
      <c r="OOW47" s="344"/>
      <c r="OOX47" s="344"/>
      <c r="OOY47" s="344"/>
      <c r="OOZ47" s="344"/>
      <c r="OPA47" s="344"/>
      <c r="OPB47" s="344"/>
      <c r="OPC47" s="344"/>
      <c r="OPD47" s="344"/>
      <c r="OPE47" s="344"/>
      <c r="OPF47" s="344"/>
      <c r="OPG47" s="344"/>
      <c r="OPH47" s="344"/>
      <c r="OPI47" s="344"/>
      <c r="OPJ47" s="344"/>
      <c r="OPK47" s="344"/>
      <c r="OPL47" s="344"/>
      <c r="OPM47" s="344"/>
      <c r="OPN47" s="344"/>
      <c r="OPO47" s="344"/>
      <c r="OPP47" s="344"/>
      <c r="OPQ47" s="344"/>
      <c r="OPR47" s="344"/>
      <c r="OPS47" s="344"/>
      <c r="OPT47" s="344"/>
      <c r="OPU47" s="344"/>
      <c r="OPV47" s="344"/>
      <c r="OPW47" s="344"/>
      <c r="OPX47" s="344"/>
      <c r="OPY47" s="344"/>
      <c r="OPZ47" s="344"/>
      <c r="OQA47" s="344"/>
      <c r="OQB47" s="344"/>
      <c r="OQC47" s="344"/>
      <c r="OQD47" s="344"/>
      <c r="OQE47" s="344"/>
      <c r="OQF47" s="344"/>
      <c r="OQG47" s="344"/>
      <c r="OQH47" s="344"/>
      <c r="OQI47" s="344"/>
      <c r="OQJ47" s="344"/>
      <c r="OQK47" s="344"/>
      <c r="OQL47" s="344"/>
      <c r="OQM47" s="344"/>
      <c r="OQN47" s="344"/>
      <c r="OQO47" s="344"/>
      <c r="OQP47" s="344"/>
      <c r="OQQ47" s="344"/>
      <c r="OQR47" s="344"/>
      <c r="OQS47" s="344"/>
      <c r="OQT47" s="344"/>
      <c r="OQU47" s="344"/>
      <c r="OQV47" s="344"/>
      <c r="OQW47" s="344"/>
      <c r="OQX47" s="344"/>
      <c r="OQY47" s="344"/>
      <c r="OQZ47" s="344"/>
      <c r="ORA47" s="344"/>
      <c r="ORB47" s="344"/>
      <c r="ORC47" s="344"/>
      <c r="ORD47" s="344"/>
      <c r="ORE47" s="344"/>
      <c r="ORF47" s="344"/>
      <c r="ORG47" s="344"/>
      <c r="ORH47" s="344"/>
      <c r="ORI47" s="344"/>
      <c r="ORJ47" s="344"/>
      <c r="ORK47" s="344"/>
      <c r="ORL47" s="344"/>
      <c r="ORM47" s="344"/>
      <c r="ORN47" s="344"/>
      <c r="ORO47" s="344"/>
      <c r="ORP47" s="344"/>
      <c r="ORQ47" s="344"/>
      <c r="ORR47" s="344"/>
      <c r="ORS47" s="344"/>
      <c r="ORT47" s="344"/>
      <c r="ORU47" s="344"/>
      <c r="ORV47" s="344"/>
      <c r="ORW47" s="344"/>
      <c r="ORX47" s="344"/>
      <c r="ORY47" s="344"/>
      <c r="ORZ47" s="344"/>
      <c r="OSA47" s="344"/>
      <c r="OSB47" s="344"/>
      <c r="OSC47" s="344"/>
      <c r="OSD47" s="344"/>
      <c r="OSE47" s="344"/>
      <c r="OSF47" s="344"/>
      <c r="OSG47" s="344"/>
      <c r="OSH47" s="344"/>
      <c r="OSI47" s="344"/>
      <c r="OSJ47" s="344"/>
      <c r="OSK47" s="344"/>
      <c r="OSL47" s="344"/>
      <c r="OSM47" s="344"/>
      <c r="OSN47" s="344"/>
      <c r="OSO47" s="344"/>
      <c r="OSP47" s="344"/>
      <c r="OSQ47" s="344"/>
      <c r="OSR47" s="344"/>
      <c r="OSS47" s="344"/>
      <c r="OST47" s="344"/>
      <c r="OSU47" s="344"/>
      <c r="OSV47" s="344"/>
      <c r="OSW47" s="344"/>
      <c r="OSX47" s="344"/>
      <c r="OSY47" s="344"/>
      <c r="OSZ47" s="344"/>
      <c r="OTA47" s="344"/>
      <c r="OTB47" s="344"/>
      <c r="OTC47" s="344"/>
      <c r="OTD47" s="344"/>
      <c r="OTE47" s="344"/>
      <c r="OTF47" s="344"/>
      <c r="OTG47" s="344"/>
      <c r="OTH47" s="344"/>
      <c r="OTI47" s="344"/>
      <c r="OTJ47" s="344"/>
      <c r="OTK47" s="344"/>
      <c r="OTL47" s="344"/>
      <c r="OTM47" s="344"/>
      <c r="OTN47" s="344"/>
      <c r="OTO47" s="344"/>
      <c r="OTP47" s="344"/>
      <c r="OTQ47" s="344"/>
      <c r="OTR47" s="344"/>
      <c r="OTS47" s="344"/>
      <c r="OTT47" s="344"/>
      <c r="OTU47" s="344"/>
      <c r="OTV47" s="344"/>
      <c r="OTW47" s="344"/>
      <c r="OTX47" s="344"/>
      <c r="OTY47" s="344"/>
      <c r="OTZ47" s="344"/>
      <c r="OUA47" s="344"/>
      <c r="OUB47" s="344"/>
      <c r="OUC47" s="344"/>
      <c r="OUD47" s="344"/>
      <c r="OUE47" s="344"/>
      <c r="OUF47" s="344"/>
      <c r="OUG47" s="344"/>
      <c r="OUH47" s="344"/>
      <c r="OUI47" s="344"/>
      <c r="OUJ47" s="344"/>
      <c r="OUK47" s="344"/>
      <c r="OUL47" s="344"/>
      <c r="OUM47" s="344"/>
      <c r="OUN47" s="344"/>
      <c r="OUO47" s="344"/>
      <c r="OUP47" s="344"/>
      <c r="OUQ47" s="344"/>
      <c r="OUR47" s="344"/>
      <c r="OUS47" s="344"/>
      <c r="OUT47" s="344"/>
      <c r="OUU47" s="344"/>
      <c r="OUV47" s="344"/>
      <c r="OUW47" s="344"/>
      <c r="OUX47" s="344"/>
      <c r="OUY47" s="344"/>
      <c r="OUZ47" s="344"/>
      <c r="OVA47" s="344"/>
      <c r="OVB47" s="344"/>
      <c r="OVC47" s="344"/>
      <c r="OVD47" s="344"/>
      <c r="OVE47" s="344"/>
      <c r="OVF47" s="344"/>
      <c r="OVG47" s="344"/>
      <c r="OVH47" s="344"/>
      <c r="OVI47" s="344"/>
      <c r="OVJ47" s="344"/>
      <c r="OVK47" s="344"/>
      <c r="OVL47" s="344"/>
      <c r="OVM47" s="344"/>
      <c r="OVN47" s="344"/>
      <c r="OVO47" s="344"/>
      <c r="OVP47" s="344"/>
      <c r="OVQ47" s="344"/>
      <c r="OVR47" s="344"/>
      <c r="OVS47" s="344"/>
      <c r="OVT47" s="344"/>
      <c r="OVU47" s="344"/>
      <c r="OVV47" s="344"/>
      <c r="OVW47" s="344"/>
      <c r="OVX47" s="344"/>
      <c r="OVY47" s="344"/>
      <c r="OVZ47" s="344"/>
      <c r="OWA47" s="344"/>
      <c r="OWB47" s="344"/>
      <c r="OWC47" s="344"/>
      <c r="OWD47" s="344"/>
      <c r="OWE47" s="344"/>
      <c r="OWF47" s="344"/>
      <c r="OWG47" s="344"/>
      <c r="OWH47" s="344"/>
      <c r="OWI47" s="344"/>
      <c r="OWJ47" s="344"/>
      <c r="OWK47" s="344"/>
      <c r="OWL47" s="344"/>
      <c r="OWM47" s="344"/>
      <c r="OWN47" s="344"/>
      <c r="OWO47" s="344"/>
      <c r="OWP47" s="344"/>
      <c r="OWQ47" s="344"/>
      <c r="OWR47" s="344"/>
      <c r="OWS47" s="344"/>
      <c r="OWT47" s="344"/>
      <c r="OWU47" s="344"/>
      <c r="OWV47" s="344"/>
      <c r="OWW47" s="344"/>
      <c r="OWX47" s="344"/>
      <c r="OWY47" s="344"/>
      <c r="OWZ47" s="344"/>
      <c r="OXA47" s="344"/>
      <c r="OXB47" s="344"/>
      <c r="OXC47" s="344"/>
      <c r="OXD47" s="344"/>
      <c r="OXE47" s="344"/>
      <c r="OXF47" s="344"/>
      <c r="OXG47" s="344"/>
      <c r="OXH47" s="344"/>
      <c r="OXI47" s="344"/>
      <c r="OXJ47" s="344"/>
      <c r="OXK47" s="344"/>
      <c r="OXL47" s="344"/>
      <c r="OXM47" s="344"/>
      <c r="OXN47" s="344"/>
      <c r="OXO47" s="344"/>
      <c r="OXP47" s="344"/>
      <c r="OXQ47" s="344"/>
      <c r="OXR47" s="344"/>
      <c r="OXS47" s="344"/>
      <c r="OXT47" s="344"/>
      <c r="OXU47" s="344"/>
      <c r="OXV47" s="344"/>
      <c r="OXW47" s="344"/>
      <c r="OXX47" s="344"/>
      <c r="OXY47" s="344"/>
      <c r="OXZ47" s="344"/>
      <c r="OYA47" s="344"/>
      <c r="OYB47" s="344"/>
      <c r="OYC47" s="344"/>
      <c r="OYD47" s="344"/>
      <c r="OYE47" s="344"/>
      <c r="OYF47" s="344"/>
      <c r="OYG47" s="344"/>
      <c r="OYH47" s="344"/>
      <c r="OYI47" s="344"/>
      <c r="OYJ47" s="344"/>
      <c r="OYK47" s="344"/>
      <c r="OYL47" s="344"/>
      <c r="OYM47" s="344"/>
      <c r="OYN47" s="344"/>
      <c r="OYO47" s="344"/>
      <c r="OYP47" s="344"/>
      <c r="OYQ47" s="344"/>
      <c r="OYR47" s="344"/>
      <c r="OYS47" s="344"/>
      <c r="OYT47" s="344"/>
      <c r="OYU47" s="344"/>
      <c r="OYV47" s="344"/>
      <c r="OYW47" s="344"/>
      <c r="OYX47" s="344"/>
      <c r="OYY47" s="344"/>
      <c r="OYZ47" s="344"/>
      <c r="OZA47" s="344"/>
      <c r="OZB47" s="344"/>
      <c r="OZC47" s="344"/>
      <c r="OZD47" s="344"/>
      <c r="OZE47" s="344"/>
      <c r="OZF47" s="344"/>
      <c r="OZG47" s="344"/>
      <c r="OZH47" s="344"/>
      <c r="OZI47" s="344"/>
      <c r="OZJ47" s="344"/>
      <c r="OZK47" s="344"/>
      <c r="OZL47" s="344"/>
      <c r="OZM47" s="344"/>
      <c r="OZN47" s="344"/>
      <c r="OZO47" s="344"/>
      <c r="OZP47" s="344"/>
      <c r="OZQ47" s="344"/>
      <c r="OZR47" s="344"/>
      <c r="OZS47" s="344"/>
      <c r="OZT47" s="344"/>
      <c r="OZU47" s="344"/>
      <c r="OZV47" s="344"/>
      <c r="OZW47" s="344"/>
      <c r="OZX47" s="344"/>
      <c r="OZY47" s="344"/>
      <c r="OZZ47" s="344"/>
      <c r="PAA47" s="344"/>
      <c r="PAB47" s="344"/>
      <c r="PAC47" s="344"/>
      <c r="PAD47" s="344"/>
      <c r="PAE47" s="344"/>
      <c r="PAF47" s="344"/>
      <c r="PAG47" s="344"/>
      <c r="PAH47" s="344"/>
      <c r="PAI47" s="344"/>
      <c r="PAJ47" s="344"/>
      <c r="PAK47" s="344"/>
      <c r="PAL47" s="344"/>
      <c r="PAM47" s="344"/>
      <c r="PAN47" s="344"/>
      <c r="PAO47" s="344"/>
      <c r="PAP47" s="344"/>
      <c r="PAQ47" s="344"/>
      <c r="PAR47" s="344"/>
      <c r="PAS47" s="344"/>
      <c r="PAT47" s="344"/>
      <c r="PAU47" s="344"/>
      <c r="PAV47" s="344"/>
      <c r="PAW47" s="344"/>
      <c r="PAX47" s="344"/>
      <c r="PAY47" s="344"/>
      <c r="PAZ47" s="344"/>
      <c r="PBA47" s="344"/>
      <c r="PBB47" s="344"/>
      <c r="PBC47" s="344"/>
      <c r="PBD47" s="344"/>
      <c r="PBE47" s="344"/>
      <c r="PBF47" s="344"/>
      <c r="PBG47" s="344"/>
      <c r="PBH47" s="344"/>
      <c r="PBI47" s="344"/>
      <c r="PBJ47" s="344"/>
      <c r="PBK47" s="344"/>
      <c r="PBL47" s="344"/>
      <c r="PBM47" s="344"/>
      <c r="PBN47" s="344"/>
      <c r="PBO47" s="344"/>
      <c r="PBP47" s="344"/>
      <c r="PBQ47" s="344"/>
      <c r="PBR47" s="344"/>
      <c r="PBS47" s="344"/>
      <c r="PBT47" s="344"/>
      <c r="PBU47" s="344"/>
      <c r="PBV47" s="344"/>
      <c r="PBW47" s="344"/>
      <c r="PBX47" s="344"/>
      <c r="PBY47" s="344"/>
      <c r="PBZ47" s="344"/>
      <c r="PCA47" s="344"/>
      <c r="PCB47" s="344"/>
      <c r="PCC47" s="344"/>
      <c r="PCD47" s="344"/>
      <c r="PCE47" s="344"/>
      <c r="PCF47" s="344"/>
      <c r="PCG47" s="344"/>
      <c r="PCH47" s="344"/>
      <c r="PCI47" s="344"/>
      <c r="PCJ47" s="344"/>
      <c r="PCK47" s="344"/>
      <c r="PCL47" s="344"/>
      <c r="PCM47" s="344"/>
      <c r="PCN47" s="344"/>
      <c r="PCO47" s="344"/>
      <c r="PCP47" s="344"/>
      <c r="PCQ47" s="344"/>
      <c r="PCR47" s="344"/>
      <c r="PCS47" s="344"/>
      <c r="PCT47" s="344"/>
      <c r="PCU47" s="344"/>
      <c r="PCV47" s="344"/>
      <c r="PCW47" s="344"/>
      <c r="PCX47" s="344"/>
      <c r="PCY47" s="344"/>
      <c r="PCZ47" s="344"/>
      <c r="PDA47" s="344"/>
      <c r="PDB47" s="344"/>
      <c r="PDC47" s="344"/>
      <c r="PDD47" s="344"/>
      <c r="PDE47" s="344"/>
      <c r="PDF47" s="344"/>
      <c r="PDG47" s="344"/>
      <c r="PDH47" s="344"/>
      <c r="PDI47" s="344"/>
      <c r="PDJ47" s="344"/>
      <c r="PDK47" s="344"/>
      <c r="PDL47" s="344"/>
      <c r="PDM47" s="344"/>
      <c r="PDN47" s="344"/>
      <c r="PDO47" s="344"/>
      <c r="PDP47" s="344"/>
      <c r="PDQ47" s="344"/>
      <c r="PDR47" s="344"/>
      <c r="PDS47" s="344"/>
      <c r="PDT47" s="344"/>
      <c r="PDU47" s="344"/>
      <c r="PDV47" s="344"/>
      <c r="PDW47" s="344"/>
      <c r="PDX47" s="344"/>
      <c r="PDY47" s="344"/>
      <c r="PDZ47" s="344"/>
      <c r="PEA47" s="344"/>
      <c r="PEB47" s="344"/>
      <c r="PEC47" s="344"/>
      <c r="PED47" s="344"/>
      <c r="PEE47" s="344"/>
      <c r="PEF47" s="344"/>
      <c r="PEG47" s="344"/>
      <c r="PEH47" s="344"/>
      <c r="PEI47" s="344"/>
      <c r="PEJ47" s="344"/>
      <c r="PEK47" s="344"/>
      <c r="PEL47" s="344"/>
      <c r="PEM47" s="344"/>
      <c r="PEN47" s="344"/>
      <c r="PEO47" s="344"/>
      <c r="PEP47" s="344"/>
      <c r="PEQ47" s="344"/>
      <c r="PER47" s="344"/>
      <c r="PES47" s="344"/>
      <c r="PET47" s="344"/>
      <c r="PEU47" s="344"/>
      <c r="PEV47" s="344"/>
      <c r="PEW47" s="344"/>
      <c r="PEX47" s="344"/>
      <c r="PEY47" s="344"/>
      <c r="PEZ47" s="344"/>
      <c r="PFA47" s="344"/>
      <c r="PFB47" s="344"/>
      <c r="PFC47" s="344"/>
      <c r="PFD47" s="344"/>
      <c r="PFE47" s="344"/>
      <c r="PFF47" s="344"/>
      <c r="PFG47" s="344"/>
      <c r="PFH47" s="344"/>
      <c r="PFI47" s="344"/>
      <c r="PFJ47" s="344"/>
      <c r="PFK47" s="344"/>
      <c r="PFL47" s="344"/>
      <c r="PFM47" s="344"/>
      <c r="PFN47" s="344"/>
      <c r="PFO47" s="344"/>
      <c r="PFP47" s="344"/>
      <c r="PFQ47" s="344"/>
      <c r="PFR47" s="344"/>
      <c r="PFS47" s="344"/>
      <c r="PFT47" s="344"/>
      <c r="PFU47" s="344"/>
      <c r="PFV47" s="344"/>
      <c r="PFW47" s="344"/>
      <c r="PFX47" s="344"/>
      <c r="PFY47" s="344"/>
      <c r="PFZ47" s="344"/>
      <c r="PGA47" s="344"/>
      <c r="PGB47" s="344"/>
      <c r="PGC47" s="344"/>
      <c r="PGD47" s="344"/>
      <c r="PGE47" s="344"/>
      <c r="PGF47" s="344"/>
      <c r="PGG47" s="344"/>
      <c r="PGH47" s="344"/>
      <c r="PGI47" s="344"/>
      <c r="PGJ47" s="344"/>
      <c r="PGK47" s="344"/>
      <c r="PGL47" s="344"/>
      <c r="PGM47" s="344"/>
      <c r="PGN47" s="344"/>
      <c r="PGO47" s="344"/>
      <c r="PGP47" s="344"/>
      <c r="PGQ47" s="344"/>
      <c r="PGR47" s="344"/>
      <c r="PGS47" s="344"/>
      <c r="PGT47" s="344"/>
      <c r="PGU47" s="344"/>
      <c r="PGV47" s="344"/>
      <c r="PGW47" s="344"/>
      <c r="PGX47" s="344"/>
      <c r="PGY47" s="344"/>
      <c r="PGZ47" s="344"/>
      <c r="PHA47" s="344"/>
      <c r="PHB47" s="344"/>
      <c r="PHC47" s="344"/>
      <c r="PHD47" s="344"/>
      <c r="PHE47" s="344"/>
      <c r="PHF47" s="344"/>
      <c r="PHG47" s="344"/>
      <c r="PHH47" s="344"/>
      <c r="PHI47" s="344"/>
      <c r="PHJ47" s="344"/>
      <c r="PHK47" s="344"/>
      <c r="PHL47" s="344"/>
      <c r="PHM47" s="344"/>
      <c r="PHN47" s="344"/>
      <c r="PHO47" s="344"/>
      <c r="PHP47" s="344"/>
      <c r="PHQ47" s="344"/>
      <c r="PHR47" s="344"/>
      <c r="PHS47" s="344"/>
      <c r="PHT47" s="344"/>
      <c r="PHU47" s="344"/>
      <c r="PHV47" s="344"/>
      <c r="PHW47" s="344"/>
      <c r="PHX47" s="344"/>
      <c r="PHY47" s="344"/>
      <c r="PHZ47" s="344"/>
      <c r="PIA47" s="344"/>
      <c r="PIB47" s="344"/>
      <c r="PIC47" s="344"/>
      <c r="PID47" s="344"/>
      <c r="PIE47" s="344"/>
      <c r="PIF47" s="344"/>
      <c r="PIG47" s="344"/>
      <c r="PIH47" s="344"/>
      <c r="PII47" s="344"/>
      <c r="PIJ47" s="344"/>
      <c r="PIK47" s="344"/>
      <c r="PIL47" s="344"/>
      <c r="PIM47" s="344"/>
      <c r="PIN47" s="344"/>
      <c r="PIO47" s="344"/>
      <c r="PIP47" s="344"/>
      <c r="PIQ47" s="344"/>
      <c r="PIR47" s="344"/>
      <c r="PIS47" s="344"/>
      <c r="PIT47" s="344"/>
      <c r="PIU47" s="344"/>
      <c r="PIV47" s="344"/>
      <c r="PIW47" s="344"/>
      <c r="PIX47" s="344"/>
      <c r="PIY47" s="344"/>
      <c r="PIZ47" s="344"/>
      <c r="PJA47" s="344"/>
      <c r="PJB47" s="344"/>
      <c r="PJC47" s="344"/>
      <c r="PJD47" s="344"/>
      <c r="PJE47" s="344"/>
      <c r="PJF47" s="344"/>
      <c r="PJG47" s="344"/>
      <c r="PJH47" s="344"/>
      <c r="PJI47" s="344"/>
      <c r="PJJ47" s="344"/>
      <c r="PJK47" s="344"/>
      <c r="PJL47" s="344"/>
      <c r="PJM47" s="344"/>
      <c r="PJN47" s="344"/>
      <c r="PJO47" s="344"/>
      <c r="PJP47" s="344"/>
      <c r="PJQ47" s="344"/>
      <c r="PJR47" s="344"/>
      <c r="PJS47" s="344"/>
      <c r="PJT47" s="344"/>
      <c r="PJU47" s="344"/>
      <c r="PJV47" s="344"/>
      <c r="PJW47" s="344"/>
      <c r="PJX47" s="344"/>
      <c r="PJY47" s="344"/>
      <c r="PJZ47" s="344"/>
      <c r="PKA47" s="344"/>
      <c r="PKB47" s="344"/>
      <c r="PKC47" s="344"/>
      <c r="PKD47" s="344"/>
      <c r="PKE47" s="344"/>
      <c r="PKF47" s="344"/>
      <c r="PKG47" s="344"/>
      <c r="PKH47" s="344"/>
      <c r="PKI47" s="344"/>
      <c r="PKJ47" s="344"/>
      <c r="PKK47" s="344"/>
      <c r="PKL47" s="344"/>
      <c r="PKM47" s="344"/>
      <c r="PKN47" s="344"/>
      <c r="PKO47" s="344"/>
      <c r="PKP47" s="344"/>
      <c r="PKQ47" s="344"/>
      <c r="PKR47" s="344"/>
      <c r="PKS47" s="344"/>
      <c r="PKT47" s="344"/>
      <c r="PKU47" s="344"/>
      <c r="PKV47" s="344"/>
      <c r="PKW47" s="344"/>
      <c r="PKX47" s="344"/>
      <c r="PKY47" s="344"/>
      <c r="PKZ47" s="344"/>
      <c r="PLA47" s="344"/>
      <c r="PLB47" s="344"/>
      <c r="PLC47" s="344"/>
      <c r="PLD47" s="344"/>
      <c r="PLE47" s="344"/>
      <c r="PLF47" s="344"/>
      <c r="PLG47" s="344"/>
      <c r="PLH47" s="344"/>
      <c r="PLI47" s="344"/>
      <c r="PLJ47" s="344"/>
      <c r="PLK47" s="344"/>
      <c r="PLL47" s="344"/>
      <c r="PLM47" s="344"/>
      <c r="PLN47" s="344"/>
      <c r="PLO47" s="344"/>
      <c r="PLP47" s="344"/>
      <c r="PLQ47" s="344"/>
      <c r="PLR47" s="344"/>
      <c r="PLS47" s="344"/>
      <c r="PLT47" s="344"/>
      <c r="PLU47" s="344"/>
      <c r="PLV47" s="344"/>
      <c r="PLW47" s="344"/>
      <c r="PLX47" s="344"/>
      <c r="PLY47" s="344"/>
      <c r="PLZ47" s="344"/>
      <c r="PMA47" s="344"/>
      <c r="PMB47" s="344"/>
      <c r="PMC47" s="344"/>
      <c r="PMD47" s="344"/>
      <c r="PME47" s="344"/>
      <c r="PMF47" s="344"/>
      <c r="PMG47" s="344"/>
      <c r="PMH47" s="344"/>
      <c r="PMI47" s="344"/>
      <c r="PMJ47" s="344"/>
      <c r="PMK47" s="344"/>
      <c r="PML47" s="344"/>
      <c r="PMM47" s="344"/>
      <c r="PMN47" s="344"/>
      <c r="PMO47" s="344"/>
      <c r="PMP47" s="344"/>
      <c r="PMQ47" s="344"/>
      <c r="PMR47" s="344"/>
      <c r="PMS47" s="344"/>
      <c r="PMT47" s="344"/>
      <c r="PMU47" s="344"/>
      <c r="PMV47" s="344"/>
      <c r="PMW47" s="344"/>
      <c r="PMX47" s="344"/>
      <c r="PMY47" s="344"/>
      <c r="PMZ47" s="344"/>
      <c r="PNA47" s="344"/>
      <c r="PNB47" s="344"/>
      <c r="PNC47" s="344"/>
      <c r="PND47" s="344"/>
      <c r="PNE47" s="344"/>
      <c r="PNF47" s="344"/>
      <c r="PNG47" s="344"/>
      <c r="PNH47" s="344"/>
      <c r="PNI47" s="344"/>
      <c r="PNJ47" s="344"/>
      <c r="PNK47" s="344"/>
      <c r="PNL47" s="344"/>
      <c r="PNM47" s="344"/>
      <c r="PNN47" s="344"/>
      <c r="PNO47" s="344"/>
      <c r="PNP47" s="344"/>
      <c r="PNQ47" s="344"/>
      <c r="PNR47" s="344"/>
      <c r="PNS47" s="344"/>
      <c r="PNT47" s="344"/>
      <c r="PNU47" s="344"/>
      <c r="PNV47" s="344"/>
      <c r="PNW47" s="344"/>
      <c r="PNX47" s="344"/>
      <c r="PNY47" s="344"/>
      <c r="PNZ47" s="344"/>
      <c r="POA47" s="344"/>
      <c r="POB47" s="344"/>
      <c r="POC47" s="344"/>
      <c r="POD47" s="344"/>
      <c r="POE47" s="344"/>
      <c r="POF47" s="344"/>
      <c r="POG47" s="344"/>
      <c r="POH47" s="344"/>
      <c r="POI47" s="344"/>
      <c r="POJ47" s="344"/>
      <c r="POK47" s="344"/>
      <c r="POL47" s="344"/>
      <c r="POM47" s="344"/>
      <c r="PON47" s="344"/>
      <c r="POO47" s="344"/>
      <c r="POP47" s="344"/>
      <c r="POQ47" s="344"/>
      <c r="POR47" s="344"/>
      <c r="POS47" s="344"/>
      <c r="POT47" s="344"/>
      <c r="POU47" s="344"/>
      <c r="POV47" s="344"/>
      <c r="POW47" s="344"/>
      <c r="POX47" s="344"/>
      <c r="POY47" s="344"/>
      <c r="POZ47" s="344"/>
      <c r="PPA47" s="344"/>
      <c r="PPB47" s="344"/>
      <c r="PPC47" s="344"/>
      <c r="PPD47" s="344"/>
      <c r="PPE47" s="344"/>
      <c r="PPF47" s="344"/>
      <c r="PPG47" s="344"/>
      <c r="PPH47" s="344"/>
      <c r="PPI47" s="344"/>
      <c r="PPJ47" s="344"/>
      <c r="PPK47" s="344"/>
      <c r="PPL47" s="344"/>
      <c r="PPM47" s="344"/>
      <c r="PPN47" s="344"/>
      <c r="PPO47" s="344"/>
      <c r="PPP47" s="344"/>
      <c r="PPQ47" s="344"/>
      <c r="PPR47" s="344"/>
      <c r="PPS47" s="344"/>
      <c r="PPT47" s="344"/>
      <c r="PPU47" s="344"/>
      <c r="PPV47" s="344"/>
      <c r="PPW47" s="344"/>
      <c r="PPX47" s="344"/>
      <c r="PPY47" s="344"/>
      <c r="PPZ47" s="344"/>
      <c r="PQA47" s="344"/>
      <c r="PQB47" s="344"/>
      <c r="PQC47" s="344"/>
      <c r="PQD47" s="344"/>
      <c r="PQE47" s="344"/>
      <c r="PQF47" s="344"/>
      <c r="PQG47" s="344"/>
      <c r="PQH47" s="344"/>
      <c r="PQI47" s="344"/>
      <c r="PQJ47" s="344"/>
      <c r="PQK47" s="344"/>
      <c r="PQL47" s="344"/>
      <c r="PQM47" s="344"/>
      <c r="PQN47" s="344"/>
      <c r="PQO47" s="344"/>
      <c r="PQP47" s="344"/>
      <c r="PQQ47" s="344"/>
      <c r="PQR47" s="344"/>
      <c r="PQS47" s="344"/>
      <c r="PQT47" s="344"/>
      <c r="PQU47" s="344"/>
      <c r="PQV47" s="344"/>
      <c r="PQW47" s="344"/>
      <c r="PQX47" s="344"/>
      <c r="PQY47" s="344"/>
      <c r="PQZ47" s="344"/>
      <c r="PRA47" s="344"/>
      <c r="PRB47" s="344"/>
      <c r="PRC47" s="344"/>
      <c r="PRD47" s="344"/>
      <c r="PRE47" s="344"/>
      <c r="PRF47" s="344"/>
      <c r="PRG47" s="344"/>
      <c r="PRH47" s="344"/>
      <c r="PRI47" s="344"/>
      <c r="PRJ47" s="344"/>
      <c r="PRK47" s="344"/>
      <c r="PRL47" s="344"/>
      <c r="PRM47" s="344"/>
      <c r="PRN47" s="344"/>
      <c r="PRO47" s="344"/>
      <c r="PRP47" s="344"/>
      <c r="PRQ47" s="344"/>
      <c r="PRR47" s="344"/>
      <c r="PRS47" s="344"/>
      <c r="PRT47" s="344"/>
      <c r="PRU47" s="344"/>
      <c r="PRV47" s="344"/>
      <c r="PRW47" s="344"/>
      <c r="PRX47" s="344"/>
      <c r="PRY47" s="344"/>
      <c r="PRZ47" s="344"/>
      <c r="PSA47" s="344"/>
      <c r="PSB47" s="344"/>
      <c r="PSC47" s="344"/>
      <c r="PSD47" s="344"/>
      <c r="PSE47" s="344"/>
      <c r="PSF47" s="344"/>
      <c r="PSG47" s="344"/>
      <c r="PSH47" s="344"/>
      <c r="PSI47" s="344"/>
      <c r="PSJ47" s="344"/>
      <c r="PSK47" s="344"/>
      <c r="PSL47" s="344"/>
      <c r="PSM47" s="344"/>
      <c r="PSN47" s="344"/>
      <c r="PSO47" s="344"/>
      <c r="PSP47" s="344"/>
      <c r="PSQ47" s="344"/>
      <c r="PSR47" s="344"/>
      <c r="PSS47" s="344"/>
      <c r="PST47" s="344"/>
      <c r="PSU47" s="344"/>
      <c r="PSV47" s="344"/>
      <c r="PSW47" s="344"/>
      <c r="PSX47" s="344"/>
      <c r="PSY47" s="344"/>
      <c r="PSZ47" s="344"/>
      <c r="PTA47" s="344"/>
      <c r="PTB47" s="344"/>
      <c r="PTC47" s="344"/>
      <c r="PTD47" s="344"/>
      <c r="PTE47" s="344"/>
      <c r="PTF47" s="344"/>
      <c r="PTG47" s="344"/>
      <c r="PTH47" s="344"/>
      <c r="PTI47" s="344"/>
      <c r="PTJ47" s="344"/>
      <c r="PTK47" s="344"/>
      <c r="PTL47" s="344"/>
      <c r="PTM47" s="344"/>
      <c r="PTN47" s="344"/>
      <c r="PTO47" s="344"/>
      <c r="PTP47" s="344"/>
      <c r="PTQ47" s="344"/>
      <c r="PTR47" s="344"/>
      <c r="PTS47" s="344"/>
      <c r="PTT47" s="344"/>
      <c r="PTU47" s="344"/>
      <c r="PTV47" s="344"/>
      <c r="PTW47" s="344"/>
      <c r="PTX47" s="344"/>
      <c r="PTY47" s="344"/>
      <c r="PTZ47" s="344"/>
      <c r="PUA47" s="344"/>
      <c r="PUB47" s="344"/>
      <c r="PUC47" s="344"/>
      <c r="PUD47" s="344"/>
      <c r="PUE47" s="344"/>
      <c r="PUF47" s="344"/>
      <c r="PUG47" s="344"/>
      <c r="PUH47" s="344"/>
      <c r="PUI47" s="344"/>
      <c r="PUJ47" s="344"/>
      <c r="PUK47" s="344"/>
      <c r="PUL47" s="344"/>
      <c r="PUM47" s="344"/>
      <c r="PUN47" s="344"/>
      <c r="PUO47" s="344"/>
      <c r="PUP47" s="344"/>
      <c r="PUQ47" s="344"/>
      <c r="PUR47" s="344"/>
      <c r="PUS47" s="344"/>
      <c r="PUT47" s="344"/>
      <c r="PUU47" s="344"/>
      <c r="PUV47" s="344"/>
      <c r="PUW47" s="344"/>
      <c r="PUX47" s="344"/>
      <c r="PUY47" s="344"/>
      <c r="PUZ47" s="344"/>
      <c r="PVA47" s="344"/>
      <c r="PVB47" s="344"/>
      <c r="PVC47" s="344"/>
      <c r="PVD47" s="344"/>
      <c r="PVE47" s="344"/>
      <c r="PVF47" s="344"/>
      <c r="PVG47" s="344"/>
      <c r="PVH47" s="344"/>
      <c r="PVI47" s="344"/>
      <c r="PVJ47" s="344"/>
      <c r="PVK47" s="344"/>
      <c r="PVL47" s="344"/>
      <c r="PVM47" s="344"/>
      <c r="PVN47" s="344"/>
      <c r="PVO47" s="344"/>
      <c r="PVP47" s="344"/>
      <c r="PVQ47" s="344"/>
      <c r="PVR47" s="344"/>
      <c r="PVS47" s="344"/>
      <c r="PVT47" s="344"/>
      <c r="PVU47" s="344"/>
      <c r="PVV47" s="344"/>
      <c r="PVW47" s="344"/>
      <c r="PVX47" s="344"/>
      <c r="PVY47" s="344"/>
      <c r="PVZ47" s="344"/>
      <c r="PWA47" s="344"/>
      <c r="PWB47" s="344"/>
      <c r="PWC47" s="344"/>
      <c r="PWD47" s="344"/>
      <c r="PWE47" s="344"/>
      <c r="PWF47" s="344"/>
      <c r="PWG47" s="344"/>
      <c r="PWH47" s="344"/>
      <c r="PWI47" s="344"/>
      <c r="PWJ47" s="344"/>
      <c r="PWK47" s="344"/>
      <c r="PWL47" s="344"/>
      <c r="PWM47" s="344"/>
      <c r="PWN47" s="344"/>
      <c r="PWO47" s="344"/>
      <c r="PWP47" s="344"/>
      <c r="PWQ47" s="344"/>
      <c r="PWR47" s="344"/>
      <c r="PWS47" s="344"/>
      <c r="PWT47" s="344"/>
      <c r="PWU47" s="344"/>
      <c r="PWV47" s="344"/>
      <c r="PWW47" s="344"/>
      <c r="PWX47" s="344"/>
      <c r="PWY47" s="344"/>
      <c r="PWZ47" s="344"/>
      <c r="PXA47" s="344"/>
      <c r="PXB47" s="344"/>
      <c r="PXC47" s="344"/>
      <c r="PXD47" s="344"/>
      <c r="PXE47" s="344"/>
      <c r="PXF47" s="344"/>
      <c r="PXG47" s="344"/>
      <c r="PXH47" s="344"/>
      <c r="PXI47" s="344"/>
      <c r="PXJ47" s="344"/>
      <c r="PXK47" s="344"/>
      <c r="PXL47" s="344"/>
      <c r="PXM47" s="344"/>
      <c r="PXN47" s="344"/>
      <c r="PXO47" s="344"/>
      <c r="PXP47" s="344"/>
      <c r="PXQ47" s="344"/>
      <c r="PXR47" s="344"/>
      <c r="PXS47" s="344"/>
      <c r="PXT47" s="344"/>
      <c r="PXU47" s="344"/>
      <c r="PXV47" s="344"/>
      <c r="PXW47" s="344"/>
      <c r="PXX47" s="344"/>
      <c r="PXY47" s="344"/>
      <c r="PXZ47" s="344"/>
      <c r="PYA47" s="344"/>
      <c r="PYB47" s="344"/>
      <c r="PYC47" s="344"/>
      <c r="PYD47" s="344"/>
      <c r="PYE47" s="344"/>
      <c r="PYF47" s="344"/>
      <c r="PYG47" s="344"/>
      <c r="PYH47" s="344"/>
      <c r="PYI47" s="344"/>
      <c r="PYJ47" s="344"/>
      <c r="PYK47" s="344"/>
      <c r="PYL47" s="344"/>
      <c r="PYM47" s="344"/>
      <c r="PYN47" s="344"/>
      <c r="PYO47" s="344"/>
      <c r="PYP47" s="344"/>
      <c r="PYQ47" s="344"/>
      <c r="PYR47" s="344"/>
      <c r="PYS47" s="344"/>
      <c r="PYT47" s="344"/>
      <c r="PYU47" s="344"/>
      <c r="PYV47" s="344"/>
      <c r="PYW47" s="344"/>
      <c r="PYX47" s="344"/>
      <c r="PYY47" s="344"/>
      <c r="PYZ47" s="344"/>
      <c r="PZA47" s="344"/>
      <c r="PZB47" s="344"/>
      <c r="PZC47" s="344"/>
      <c r="PZD47" s="344"/>
      <c r="PZE47" s="344"/>
      <c r="PZF47" s="344"/>
      <c r="PZG47" s="344"/>
      <c r="PZH47" s="344"/>
      <c r="PZI47" s="344"/>
      <c r="PZJ47" s="344"/>
      <c r="PZK47" s="344"/>
      <c r="PZL47" s="344"/>
      <c r="PZM47" s="344"/>
      <c r="PZN47" s="344"/>
      <c r="PZO47" s="344"/>
      <c r="PZP47" s="344"/>
      <c r="PZQ47" s="344"/>
      <c r="PZR47" s="344"/>
      <c r="PZS47" s="344"/>
      <c r="PZT47" s="344"/>
      <c r="PZU47" s="344"/>
      <c r="PZV47" s="344"/>
      <c r="PZW47" s="344"/>
      <c r="PZX47" s="344"/>
      <c r="PZY47" s="344"/>
      <c r="PZZ47" s="344"/>
      <c r="QAA47" s="344"/>
      <c r="QAB47" s="344"/>
      <c r="QAC47" s="344"/>
      <c r="QAD47" s="344"/>
      <c r="QAE47" s="344"/>
      <c r="QAF47" s="344"/>
      <c r="QAG47" s="344"/>
      <c r="QAH47" s="344"/>
      <c r="QAI47" s="344"/>
      <c r="QAJ47" s="344"/>
      <c r="QAK47" s="344"/>
      <c r="QAL47" s="344"/>
      <c r="QAM47" s="344"/>
      <c r="QAN47" s="344"/>
      <c r="QAO47" s="344"/>
      <c r="QAP47" s="344"/>
      <c r="QAQ47" s="344"/>
      <c r="QAR47" s="344"/>
      <c r="QAS47" s="344"/>
      <c r="QAT47" s="344"/>
      <c r="QAU47" s="344"/>
      <c r="QAV47" s="344"/>
      <c r="QAW47" s="344"/>
      <c r="QAX47" s="344"/>
      <c r="QAY47" s="344"/>
      <c r="QAZ47" s="344"/>
      <c r="QBA47" s="344"/>
      <c r="QBB47" s="344"/>
      <c r="QBC47" s="344"/>
      <c r="QBD47" s="344"/>
      <c r="QBE47" s="344"/>
      <c r="QBF47" s="344"/>
      <c r="QBG47" s="344"/>
      <c r="QBH47" s="344"/>
      <c r="QBI47" s="344"/>
      <c r="QBJ47" s="344"/>
      <c r="QBK47" s="344"/>
      <c r="QBL47" s="344"/>
      <c r="QBM47" s="344"/>
      <c r="QBN47" s="344"/>
      <c r="QBO47" s="344"/>
      <c r="QBP47" s="344"/>
      <c r="QBQ47" s="344"/>
      <c r="QBR47" s="344"/>
      <c r="QBS47" s="344"/>
      <c r="QBT47" s="344"/>
      <c r="QBU47" s="344"/>
      <c r="QBV47" s="344"/>
      <c r="QBW47" s="344"/>
      <c r="QBX47" s="344"/>
      <c r="QBY47" s="344"/>
      <c r="QBZ47" s="344"/>
      <c r="QCA47" s="344"/>
      <c r="QCB47" s="344"/>
      <c r="QCC47" s="344"/>
      <c r="QCD47" s="344"/>
      <c r="QCE47" s="344"/>
      <c r="QCF47" s="344"/>
      <c r="QCG47" s="344"/>
      <c r="QCH47" s="344"/>
      <c r="QCI47" s="344"/>
      <c r="QCJ47" s="344"/>
      <c r="QCK47" s="344"/>
      <c r="QCL47" s="344"/>
      <c r="QCM47" s="344"/>
      <c r="QCN47" s="344"/>
      <c r="QCO47" s="344"/>
      <c r="QCP47" s="344"/>
      <c r="QCQ47" s="344"/>
      <c r="QCR47" s="344"/>
      <c r="QCS47" s="344"/>
      <c r="QCT47" s="344"/>
      <c r="QCU47" s="344"/>
      <c r="QCV47" s="344"/>
      <c r="QCW47" s="344"/>
      <c r="QCX47" s="344"/>
      <c r="QCY47" s="344"/>
      <c r="QCZ47" s="344"/>
      <c r="QDA47" s="344"/>
      <c r="QDB47" s="344"/>
      <c r="QDC47" s="344"/>
      <c r="QDD47" s="344"/>
      <c r="QDE47" s="344"/>
      <c r="QDF47" s="344"/>
      <c r="QDG47" s="344"/>
      <c r="QDH47" s="344"/>
      <c r="QDI47" s="344"/>
      <c r="QDJ47" s="344"/>
      <c r="QDK47" s="344"/>
      <c r="QDL47" s="344"/>
      <c r="QDM47" s="344"/>
      <c r="QDN47" s="344"/>
      <c r="QDO47" s="344"/>
      <c r="QDP47" s="344"/>
      <c r="QDQ47" s="344"/>
      <c r="QDR47" s="344"/>
      <c r="QDS47" s="344"/>
      <c r="QDT47" s="344"/>
      <c r="QDU47" s="344"/>
      <c r="QDV47" s="344"/>
      <c r="QDW47" s="344"/>
      <c r="QDX47" s="344"/>
      <c r="QDY47" s="344"/>
      <c r="QDZ47" s="344"/>
      <c r="QEA47" s="344"/>
      <c r="QEB47" s="344"/>
      <c r="QEC47" s="344"/>
      <c r="QED47" s="344"/>
      <c r="QEE47" s="344"/>
      <c r="QEF47" s="344"/>
      <c r="QEG47" s="344"/>
      <c r="QEH47" s="344"/>
      <c r="QEI47" s="344"/>
      <c r="QEJ47" s="344"/>
      <c r="QEK47" s="344"/>
      <c r="QEL47" s="344"/>
      <c r="QEM47" s="344"/>
      <c r="QEN47" s="344"/>
      <c r="QEO47" s="344"/>
      <c r="QEP47" s="344"/>
      <c r="QEQ47" s="344"/>
      <c r="QER47" s="344"/>
      <c r="QES47" s="344"/>
      <c r="QET47" s="344"/>
      <c r="QEU47" s="344"/>
      <c r="QEV47" s="344"/>
      <c r="QEW47" s="344"/>
      <c r="QEX47" s="344"/>
      <c r="QEY47" s="344"/>
      <c r="QEZ47" s="344"/>
      <c r="QFA47" s="344"/>
      <c r="QFB47" s="344"/>
      <c r="QFC47" s="344"/>
      <c r="QFD47" s="344"/>
      <c r="QFE47" s="344"/>
      <c r="QFF47" s="344"/>
      <c r="QFG47" s="344"/>
      <c r="QFH47" s="344"/>
      <c r="QFI47" s="344"/>
      <c r="QFJ47" s="344"/>
      <c r="QFK47" s="344"/>
      <c r="QFL47" s="344"/>
      <c r="QFM47" s="344"/>
      <c r="QFN47" s="344"/>
      <c r="QFO47" s="344"/>
      <c r="QFP47" s="344"/>
      <c r="QFQ47" s="344"/>
      <c r="QFR47" s="344"/>
      <c r="QFS47" s="344"/>
      <c r="QFT47" s="344"/>
      <c r="QFU47" s="344"/>
      <c r="QFV47" s="344"/>
      <c r="QFW47" s="344"/>
      <c r="QFX47" s="344"/>
      <c r="QFY47" s="344"/>
      <c r="QFZ47" s="344"/>
      <c r="QGA47" s="344"/>
      <c r="QGB47" s="344"/>
      <c r="QGC47" s="344"/>
      <c r="QGD47" s="344"/>
      <c r="QGE47" s="344"/>
      <c r="QGF47" s="344"/>
      <c r="QGG47" s="344"/>
      <c r="QGH47" s="344"/>
      <c r="QGI47" s="344"/>
      <c r="QGJ47" s="344"/>
      <c r="QGK47" s="344"/>
      <c r="QGL47" s="344"/>
      <c r="QGM47" s="344"/>
      <c r="QGN47" s="344"/>
      <c r="QGO47" s="344"/>
      <c r="QGP47" s="344"/>
      <c r="QGQ47" s="344"/>
      <c r="QGR47" s="344"/>
      <c r="QGS47" s="344"/>
      <c r="QGT47" s="344"/>
      <c r="QGU47" s="344"/>
      <c r="QGV47" s="344"/>
      <c r="QGW47" s="344"/>
      <c r="QGX47" s="344"/>
      <c r="QGY47" s="344"/>
      <c r="QGZ47" s="344"/>
      <c r="QHA47" s="344"/>
      <c r="QHB47" s="344"/>
      <c r="QHC47" s="344"/>
      <c r="QHD47" s="344"/>
      <c r="QHE47" s="344"/>
      <c r="QHF47" s="344"/>
      <c r="QHG47" s="344"/>
      <c r="QHH47" s="344"/>
      <c r="QHI47" s="344"/>
      <c r="QHJ47" s="344"/>
      <c r="QHK47" s="344"/>
      <c r="QHL47" s="344"/>
      <c r="QHM47" s="344"/>
      <c r="QHN47" s="344"/>
      <c r="QHO47" s="344"/>
      <c r="QHP47" s="344"/>
      <c r="QHQ47" s="344"/>
      <c r="QHR47" s="344"/>
      <c r="QHS47" s="344"/>
      <c r="QHT47" s="344"/>
      <c r="QHU47" s="344"/>
      <c r="QHV47" s="344"/>
      <c r="QHW47" s="344"/>
      <c r="QHX47" s="344"/>
      <c r="QHY47" s="344"/>
      <c r="QHZ47" s="344"/>
      <c r="QIA47" s="344"/>
      <c r="QIB47" s="344"/>
      <c r="QIC47" s="344"/>
      <c r="QID47" s="344"/>
      <c r="QIE47" s="344"/>
      <c r="QIF47" s="344"/>
      <c r="QIG47" s="344"/>
      <c r="QIH47" s="344"/>
      <c r="QII47" s="344"/>
      <c r="QIJ47" s="344"/>
      <c r="QIK47" s="344"/>
      <c r="QIL47" s="344"/>
      <c r="QIM47" s="344"/>
      <c r="QIN47" s="344"/>
      <c r="QIO47" s="344"/>
      <c r="QIP47" s="344"/>
      <c r="QIQ47" s="344"/>
      <c r="QIR47" s="344"/>
      <c r="QIS47" s="344"/>
      <c r="QIT47" s="344"/>
      <c r="QIU47" s="344"/>
      <c r="QIV47" s="344"/>
      <c r="QIW47" s="344"/>
      <c r="QIX47" s="344"/>
      <c r="QIY47" s="344"/>
      <c r="QIZ47" s="344"/>
      <c r="QJA47" s="344"/>
      <c r="QJB47" s="344"/>
      <c r="QJC47" s="344"/>
      <c r="QJD47" s="344"/>
      <c r="QJE47" s="344"/>
      <c r="QJF47" s="344"/>
      <c r="QJG47" s="344"/>
      <c r="QJH47" s="344"/>
      <c r="QJI47" s="344"/>
      <c r="QJJ47" s="344"/>
      <c r="QJK47" s="344"/>
      <c r="QJL47" s="344"/>
      <c r="QJM47" s="344"/>
      <c r="QJN47" s="344"/>
      <c r="QJO47" s="344"/>
      <c r="QJP47" s="344"/>
      <c r="QJQ47" s="344"/>
      <c r="QJR47" s="344"/>
      <c r="QJS47" s="344"/>
      <c r="QJT47" s="344"/>
      <c r="QJU47" s="344"/>
      <c r="QJV47" s="344"/>
      <c r="QJW47" s="344"/>
      <c r="QJX47" s="344"/>
      <c r="QJY47" s="344"/>
      <c r="QJZ47" s="344"/>
      <c r="QKA47" s="344"/>
      <c r="QKB47" s="344"/>
      <c r="QKC47" s="344"/>
      <c r="QKD47" s="344"/>
      <c r="QKE47" s="344"/>
      <c r="QKF47" s="344"/>
      <c r="QKG47" s="344"/>
      <c r="QKH47" s="344"/>
      <c r="QKI47" s="344"/>
      <c r="QKJ47" s="344"/>
      <c r="QKK47" s="344"/>
      <c r="QKL47" s="344"/>
      <c r="QKM47" s="344"/>
      <c r="QKN47" s="344"/>
      <c r="QKO47" s="344"/>
      <c r="QKP47" s="344"/>
      <c r="QKQ47" s="344"/>
      <c r="QKR47" s="344"/>
      <c r="QKS47" s="344"/>
      <c r="QKT47" s="344"/>
      <c r="QKU47" s="344"/>
      <c r="QKV47" s="344"/>
      <c r="QKW47" s="344"/>
      <c r="QKX47" s="344"/>
      <c r="QKY47" s="344"/>
      <c r="QKZ47" s="344"/>
      <c r="QLA47" s="344"/>
      <c r="QLB47" s="344"/>
      <c r="QLC47" s="344"/>
      <c r="QLD47" s="344"/>
      <c r="QLE47" s="344"/>
      <c r="QLF47" s="344"/>
      <c r="QLG47" s="344"/>
      <c r="QLH47" s="344"/>
      <c r="QLI47" s="344"/>
      <c r="QLJ47" s="344"/>
      <c r="QLK47" s="344"/>
      <c r="QLL47" s="344"/>
      <c r="QLM47" s="344"/>
      <c r="QLN47" s="344"/>
      <c r="QLO47" s="344"/>
      <c r="QLP47" s="344"/>
      <c r="QLQ47" s="344"/>
      <c r="QLR47" s="344"/>
      <c r="QLS47" s="344"/>
      <c r="QLT47" s="344"/>
      <c r="QLU47" s="344"/>
      <c r="QLV47" s="344"/>
      <c r="QLW47" s="344"/>
      <c r="QLX47" s="344"/>
      <c r="QLY47" s="344"/>
      <c r="QLZ47" s="344"/>
      <c r="QMA47" s="344"/>
      <c r="QMB47" s="344"/>
      <c r="QMC47" s="344"/>
      <c r="QMD47" s="344"/>
      <c r="QME47" s="344"/>
      <c r="QMF47" s="344"/>
      <c r="QMG47" s="344"/>
      <c r="QMH47" s="344"/>
      <c r="QMI47" s="344"/>
      <c r="QMJ47" s="344"/>
      <c r="QMK47" s="344"/>
      <c r="QML47" s="344"/>
      <c r="QMM47" s="344"/>
      <c r="QMN47" s="344"/>
      <c r="QMO47" s="344"/>
      <c r="QMP47" s="344"/>
      <c r="QMQ47" s="344"/>
      <c r="QMR47" s="344"/>
      <c r="QMS47" s="344"/>
      <c r="QMT47" s="344"/>
      <c r="QMU47" s="344"/>
      <c r="QMV47" s="344"/>
      <c r="QMW47" s="344"/>
      <c r="QMX47" s="344"/>
      <c r="QMY47" s="344"/>
      <c r="QMZ47" s="344"/>
      <c r="QNA47" s="344"/>
      <c r="QNB47" s="344"/>
      <c r="QNC47" s="344"/>
      <c r="QND47" s="344"/>
      <c r="QNE47" s="344"/>
      <c r="QNF47" s="344"/>
      <c r="QNG47" s="344"/>
      <c r="QNH47" s="344"/>
      <c r="QNI47" s="344"/>
      <c r="QNJ47" s="344"/>
      <c r="QNK47" s="344"/>
      <c r="QNL47" s="344"/>
      <c r="QNM47" s="344"/>
      <c r="QNN47" s="344"/>
      <c r="QNO47" s="344"/>
      <c r="QNP47" s="344"/>
      <c r="QNQ47" s="344"/>
      <c r="QNR47" s="344"/>
      <c r="QNS47" s="344"/>
      <c r="QNT47" s="344"/>
      <c r="QNU47" s="344"/>
      <c r="QNV47" s="344"/>
      <c r="QNW47" s="344"/>
      <c r="QNX47" s="344"/>
      <c r="QNY47" s="344"/>
      <c r="QNZ47" s="344"/>
      <c r="QOA47" s="344"/>
      <c r="QOB47" s="344"/>
      <c r="QOC47" s="344"/>
      <c r="QOD47" s="344"/>
      <c r="QOE47" s="344"/>
      <c r="QOF47" s="344"/>
      <c r="QOG47" s="344"/>
      <c r="QOH47" s="344"/>
      <c r="QOI47" s="344"/>
      <c r="QOJ47" s="344"/>
      <c r="QOK47" s="344"/>
      <c r="QOL47" s="344"/>
      <c r="QOM47" s="344"/>
      <c r="QON47" s="344"/>
      <c r="QOO47" s="344"/>
      <c r="QOP47" s="344"/>
      <c r="QOQ47" s="344"/>
      <c r="QOR47" s="344"/>
      <c r="QOS47" s="344"/>
      <c r="QOT47" s="344"/>
      <c r="QOU47" s="344"/>
      <c r="QOV47" s="344"/>
      <c r="QOW47" s="344"/>
      <c r="QOX47" s="344"/>
      <c r="QOY47" s="344"/>
      <c r="QOZ47" s="344"/>
      <c r="QPA47" s="344"/>
      <c r="QPB47" s="344"/>
      <c r="QPC47" s="344"/>
      <c r="QPD47" s="344"/>
      <c r="QPE47" s="344"/>
      <c r="QPF47" s="344"/>
      <c r="QPG47" s="344"/>
      <c r="QPH47" s="344"/>
      <c r="QPI47" s="344"/>
      <c r="QPJ47" s="344"/>
      <c r="QPK47" s="344"/>
      <c r="QPL47" s="344"/>
      <c r="QPM47" s="344"/>
      <c r="QPN47" s="344"/>
      <c r="QPO47" s="344"/>
      <c r="QPP47" s="344"/>
      <c r="QPQ47" s="344"/>
      <c r="QPR47" s="344"/>
      <c r="QPS47" s="344"/>
      <c r="QPT47" s="344"/>
      <c r="QPU47" s="344"/>
      <c r="QPV47" s="344"/>
      <c r="QPW47" s="344"/>
      <c r="QPX47" s="344"/>
      <c r="QPY47" s="344"/>
      <c r="QPZ47" s="344"/>
      <c r="QQA47" s="344"/>
      <c r="QQB47" s="344"/>
      <c r="QQC47" s="344"/>
      <c r="QQD47" s="344"/>
      <c r="QQE47" s="344"/>
      <c r="QQF47" s="344"/>
      <c r="QQG47" s="344"/>
      <c r="QQH47" s="344"/>
      <c r="QQI47" s="344"/>
      <c r="QQJ47" s="344"/>
      <c r="QQK47" s="344"/>
      <c r="QQL47" s="344"/>
      <c r="QQM47" s="344"/>
      <c r="QQN47" s="344"/>
      <c r="QQO47" s="344"/>
      <c r="QQP47" s="344"/>
      <c r="QQQ47" s="344"/>
      <c r="QQR47" s="344"/>
      <c r="QQS47" s="344"/>
      <c r="QQT47" s="344"/>
      <c r="QQU47" s="344"/>
      <c r="QQV47" s="344"/>
      <c r="QQW47" s="344"/>
      <c r="QQX47" s="344"/>
      <c r="QQY47" s="344"/>
      <c r="QQZ47" s="344"/>
      <c r="QRA47" s="344"/>
      <c r="QRB47" s="344"/>
      <c r="QRC47" s="344"/>
      <c r="QRD47" s="344"/>
      <c r="QRE47" s="344"/>
      <c r="QRF47" s="344"/>
      <c r="QRG47" s="344"/>
      <c r="QRH47" s="344"/>
      <c r="QRI47" s="344"/>
      <c r="QRJ47" s="344"/>
      <c r="QRK47" s="344"/>
      <c r="QRL47" s="344"/>
      <c r="QRM47" s="344"/>
      <c r="QRN47" s="344"/>
      <c r="QRO47" s="344"/>
      <c r="QRP47" s="344"/>
      <c r="QRQ47" s="344"/>
      <c r="QRR47" s="344"/>
      <c r="QRS47" s="344"/>
      <c r="QRT47" s="344"/>
      <c r="QRU47" s="344"/>
      <c r="QRV47" s="344"/>
      <c r="QRW47" s="344"/>
      <c r="QRX47" s="344"/>
      <c r="QRY47" s="344"/>
      <c r="QRZ47" s="344"/>
      <c r="QSA47" s="344"/>
      <c r="QSB47" s="344"/>
      <c r="QSC47" s="344"/>
      <c r="QSD47" s="344"/>
      <c r="QSE47" s="344"/>
      <c r="QSF47" s="344"/>
      <c r="QSG47" s="344"/>
      <c r="QSH47" s="344"/>
      <c r="QSI47" s="344"/>
      <c r="QSJ47" s="344"/>
      <c r="QSK47" s="344"/>
      <c r="QSL47" s="344"/>
      <c r="QSM47" s="344"/>
      <c r="QSN47" s="344"/>
      <c r="QSO47" s="344"/>
      <c r="QSP47" s="344"/>
      <c r="QSQ47" s="344"/>
      <c r="QSR47" s="344"/>
      <c r="QSS47" s="344"/>
      <c r="QST47" s="344"/>
      <c r="QSU47" s="344"/>
      <c r="QSV47" s="344"/>
      <c r="QSW47" s="344"/>
      <c r="QSX47" s="344"/>
      <c r="QSY47" s="344"/>
      <c r="QSZ47" s="344"/>
      <c r="QTA47" s="344"/>
      <c r="QTB47" s="344"/>
      <c r="QTC47" s="344"/>
      <c r="QTD47" s="344"/>
      <c r="QTE47" s="344"/>
      <c r="QTF47" s="344"/>
      <c r="QTG47" s="344"/>
      <c r="QTH47" s="344"/>
      <c r="QTI47" s="344"/>
      <c r="QTJ47" s="344"/>
      <c r="QTK47" s="344"/>
      <c r="QTL47" s="344"/>
      <c r="QTM47" s="344"/>
      <c r="QTN47" s="344"/>
      <c r="QTO47" s="344"/>
      <c r="QTP47" s="344"/>
      <c r="QTQ47" s="344"/>
      <c r="QTR47" s="344"/>
      <c r="QTS47" s="344"/>
      <c r="QTT47" s="344"/>
      <c r="QTU47" s="344"/>
      <c r="QTV47" s="344"/>
      <c r="QTW47" s="344"/>
      <c r="QTX47" s="344"/>
      <c r="QTY47" s="344"/>
      <c r="QTZ47" s="344"/>
      <c r="QUA47" s="344"/>
      <c r="QUB47" s="344"/>
      <c r="QUC47" s="344"/>
      <c r="QUD47" s="344"/>
      <c r="QUE47" s="344"/>
      <c r="QUF47" s="344"/>
      <c r="QUG47" s="344"/>
      <c r="QUH47" s="344"/>
      <c r="QUI47" s="344"/>
      <c r="QUJ47" s="344"/>
      <c r="QUK47" s="344"/>
      <c r="QUL47" s="344"/>
      <c r="QUM47" s="344"/>
      <c r="QUN47" s="344"/>
      <c r="QUO47" s="344"/>
      <c r="QUP47" s="344"/>
      <c r="QUQ47" s="344"/>
      <c r="QUR47" s="344"/>
      <c r="QUS47" s="344"/>
      <c r="QUT47" s="344"/>
      <c r="QUU47" s="344"/>
      <c r="QUV47" s="344"/>
      <c r="QUW47" s="344"/>
      <c r="QUX47" s="344"/>
      <c r="QUY47" s="344"/>
      <c r="QUZ47" s="344"/>
      <c r="QVA47" s="344"/>
      <c r="QVB47" s="344"/>
      <c r="QVC47" s="344"/>
      <c r="QVD47" s="344"/>
      <c r="QVE47" s="344"/>
      <c r="QVF47" s="344"/>
      <c r="QVG47" s="344"/>
      <c r="QVH47" s="344"/>
      <c r="QVI47" s="344"/>
      <c r="QVJ47" s="344"/>
      <c r="QVK47" s="344"/>
      <c r="QVL47" s="344"/>
      <c r="QVM47" s="344"/>
      <c r="QVN47" s="344"/>
      <c r="QVO47" s="344"/>
      <c r="QVP47" s="344"/>
      <c r="QVQ47" s="344"/>
      <c r="QVR47" s="344"/>
      <c r="QVS47" s="344"/>
      <c r="QVT47" s="344"/>
      <c r="QVU47" s="344"/>
      <c r="QVV47" s="344"/>
      <c r="QVW47" s="344"/>
      <c r="QVX47" s="344"/>
      <c r="QVY47" s="344"/>
      <c r="QVZ47" s="344"/>
      <c r="QWA47" s="344"/>
      <c r="QWB47" s="344"/>
      <c r="QWC47" s="344"/>
      <c r="QWD47" s="344"/>
      <c r="QWE47" s="344"/>
      <c r="QWF47" s="344"/>
      <c r="QWG47" s="344"/>
      <c r="QWH47" s="344"/>
      <c r="QWI47" s="344"/>
      <c r="QWJ47" s="344"/>
      <c r="QWK47" s="344"/>
      <c r="QWL47" s="344"/>
      <c r="QWM47" s="344"/>
      <c r="QWN47" s="344"/>
      <c r="QWO47" s="344"/>
      <c r="QWP47" s="344"/>
      <c r="QWQ47" s="344"/>
      <c r="QWR47" s="344"/>
      <c r="QWS47" s="344"/>
      <c r="QWT47" s="344"/>
      <c r="QWU47" s="344"/>
      <c r="QWV47" s="344"/>
      <c r="QWW47" s="344"/>
      <c r="QWX47" s="344"/>
      <c r="QWY47" s="344"/>
      <c r="QWZ47" s="344"/>
      <c r="QXA47" s="344"/>
      <c r="QXB47" s="344"/>
      <c r="QXC47" s="344"/>
      <c r="QXD47" s="344"/>
      <c r="QXE47" s="344"/>
      <c r="QXF47" s="344"/>
      <c r="QXG47" s="344"/>
      <c r="QXH47" s="344"/>
      <c r="QXI47" s="344"/>
      <c r="QXJ47" s="344"/>
      <c r="QXK47" s="344"/>
      <c r="QXL47" s="344"/>
      <c r="QXM47" s="344"/>
      <c r="QXN47" s="344"/>
      <c r="QXO47" s="344"/>
      <c r="QXP47" s="344"/>
      <c r="QXQ47" s="344"/>
      <c r="QXR47" s="344"/>
      <c r="QXS47" s="344"/>
      <c r="QXT47" s="344"/>
      <c r="QXU47" s="344"/>
      <c r="QXV47" s="344"/>
      <c r="QXW47" s="344"/>
      <c r="QXX47" s="344"/>
      <c r="QXY47" s="344"/>
      <c r="QXZ47" s="344"/>
      <c r="QYA47" s="344"/>
      <c r="QYB47" s="344"/>
      <c r="QYC47" s="344"/>
      <c r="QYD47" s="344"/>
      <c r="QYE47" s="344"/>
      <c r="QYF47" s="344"/>
      <c r="QYG47" s="344"/>
      <c r="QYH47" s="344"/>
      <c r="QYI47" s="344"/>
      <c r="QYJ47" s="344"/>
      <c r="QYK47" s="344"/>
      <c r="QYL47" s="344"/>
      <c r="QYM47" s="344"/>
      <c r="QYN47" s="344"/>
      <c r="QYO47" s="344"/>
      <c r="QYP47" s="344"/>
      <c r="QYQ47" s="344"/>
      <c r="QYR47" s="344"/>
      <c r="QYS47" s="344"/>
      <c r="QYT47" s="344"/>
      <c r="QYU47" s="344"/>
      <c r="QYV47" s="344"/>
      <c r="QYW47" s="344"/>
      <c r="QYX47" s="344"/>
      <c r="QYY47" s="344"/>
      <c r="QYZ47" s="344"/>
      <c r="QZA47" s="344"/>
      <c r="QZB47" s="344"/>
      <c r="QZC47" s="344"/>
      <c r="QZD47" s="344"/>
      <c r="QZE47" s="344"/>
      <c r="QZF47" s="344"/>
      <c r="QZG47" s="344"/>
      <c r="QZH47" s="344"/>
      <c r="QZI47" s="344"/>
      <c r="QZJ47" s="344"/>
      <c r="QZK47" s="344"/>
      <c r="QZL47" s="344"/>
      <c r="QZM47" s="344"/>
      <c r="QZN47" s="344"/>
      <c r="QZO47" s="344"/>
      <c r="QZP47" s="344"/>
      <c r="QZQ47" s="344"/>
      <c r="QZR47" s="344"/>
      <c r="QZS47" s="344"/>
      <c r="QZT47" s="344"/>
      <c r="QZU47" s="344"/>
      <c r="QZV47" s="344"/>
      <c r="QZW47" s="344"/>
      <c r="QZX47" s="344"/>
      <c r="QZY47" s="344"/>
      <c r="QZZ47" s="344"/>
      <c r="RAA47" s="344"/>
      <c r="RAB47" s="344"/>
      <c r="RAC47" s="344"/>
      <c r="RAD47" s="344"/>
      <c r="RAE47" s="344"/>
      <c r="RAF47" s="344"/>
      <c r="RAG47" s="344"/>
      <c r="RAH47" s="344"/>
      <c r="RAI47" s="344"/>
      <c r="RAJ47" s="344"/>
      <c r="RAK47" s="344"/>
      <c r="RAL47" s="344"/>
      <c r="RAM47" s="344"/>
      <c r="RAN47" s="344"/>
      <c r="RAO47" s="344"/>
      <c r="RAP47" s="344"/>
      <c r="RAQ47" s="344"/>
      <c r="RAR47" s="344"/>
      <c r="RAS47" s="344"/>
      <c r="RAT47" s="344"/>
      <c r="RAU47" s="344"/>
      <c r="RAV47" s="344"/>
      <c r="RAW47" s="344"/>
      <c r="RAX47" s="344"/>
      <c r="RAY47" s="344"/>
      <c r="RAZ47" s="344"/>
      <c r="RBA47" s="344"/>
      <c r="RBB47" s="344"/>
      <c r="RBC47" s="344"/>
      <c r="RBD47" s="344"/>
      <c r="RBE47" s="344"/>
      <c r="RBF47" s="344"/>
      <c r="RBG47" s="344"/>
      <c r="RBH47" s="344"/>
      <c r="RBI47" s="344"/>
      <c r="RBJ47" s="344"/>
      <c r="RBK47" s="344"/>
      <c r="RBL47" s="344"/>
      <c r="RBM47" s="344"/>
      <c r="RBN47" s="344"/>
      <c r="RBO47" s="344"/>
      <c r="RBP47" s="344"/>
      <c r="RBQ47" s="344"/>
      <c r="RBR47" s="344"/>
      <c r="RBS47" s="344"/>
      <c r="RBT47" s="344"/>
      <c r="RBU47" s="344"/>
      <c r="RBV47" s="344"/>
      <c r="RBW47" s="344"/>
      <c r="RBX47" s="344"/>
      <c r="RBY47" s="344"/>
      <c r="RBZ47" s="344"/>
      <c r="RCA47" s="344"/>
      <c r="RCB47" s="344"/>
      <c r="RCC47" s="344"/>
      <c r="RCD47" s="344"/>
      <c r="RCE47" s="344"/>
      <c r="RCF47" s="344"/>
      <c r="RCG47" s="344"/>
      <c r="RCH47" s="344"/>
      <c r="RCI47" s="344"/>
      <c r="RCJ47" s="344"/>
      <c r="RCK47" s="344"/>
      <c r="RCL47" s="344"/>
      <c r="RCM47" s="344"/>
      <c r="RCN47" s="344"/>
      <c r="RCO47" s="344"/>
      <c r="RCP47" s="344"/>
      <c r="RCQ47" s="344"/>
      <c r="RCR47" s="344"/>
      <c r="RCS47" s="344"/>
      <c r="RCT47" s="344"/>
      <c r="RCU47" s="344"/>
      <c r="RCV47" s="344"/>
      <c r="RCW47" s="344"/>
      <c r="RCX47" s="344"/>
      <c r="RCY47" s="344"/>
      <c r="RCZ47" s="344"/>
      <c r="RDA47" s="344"/>
      <c r="RDB47" s="344"/>
      <c r="RDC47" s="344"/>
      <c r="RDD47" s="344"/>
      <c r="RDE47" s="344"/>
      <c r="RDF47" s="344"/>
      <c r="RDG47" s="344"/>
      <c r="RDH47" s="344"/>
      <c r="RDI47" s="344"/>
      <c r="RDJ47" s="344"/>
      <c r="RDK47" s="344"/>
      <c r="RDL47" s="344"/>
      <c r="RDM47" s="344"/>
      <c r="RDN47" s="344"/>
      <c r="RDO47" s="344"/>
      <c r="RDP47" s="344"/>
      <c r="RDQ47" s="344"/>
      <c r="RDR47" s="344"/>
      <c r="RDS47" s="344"/>
      <c r="RDT47" s="344"/>
      <c r="RDU47" s="344"/>
      <c r="RDV47" s="344"/>
      <c r="RDW47" s="344"/>
      <c r="RDX47" s="344"/>
      <c r="RDY47" s="344"/>
      <c r="RDZ47" s="344"/>
      <c r="REA47" s="344"/>
      <c r="REB47" s="344"/>
      <c r="REC47" s="344"/>
      <c r="RED47" s="344"/>
      <c r="REE47" s="344"/>
      <c r="REF47" s="344"/>
      <c r="REG47" s="344"/>
      <c r="REH47" s="344"/>
      <c r="REI47" s="344"/>
      <c r="REJ47" s="344"/>
      <c r="REK47" s="344"/>
      <c r="REL47" s="344"/>
      <c r="REM47" s="344"/>
      <c r="REN47" s="344"/>
      <c r="REO47" s="344"/>
      <c r="REP47" s="344"/>
      <c r="REQ47" s="344"/>
      <c r="RER47" s="344"/>
      <c r="RES47" s="344"/>
      <c r="RET47" s="344"/>
      <c r="REU47" s="344"/>
      <c r="REV47" s="344"/>
      <c r="REW47" s="344"/>
      <c r="REX47" s="344"/>
      <c r="REY47" s="344"/>
      <c r="REZ47" s="344"/>
      <c r="RFA47" s="344"/>
      <c r="RFB47" s="344"/>
      <c r="RFC47" s="344"/>
      <c r="RFD47" s="344"/>
      <c r="RFE47" s="344"/>
      <c r="RFF47" s="344"/>
      <c r="RFG47" s="344"/>
      <c r="RFH47" s="344"/>
      <c r="RFI47" s="344"/>
      <c r="RFJ47" s="344"/>
      <c r="RFK47" s="344"/>
      <c r="RFL47" s="344"/>
      <c r="RFM47" s="344"/>
      <c r="RFN47" s="344"/>
      <c r="RFO47" s="344"/>
      <c r="RFP47" s="344"/>
      <c r="RFQ47" s="344"/>
      <c r="RFR47" s="344"/>
      <c r="RFS47" s="344"/>
      <c r="RFT47" s="344"/>
      <c r="RFU47" s="344"/>
      <c r="RFV47" s="344"/>
      <c r="RFW47" s="344"/>
      <c r="RFX47" s="344"/>
      <c r="RFY47" s="344"/>
      <c r="RFZ47" s="344"/>
      <c r="RGA47" s="344"/>
      <c r="RGB47" s="344"/>
      <c r="RGC47" s="344"/>
      <c r="RGD47" s="344"/>
      <c r="RGE47" s="344"/>
      <c r="RGF47" s="344"/>
      <c r="RGG47" s="344"/>
      <c r="RGH47" s="344"/>
      <c r="RGI47" s="344"/>
      <c r="RGJ47" s="344"/>
      <c r="RGK47" s="344"/>
      <c r="RGL47" s="344"/>
      <c r="RGM47" s="344"/>
      <c r="RGN47" s="344"/>
      <c r="RGO47" s="344"/>
      <c r="RGP47" s="344"/>
      <c r="RGQ47" s="344"/>
      <c r="RGR47" s="344"/>
      <c r="RGS47" s="344"/>
      <c r="RGT47" s="344"/>
      <c r="RGU47" s="344"/>
      <c r="RGV47" s="344"/>
      <c r="RGW47" s="344"/>
      <c r="RGX47" s="344"/>
      <c r="RGY47" s="344"/>
      <c r="RGZ47" s="344"/>
      <c r="RHA47" s="344"/>
      <c r="RHB47" s="344"/>
      <c r="RHC47" s="344"/>
      <c r="RHD47" s="344"/>
      <c r="RHE47" s="344"/>
      <c r="RHF47" s="344"/>
      <c r="RHG47" s="344"/>
      <c r="RHH47" s="344"/>
      <c r="RHI47" s="344"/>
      <c r="RHJ47" s="344"/>
      <c r="RHK47" s="344"/>
      <c r="RHL47" s="344"/>
      <c r="RHM47" s="344"/>
      <c r="RHN47" s="344"/>
      <c r="RHO47" s="344"/>
      <c r="RHP47" s="344"/>
      <c r="RHQ47" s="344"/>
      <c r="RHR47" s="344"/>
      <c r="RHS47" s="344"/>
      <c r="RHT47" s="344"/>
      <c r="RHU47" s="344"/>
      <c r="RHV47" s="344"/>
      <c r="RHW47" s="344"/>
      <c r="RHX47" s="344"/>
      <c r="RHY47" s="344"/>
      <c r="RHZ47" s="344"/>
      <c r="RIA47" s="344"/>
      <c r="RIB47" s="344"/>
      <c r="RIC47" s="344"/>
      <c r="RID47" s="344"/>
      <c r="RIE47" s="344"/>
      <c r="RIF47" s="344"/>
      <c r="RIG47" s="344"/>
      <c r="RIH47" s="344"/>
      <c r="RII47" s="344"/>
      <c r="RIJ47" s="344"/>
      <c r="RIK47" s="344"/>
      <c r="RIL47" s="344"/>
      <c r="RIM47" s="344"/>
      <c r="RIN47" s="344"/>
      <c r="RIO47" s="344"/>
      <c r="RIP47" s="344"/>
      <c r="RIQ47" s="344"/>
      <c r="RIR47" s="344"/>
      <c r="RIS47" s="344"/>
      <c r="RIT47" s="344"/>
      <c r="RIU47" s="344"/>
      <c r="RIV47" s="344"/>
      <c r="RIW47" s="344"/>
      <c r="RIX47" s="344"/>
      <c r="RIY47" s="344"/>
      <c r="RIZ47" s="344"/>
      <c r="RJA47" s="344"/>
      <c r="RJB47" s="344"/>
      <c r="RJC47" s="344"/>
      <c r="RJD47" s="344"/>
      <c r="RJE47" s="344"/>
      <c r="RJF47" s="344"/>
      <c r="RJG47" s="344"/>
      <c r="RJH47" s="344"/>
      <c r="RJI47" s="344"/>
      <c r="RJJ47" s="344"/>
      <c r="RJK47" s="344"/>
      <c r="RJL47" s="344"/>
      <c r="RJM47" s="344"/>
      <c r="RJN47" s="344"/>
      <c r="RJO47" s="344"/>
      <c r="RJP47" s="344"/>
      <c r="RJQ47" s="344"/>
      <c r="RJR47" s="344"/>
      <c r="RJS47" s="344"/>
      <c r="RJT47" s="344"/>
      <c r="RJU47" s="344"/>
      <c r="RJV47" s="344"/>
      <c r="RJW47" s="344"/>
      <c r="RJX47" s="344"/>
      <c r="RJY47" s="344"/>
      <c r="RJZ47" s="344"/>
      <c r="RKA47" s="344"/>
      <c r="RKB47" s="344"/>
      <c r="RKC47" s="344"/>
      <c r="RKD47" s="344"/>
      <c r="RKE47" s="344"/>
      <c r="RKF47" s="344"/>
      <c r="RKG47" s="344"/>
      <c r="RKH47" s="344"/>
      <c r="RKI47" s="344"/>
      <c r="RKJ47" s="344"/>
      <c r="RKK47" s="344"/>
      <c r="RKL47" s="344"/>
      <c r="RKM47" s="344"/>
      <c r="RKN47" s="344"/>
      <c r="RKO47" s="344"/>
      <c r="RKP47" s="344"/>
      <c r="RKQ47" s="344"/>
      <c r="RKR47" s="344"/>
      <c r="RKS47" s="344"/>
      <c r="RKT47" s="344"/>
      <c r="RKU47" s="344"/>
      <c r="RKV47" s="344"/>
      <c r="RKW47" s="344"/>
      <c r="RKX47" s="344"/>
      <c r="RKY47" s="344"/>
      <c r="RKZ47" s="344"/>
      <c r="RLA47" s="344"/>
      <c r="RLB47" s="344"/>
      <c r="RLC47" s="344"/>
      <c r="RLD47" s="344"/>
      <c r="RLE47" s="344"/>
      <c r="RLF47" s="344"/>
      <c r="RLG47" s="344"/>
      <c r="RLH47" s="344"/>
      <c r="RLI47" s="344"/>
      <c r="RLJ47" s="344"/>
      <c r="RLK47" s="344"/>
      <c r="RLL47" s="344"/>
      <c r="RLM47" s="344"/>
      <c r="RLN47" s="344"/>
      <c r="RLO47" s="344"/>
      <c r="RLP47" s="344"/>
      <c r="RLQ47" s="344"/>
      <c r="RLR47" s="344"/>
      <c r="RLS47" s="344"/>
      <c r="RLT47" s="344"/>
      <c r="RLU47" s="344"/>
      <c r="RLV47" s="344"/>
      <c r="RLW47" s="344"/>
      <c r="RLX47" s="344"/>
      <c r="RLY47" s="344"/>
      <c r="RLZ47" s="344"/>
      <c r="RMA47" s="344"/>
      <c r="RMB47" s="344"/>
      <c r="RMC47" s="344"/>
      <c r="RMD47" s="344"/>
      <c r="RME47" s="344"/>
      <c r="RMF47" s="344"/>
      <c r="RMG47" s="344"/>
      <c r="RMH47" s="344"/>
      <c r="RMI47" s="344"/>
      <c r="RMJ47" s="344"/>
      <c r="RMK47" s="344"/>
      <c r="RML47" s="344"/>
      <c r="RMM47" s="344"/>
      <c r="RMN47" s="344"/>
      <c r="RMO47" s="344"/>
      <c r="RMP47" s="344"/>
      <c r="RMQ47" s="344"/>
      <c r="RMR47" s="344"/>
      <c r="RMS47" s="344"/>
      <c r="RMT47" s="344"/>
      <c r="RMU47" s="344"/>
      <c r="RMV47" s="344"/>
      <c r="RMW47" s="344"/>
      <c r="RMX47" s="344"/>
      <c r="RMY47" s="344"/>
      <c r="RMZ47" s="344"/>
      <c r="RNA47" s="344"/>
      <c r="RNB47" s="344"/>
      <c r="RNC47" s="344"/>
      <c r="RND47" s="344"/>
      <c r="RNE47" s="344"/>
      <c r="RNF47" s="344"/>
      <c r="RNG47" s="344"/>
      <c r="RNH47" s="344"/>
      <c r="RNI47" s="344"/>
      <c r="RNJ47" s="344"/>
      <c r="RNK47" s="344"/>
      <c r="RNL47" s="344"/>
      <c r="RNM47" s="344"/>
      <c r="RNN47" s="344"/>
      <c r="RNO47" s="344"/>
      <c r="RNP47" s="344"/>
      <c r="RNQ47" s="344"/>
      <c r="RNR47" s="344"/>
      <c r="RNS47" s="344"/>
      <c r="RNT47" s="344"/>
      <c r="RNU47" s="344"/>
      <c r="RNV47" s="344"/>
      <c r="RNW47" s="344"/>
      <c r="RNX47" s="344"/>
      <c r="RNY47" s="344"/>
      <c r="RNZ47" s="344"/>
      <c r="ROA47" s="344"/>
      <c r="ROB47" s="344"/>
      <c r="ROC47" s="344"/>
      <c r="ROD47" s="344"/>
      <c r="ROE47" s="344"/>
      <c r="ROF47" s="344"/>
      <c r="ROG47" s="344"/>
      <c r="ROH47" s="344"/>
      <c r="ROI47" s="344"/>
      <c r="ROJ47" s="344"/>
      <c r="ROK47" s="344"/>
      <c r="ROL47" s="344"/>
      <c r="ROM47" s="344"/>
      <c r="RON47" s="344"/>
      <c r="ROO47" s="344"/>
      <c r="ROP47" s="344"/>
      <c r="ROQ47" s="344"/>
      <c r="ROR47" s="344"/>
      <c r="ROS47" s="344"/>
      <c r="ROT47" s="344"/>
      <c r="ROU47" s="344"/>
      <c r="ROV47" s="344"/>
      <c r="ROW47" s="344"/>
      <c r="ROX47" s="344"/>
      <c r="ROY47" s="344"/>
      <c r="ROZ47" s="344"/>
      <c r="RPA47" s="344"/>
      <c r="RPB47" s="344"/>
      <c r="RPC47" s="344"/>
      <c r="RPD47" s="344"/>
      <c r="RPE47" s="344"/>
      <c r="RPF47" s="344"/>
      <c r="RPG47" s="344"/>
      <c r="RPH47" s="344"/>
      <c r="RPI47" s="344"/>
      <c r="RPJ47" s="344"/>
      <c r="RPK47" s="344"/>
      <c r="RPL47" s="344"/>
      <c r="RPM47" s="344"/>
      <c r="RPN47" s="344"/>
      <c r="RPO47" s="344"/>
      <c r="RPP47" s="344"/>
      <c r="RPQ47" s="344"/>
      <c r="RPR47" s="344"/>
      <c r="RPS47" s="344"/>
      <c r="RPT47" s="344"/>
      <c r="RPU47" s="344"/>
      <c r="RPV47" s="344"/>
      <c r="RPW47" s="344"/>
      <c r="RPX47" s="344"/>
      <c r="RPY47" s="344"/>
      <c r="RPZ47" s="344"/>
      <c r="RQA47" s="344"/>
      <c r="RQB47" s="344"/>
      <c r="RQC47" s="344"/>
      <c r="RQD47" s="344"/>
      <c r="RQE47" s="344"/>
      <c r="RQF47" s="344"/>
      <c r="RQG47" s="344"/>
      <c r="RQH47" s="344"/>
      <c r="RQI47" s="344"/>
      <c r="RQJ47" s="344"/>
      <c r="RQK47" s="344"/>
      <c r="RQL47" s="344"/>
      <c r="RQM47" s="344"/>
      <c r="RQN47" s="344"/>
      <c r="RQO47" s="344"/>
      <c r="RQP47" s="344"/>
      <c r="RQQ47" s="344"/>
      <c r="RQR47" s="344"/>
      <c r="RQS47" s="344"/>
      <c r="RQT47" s="344"/>
      <c r="RQU47" s="344"/>
      <c r="RQV47" s="344"/>
      <c r="RQW47" s="344"/>
      <c r="RQX47" s="344"/>
      <c r="RQY47" s="344"/>
      <c r="RQZ47" s="344"/>
      <c r="RRA47" s="344"/>
      <c r="RRB47" s="344"/>
      <c r="RRC47" s="344"/>
      <c r="RRD47" s="344"/>
      <c r="RRE47" s="344"/>
      <c r="RRF47" s="344"/>
      <c r="RRG47" s="344"/>
      <c r="RRH47" s="344"/>
      <c r="RRI47" s="344"/>
      <c r="RRJ47" s="344"/>
      <c r="RRK47" s="344"/>
      <c r="RRL47" s="344"/>
      <c r="RRM47" s="344"/>
      <c r="RRN47" s="344"/>
      <c r="RRO47" s="344"/>
      <c r="RRP47" s="344"/>
      <c r="RRQ47" s="344"/>
      <c r="RRR47" s="344"/>
      <c r="RRS47" s="344"/>
      <c r="RRT47" s="344"/>
      <c r="RRU47" s="344"/>
      <c r="RRV47" s="344"/>
      <c r="RRW47" s="344"/>
      <c r="RRX47" s="344"/>
      <c r="RRY47" s="344"/>
      <c r="RRZ47" s="344"/>
      <c r="RSA47" s="344"/>
      <c r="RSB47" s="344"/>
      <c r="RSC47" s="344"/>
      <c r="RSD47" s="344"/>
      <c r="RSE47" s="344"/>
      <c r="RSF47" s="344"/>
      <c r="RSG47" s="344"/>
      <c r="RSH47" s="344"/>
      <c r="RSI47" s="344"/>
      <c r="RSJ47" s="344"/>
      <c r="RSK47" s="344"/>
      <c r="RSL47" s="344"/>
      <c r="RSM47" s="344"/>
      <c r="RSN47" s="344"/>
      <c r="RSO47" s="344"/>
      <c r="RSP47" s="344"/>
      <c r="RSQ47" s="344"/>
      <c r="RSR47" s="344"/>
      <c r="RSS47" s="344"/>
      <c r="RST47" s="344"/>
      <c r="RSU47" s="344"/>
      <c r="RSV47" s="344"/>
      <c r="RSW47" s="344"/>
      <c r="RSX47" s="344"/>
      <c r="RSY47" s="344"/>
      <c r="RSZ47" s="344"/>
      <c r="RTA47" s="344"/>
      <c r="RTB47" s="344"/>
      <c r="RTC47" s="344"/>
      <c r="RTD47" s="344"/>
      <c r="RTE47" s="344"/>
      <c r="RTF47" s="344"/>
      <c r="RTG47" s="344"/>
      <c r="RTH47" s="344"/>
      <c r="RTI47" s="344"/>
      <c r="RTJ47" s="344"/>
      <c r="RTK47" s="344"/>
      <c r="RTL47" s="344"/>
      <c r="RTM47" s="344"/>
      <c r="RTN47" s="344"/>
      <c r="RTO47" s="344"/>
      <c r="RTP47" s="344"/>
      <c r="RTQ47" s="344"/>
      <c r="RTR47" s="344"/>
      <c r="RTS47" s="344"/>
      <c r="RTT47" s="344"/>
      <c r="RTU47" s="344"/>
      <c r="RTV47" s="344"/>
      <c r="RTW47" s="344"/>
      <c r="RTX47" s="344"/>
      <c r="RTY47" s="344"/>
      <c r="RTZ47" s="344"/>
      <c r="RUA47" s="344"/>
      <c r="RUB47" s="344"/>
      <c r="RUC47" s="344"/>
      <c r="RUD47" s="344"/>
      <c r="RUE47" s="344"/>
      <c r="RUF47" s="344"/>
      <c r="RUG47" s="344"/>
      <c r="RUH47" s="344"/>
      <c r="RUI47" s="344"/>
      <c r="RUJ47" s="344"/>
      <c r="RUK47" s="344"/>
      <c r="RUL47" s="344"/>
      <c r="RUM47" s="344"/>
      <c r="RUN47" s="344"/>
      <c r="RUO47" s="344"/>
      <c r="RUP47" s="344"/>
      <c r="RUQ47" s="344"/>
      <c r="RUR47" s="344"/>
      <c r="RUS47" s="344"/>
      <c r="RUT47" s="344"/>
      <c r="RUU47" s="344"/>
      <c r="RUV47" s="344"/>
      <c r="RUW47" s="344"/>
      <c r="RUX47" s="344"/>
      <c r="RUY47" s="344"/>
      <c r="RUZ47" s="344"/>
      <c r="RVA47" s="344"/>
      <c r="RVB47" s="344"/>
      <c r="RVC47" s="344"/>
      <c r="RVD47" s="344"/>
      <c r="RVE47" s="344"/>
      <c r="RVF47" s="344"/>
      <c r="RVG47" s="344"/>
      <c r="RVH47" s="344"/>
      <c r="RVI47" s="344"/>
      <c r="RVJ47" s="344"/>
      <c r="RVK47" s="344"/>
      <c r="RVL47" s="344"/>
      <c r="RVM47" s="344"/>
      <c r="RVN47" s="344"/>
      <c r="RVO47" s="344"/>
      <c r="RVP47" s="344"/>
      <c r="RVQ47" s="344"/>
      <c r="RVR47" s="344"/>
      <c r="RVS47" s="344"/>
      <c r="RVT47" s="344"/>
      <c r="RVU47" s="344"/>
      <c r="RVV47" s="344"/>
      <c r="RVW47" s="344"/>
      <c r="RVX47" s="344"/>
      <c r="RVY47" s="344"/>
      <c r="RVZ47" s="344"/>
      <c r="RWA47" s="344"/>
      <c r="RWB47" s="344"/>
      <c r="RWC47" s="344"/>
      <c r="RWD47" s="344"/>
      <c r="RWE47" s="344"/>
      <c r="RWF47" s="344"/>
      <c r="RWG47" s="344"/>
      <c r="RWH47" s="344"/>
      <c r="RWI47" s="344"/>
      <c r="RWJ47" s="344"/>
      <c r="RWK47" s="344"/>
      <c r="RWL47" s="344"/>
      <c r="RWM47" s="344"/>
      <c r="RWN47" s="344"/>
      <c r="RWO47" s="344"/>
      <c r="RWP47" s="344"/>
      <c r="RWQ47" s="344"/>
      <c r="RWR47" s="344"/>
      <c r="RWS47" s="344"/>
      <c r="RWT47" s="344"/>
      <c r="RWU47" s="344"/>
      <c r="RWV47" s="344"/>
      <c r="RWW47" s="344"/>
      <c r="RWX47" s="344"/>
      <c r="RWY47" s="344"/>
      <c r="RWZ47" s="344"/>
      <c r="RXA47" s="344"/>
      <c r="RXB47" s="344"/>
      <c r="RXC47" s="344"/>
      <c r="RXD47" s="344"/>
      <c r="RXE47" s="344"/>
      <c r="RXF47" s="344"/>
      <c r="RXG47" s="344"/>
      <c r="RXH47" s="344"/>
      <c r="RXI47" s="344"/>
      <c r="RXJ47" s="344"/>
      <c r="RXK47" s="344"/>
      <c r="RXL47" s="344"/>
      <c r="RXM47" s="344"/>
      <c r="RXN47" s="344"/>
      <c r="RXO47" s="344"/>
      <c r="RXP47" s="344"/>
      <c r="RXQ47" s="344"/>
      <c r="RXR47" s="344"/>
      <c r="RXS47" s="344"/>
      <c r="RXT47" s="344"/>
      <c r="RXU47" s="344"/>
      <c r="RXV47" s="344"/>
      <c r="RXW47" s="344"/>
      <c r="RXX47" s="344"/>
      <c r="RXY47" s="344"/>
      <c r="RXZ47" s="344"/>
      <c r="RYA47" s="344"/>
      <c r="RYB47" s="344"/>
      <c r="RYC47" s="344"/>
      <c r="RYD47" s="344"/>
      <c r="RYE47" s="344"/>
      <c r="RYF47" s="344"/>
      <c r="RYG47" s="344"/>
      <c r="RYH47" s="344"/>
      <c r="RYI47" s="344"/>
      <c r="RYJ47" s="344"/>
      <c r="RYK47" s="344"/>
      <c r="RYL47" s="344"/>
      <c r="RYM47" s="344"/>
      <c r="RYN47" s="344"/>
      <c r="RYO47" s="344"/>
      <c r="RYP47" s="344"/>
      <c r="RYQ47" s="344"/>
      <c r="RYR47" s="344"/>
      <c r="RYS47" s="344"/>
      <c r="RYT47" s="344"/>
      <c r="RYU47" s="344"/>
      <c r="RYV47" s="344"/>
      <c r="RYW47" s="344"/>
      <c r="RYX47" s="344"/>
      <c r="RYY47" s="344"/>
      <c r="RYZ47" s="344"/>
      <c r="RZA47" s="344"/>
      <c r="RZB47" s="344"/>
      <c r="RZC47" s="344"/>
      <c r="RZD47" s="344"/>
      <c r="RZE47" s="344"/>
      <c r="RZF47" s="344"/>
      <c r="RZG47" s="344"/>
      <c r="RZH47" s="344"/>
      <c r="RZI47" s="344"/>
      <c r="RZJ47" s="344"/>
      <c r="RZK47" s="344"/>
      <c r="RZL47" s="344"/>
      <c r="RZM47" s="344"/>
      <c r="RZN47" s="344"/>
      <c r="RZO47" s="344"/>
      <c r="RZP47" s="344"/>
      <c r="RZQ47" s="344"/>
      <c r="RZR47" s="344"/>
      <c r="RZS47" s="344"/>
      <c r="RZT47" s="344"/>
      <c r="RZU47" s="344"/>
      <c r="RZV47" s="344"/>
      <c r="RZW47" s="344"/>
      <c r="RZX47" s="344"/>
      <c r="RZY47" s="344"/>
      <c r="RZZ47" s="344"/>
      <c r="SAA47" s="344"/>
      <c r="SAB47" s="344"/>
      <c r="SAC47" s="344"/>
      <c r="SAD47" s="344"/>
      <c r="SAE47" s="344"/>
      <c r="SAF47" s="344"/>
      <c r="SAG47" s="344"/>
      <c r="SAH47" s="344"/>
      <c r="SAI47" s="344"/>
      <c r="SAJ47" s="344"/>
      <c r="SAK47" s="344"/>
      <c r="SAL47" s="344"/>
      <c r="SAM47" s="344"/>
      <c r="SAN47" s="344"/>
      <c r="SAO47" s="344"/>
      <c r="SAP47" s="344"/>
      <c r="SAQ47" s="344"/>
      <c r="SAR47" s="344"/>
      <c r="SAS47" s="344"/>
      <c r="SAT47" s="344"/>
      <c r="SAU47" s="344"/>
      <c r="SAV47" s="344"/>
      <c r="SAW47" s="344"/>
      <c r="SAX47" s="344"/>
      <c r="SAY47" s="344"/>
      <c r="SAZ47" s="344"/>
      <c r="SBA47" s="344"/>
      <c r="SBB47" s="344"/>
      <c r="SBC47" s="344"/>
      <c r="SBD47" s="344"/>
      <c r="SBE47" s="344"/>
      <c r="SBF47" s="344"/>
      <c r="SBG47" s="344"/>
      <c r="SBH47" s="344"/>
      <c r="SBI47" s="344"/>
      <c r="SBJ47" s="344"/>
      <c r="SBK47" s="344"/>
      <c r="SBL47" s="344"/>
      <c r="SBM47" s="344"/>
      <c r="SBN47" s="344"/>
      <c r="SBO47" s="344"/>
      <c r="SBP47" s="344"/>
      <c r="SBQ47" s="344"/>
      <c r="SBR47" s="344"/>
      <c r="SBS47" s="344"/>
      <c r="SBT47" s="344"/>
      <c r="SBU47" s="344"/>
      <c r="SBV47" s="344"/>
      <c r="SBW47" s="344"/>
      <c r="SBX47" s="344"/>
      <c r="SBY47" s="344"/>
      <c r="SBZ47" s="344"/>
      <c r="SCA47" s="344"/>
      <c r="SCB47" s="344"/>
      <c r="SCC47" s="344"/>
      <c r="SCD47" s="344"/>
      <c r="SCE47" s="344"/>
      <c r="SCF47" s="344"/>
      <c r="SCG47" s="344"/>
      <c r="SCH47" s="344"/>
      <c r="SCI47" s="344"/>
      <c r="SCJ47" s="344"/>
      <c r="SCK47" s="344"/>
      <c r="SCL47" s="344"/>
      <c r="SCM47" s="344"/>
      <c r="SCN47" s="344"/>
      <c r="SCO47" s="344"/>
      <c r="SCP47" s="344"/>
      <c r="SCQ47" s="344"/>
      <c r="SCR47" s="344"/>
      <c r="SCS47" s="344"/>
      <c r="SCT47" s="344"/>
      <c r="SCU47" s="344"/>
      <c r="SCV47" s="344"/>
      <c r="SCW47" s="344"/>
      <c r="SCX47" s="344"/>
      <c r="SCY47" s="344"/>
      <c r="SCZ47" s="344"/>
      <c r="SDA47" s="344"/>
      <c r="SDB47" s="344"/>
      <c r="SDC47" s="344"/>
      <c r="SDD47" s="344"/>
      <c r="SDE47" s="344"/>
      <c r="SDF47" s="344"/>
      <c r="SDG47" s="344"/>
      <c r="SDH47" s="344"/>
      <c r="SDI47" s="344"/>
      <c r="SDJ47" s="344"/>
      <c r="SDK47" s="344"/>
      <c r="SDL47" s="344"/>
      <c r="SDM47" s="344"/>
      <c r="SDN47" s="344"/>
      <c r="SDO47" s="344"/>
      <c r="SDP47" s="344"/>
      <c r="SDQ47" s="344"/>
      <c r="SDR47" s="344"/>
      <c r="SDS47" s="344"/>
      <c r="SDT47" s="344"/>
      <c r="SDU47" s="344"/>
      <c r="SDV47" s="344"/>
      <c r="SDW47" s="344"/>
      <c r="SDX47" s="344"/>
      <c r="SDY47" s="344"/>
      <c r="SDZ47" s="344"/>
      <c r="SEA47" s="344"/>
      <c r="SEB47" s="344"/>
      <c r="SEC47" s="344"/>
      <c r="SED47" s="344"/>
      <c r="SEE47" s="344"/>
      <c r="SEF47" s="344"/>
      <c r="SEG47" s="344"/>
      <c r="SEH47" s="344"/>
      <c r="SEI47" s="344"/>
      <c r="SEJ47" s="344"/>
      <c r="SEK47" s="344"/>
      <c r="SEL47" s="344"/>
      <c r="SEM47" s="344"/>
      <c r="SEN47" s="344"/>
      <c r="SEO47" s="344"/>
      <c r="SEP47" s="344"/>
      <c r="SEQ47" s="344"/>
      <c r="SER47" s="344"/>
      <c r="SES47" s="344"/>
      <c r="SET47" s="344"/>
      <c r="SEU47" s="344"/>
      <c r="SEV47" s="344"/>
      <c r="SEW47" s="344"/>
      <c r="SEX47" s="344"/>
      <c r="SEY47" s="344"/>
      <c r="SEZ47" s="344"/>
      <c r="SFA47" s="344"/>
      <c r="SFB47" s="344"/>
      <c r="SFC47" s="344"/>
      <c r="SFD47" s="344"/>
      <c r="SFE47" s="344"/>
      <c r="SFF47" s="344"/>
      <c r="SFG47" s="344"/>
      <c r="SFH47" s="344"/>
      <c r="SFI47" s="344"/>
      <c r="SFJ47" s="344"/>
      <c r="SFK47" s="344"/>
      <c r="SFL47" s="344"/>
      <c r="SFM47" s="344"/>
      <c r="SFN47" s="344"/>
      <c r="SFO47" s="344"/>
      <c r="SFP47" s="344"/>
      <c r="SFQ47" s="344"/>
      <c r="SFR47" s="344"/>
      <c r="SFS47" s="344"/>
      <c r="SFT47" s="344"/>
      <c r="SFU47" s="344"/>
      <c r="SFV47" s="344"/>
      <c r="SFW47" s="344"/>
      <c r="SFX47" s="344"/>
      <c r="SFY47" s="344"/>
      <c r="SFZ47" s="344"/>
      <c r="SGA47" s="344"/>
      <c r="SGB47" s="344"/>
      <c r="SGC47" s="344"/>
      <c r="SGD47" s="344"/>
      <c r="SGE47" s="344"/>
      <c r="SGF47" s="344"/>
      <c r="SGG47" s="344"/>
      <c r="SGH47" s="344"/>
      <c r="SGI47" s="344"/>
      <c r="SGJ47" s="344"/>
      <c r="SGK47" s="344"/>
      <c r="SGL47" s="344"/>
      <c r="SGM47" s="344"/>
      <c r="SGN47" s="344"/>
      <c r="SGO47" s="344"/>
      <c r="SGP47" s="344"/>
      <c r="SGQ47" s="344"/>
      <c r="SGR47" s="344"/>
      <c r="SGS47" s="344"/>
      <c r="SGT47" s="344"/>
      <c r="SGU47" s="344"/>
      <c r="SGV47" s="344"/>
      <c r="SGW47" s="344"/>
      <c r="SGX47" s="344"/>
      <c r="SGY47" s="344"/>
      <c r="SGZ47" s="344"/>
      <c r="SHA47" s="344"/>
      <c r="SHB47" s="344"/>
      <c r="SHC47" s="344"/>
      <c r="SHD47" s="344"/>
      <c r="SHE47" s="344"/>
      <c r="SHF47" s="344"/>
      <c r="SHG47" s="344"/>
      <c r="SHH47" s="344"/>
      <c r="SHI47" s="344"/>
      <c r="SHJ47" s="344"/>
      <c r="SHK47" s="344"/>
      <c r="SHL47" s="344"/>
      <c r="SHM47" s="344"/>
      <c r="SHN47" s="344"/>
      <c r="SHO47" s="344"/>
      <c r="SHP47" s="344"/>
      <c r="SHQ47" s="344"/>
      <c r="SHR47" s="344"/>
      <c r="SHS47" s="344"/>
      <c r="SHT47" s="344"/>
      <c r="SHU47" s="344"/>
      <c r="SHV47" s="344"/>
      <c r="SHW47" s="344"/>
      <c r="SHX47" s="344"/>
      <c r="SHY47" s="344"/>
      <c r="SHZ47" s="344"/>
      <c r="SIA47" s="344"/>
      <c r="SIB47" s="344"/>
      <c r="SIC47" s="344"/>
      <c r="SID47" s="344"/>
      <c r="SIE47" s="344"/>
      <c r="SIF47" s="344"/>
      <c r="SIG47" s="344"/>
      <c r="SIH47" s="344"/>
      <c r="SII47" s="344"/>
      <c r="SIJ47" s="344"/>
      <c r="SIK47" s="344"/>
      <c r="SIL47" s="344"/>
      <c r="SIM47" s="344"/>
      <c r="SIN47" s="344"/>
      <c r="SIO47" s="344"/>
      <c r="SIP47" s="344"/>
      <c r="SIQ47" s="344"/>
      <c r="SIR47" s="344"/>
      <c r="SIS47" s="344"/>
      <c r="SIT47" s="344"/>
      <c r="SIU47" s="344"/>
      <c r="SIV47" s="344"/>
      <c r="SIW47" s="344"/>
      <c r="SIX47" s="344"/>
      <c r="SIY47" s="344"/>
      <c r="SIZ47" s="344"/>
      <c r="SJA47" s="344"/>
      <c r="SJB47" s="344"/>
      <c r="SJC47" s="344"/>
      <c r="SJD47" s="344"/>
      <c r="SJE47" s="344"/>
      <c r="SJF47" s="344"/>
      <c r="SJG47" s="344"/>
      <c r="SJH47" s="344"/>
      <c r="SJI47" s="344"/>
      <c r="SJJ47" s="344"/>
      <c r="SJK47" s="344"/>
      <c r="SJL47" s="344"/>
      <c r="SJM47" s="344"/>
      <c r="SJN47" s="344"/>
      <c r="SJO47" s="344"/>
      <c r="SJP47" s="344"/>
      <c r="SJQ47" s="344"/>
      <c r="SJR47" s="344"/>
      <c r="SJS47" s="344"/>
      <c r="SJT47" s="344"/>
      <c r="SJU47" s="344"/>
      <c r="SJV47" s="344"/>
      <c r="SJW47" s="344"/>
      <c r="SJX47" s="344"/>
      <c r="SJY47" s="344"/>
      <c r="SJZ47" s="344"/>
      <c r="SKA47" s="344"/>
      <c r="SKB47" s="344"/>
      <c r="SKC47" s="344"/>
      <c r="SKD47" s="344"/>
      <c r="SKE47" s="344"/>
      <c r="SKF47" s="344"/>
      <c r="SKG47" s="344"/>
      <c r="SKH47" s="344"/>
      <c r="SKI47" s="344"/>
      <c r="SKJ47" s="344"/>
      <c r="SKK47" s="344"/>
      <c r="SKL47" s="344"/>
      <c r="SKM47" s="344"/>
      <c r="SKN47" s="344"/>
      <c r="SKO47" s="344"/>
      <c r="SKP47" s="344"/>
      <c r="SKQ47" s="344"/>
      <c r="SKR47" s="344"/>
      <c r="SKS47" s="344"/>
      <c r="SKT47" s="344"/>
      <c r="SKU47" s="344"/>
      <c r="SKV47" s="344"/>
      <c r="SKW47" s="344"/>
      <c r="SKX47" s="344"/>
      <c r="SKY47" s="344"/>
      <c r="SKZ47" s="344"/>
      <c r="SLA47" s="344"/>
      <c r="SLB47" s="344"/>
      <c r="SLC47" s="344"/>
      <c r="SLD47" s="344"/>
      <c r="SLE47" s="344"/>
      <c r="SLF47" s="344"/>
      <c r="SLG47" s="344"/>
      <c r="SLH47" s="344"/>
      <c r="SLI47" s="344"/>
      <c r="SLJ47" s="344"/>
      <c r="SLK47" s="344"/>
      <c r="SLL47" s="344"/>
      <c r="SLM47" s="344"/>
      <c r="SLN47" s="344"/>
      <c r="SLO47" s="344"/>
      <c r="SLP47" s="344"/>
      <c r="SLQ47" s="344"/>
      <c r="SLR47" s="344"/>
      <c r="SLS47" s="344"/>
      <c r="SLT47" s="344"/>
      <c r="SLU47" s="344"/>
      <c r="SLV47" s="344"/>
      <c r="SLW47" s="344"/>
      <c r="SLX47" s="344"/>
      <c r="SLY47" s="344"/>
      <c r="SLZ47" s="344"/>
      <c r="SMA47" s="344"/>
      <c r="SMB47" s="344"/>
      <c r="SMC47" s="344"/>
      <c r="SMD47" s="344"/>
      <c r="SME47" s="344"/>
      <c r="SMF47" s="344"/>
      <c r="SMG47" s="344"/>
      <c r="SMH47" s="344"/>
      <c r="SMI47" s="344"/>
      <c r="SMJ47" s="344"/>
      <c r="SMK47" s="344"/>
      <c r="SML47" s="344"/>
      <c r="SMM47" s="344"/>
      <c r="SMN47" s="344"/>
      <c r="SMO47" s="344"/>
      <c r="SMP47" s="344"/>
      <c r="SMQ47" s="344"/>
      <c r="SMR47" s="344"/>
      <c r="SMS47" s="344"/>
      <c r="SMT47" s="344"/>
      <c r="SMU47" s="344"/>
      <c r="SMV47" s="344"/>
      <c r="SMW47" s="344"/>
      <c r="SMX47" s="344"/>
      <c r="SMY47" s="344"/>
      <c r="SMZ47" s="344"/>
      <c r="SNA47" s="344"/>
      <c r="SNB47" s="344"/>
      <c r="SNC47" s="344"/>
      <c r="SND47" s="344"/>
      <c r="SNE47" s="344"/>
      <c r="SNF47" s="344"/>
      <c r="SNG47" s="344"/>
      <c r="SNH47" s="344"/>
      <c r="SNI47" s="344"/>
      <c r="SNJ47" s="344"/>
      <c r="SNK47" s="344"/>
      <c r="SNL47" s="344"/>
      <c r="SNM47" s="344"/>
      <c r="SNN47" s="344"/>
      <c r="SNO47" s="344"/>
      <c r="SNP47" s="344"/>
      <c r="SNQ47" s="344"/>
      <c r="SNR47" s="344"/>
      <c r="SNS47" s="344"/>
      <c r="SNT47" s="344"/>
      <c r="SNU47" s="344"/>
      <c r="SNV47" s="344"/>
      <c r="SNW47" s="344"/>
      <c r="SNX47" s="344"/>
      <c r="SNY47" s="344"/>
      <c r="SNZ47" s="344"/>
      <c r="SOA47" s="344"/>
      <c r="SOB47" s="344"/>
      <c r="SOC47" s="344"/>
      <c r="SOD47" s="344"/>
      <c r="SOE47" s="344"/>
      <c r="SOF47" s="344"/>
      <c r="SOG47" s="344"/>
      <c r="SOH47" s="344"/>
      <c r="SOI47" s="344"/>
      <c r="SOJ47" s="344"/>
      <c r="SOK47" s="344"/>
      <c r="SOL47" s="344"/>
      <c r="SOM47" s="344"/>
      <c r="SON47" s="344"/>
      <c r="SOO47" s="344"/>
      <c r="SOP47" s="344"/>
      <c r="SOQ47" s="344"/>
      <c r="SOR47" s="344"/>
      <c r="SOS47" s="344"/>
      <c r="SOT47" s="344"/>
      <c r="SOU47" s="344"/>
      <c r="SOV47" s="344"/>
      <c r="SOW47" s="344"/>
      <c r="SOX47" s="344"/>
      <c r="SOY47" s="344"/>
      <c r="SOZ47" s="344"/>
      <c r="SPA47" s="344"/>
      <c r="SPB47" s="344"/>
      <c r="SPC47" s="344"/>
      <c r="SPD47" s="344"/>
      <c r="SPE47" s="344"/>
      <c r="SPF47" s="344"/>
      <c r="SPG47" s="344"/>
      <c r="SPH47" s="344"/>
      <c r="SPI47" s="344"/>
      <c r="SPJ47" s="344"/>
      <c r="SPK47" s="344"/>
      <c r="SPL47" s="344"/>
      <c r="SPM47" s="344"/>
      <c r="SPN47" s="344"/>
      <c r="SPO47" s="344"/>
      <c r="SPP47" s="344"/>
      <c r="SPQ47" s="344"/>
      <c r="SPR47" s="344"/>
      <c r="SPS47" s="344"/>
      <c r="SPT47" s="344"/>
      <c r="SPU47" s="344"/>
      <c r="SPV47" s="344"/>
      <c r="SPW47" s="344"/>
      <c r="SPX47" s="344"/>
      <c r="SPY47" s="344"/>
      <c r="SPZ47" s="344"/>
      <c r="SQA47" s="344"/>
      <c r="SQB47" s="344"/>
      <c r="SQC47" s="344"/>
      <c r="SQD47" s="344"/>
      <c r="SQE47" s="344"/>
      <c r="SQF47" s="344"/>
      <c r="SQG47" s="344"/>
      <c r="SQH47" s="344"/>
      <c r="SQI47" s="344"/>
      <c r="SQJ47" s="344"/>
      <c r="SQK47" s="344"/>
      <c r="SQL47" s="344"/>
      <c r="SQM47" s="344"/>
      <c r="SQN47" s="344"/>
      <c r="SQO47" s="344"/>
      <c r="SQP47" s="344"/>
      <c r="SQQ47" s="344"/>
      <c r="SQR47" s="344"/>
      <c r="SQS47" s="344"/>
      <c r="SQT47" s="344"/>
      <c r="SQU47" s="344"/>
      <c r="SQV47" s="344"/>
      <c r="SQW47" s="344"/>
      <c r="SQX47" s="344"/>
      <c r="SQY47" s="344"/>
      <c r="SQZ47" s="344"/>
      <c r="SRA47" s="344"/>
      <c r="SRB47" s="344"/>
      <c r="SRC47" s="344"/>
      <c r="SRD47" s="344"/>
      <c r="SRE47" s="344"/>
      <c r="SRF47" s="344"/>
      <c r="SRG47" s="344"/>
      <c r="SRH47" s="344"/>
      <c r="SRI47" s="344"/>
      <c r="SRJ47" s="344"/>
      <c r="SRK47" s="344"/>
      <c r="SRL47" s="344"/>
      <c r="SRM47" s="344"/>
      <c r="SRN47" s="344"/>
      <c r="SRO47" s="344"/>
      <c r="SRP47" s="344"/>
      <c r="SRQ47" s="344"/>
      <c r="SRR47" s="344"/>
      <c r="SRS47" s="344"/>
      <c r="SRT47" s="344"/>
      <c r="SRU47" s="344"/>
      <c r="SRV47" s="344"/>
      <c r="SRW47" s="344"/>
      <c r="SRX47" s="344"/>
      <c r="SRY47" s="344"/>
      <c r="SRZ47" s="344"/>
      <c r="SSA47" s="344"/>
      <c r="SSB47" s="344"/>
      <c r="SSC47" s="344"/>
      <c r="SSD47" s="344"/>
      <c r="SSE47" s="344"/>
      <c r="SSF47" s="344"/>
      <c r="SSG47" s="344"/>
      <c r="SSH47" s="344"/>
      <c r="SSI47" s="344"/>
      <c r="SSJ47" s="344"/>
      <c r="SSK47" s="344"/>
      <c r="SSL47" s="344"/>
      <c r="SSM47" s="344"/>
      <c r="SSN47" s="344"/>
      <c r="SSO47" s="344"/>
      <c r="SSP47" s="344"/>
      <c r="SSQ47" s="344"/>
      <c r="SSR47" s="344"/>
      <c r="SSS47" s="344"/>
      <c r="SST47" s="344"/>
      <c r="SSU47" s="344"/>
      <c r="SSV47" s="344"/>
      <c r="SSW47" s="344"/>
      <c r="SSX47" s="344"/>
      <c r="SSY47" s="344"/>
      <c r="SSZ47" s="344"/>
      <c r="STA47" s="344"/>
      <c r="STB47" s="344"/>
      <c r="STC47" s="344"/>
      <c r="STD47" s="344"/>
      <c r="STE47" s="344"/>
      <c r="STF47" s="344"/>
      <c r="STG47" s="344"/>
      <c r="STH47" s="344"/>
      <c r="STI47" s="344"/>
      <c r="STJ47" s="344"/>
      <c r="STK47" s="344"/>
      <c r="STL47" s="344"/>
      <c r="STM47" s="344"/>
      <c r="STN47" s="344"/>
      <c r="STO47" s="344"/>
      <c r="STP47" s="344"/>
      <c r="STQ47" s="344"/>
      <c r="STR47" s="344"/>
      <c r="STS47" s="344"/>
      <c r="STT47" s="344"/>
      <c r="STU47" s="344"/>
      <c r="STV47" s="344"/>
      <c r="STW47" s="344"/>
      <c r="STX47" s="344"/>
      <c r="STY47" s="344"/>
      <c r="STZ47" s="344"/>
      <c r="SUA47" s="344"/>
      <c r="SUB47" s="344"/>
      <c r="SUC47" s="344"/>
      <c r="SUD47" s="344"/>
      <c r="SUE47" s="344"/>
      <c r="SUF47" s="344"/>
      <c r="SUG47" s="344"/>
      <c r="SUH47" s="344"/>
      <c r="SUI47" s="344"/>
      <c r="SUJ47" s="344"/>
      <c r="SUK47" s="344"/>
      <c r="SUL47" s="344"/>
      <c r="SUM47" s="344"/>
      <c r="SUN47" s="344"/>
      <c r="SUO47" s="344"/>
      <c r="SUP47" s="344"/>
      <c r="SUQ47" s="344"/>
      <c r="SUR47" s="344"/>
      <c r="SUS47" s="344"/>
      <c r="SUT47" s="344"/>
      <c r="SUU47" s="344"/>
      <c r="SUV47" s="344"/>
      <c r="SUW47" s="344"/>
      <c r="SUX47" s="344"/>
      <c r="SUY47" s="344"/>
      <c r="SUZ47" s="344"/>
      <c r="SVA47" s="344"/>
      <c r="SVB47" s="344"/>
      <c r="SVC47" s="344"/>
      <c r="SVD47" s="344"/>
      <c r="SVE47" s="344"/>
      <c r="SVF47" s="344"/>
      <c r="SVG47" s="344"/>
      <c r="SVH47" s="344"/>
      <c r="SVI47" s="344"/>
      <c r="SVJ47" s="344"/>
      <c r="SVK47" s="344"/>
      <c r="SVL47" s="344"/>
      <c r="SVM47" s="344"/>
      <c r="SVN47" s="344"/>
      <c r="SVO47" s="344"/>
      <c r="SVP47" s="344"/>
      <c r="SVQ47" s="344"/>
      <c r="SVR47" s="344"/>
      <c r="SVS47" s="344"/>
      <c r="SVT47" s="344"/>
      <c r="SVU47" s="344"/>
      <c r="SVV47" s="344"/>
      <c r="SVW47" s="344"/>
      <c r="SVX47" s="344"/>
      <c r="SVY47" s="344"/>
      <c r="SVZ47" s="344"/>
      <c r="SWA47" s="344"/>
      <c r="SWB47" s="344"/>
      <c r="SWC47" s="344"/>
      <c r="SWD47" s="344"/>
      <c r="SWE47" s="344"/>
      <c r="SWF47" s="344"/>
      <c r="SWG47" s="344"/>
      <c r="SWH47" s="344"/>
      <c r="SWI47" s="344"/>
      <c r="SWJ47" s="344"/>
      <c r="SWK47" s="344"/>
      <c r="SWL47" s="344"/>
      <c r="SWM47" s="344"/>
      <c r="SWN47" s="344"/>
      <c r="SWO47" s="344"/>
      <c r="SWP47" s="344"/>
      <c r="SWQ47" s="344"/>
      <c r="SWR47" s="344"/>
      <c r="SWS47" s="344"/>
      <c r="SWT47" s="344"/>
      <c r="SWU47" s="344"/>
      <c r="SWV47" s="344"/>
      <c r="SWW47" s="344"/>
      <c r="SWX47" s="344"/>
      <c r="SWY47" s="344"/>
      <c r="SWZ47" s="344"/>
      <c r="SXA47" s="344"/>
      <c r="SXB47" s="344"/>
      <c r="SXC47" s="344"/>
      <c r="SXD47" s="344"/>
      <c r="SXE47" s="344"/>
      <c r="SXF47" s="344"/>
      <c r="SXG47" s="344"/>
      <c r="SXH47" s="344"/>
      <c r="SXI47" s="344"/>
      <c r="SXJ47" s="344"/>
      <c r="SXK47" s="344"/>
      <c r="SXL47" s="344"/>
      <c r="SXM47" s="344"/>
      <c r="SXN47" s="344"/>
      <c r="SXO47" s="344"/>
      <c r="SXP47" s="344"/>
      <c r="SXQ47" s="344"/>
      <c r="SXR47" s="344"/>
      <c r="SXS47" s="344"/>
      <c r="SXT47" s="344"/>
      <c r="SXU47" s="344"/>
      <c r="SXV47" s="344"/>
      <c r="SXW47" s="344"/>
      <c r="SXX47" s="344"/>
      <c r="SXY47" s="344"/>
      <c r="SXZ47" s="344"/>
      <c r="SYA47" s="344"/>
      <c r="SYB47" s="344"/>
      <c r="SYC47" s="344"/>
      <c r="SYD47" s="344"/>
      <c r="SYE47" s="344"/>
      <c r="SYF47" s="344"/>
      <c r="SYG47" s="344"/>
      <c r="SYH47" s="344"/>
      <c r="SYI47" s="344"/>
      <c r="SYJ47" s="344"/>
      <c r="SYK47" s="344"/>
      <c r="SYL47" s="344"/>
      <c r="SYM47" s="344"/>
      <c r="SYN47" s="344"/>
      <c r="SYO47" s="344"/>
      <c r="SYP47" s="344"/>
      <c r="SYQ47" s="344"/>
      <c r="SYR47" s="344"/>
      <c r="SYS47" s="344"/>
      <c r="SYT47" s="344"/>
      <c r="SYU47" s="344"/>
      <c r="SYV47" s="344"/>
      <c r="SYW47" s="344"/>
      <c r="SYX47" s="344"/>
      <c r="SYY47" s="344"/>
      <c r="SYZ47" s="344"/>
      <c r="SZA47" s="344"/>
      <c r="SZB47" s="344"/>
      <c r="SZC47" s="344"/>
      <c r="SZD47" s="344"/>
      <c r="SZE47" s="344"/>
      <c r="SZF47" s="344"/>
      <c r="SZG47" s="344"/>
      <c r="SZH47" s="344"/>
      <c r="SZI47" s="344"/>
      <c r="SZJ47" s="344"/>
      <c r="SZK47" s="344"/>
      <c r="SZL47" s="344"/>
      <c r="SZM47" s="344"/>
      <c r="SZN47" s="344"/>
      <c r="SZO47" s="344"/>
      <c r="SZP47" s="344"/>
      <c r="SZQ47" s="344"/>
      <c r="SZR47" s="344"/>
      <c r="SZS47" s="344"/>
      <c r="SZT47" s="344"/>
      <c r="SZU47" s="344"/>
      <c r="SZV47" s="344"/>
      <c r="SZW47" s="344"/>
      <c r="SZX47" s="344"/>
      <c r="SZY47" s="344"/>
      <c r="SZZ47" s="344"/>
      <c r="TAA47" s="344"/>
      <c r="TAB47" s="344"/>
      <c r="TAC47" s="344"/>
      <c r="TAD47" s="344"/>
      <c r="TAE47" s="344"/>
      <c r="TAF47" s="344"/>
      <c r="TAG47" s="344"/>
      <c r="TAH47" s="344"/>
      <c r="TAI47" s="344"/>
      <c r="TAJ47" s="344"/>
      <c r="TAK47" s="344"/>
      <c r="TAL47" s="344"/>
      <c r="TAM47" s="344"/>
      <c r="TAN47" s="344"/>
      <c r="TAO47" s="344"/>
      <c r="TAP47" s="344"/>
      <c r="TAQ47" s="344"/>
      <c r="TAR47" s="344"/>
      <c r="TAS47" s="344"/>
      <c r="TAT47" s="344"/>
      <c r="TAU47" s="344"/>
      <c r="TAV47" s="344"/>
      <c r="TAW47" s="344"/>
      <c r="TAX47" s="344"/>
      <c r="TAY47" s="344"/>
      <c r="TAZ47" s="344"/>
      <c r="TBA47" s="344"/>
      <c r="TBB47" s="344"/>
      <c r="TBC47" s="344"/>
      <c r="TBD47" s="344"/>
      <c r="TBE47" s="344"/>
      <c r="TBF47" s="344"/>
      <c r="TBG47" s="344"/>
      <c r="TBH47" s="344"/>
      <c r="TBI47" s="344"/>
      <c r="TBJ47" s="344"/>
      <c r="TBK47" s="344"/>
      <c r="TBL47" s="344"/>
      <c r="TBM47" s="344"/>
      <c r="TBN47" s="344"/>
      <c r="TBO47" s="344"/>
      <c r="TBP47" s="344"/>
      <c r="TBQ47" s="344"/>
      <c r="TBR47" s="344"/>
      <c r="TBS47" s="344"/>
      <c r="TBT47" s="344"/>
      <c r="TBU47" s="344"/>
      <c r="TBV47" s="344"/>
      <c r="TBW47" s="344"/>
      <c r="TBX47" s="344"/>
      <c r="TBY47" s="344"/>
      <c r="TBZ47" s="344"/>
      <c r="TCA47" s="344"/>
      <c r="TCB47" s="344"/>
      <c r="TCC47" s="344"/>
      <c r="TCD47" s="344"/>
      <c r="TCE47" s="344"/>
      <c r="TCF47" s="344"/>
      <c r="TCG47" s="344"/>
      <c r="TCH47" s="344"/>
      <c r="TCI47" s="344"/>
      <c r="TCJ47" s="344"/>
      <c r="TCK47" s="344"/>
      <c r="TCL47" s="344"/>
      <c r="TCM47" s="344"/>
      <c r="TCN47" s="344"/>
      <c r="TCO47" s="344"/>
      <c r="TCP47" s="344"/>
      <c r="TCQ47" s="344"/>
      <c r="TCR47" s="344"/>
      <c r="TCS47" s="344"/>
      <c r="TCT47" s="344"/>
      <c r="TCU47" s="344"/>
      <c r="TCV47" s="344"/>
      <c r="TCW47" s="344"/>
      <c r="TCX47" s="344"/>
      <c r="TCY47" s="344"/>
      <c r="TCZ47" s="344"/>
      <c r="TDA47" s="344"/>
      <c r="TDB47" s="344"/>
      <c r="TDC47" s="344"/>
      <c r="TDD47" s="344"/>
      <c r="TDE47" s="344"/>
      <c r="TDF47" s="344"/>
      <c r="TDG47" s="344"/>
      <c r="TDH47" s="344"/>
      <c r="TDI47" s="344"/>
      <c r="TDJ47" s="344"/>
      <c r="TDK47" s="344"/>
      <c r="TDL47" s="344"/>
      <c r="TDM47" s="344"/>
      <c r="TDN47" s="344"/>
      <c r="TDO47" s="344"/>
      <c r="TDP47" s="344"/>
      <c r="TDQ47" s="344"/>
      <c r="TDR47" s="344"/>
      <c r="TDS47" s="344"/>
      <c r="TDT47" s="344"/>
      <c r="TDU47" s="344"/>
      <c r="TDV47" s="344"/>
      <c r="TDW47" s="344"/>
      <c r="TDX47" s="344"/>
      <c r="TDY47" s="344"/>
      <c r="TDZ47" s="344"/>
      <c r="TEA47" s="344"/>
      <c r="TEB47" s="344"/>
      <c r="TEC47" s="344"/>
      <c r="TED47" s="344"/>
      <c r="TEE47" s="344"/>
      <c r="TEF47" s="344"/>
      <c r="TEG47" s="344"/>
      <c r="TEH47" s="344"/>
      <c r="TEI47" s="344"/>
      <c r="TEJ47" s="344"/>
      <c r="TEK47" s="344"/>
      <c r="TEL47" s="344"/>
      <c r="TEM47" s="344"/>
      <c r="TEN47" s="344"/>
      <c r="TEO47" s="344"/>
      <c r="TEP47" s="344"/>
      <c r="TEQ47" s="344"/>
      <c r="TER47" s="344"/>
      <c r="TES47" s="344"/>
      <c r="TET47" s="344"/>
      <c r="TEU47" s="344"/>
      <c r="TEV47" s="344"/>
      <c r="TEW47" s="344"/>
      <c r="TEX47" s="344"/>
      <c r="TEY47" s="344"/>
      <c r="TEZ47" s="344"/>
      <c r="TFA47" s="344"/>
      <c r="TFB47" s="344"/>
      <c r="TFC47" s="344"/>
      <c r="TFD47" s="344"/>
      <c r="TFE47" s="344"/>
      <c r="TFF47" s="344"/>
      <c r="TFG47" s="344"/>
      <c r="TFH47" s="344"/>
      <c r="TFI47" s="344"/>
      <c r="TFJ47" s="344"/>
      <c r="TFK47" s="344"/>
      <c r="TFL47" s="344"/>
      <c r="TFM47" s="344"/>
      <c r="TFN47" s="344"/>
      <c r="TFO47" s="344"/>
      <c r="TFP47" s="344"/>
      <c r="TFQ47" s="344"/>
      <c r="TFR47" s="344"/>
      <c r="TFS47" s="344"/>
      <c r="TFT47" s="344"/>
      <c r="TFU47" s="344"/>
      <c r="TFV47" s="344"/>
      <c r="TFW47" s="344"/>
      <c r="TFX47" s="344"/>
      <c r="TFY47" s="344"/>
      <c r="TFZ47" s="344"/>
      <c r="TGA47" s="344"/>
      <c r="TGB47" s="344"/>
      <c r="TGC47" s="344"/>
      <c r="TGD47" s="344"/>
      <c r="TGE47" s="344"/>
      <c r="TGF47" s="344"/>
      <c r="TGG47" s="344"/>
      <c r="TGH47" s="344"/>
      <c r="TGI47" s="344"/>
      <c r="TGJ47" s="344"/>
      <c r="TGK47" s="344"/>
      <c r="TGL47" s="344"/>
      <c r="TGM47" s="344"/>
      <c r="TGN47" s="344"/>
      <c r="TGO47" s="344"/>
      <c r="TGP47" s="344"/>
      <c r="TGQ47" s="344"/>
      <c r="TGR47" s="344"/>
      <c r="TGS47" s="344"/>
      <c r="TGT47" s="344"/>
      <c r="TGU47" s="344"/>
      <c r="TGV47" s="344"/>
      <c r="TGW47" s="344"/>
      <c r="TGX47" s="344"/>
      <c r="TGY47" s="344"/>
      <c r="TGZ47" s="344"/>
      <c r="THA47" s="344"/>
      <c r="THB47" s="344"/>
      <c r="THC47" s="344"/>
      <c r="THD47" s="344"/>
      <c r="THE47" s="344"/>
      <c r="THF47" s="344"/>
      <c r="THG47" s="344"/>
      <c r="THH47" s="344"/>
      <c r="THI47" s="344"/>
      <c r="THJ47" s="344"/>
      <c r="THK47" s="344"/>
      <c r="THL47" s="344"/>
      <c r="THM47" s="344"/>
      <c r="THN47" s="344"/>
      <c r="THO47" s="344"/>
      <c r="THP47" s="344"/>
      <c r="THQ47" s="344"/>
      <c r="THR47" s="344"/>
      <c r="THS47" s="344"/>
      <c r="THT47" s="344"/>
      <c r="THU47" s="344"/>
      <c r="THV47" s="344"/>
      <c r="THW47" s="344"/>
      <c r="THX47" s="344"/>
      <c r="THY47" s="344"/>
      <c r="THZ47" s="344"/>
      <c r="TIA47" s="344"/>
      <c r="TIB47" s="344"/>
      <c r="TIC47" s="344"/>
      <c r="TID47" s="344"/>
      <c r="TIE47" s="344"/>
      <c r="TIF47" s="344"/>
      <c r="TIG47" s="344"/>
      <c r="TIH47" s="344"/>
      <c r="TII47" s="344"/>
      <c r="TIJ47" s="344"/>
      <c r="TIK47" s="344"/>
      <c r="TIL47" s="344"/>
      <c r="TIM47" s="344"/>
      <c r="TIN47" s="344"/>
      <c r="TIO47" s="344"/>
      <c r="TIP47" s="344"/>
      <c r="TIQ47" s="344"/>
      <c r="TIR47" s="344"/>
      <c r="TIS47" s="344"/>
      <c r="TIT47" s="344"/>
      <c r="TIU47" s="344"/>
      <c r="TIV47" s="344"/>
      <c r="TIW47" s="344"/>
      <c r="TIX47" s="344"/>
      <c r="TIY47" s="344"/>
      <c r="TIZ47" s="344"/>
      <c r="TJA47" s="344"/>
      <c r="TJB47" s="344"/>
      <c r="TJC47" s="344"/>
      <c r="TJD47" s="344"/>
      <c r="TJE47" s="344"/>
      <c r="TJF47" s="344"/>
      <c r="TJG47" s="344"/>
      <c r="TJH47" s="344"/>
      <c r="TJI47" s="344"/>
      <c r="TJJ47" s="344"/>
      <c r="TJK47" s="344"/>
      <c r="TJL47" s="344"/>
      <c r="TJM47" s="344"/>
      <c r="TJN47" s="344"/>
      <c r="TJO47" s="344"/>
      <c r="TJP47" s="344"/>
      <c r="TJQ47" s="344"/>
      <c r="TJR47" s="344"/>
      <c r="TJS47" s="344"/>
      <c r="TJT47" s="344"/>
      <c r="TJU47" s="344"/>
      <c r="TJV47" s="344"/>
      <c r="TJW47" s="344"/>
      <c r="TJX47" s="344"/>
      <c r="TJY47" s="344"/>
      <c r="TJZ47" s="344"/>
      <c r="TKA47" s="344"/>
      <c r="TKB47" s="344"/>
      <c r="TKC47" s="344"/>
      <c r="TKD47" s="344"/>
      <c r="TKE47" s="344"/>
      <c r="TKF47" s="344"/>
      <c r="TKG47" s="344"/>
      <c r="TKH47" s="344"/>
      <c r="TKI47" s="344"/>
      <c r="TKJ47" s="344"/>
      <c r="TKK47" s="344"/>
      <c r="TKL47" s="344"/>
      <c r="TKM47" s="344"/>
      <c r="TKN47" s="344"/>
      <c r="TKO47" s="344"/>
      <c r="TKP47" s="344"/>
      <c r="TKQ47" s="344"/>
      <c r="TKR47" s="344"/>
      <c r="TKS47" s="344"/>
      <c r="TKT47" s="344"/>
      <c r="TKU47" s="344"/>
      <c r="TKV47" s="344"/>
      <c r="TKW47" s="344"/>
      <c r="TKX47" s="344"/>
      <c r="TKY47" s="344"/>
      <c r="TKZ47" s="344"/>
      <c r="TLA47" s="344"/>
      <c r="TLB47" s="344"/>
      <c r="TLC47" s="344"/>
      <c r="TLD47" s="344"/>
      <c r="TLE47" s="344"/>
      <c r="TLF47" s="344"/>
      <c r="TLG47" s="344"/>
      <c r="TLH47" s="344"/>
      <c r="TLI47" s="344"/>
      <c r="TLJ47" s="344"/>
      <c r="TLK47" s="344"/>
      <c r="TLL47" s="344"/>
      <c r="TLM47" s="344"/>
      <c r="TLN47" s="344"/>
      <c r="TLO47" s="344"/>
      <c r="TLP47" s="344"/>
      <c r="TLQ47" s="344"/>
      <c r="TLR47" s="344"/>
      <c r="TLS47" s="344"/>
      <c r="TLT47" s="344"/>
      <c r="TLU47" s="344"/>
      <c r="TLV47" s="344"/>
      <c r="TLW47" s="344"/>
      <c r="TLX47" s="344"/>
      <c r="TLY47" s="344"/>
      <c r="TLZ47" s="344"/>
      <c r="TMA47" s="344"/>
      <c r="TMB47" s="344"/>
      <c r="TMC47" s="344"/>
      <c r="TMD47" s="344"/>
      <c r="TME47" s="344"/>
      <c r="TMF47" s="344"/>
      <c r="TMG47" s="344"/>
      <c r="TMH47" s="344"/>
      <c r="TMI47" s="344"/>
      <c r="TMJ47" s="344"/>
      <c r="TMK47" s="344"/>
      <c r="TML47" s="344"/>
      <c r="TMM47" s="344"/>
      <c r="TMN47" s="344"/>
      <c r="TMO47" s="344"/>
      <c r="TMP47" s="344"/>
      <c r="TMQ47" s="344"/>
      <c r="TMR47" s="344"/>
      <c r="TMS47" s="344"/>
      <c r="TMT47" s="344"/>
      <c r="TMU47" s="344"/>
      <c r="TMV47" s="344"/>
      <c r="TMW47" s="344"/>
      <c r="TMX47" s="344"/>
      <c r="TMY47" s="344"/>
      <c r="TMZ47" s="344"/>
      <c r="TNA47" s="344"/>
      <c r="TNB47" s="344"/>
      <c r="TNC47" s="344"/>
      <c r="TND47" s="344"/>
      <c r="TNE47" s="344"/>
      <c r="TNF47" s="344"/>
      <c r="TNG47" s="344"/>
      <c r="TNH47" s="344"/>
      <c r="TNI47" s="344"/>
      <c r="TNJ47" s="344"/>
      <c r="TNK47" s="344"/>
      <c r="TNL47" s="344"/>
      <c r="TNM47" s="344"/>
      <c r="TNN47" s="344"/>
      <c r="TNO47" s="344"/>
      <c r="TNP47" s="344"/>
      <c r="TNQ47" s="344"/>
      <c r="TNR47" s="344"/>
      <c r="TNS47" s="344"/>
      <c r="TNT47" s="344"/>
      <c r="TNU47" s="344"/>
      <c r="TNV47" s="344"/>
      <c r="TNW47" s="344"/>
      <c r="TNX47" s="344"/>
      <c r="TNY47" s="344"/>
      <c r="TNZ47" s="344"/>
      <c r="TOA47" s="344"/>
      <c r="TOB47" s="344"/>
      <c r="TOC47" s="344"/>
      <c r="TOD47" s="344"/>
      <c r="TOE47" s="344"/>
      <c r="TOF47" s="344"/>
      <c r="TOG47" s="344"/>
      <c r="TOH47" s="344"/>
      <c r="TOI47" s="344"/>
      <c r="TOJ47" s="344"/>
      <c r="TOK47" s="344"/>
      <c r="TOL47" s="344"/>
      <c r="TOM47" s="344"/>
      <c r="TON47" s="344"/>
      <c r="TOO47" s="344"/>
      <c r="TOP47" s="344"/>
      <c r="TOQ47" s="344"/>
      <c r="TOR47" s="344"/>
      <c r="TOS47" s="344"/>
      <c r="TOT47" s="344"/>
      <c r="TOU47" s="344"/>
      <c r="TOV47" s="344"/>
      <c r="TOW47" s="344"/>
      <c r="TOX47" s="344"/>
      <c r="TOY47" s="344"/>
      <c r="TOZ47" s="344"/>
      <c r="TPA47" s="344"/>
      <c r="TPB47" s="344"/>
      <c r="TPC47" s="344"/>
      <c r="TPD47" s="344"/>
      <c r="TPE47" s="344"/>
      <c r="TPF47" s="344"/>
      <c r="TPG47" s="344"/>
      <c r="TPH47" s="344"/>
      <c r="TPI47" s="344"/>
      <c r="TPJ47" s="344"/>
      <c r="TPK47" s="344"/>
      <c r="TPL47" s="344"/>
      <c r="TPM47" s="344"/>
      <c r="TPN47" s="344"/>
      <c r="TPO47" s="344"/>
      <c r="TPP47" s="344"/>
      <c r="TPQ47" s="344"/>
      <c r="TPR47" s="344"/>
      <c r="TPS47" s="344"/>
      <c r="TPT47" s="344"/>
      <c r="TPU47" s="344"/>
      <c r="TPV47" s="344"/>
      <c r="TPW47" s="344"/>
      <c r="TPX47" s="344"/>
      <c r="TPY47" s="344"/>
      <c r="TPZ47" s="344"/>
      <c r="TQA47" s="344"/>
      <c r="TQB47" s="344"/>
      <c r="TQC47" s="344"/>
      <c r="TQD47" s="344"/>
      <c r="TQE47" s="344"/>
      <c r="TQF47" s="344"/>
      <c r="TQG47" s="344"/>
      <c r="TQH47" s="344"/>
      <c r="TQI47" s="344"/>
      <c r="TQJ47" s="344"/>
      <c r="TQK47" s="344"/>
      <c r="TQL47" s="344"/>
      <c r="TQM47" s="344"/>
      <c r="TQN47" s="344"/>
      <c r="TQO47" s="344"/>
      <c r="TQP47" s="344"/>
      <c r="TQQ47" s="344"/>
      <c r="TQR47" s="344"/>
      <c r="TQS47" s="344"/>
      <c r="TQT47" s="344"/>
      <c r="TQU47" s="344"/>
      <c r="TQV47" s="344"/>
      <c r="TQW47" s="344"/>
      <c r="TQX47" s="344"/>
      <c r="TQY47" s="344"/>
      <c r="TQZ47" s="344"/>
      <c r="TRA47" s="344"/>
      <c r="TRB47" s="344"/>
      <c r="TRC47" s="344"/>
      <c r="TRD47" s="344"/>
      <c r="TRE47" s="344"/>
      <c r="TRF47" s="344"/>
      <c r="TRG47" s="344"/>
      <c r="TRH47" s="344"/>
      <c r="TRI47" s="344"/>
      <c r="TRJ47" s="344"/>
      <c r="TRK47" s="344"/>
      <c r="TRL47" s="344"/>
      <c r="TRM47" s="344"/>
      <c r="TRN47" s="344"/>
      <c r="TRO47" s="344"/>
      <c r="TRP47" s="344"/>
      <c r="TRQ47" s="344"/>
      <c r="TRR47" s="344"/>
      <c r="TRS47" s="344"/>
      <c r="TRT47" s="344"/>
      <c r="TRU47" s="344"/>
      <c r="TRV47" s="344"/>
      <c r="TRW47" s="344"/>
      <c r="TRX47" s="344"/>
      <c r="TRY47" s="344"/>
      <c r="TRZ47" s="344"/>
      <c r="TSA47" s="344"/>
      <c r="TSB47" s="344"/>
      <c r="TSC47" s="344"/>
      <c r="TSD47" s="344"/>
      <c r="TSE47" s="344"/>
      <c r="TSF47" s="344"/>
      <c r="TSG47" s="344"/>
      <c r="TSH47" s="344"/>
      <c r="TSI47" s="344"/>
      <c r="TSJ47" s="344"/>
      <c r="TSK47" s="344"/>
      <c r="TSL47" s="344"/>
      <c r="TSM47" s="344"/>
      <c r="TSN47" s="344"/>
      <c r="TSO47" s="344"/>
      <c r="TSP47" s="344"/>
      <c r="TSQ47" s="344"/>
      <c r="TSR47" s="344"/>
      <c r="TSS47" s="344"/>
      <c r="TST47" s="344"/>
      <c r="TSU47" s="344"/>
      <c r="TSV47" s="344"/>
      <c r="TSW47" s="344"/>
      <c r="TSX47" s="344"/>
      <c r="TSY47" s="344"/>
      <c r="TSZ47" s="344"/>
      <c r="TTA47" s="344"/>
      <c r="TTB47" s="344"/>
      <c r="TTC47" s="344"/>
      <c r="TTD47" s="344"/>
      <c r="TTE47" s="344"/>
      <c r="TTF47" s="344"/>
      <c r="TTG47" s="344"/>
      <c r="TTH47" s="344"/>
      <c r="TTI47" s="344"/>
      <c r="TTJ47" s="344"/>
      <c r="TTK47" s="344"/>
      <c r="TTL47" s="344"/>
      <c r="TTM47" s="344"/>
      <c r="TTN47" s="344"/>
      <c r="TTO47" s="344"/>
      <c r="TTP47" s="344"/>
      <c r="TTQ47" s="344"/>
      <c r="TTR47" s="344"/>
      <c r="TTS47" s="344"/>
      <c r="TTT47" s="344"/>
      <c r="TTU47" s="344"/>
      <c r="TTV47" s="344"/>
      <c r="TTW47" s="344"/>
      <c r="TTX47" s="344"/>
      <c r="TTY47" s="344"/>
      <c r="TTZ47" s="344"/>
      <c r="TUA47" s="344"/>
      <c r="TUB47" s="344"/>
      <c r="TUC47" s="344"/>
      <c r="TUD47" s="344"/>
      <c r="TUE47" s="344"/>
      <c r="TUF47" s="344"/>
      <c r="TUG47" s="344"/>
      <c r="TUH47" s="344"/>
      <c r="TUI47" s="344"/>
      <c r="TUJ47" s="344"/>
      <c r="TUK47" s="344"/>
      <c r="TUL47" s="344"/>
      <c r="TUM47" s="344"/>
      <c r="TUN47" s="344"/>
      <c r="TUO47" s="344"/>
      <c r="TUP47" s="344"/>
      <c r="TUQ47" s="344"/>
      <c r="TUR47" s="344"/>
      <c r="TUS47" s="344"/>
      <c r="TUT47" s="344"/>
      <c r="TUU47" s="344"/>
      <c r="TUV47" s="344"/>
      <c r="TUW47" s="344"/>
      <c r="TUX47" s="344"/>
      <c r="TUY47" s="344"/>
      <c r="TUZ47" s="344"/>
      <c r="TVA47" s="344"/>
      <c r="TVB47" s="344"/>
      <c r="TVC47" s="344"/>
      <c r="TVD47" s="344"/>
      <c r="TVE47" s="344"/>
      <c r="TVF47" s="344"/>
      <c r="TVG47" s="344"/>
      <c r="TVH47" s="344"/>
      <c r="TVI47" s="344"/>
      <c r="TVJ47" s="344"/>
      <c r="TVK47" s="344"/>
      <c r="TVL47" s="344"/>
      <c r="TVM47" s="344"/>
      <c r="TVN47" s="344"/>
      <c r="TVO47" s="344"/>
      <c r="TVP47" s="344"/>
      <c r="TVQ47" s="344"/>
      <c r="TVR47" s="344"/>
      <c r="TVS47" s="344"/>
      <c r="TVT47" s="344"/>
      <c r="TVU47" s="344"/>
      <c r="TVV47" s="344"/>
      <c r="TVW47" s="344"/>
      <c r="TVX47" s="344"/>
      <c r="TVY47" s="344"/>
      <c r="TVZ47" s="344"/>
      <c r="TWA47" s="344"/>
      <c r="TWB47" s="344"/>
      <c r="TWC47" s="344"/>
      <c r="TWD47" s="344"/>
      <c r="TWE47" s="344"/>
      <c r="TWF47" s="344"/>
      <c r="TWG47" s="344"/>
      <c r="TWH47" s="344"/>
      <c r="TWI47" s="344"/>
      <c r="TWJ47" s="344"/>
      <c r="TWK47" s="344"/>
      <c r="TWL47" s="344"/>
      <c r="TWM47" s="344"/>
      <c r="TWN47" s="344"/>
      <c r="TWO47" s="344"/>
      <c r="TWP47" s="344"/>
      <c r="TWQ47" s="344"/>
      <c r="TWR47" s="344"/>
      <c r="TWS47" s="344"/>
      <c r="TWT47" s="344"/>
      <c r="TWU47" s="344"/>
      <c r="TWV47" s="344"/>
      <c r="TWW47" s="344"/>
      <c r="TWX47" s="344"/>
      <c r="TWY47" s="344"/>
      <c r="TWZ47" s="344"/>
      <c r="TXA47" s="344"/>
      <c r="TXB47" s="344"/>
      <c r="TXC47" s="344"/>
      <c r="TXD47" s="344"/>
      <c r="TXE47" s="344"/>
      <c r="TXF47" s="344"/>
      <c r="TXG47" s="344"/>
      <c r="TXH47" s="344"/>
      <c r="TXI47" s="344"/>
      <c r="TXJ47" s="344"/>
      <c r="TXK47" s="344"/>
      <c r="TXL47" s="344"/>
      <c r="TXM47" s="344"/>
      <c r="TXN47" s="344"/>
      <c r="TXO47" s="344"/>
      <c r="TXP47" s="344"/>
      <c r="TXQ47" s="344"/>
      <c r="TXR47" s="344"/>
      <c r="TXS47" s="344"/>
      <c r="TXT47" s="344"/>
      <c r="TXU47" s="344"/>
      <c r="TXV47" s="344"/>
      <c r="TXW47" s="344"/>
      <c r="TXX47" s="344"/>
      <c r="TXY47" s="344"/>
      <c r="TXZ47" s="344"/>
      <c r="TYA47" s="344"/>
      <c r="TYB47" s="344"/>
      <c r="TYC47" s="344"/>
      <c r="TYD47" s="344"/>
      <c r="TYE47" s="344"/>
      <c r="TYF47" s="344"/>
      <c r="TYG47" s="344"/>
      <c r="TYH47" s="344"/>
      <c r="TYI47" s="344"/>
      <c r="TYJ47" s="344"/>
      <c r="TYK47" s="344"/>
      <c r="TYL47" s="344"/>
      <c r="TYM47" s="344"/>
      <c r="TYN47" s="344"/>
      <c r="TYO47" s="344"/>
      <c r="TYP47" s="344"/>
      <c r="TYQ47" s="344"/>
      <c r="TYR47" s="344"/>
      <c r="TYS47" s="344"/>
      <c r="TYT47" s="344"/>
      <c r="TYU47" s="344"/>
      <c r="TYV47" s="344"/>
      <c r="TYW47" s="344"/>
      <c r="TYX47" s="344"/>
      <c r="TYY47" s="344"/>
      <c r="TYZ47" s="344"/>
      <c r="TZA47" s="344"/>
      <c r="TZB47" s="344"/>
      <c r="TZC47" s="344"/>
      <c r="TZD47" s="344"/>
      <c r="TZE47" s="344"/>
      <c r="TZF47" s="344"/>
      <c r="TZG47" s="344"/>
      <c r="TZH47" s="344"/>
      <c r="TZI47" s="344"/>
      <c r="TZJ47" s="344"/>
      <c r="TZK47" s="344"/>
      <c r="TZL47" s="344"/>
      <c r="TZM47" s="344"/>
      <c r="TZN47" s="344"/>
      <c r="TZO47" s="344"/>
      <c r="TZP47" s="344"/>
      <c r="TZQ47" s="344"/>
      <c r="TZR47" s="344"/>
      <c r="TZS47" s="344"/>
      <c r="TZT47" s="344"/>
      <c r="TZU47" s="344"/>
      <c r="TZV47" s="344"/>
      <c r="TZW47" s="344"/>
      <c r="TZX47" s="344"/>
      <c r="TZY47" s="344"/>
      <c r="TZZ47" s="344"/>
      <c r="UAA47" s="344"/>
      <c r="UAB47" s="344"/>
      <c r="UAC47" s="344"/>
      <c r="UAD47" s="344"/>
      <c r="UAE47" s="344"/>
      <c r="UAF47" s="344"/>
      <c r="UAG47" s="344"/>
      <c r="UAH47" s="344"/>
      <c r="UAI47" s="344"/>
      <c r="UAJ47" s="344"/>
      <c r="UAK47" s="344"/>
      <c r="UAL47" s="344"/>
      <c r="UAM47" s="344"/>
      <c r="UAN47" s="344"/>
      <c r="UAO47" s="344"/>
      <c r="UAP47" s="344"/>
      <c r="UAQ47" s="344"/>
      <c r="UAR47" s="344"/>
      <c r="UAS47" s="344"/>
      <c r="UAT47" s="344"/>
      <c r="UAU47" s="344"/>
      <c r="UAV47" s="344"/>
      <c r="UAW47" s="344"/>
      <c r="UAX47" s="344"/>
      <c r="UAY47" s="344"/>
      <c r="UAZ47" s="344"/>
      <c r="UBA47" s="344"/>
      <c r="UBB47" s="344"/>
      <c r="UBC47" s="344"/>
      <c r="UBD47" s="344"/>
      <c r="UBE47" s="344"/>
      <c r="UBF47" s="344"/>
      <c r="UBG47" s="344"/>
      <c r="UBH47" s="344"/>
      <c r="UBI47" s="344"/>
      <c r="UBJ47" s="344"/>
      <c r="UBK47" s="344"/>
      <c r="UBL47" s="344"/>
      <c r="UBM47" s="344"/>
      <c r="UBN47" s="344"/>
      <c r="UBO47" s="344"/>
      <c r="UBP47" s="344"/>
      <c r="UBQ47" s="344"/>
      <c r="UBR47" s="344"/>
      <c r="UBS47" s="344"/>
      <c r="UBT47" s="344"/>
      <c r="UBU47" s="344"/>
      <c r="UBV47" s="344"/>
      <c r="UBW47" s="344"/>
      <c r="UBX47" s="344"/>
      <c r="UBY47" s="344"/>
      <c r="UBZ47" s="344"/>
      <c r="UCA47" s="344"/>
      <c r="UCB47" s="344"/>
      <c r="UCC47" s="344"/>
      <c r="UCD47" s="344"/>
      <c r="UCE47" s="344"/>
      <c r="UCF47" s="344"/>
      <c r="UCG47" s="344"/>
      <c r="UCH47" s="344"/>
      <c r="UCI47" s="344"/>
      <c r="UCJ47" s="344"/>
      <c r="UCK47" s="344"/>
      <c r="UCL47" s="344"/>
      <c r="UCM47" s="344"/>
      <c r="UCN47" s="344"/>
      <c r="UCO47" s="344"/>
      <c r="UCP47" s="344"/>
      <c r="UCQ47" s="344"/>
      <c r="UCR47" s="344"/>
      <c r="UCS47" s="344"/>
      <c r="UCT47" s="344"/>
      <c r="UCU47" s="344"/>
      <c r="UCV47" s="344"/>
      <c r="UCW47" s="344"/>
      <c r="UCX47" s="344"/>
      <c r="UCY47" s="344"/>
      <c r="UCZ47" s="344"/>
      <c r="UDA47" s="344"/>
      <c r="UDB47" s="344"/>
      <c r="UDC47" s="344"/>
      <c r="UDD47" s="344"/>
      <c r="UDE47" s="344"/>
      <c r="UDF47" s="344"/>
      <c r="UDG47" s="344"/>
      <c r="UDH47" s="344"/>
      <c r="UDI47" s="344"/>
      <c r="UDJ47" s="344"/>
      <c r="UDK47" s="344"/>
      <c r="UDL47" s="344"/>
      <c r="UDM47" s="344"/>
      <c r="UDN47" s="344"/>
      <c r="UDO47" s="344"/>
      <c r="UDP47" s="344"/>
      <c r="UDQ47" s="344"/>
      <c r="UDR47" s="344"/>
      <c r="UDS47" s="344"/>
      <c r="UDT47" s="344"/>
      <c r="UDU47" s="344"/>
      <c r="UDV47" s="344"/>
      <c r="UDW47" s="344"/>
      <c r="UDX47" s="344"/>
      <c r="UDY47" s="344"/>
      <c r="UDZ47" s="344"/>
      <c r="UEA47" s="344"/>
      <c r="UEB47" s="344"/>
      <c r="UEC47" s="344"/>
      <c r="UED47" s="344"/>
      <c r="UEE47" s="344"/>
      <c r="UEF47" s="344"/>
      <c r="UEG47" s="344"/>
      <c r="UEH47" s="344"/>
      <c r="UEI47" s="344"/>
      <c r="UEJ47" s="344"/>
      <c r="UEK47" s="344"/>
      <c r="UEL47" s="344"/>
      <c r="UEM47" s="344"/>
      <c r="UEN47" s="344"/>
      <c r="UEO47" s="344"/>
      <c r="UEP47" s="344"/>
      <c r="UEQ47" s="344"/>
      <c r="UER47" s="344"/>
      <c r="UES47" s="344"/>
      <c r="UET47" s="344"/>
      <c r="UEU47" s="344"/>
      <c r="UEV47" s="344"/>
      <c r="UEW47" s="344"/>
      <c r="UEX47" s="344"/>
      <c r="UEY47" s="344"/>
      <c r="UEZ47" s="344"/>
      <c r="UFA47" s="344"/>
      <c r="UFB47" s="344"/>
      <c r="UFC47" s="344"/>
      <c r="UFD47" s="344"/>
      <c r="UFE47" s="344"/>
      <c r="UFF47" s="344"/>
      <c r="UFG47" s="344"/>
      <c r="UFH47" s="344"/>
      <c r="UFI47" s="344"/>
      <c r="UFJ47" s="344"/>
      <c r="UFK47" s="344"/>
      <c r="UFL47" s="344"/>
      <c r="UFM47" s="344"/>
      <c r="UFN47" s="344"/>
      <c r="UFO47" s="344"/>
      <c r="UFP47" s="344"/>
      <c r="UFQ47" s="344"/>
      <c r="UFR47" s="344"/>
      <c r="UFS47" s="344"/>
      <c r="UFT47" s="344"/>
      <c r="UFU47" s="344"/>
      <c r="UFV47" s="344"/>
      <c r="UFW47" s="344"/>
      <c r="UFX47" s="344"/>
      <c r="UFY47" s="344"/>
      <c r="UFZ47" s="344"/>
      <c r="UGA47" s="344"/>
      <c r="UGB47" s="344"/>
      <c r="UGC47" s="344"/>
      <c r="UGD47" s="344"/>
      <c r="UGE47" s="344"/>
      <c r="UGF47" s="344"/>
      <c r="UGG47" s="344"/>
      <c r="UGH47" s="344"/>
      <c r="UGI47" s="344"/>
      <c r="UGJ47" s="344"/>
      <c r="UGK47" s="344"/>
      <c r="UGL47" s="344"/>
      <c r="UGM47" s="344"/>
      <c r="UGN47" s="344"/>
      <c r="UGO47" s="344"/>
      <c r="UGP47" s="344"/>
      <c r="UGQ47" s="344"/>
      <c r="UGR47" s="344"/>
      <c r="UGS47" s="344"/>
      <c r="UGT47" s="344"/>
      <c r="UGU47" s="344"/>
      <c r="UGV47" s="344"/>
      <c r="UGW47" s="344"/>
      <c r="UGX47" s="344"/>
      <c r="UGY47" s="344"/>
      <c r="UGZ47" s="344"/>
      <c r="UHA47" s="344"/>
      <c r="UHB47" s="344"/>
      <c r="UHC47" s="344"/>
      <c r="UHD47" s="344"/>
      <c r="UHE47" s="344"/>
      <c r="UHF47" s="344"/>
      <c r="UHG47" s="344"/>
      <c r="UHH47" s="344"/>
      <c r="UHI47" s="344"/>
      <c r="UHJ47" s="344"/>
      <c r="UHK47" s="344"/>
      <c r="UHL47" s="344"/>
      <c r="UHM47" s="344"/>
      <c r="UHN47" s="344"/>
      <c r="UHO47" s="344"/>
      <c r="UHP47" s="344"/>
      <c r="UHQ47" s="344"/>
      <c r="UHR47" s="344"/>
      <c r="UHS47" s="344"/>
      <c r="UHT47" s="344"/>
      <c r="UHU47" s="344"/>
      <c r="UHV47" s="344"/>
      <c r="UHW47" s="344"/>
      <c r="UHX47" s="344"/>
      <c r="UHY47" s="344"/>
      <c r="UHZ47" s="344"/>
      <c r="UIA47" s="344"/>
      <c r="UIB47" s="344"/>
      <c r="UIC47" s="344"/>
      <c r="UID47" s="344"/>
      <c r="UIE47" s="344"/>
      <c r="UIF47" s="344"/>
      <c r="UIG47" s="344"/>
      <c r="UIH47" s="344"/>
      <c r="UII47" s="344"/>
      <c r="UIJ47" s="344"/>
      <c r="UIK47" s="344"/>
      <c r="UIL47" s="344"/>
      <c r="UIM47" s="344"/>
      <c r="UIN47" s="344"/>
      <c r="UIO47" s="344"/>
      <c r="UIP47" s="344"/>
      <c r="UIQ47" s="344"/>
      <c r="UIR47" s="344"/>
      <c r="UIS47" s="344"/>
      <c r="UIT47" s="344"/>
      <c r="UIU47" s="344"/>
      <c r="UIV47" s="344"/>
      <c r="UIW47" s="344"/>
      <c r="UIX47" s="344"/>
      <c r="UIY47" s="344"/>
      <c r="UIZ47" s="344"/>
      <c r="UJA47" s="344"/>
      <c r="UJB47" s="344"/>
      <c r="UJC47" s="344"/>
      <c r="UJD47" s="344"/>
      <c r="UJE47" s="344"/>
      <c r="UJF47" s="344"/>
      <c r="UJG47" s="344"/>
      <c r="UJH47" s="344"/>
      <c r="UJI47" s="344"/>
      <c r="UJJ47" s="344"/>
      <c r="UJK47" s="344"/>
      <c r="UJL47" s="344"/>
      <c r="UJM47" s="344"/>
      <c r="UJN47" s="344"/>
      <c r="UJO47" s="344"/>
      <c r="UJP47" s="344"/>
      <c r="UJQ47" s="344"/>
      <c r="UJR47" s="344"/>
      <c r="UJS47" s="344"/>
      <c r="UJT47" s="344"/>
      <c r="UJU47" s="344"/>
      <c r="UJV47" s="344"/>
      <c r="UJW47" s="344"/>
      <c r="UJX47" s="344"/>
      <c r="UJY47" s="344"/>
      <c r="UJZ47" s="344"/>
      <c r="UKA47" s="344"/>
      <c r="UKB47" s="344"/>
      <c r="UKC47" s="344"/>
      <c r="UKD47" s="344"/>
      <c r="UKE47" s="344"/>
      <c r="UKF47" s="344"/>
      <c r="UKG47" s="344"/>
      <c r="UKH47" s="344"/>
      <c r="UKI47" s="344"/>
      <c r="UKJ47" s="344"/>
      <c r="UKK47" s="344"/>
      <c r="UKL47" s="344"/>
      <c r="UKM47" s="344"/>
      <c r="UKN47" s="344"/>
      <c r="UKO47" s="344"/>
      <c r="UKP47" s="344"/>
      <c r="UKQ47" s="344"/>
      <c r="UKR47" s="344"/>
      <c r="UKS47" s="344"/>
      <c r="UKT47" s="344"/>
      <c r="UKU47" s="344"/>
      <c r="UKV47" s="344"/>
      <c r="UKW47" s="344"/>
      <c r="UKX47" s="344"/>
      <c r="UKY47" s="344"/>
      <c r="UKZ47" s="344"/>
      <c r="ULA47" s="344"/>
      <c r="ULB47" s="344"/>
      <c r="ULC47" s="344"/>
      <c r="ULD47" s="344"/>
      <c r="ULE47" s="344"/>
      <c r="ULF47" s="344"/>
      <c r="ULG47" s="344"/>
      <c r="ULH47" s="344"/>
      <c r="ULI47" s="344"/>
      <c r="ULJ47" s="344"/>
      <c r="ULK47" s="344"/>
      <c r="ULL47" s="344"/>
      <c r="ULM47" s="344"/>
      <c r="ULN47" s="344"/>
      <c r="ULO47" s="344"/>
      <c r="ULP47" s="344"/>
      <c r="ULQ47" s="344"/>
      <c r="ULR47" s="344"/>
      <c r="ULS47" s="344"/>
      <c r="ULT47" s="344"/>
      <c r="ULU47" s="344"/>
      <c r="ULV47" s="344"/>
      <c r="ULW47" s="344"/>
      <c r="ULX47" s="344"/>
      <c r="ULY47" s="344"/>
      <c r="ULZ47" s="344"/>
      <c r="UMA47" s="344"/>
      <c r="UMB47" s="344"/>
      <c r="UMC47" s="344"/>
      <c r="UMD47" s="344"/>
      <c r="UME47" s="344"/>
      <c r="UMF47" s="344"/>
      <c r="UMG47" s="344"/>
      <c r="UMH47" s="344"/>
      <c r="UMI47" s="344"/>
      <c r="UMJ47" s="344"/>
      <c r="UMK47" s="344"/>
      <c r="UML47" s="344"/>
      <c r="UMM47" s="344"/>
      <c r="UMN47" s="344"/>
      <c r="UMO47" s="344"/>
      <c r="UMP47" s="344"/>
      <c r="UMQ47" s="344"/>
      <c r="UMR47" s="344"/>
      <c r="UMS47" s="344"/>
      <c r="UMT47" s="344"/>
      <c r="UMU47" s="344"/>
      <c r="UMV47" s="344"/>
      <c r="UMW47" s="344"/>
      <c r="UMX47" s="344"/>
      <c r="UMY47" s="344"/>
      <c r="UMZ47" s="344"/>
      <c r="UNA47" s="344"/>
      <c r="UNB47" s="344"/>
      <c r="UNC47" s="344"/>
      <c r="UND47" s="344"/>
      <c r="UNE47" s="344"/>
      <c r="UNF47" s="344"/>
      <c r="UNG47" s="344"/>
      <c r="UNH47" s="344"/>
      <c r="UNI47" s="344"/>
      <c r="UNJ47" s="344"/>
      <c r="UNK47" s="344"/>
      <c r="UNL47" s="344"/>
      <c r="UNM47" s="344"/>
      <c r="UNN47" s="344"/>
      <c r="UNO47" s="344"/>
      <c r="UNP47" s="344"/>
      <c r="UNQ47" s="344"/>
      <c r="UNR47" s="344"/>
      <c r="UNS47" s="344"/>
      <c r="UNT47" s="344"/>
      <c r="UNU47" s="344"/>
      <c r="UNV47" s="344"/>
      <c r="UNW47" s="344"/>
      <c r="UNX47" s="344"/>
      <c r="UNY47" s="344"/>
      <c r="UNZ47" s="344"/>
      <c r="UOA47" s="344"/>
      <c r="UOB47" s="344"/>
      <c r="UOC47" s="344"/>
      <c r="UOD47" s="344"/>
      <c r="UOE47" s="344"/>
      <c r="UOF47" s="344"/>
      <c r="UOG47" s="344"/>
      <c r="UOH47" s="344"/>
      <c r="UOI47" s="344"/>
      <c r="UOJ47" s="344"/>
      <c r="UOK47" s="344"/>
      <c r="UOL47" s="344"/>
      <c r="UOM47" s="344"/>
      <c r="UON47" s="344"/>
      <c r="UOO47" s="344"/>
      <c r="UOP47" s="344"/>
      <c r="UOQ47" s="344"/>
      <c r="UOR47" s="344"/>
      <c r="UOS47" s="344"/>
      <c r="UOT47" s="344"/>
      <c r="UOU47" s="344"/>
      <c r="UOV47" s="344"/>
      <c r="UOW47" s="344"/>
      <c r="UOX47" s="344"/>
      <c r="UOY47" s="344"/>
      <c r="UOZ47" s="344"/>
      <c r="UPA47" s="344"/>
      <c r="UPB47" s="344"/>
      <c r="UPC47" s="344"/>
      <c r="UPD47" s="344"/>
      <c r="UPE47" s="344"/>
      <c r="UPF47" s="344"/>
      <c r="UPG47" s="344"/>
      <c r="UPH47" s="344"/>
      <c r="UPI47" s="344"/>
      <c r="UPJ47" s="344"/>
      <c r="UPK47" s="344"/>
      <c r="UPL47" s="344"/>
      <c r="UPM47" s="344"/>
      <c r="UPN47" s="344"/>
      <c r="UPO47" s="344"/>
      <c r="UPP47" s="344"/>
      <c r="UPQ47" s="344"/>
      <c r="UPR47" s="344"/>
      <c r="UPS47" s="344"/>
      <c r="UPT47" s="344"/>
      <c r="UPU47" s="344"/>
      <c r="UPV47" s="344"/>
      <c r="UPW47" s="344"/>
      <c r="UPX47" s="344"/>
      <c r="UPY47" s="344"/>
      <c r="UPZ47" s="344"/>
      <c r="UQA47" s="344"/>
      <c r="UQB47" s="344"/>
      <c r="UQC47" s="344"/>
      <c r="UQD47" s="344"/>
      <c r="UQE47" s="344"/>
      <c r="UQF47" s="344"/>
      <c r="UQG47" s="344"/>
      <c r="UQH47" s="344"/>
      <c r="UQI47" s="344"/>
      <c r="UQJ47" s="344"/>
      <c r="UQK47" s="344"/>
      <c r="UQL47" s="344"/>
      <c r="UQM47" s="344"/>
      <c r="UQN47" s="344"/>
      <c r="UQO47" s="344"/>
      <c r="UQP47" s="344"/>
      <c r="UQQ47" s="344"/>
      <c r="UQR47" s="344"/>
      <c r="UQS47" s="344"/>
      <c r="UQT47" s="344"/>
      <c r="UQU47" s="344"/>
      <c r="UQV47" s="344"/>
      <c r="UQW47" s="344"/>
      <c r="UQX47" s="344"/>
      <c r="UQY47" s="344"/>
      <c r="UQZ47" s="344"/>
      <c r="URA47" s="344"/>
      <c r="URB47" s="344"/>
      <c r="URC47" s="344"/>
      <c r="URD47" s="344"/>
      <c r="URE47" s="344"/>
      <c r="URF47" s="344"/>
      <c r="URG47" s="344"/>
      <c r="URH47" s="344"/>
      <c r="URI47" s="344"/>
      <c r="URJ47" s="344"/>
      <c r="URK47" s="344"/>
      <c r="URL47" s="344"/>
      <c r="URM47" s="344"/>
      <c r="URN47" s="344"/>
      <c r="URO47" s="344"/>
      <c r="URP47" s="344"/>
      <c r="URQ47" s="344"/>
      <c r="URR47" s="344"/>
      <c r="URS47" s="344"/>
      <c r="URT47" s="344"/>
      <c r="URU47" s="344"/>
      <c r="URV47" s="344"/>
      <c r="URW47" s="344"/>
      <c r="URX47" s="344"/>
      <c r="URY47" s="344"/>
      <c r="URZ47" s="344"/>
      <c r="USA47" s="344"/>
      <c r="USB47" s="344"/>
      <c r="USC47" s="344"/>
      <c r="USD47" s="344"/>
      <c r="USE47" s="344"/>
      <c r="USF47" s="344"/>
      <c r="USG47" s="344"/>
      <c r="USH47" s="344"/>
      <c r="USI47" s="344"/>
      <c r="USJ47" s="344"/>
      <c r="USK47" s="344"/>
      <c r="USL47" s="344"/>
      <c r="USM47" s="344"/>
      <c r="USN47" s="344"/>
      <c r="USO47" s="344"/>
      <c r="USP47" s="344"/>
      <c r="USQ47" s="344"/>
      <c r="USR47" s="344"/>
      <c r="USS47" s="344"/>
      <c r="UST47" s="344"/>
      <c r="USU47" s="344"/>
      <c r="USV47" s="344"/>
      <c r="USW47" s="344"/>
      <c r="USX47" s="344"/>
      <c r="USY47" s="344"/>
      <c r="USZ47" s="344"/>
      <c r="UTA47" s="344"/>
      <c r="UTB47" s="344"/>
      <c r="UTC47" s="344"/>
      <c r="UTD47" s="344"/>
      <c r="UTE47" s="344"/>
      <c r="UTF47" s="344"/>
      <c r="UTG47" s="344"/>
      <c r="UTH47" s="344"/>
      <c r="UTI47" s="344"/>
      <c r="UTJ47" s="344"/>
      <c r="UTK47" s="344"/>
      <c r="UTL47" s="344"/>
      <c r="UTM47" s="344"/>
      <c r="UTN47" s="344"/>
      <c r="UTO47" s="344"/>
      <c r="UTP47" s="344"/>
      <c r="UTQ47" s="344"/>
      <c r="UTR47" s="344"/>
      <c r="UTS47" s="344"/>
      <c r="UTT47" s="344"/>
      <c r="UTU47" s="344"/>
      <c r="UTV47" s="344"/>
      <c r="UTW47" s="344"/>
      <c r="UTX47" s="344"/>
      <c r="UTY47" s="344"/>
      <c r="UTZ47" s="344"/>
      <c r="UUA47" s="344"/>
      <c r="UUB47" s="344"/>
      <c r="UUC47" s="344"/>
      <c r="UUD47" s="344"/>
      <c r="UUE47" s="344"/>
      <c r="UUF47" s="344"/>
      <c r="UUG47" s="344"/>
      <c r="UUH47" s="344"/>
      <c r="UUI47" s="344"/>
      <c r="UUJ47" s="344"/>
      <c r="UUK47" s="344"/>
      <c r="UUL47" s="344"/>
      <c r="UUM47" s="344"/>
      <c r="UUN47" s="344"/>
      <c r="UUO47" s="344"/>
      <c r="UUP47" s="344"/>
      <c r="UUQ47" s="344"/>
      <c r="UUR47" s="344"/>
      <c r="UUS47" s="344"/>
      <c r="UUT47" s="344"/>
      <c r="UUU47" s="344"/>
      <c r="UUV47" s="344"/>
      <c r="UUW47" s="344"/>
      <c r="UUX47" s="344"/>
      <c r="UUY47" s="344"/>
      <c r="UUZ47" s="344"/>
      <c r="UVA47" s="344"/>
      <c r="UVB47" s="344"/>
      <c r="UVC47" s="344"/>
      <c r="UVD47" s="344"/>
      <c r="UVE47" s="344"/>
      <c r="UVF47" s="344"/>
      <c r="UVG47" s="344"/>
      <c r="UVH47" s="344"/>
      <c r="UVI47" s="344"/>
      <c r="UVJ47" s="344"/>
      <c r="UVK47" s="344"/>
      <c r="UVL47" s="344"/>
      <c r="UVM47" s="344"/>
      <c r="UVN47" s="344"/>
      <c r="UVO47" s="344"/>
      <c r="UVP47" s="344"/>
      <c r="UVQ47" s="344"/>
      <c r="UVR47" s="344"/>
      <c r="UVS47" s="344"/>
      <c r="UVT47" s="344"/>
      <c r="UVU47" s="344"/>
      <c r="UVV47" s="344"/>
      <c r="UVW47" s="344"/>
      <c r="UVX47" s="344"/>
      <c r="UVY47" s="344"/>
      <c r="UVZ47" s="344"/>
      <c r="UWA47" s="344"/>
      <c r="UWB47" s="344"/>
      <c r="UWC47" s="344"/>
      <c r="UWD47" s="344"/>
      <c r="UWE47" s="344"/>
      <c r="UWF47" s="344"/>
      <c r="UWG47" s="344"/>
      <c r="UWH47" s="344"/>
      <c r="UWI47" s="344"/>
      <c r="UWJ47" s="344"/>
      <c r="UWK47" s="344"/>
      <c r="UWL47" s="344"/>
      <c r="UWM47" s="344"/>
      <c r="UWN47" s="344"/>
      <c r="UWO47" s="344"/>
      <c r="UWP47" s="344"/>
      <c r="UWQ47" s="344"/>
      <c r="UWR47" s="344"/>
      <c r="UWS47" s="344"/>
      <c r="UWT47" s="344"/>
      <c r="UWU47" s="344"/>
      <c r="UWV47" s="344"/>
      <c r="UWW47" s="344"/>
      <c r="UWX47" s="344"/>
      <c r="UWY47" s="344"/>
      <c r="UWZ47" s="344"/>
      <c r="UXA47" s="344"/>
      <c r="UXB47" s="344"/>
      <c r="UXC47" s="344"/>
      <c r="UXD47" s="344"/>
      <c r="UXE47" s="344"/>
      <c r="UXF47" s="344"/>
      <c r="UXG47" s="344"/>
      <c r="UXH47" s="344"/>
      <c r="UXI47" s="344"/>
      <c r="UXJ47" s="344"/>
      <c r="UXK47" s="344"/>
      <c r="UXL47" s="344"/>
      <c r="UXM47" s="344"/>
      <c r="UXN47" s="344"/>
      <c r="UXO47" s="344"/>
      <c r="UXP47" s="344"/>
      <c r="UXQ47" s="344"/>
      <c r="UXR47" s="344"/>
      <c r="UXS47" s="344"/>
      <c r="UXT47" s="344"/>
      <c r="UXU47" s="344"/>
      <c r="UXV47" s="344"/>
      <c r="UXW47" s="344"/>
      <c r="UXX47" s="344"/>
      <c r="UXY47" s="344"/>
      <c r="UXZ47" s="344"/>
      <c r="UYA47" s="344"/>
      <c r="UYB47" s="344"/>
      <c r="UYC47" s="344"/>
      <c r="UYD47" s="344"/>
      <c r="UYE47" s="344"/>
      <c r="UYF47" s="344"/>
      <c r="UYG47" s="344"/>
      <c r="UYH47" s="344"/>
      <c r="UYI47" s="344"/>
      <c r="UYJ47" s="344"/>
      <c r="UYK47" s="344"/>
      <c r="UYL47" s="344"/>
      <c r="UYM47" s="344"/>
      <c r="UYN47" s="344"/>
      <c r="UYO47" s="344"/>
      <c r="UYP47" s="344"/>
      <c r="UYQ47" s="344"/>
      <c r="UYR47" s="344"/>
      <c r="UYS47" s="344"/>
      <c r="UYT47" s="344"/>
      <c r="UYU47" s="344"/>
      <c r="UYV47" s="344"/>
      <c r="UYW47" s="344"/>
      <c r="UYX47" s="344"/>
      <c r="UYY47" s="344"/>
      <c r="UYZ47" s="344"/>
      <c r="UZA47" s="344"/>
      <c r="UZB47" s="344"/>
      <c r="UZC47" s="344"/>
      <c r="UZD47" s="344"/>
      <c r="UZE47" s="344"/>
      <c r="UZF47" s="344"/>
      <c r="UZG47" s="344"/>
      <c r="UZH47" s="344"/>
      <c r="UZI47" s="344"/>
      <c r="UZJ47" s="344"/>
      <c r="UZK47" s="344"/>
      <c r="UZL47" s="344"/>
      <c r="UZM47" s="344"/>
      <c r="UZN47" s="344"/>
      <c r="UZO47" s="344"/>
      <c r="UZP47" s="344"/>
      <c r="UZQ47" s="344"/>
      <c r="UZR47" s="344"/>
      <c r="UZS47" s="344"/>
      <c r="UZT47" s="344"/>
      <c r="UZU47" s="344"/>
      <c r="UZV47" s="344"/>
      <c r="UZW47" s="344"/>
      <c r="UZX47" s="344"/>
      <c r="UZY47" s="344"/>
      <c r="UZZ47" s="344"/>
      <c r="VAA47" s="344"/>
      <c r="VAB47" s="344"/>
      <c r="VAC47" s="344"/>
      <c r="VAD47" s="344"/>
      <c r="VAE47" s="344"/>
      <c r="VAF47" s="344"/>
      <c r="VAG47" s="344"/>
      <c r="VAH47" s="344"/>
      <c r="VAI47" s="344"/>
      <c r="VAJ47" s="344"/>
      <c r="VAK47" s="344"/>
      <c r="VAL47" s="344"/>
      <c r="VAM47" s="344"/>
      <c r="VAN47" s="344"/>
      <c r="VAO47" s="344"/>
      <c r="VAP47" s="344"/>
      <c r="VAQ47" s="344"/>
      <c r="VAR47" s="344"/>
      <c r="VAS47" s="344"/>
      <c r="VAT47" s="344"/>
      <c r="VAU47" s="344"/>
      <c r="VAV47" s="344"/>
      <c r="VAW47" s="344"/>
      <c r="VAX47" s="344"/>
      <c r="VAY47" s="344"/>
      <c r="VAZ47" s="344"/>
      <c r="VBA47" s="344"/>
      <c r="VBB47" s="344"/>
      <c r="VBC47" s="344"/>
      <c r="VBD47" s="344"/>
      <c r="VBE47" s="344"/>
      <c r="VBF47" s="344"/>
      <c r="VBG47" s="344"/>
      <c r="VBH47" s="344"/>
      <c r="VBI47" s="344"/>
      <c r="VBJ47" s="344"/>
      <c r="VBK47" s="344"/>
      <c r="VBL47" s="344"/>
      <c r="VBM47" s="344"/>
      <c r="VBN47" s="344"/>
      <c r="VBO47" s="344"/>
      <c r="VBP47" s="344"/>
      <c r="VBQ47" s="344"/>
      <c r="VBR47" s="344"/>
      <c r="VBS47" s="344"/>
      <c r="VBT47" s="344"/>
      <c r="VBU47" s="344"/>
      <c r="VBV47" s="344"/>
      <c r="VBW47" s="344"/>
      <c r="VBX47" s="344"/>
      <c r="VBY47" s="344"/>
      <c r="VBZ47" s="344"/>
      <c r="VCA47" s="344"/>
      <c r="VCB47" s="344"/>
      <c r="VCC47" s="344"/>
      <c r="VCD47" s="344"/>
      <c r="VCE47" s="344"/>
      <c r="VCF47" s="344"/>
      <c r="VCG47" s="344"/>
      <c r="VCH47" s="344"/>
      <c r="VCI47" s="344"/>
      <c r="VCJ47" s="344"/>
      <c r="VCK47" s="344"/>
      <c r="VCL47" s="344"/>
      <c r="VCM47" s="344"/>
      <c r="VCN47" s="344"/>
      <c r="VCO47" s="344"/>
      <c r="VCP47" s="344"/>
      <c r="VCQ47" s="344"/>
      <c r="VCR47" s="344"/>
      <c r="VCS47" s="344"/>
      <c r="VCT47" s="344"/>
      <c r="VCU47" s="344"/>
      <c r="VCV47" s="344"/>
      <c r="VCW47" s="344"/>
      <c r="VCX47" s="344"/>
      <c r="VCY47" s="344"/>
      <c r="VCZ47" s="344"/>
      <c r="VDA47" s="344"/>
      <c r="VDB47" s="344"/>
      <c r="VDC47" s="344"/>
      <c r="VDD47" s="344"/>
      <c r="VDE47" s="344"/>
      <c r="VDF47" s="344"/>
      <c r="VDG47" s="344"/>
      <c r="VDH47" s="344"/>
      <c r="VDI47" s="344"/>
      <c r="VDJ47" s="344"/>
      <c r="VDK47" s="344"/>
      <c r="VDL47" s="344"/>
      <c r="VDM47" s="344"/>
      <c r="VDN47" s="344"/>
      <c r="VDO47" s="344"/>
      <c r="VDP47" s="344"/>
      <c r="VDQ47" s="344"/>
      <c r="VDR47" s="344"/>
      <c r="VDS47" s="344"/>
      <c r="VDT47" s="344"/>
      <c r="VDU47" s="344"/>
      <c r="VDV47" s="344"/>
      <c r="VDW47" s="344"/>
      <c r="VDX47" s="344"/>
      <c r="VDY47" s="344"/>
      <c r="VDZ47" s="344"/>
      <c r="VEA47" s="344"/>
      <c r="VEB47" s="344"/>
      <c r="VEC47" s="344"/>
      <c r="VED47" s="344"/>
      <c r="VEE47" s="344"/>
      <c r="VEF47" s="344"/>
      <c r="VEG47" s="344"/>
      <c r="VEH47" s="344"/>
      <c r="VEI47" s="344"/>
      <c r="VEJ47" s="344"/>
      <c r="VEK47" s="344"/>
      <c r="VEL47" s="344"/>
      <c r="VEM47" s="344"/>
      <c r="VEN47" s="344"/>
      <c r="VEO47" s="344"/>
      <c r="VEP47" s="344"/>
      <c r="VEQ47" s="344"/>
      <c r="VER47" s="344"/>
      <c r="VES47" s="344"/>
      <c r="VET47" s="344"/>
      <c r="VEU47" s="344"/>
      <c r="VEV47" s="344"/>
      <c r="VEW47" s="344"/>
      <c r="VEX47" s="344"/>
      <c r="VEY47" s="344"/>
      <c r="VEZ47" s="344"/>
      <c r="VFA47" s="344"/>
      <c r="VFB47" s="344"/>
      <c r="VFC47" s="344"/>
      <c r="VFD47" s="344"/>
      <c r="VFE47" s="344"/>
      <c r="VFF47" s="344"/>
      <c r="VFG47" s="344"/>
      <c r="VFH47" s="344"/>
      <c r="VFI47" s="344"/>
      <c r="VFJ47" s="344"/>
      <c r="VFK47" s="344"/>
      <c r="VFL47" s="344"/>
      <c r="VFM47" s="344"/>
      <c r="VFN47" s="344"/>
      <c r="VFO47" s="344"/>
      <c r="VFP47" s="344"/>
      <c r="VFQ47" s="344"/>
      <c r="VFR47" s="344"/>
      <c r="VFS47" s="344"/>
      <c r="VFT47" s="344"/>
      <c r="VFU47" s="344"/>
      <c r="VFV47" s="344"/>
      <c r="VFW47" s="344"/>
      <c r="VFX47" s="344"/>
      <c r="VFY47" s="344"/>
      <c r="VFZ47" s="344"/>
      <c r="VGA47" s="344"/>
      <c r="VGB47" s="344"/>
      <c r="VGC47" s="344"/>
      <c r="VGD47" s="344"/>
      <c r="VGE47" s="344"/>
      <c r="VGF47" s="344"/>
      <c r="VGG47" s="344"/>
      <c r="VGH47" s="344"/>
      <c r="VGI47" s="344"/>
      <c r="VGJ47" s="344"/>
      <c r="VGK47" s="344"/>
      <c r="VGL47" s="344"/>
      <c r="VGM47" s="344"/>
      <c r="VGN47" s="344"/>
      <c r="VGO47" s="344"/>
      <c r="VGP47" s="344"/>
      <c r="VGQ47" s="344"/>
      <c r="VGR47" s="344"/>
      <c r="VGS47" s="344"/>
      <c r="VGT47" s="344"/>
      <c r="VGU47" s="344"/>
      <c r="VGV47" s="344"/>
      <c r="VGW47" s="344"/>
      <c r="VGX47" s="344"/>
      <c r="VGY47" s="344"/>
      <c r="VGZ47" s="344"/>
      <c r="VHA47" s="344"/>
      <c r="VHB47" s="344"/>
      <c r="VHC47" s="344"/>
      <c r="VHD47" s="344"/>
      <c r="VHE47" s="344"/>
      <c r="VHF47" s="344"/>
      <c r="VHG47" s="344"/>
      <c r="VHH47" s="344"/>
      <c r="VHI47" s="344"/>
      <c r="VHJ47" s="344"/>
      <c r="VHK47" s="344"/>
      <c r="VHL47" s="344"/>
      <c r="VHM47" s="344"/>
      <c r="VHN47" s="344"/>
      <c r="VHO47" s="344"/>
      <c r="VHP47" s="344"/>
      <c r="VHQ47" s="344"/>
      <c r="VHR47" s="344"/>
      <c r="VHS47" s="344"/>
      <c r="VHT47" s="344"/>
      <c r="VHU47" s="344"/>
      <c r="VHV47" s="344"/>
      <c r="VHW47" s="344"/>
      <c r="VHX47" s="344"/>
      <c r="VHY47" s="344"/>
      <c r="VHZ47" s="344"/>
      <c r="VIA47" s="344"/>
      <c r="VIB47" s="344"/>
      <c r="VIC47" s="344"/>
      <c r="VID47" s="344"/>
      <c r="VIE47" s="344"/>
      <c r="VIF47" s="344"/>
      <c r="VIG47" s="344"/>
      <c r="VIH47" s="344"/>
      <c r="VII47" s="344"/>
      <c r="VIJ47" s="344"/>
      <c r="VIK47" s="344"/>
      <c r="VIL47" s="344"/>
      <c r="VIM47" s="344"/>
      <c r="VIN47" s="344"/>
      <c r="VIO47" s="344"/>
      <c r="VIP47" s="344"/>
      <c r="VIQ47" s="344"/>
      <c r="VIR47" s="344"/>
      <c r="VIS47" s="344"/>
      <c r="VIT47" s="344"/>
      <c r="VIU47" s="344"/>
      <c r="VIV47" s="344"/>
      <c r="VIW47" s="344"/>
      <c r="VIX47" s="344"/>
      <c r="VIY47" s="344"/>
      <c r="VIZ47" s="344"/>
      <c r="VJA47" s="344"/>
      <c r="VJB47" s="344"/>
      <c r="VJC47" s="344"/>
      <c r="VJD47" s="344"/>
      <c r="VJE47" s="344"/>
      <c r="VJF47" s="344"/>
      <c r="VJG47" s="344"/>
      <c r="VJH47" s="344"/>
      <c r="VJI47" s="344"/>
      <c r="VJJ47" s="344"/>
      <c r="VJK47" s="344"/>
      <c r="VJL47" s="344"/>
      <c r="VJM47" s="344"/>
      <c r="VJN47" s="344"/>
      <c r="VJO47" s="344"/>
      <c r="VJP47" s="344"/>
      <c r="VJQ47" s="344"/>
      <c r="VJR47" s="344"/>
      <c r="VJS47" s="344"/>
      <c r="VJT47" s="344"/>
      <c r="VJU47" s="344"/>
      <c r="VJV47" s="344"/>
      <c r="VJW47" s="344"/>
      <c r="VJX47" s="344"/>
      <c r="VJY47" s="344"/>
      <c r="VJZ47" s="344"/>
      <c r="VKA47" s="344"/>
      <c r="VKB47" s="344"/>
      <c r="VKC47" s="344"/>
      <c r="VKD47" s="344"/>
      <c r="VKE47" s="344"/>
      <c r="VKF47" s="344"/>
      <c r="VKG47" s="344"/>
      <c r="VKH47" s="344"/>
      <c r="VKI47" s="344"/>
      <c r="VKJ47" s="344"/>
      <c r="VKK47" s="344"/>
      <c r="VKL47" s="344"/>
      <c r="VKM47" s="344"/>
      <c r="VKN47" s="344"/>
      <c r="VKO47" s="344"/>
      <c r="VKP47" s="344"/>
      <c r="VKQ47" s="344"/>
      <c r="VKR47" s="344"/>
      <c r="VKS47" s="344"/>
      <c r="VKT47" s="344"/>
      <c r="VKU47" s="344"/>
      <c r="VKV47" s="344"/>
      <c r="VKW47" s="344"/>
      <c r="VKX47" s="344"/>
      <c r="VKY47" s="344"/>
      <c r="VKZ47" s="344"/>
      <c r="VLA47" s="344"/>
      <c r="VLB47" s="344"/>
      <c r="VLC47" s="344"/>
      <c r="VLD47" s="344"/>
      <c r="VLE47" s="344"/>
      <c r="VLF47" s="344"/>
      <c r="VLG47" s="344"/>
      <c r="VLH47" s="344"/>
      <c r="VLI47" s="344"/>
      <c r="VLJ47" s="344"/>
      <c r="VLK47" s="344"/>
      <c r="VLL47" s="344"/>
      <c r="VLM47" s="344"/>
      <c r="VLN47" s="344"/>
      <c r="VLO47" s="344"/>
      <c r="VLP47" s="344"/>
      <c r="VLQ47" s="344"/>
      <c r="VLR47" s="344"/>
      <c r="VLS47" s="344"/>
      <c r="VLT47" s="344"/>
      <c r="VLU47" s="344"/>
      <c r="VLV47" s="344"/>
      <c r="VLW47" s="344"/>
      <c r="VLX47" s="344"/>
      <c r="VLY47" s="344"/>
      <c r="VLZ47" s="344"/>
      <c r="VMA47" s="344"/>
      <c r="VMB47" s="344"/>
      <c r="VMC47" s="344"/>
      <c r="VMD47" s="344"/>
      <c r="VME47" s="344"/>
      <c r="VMF47" s="344"/>
      <c r="VMG47" s="344"/>
      <c r="VMH47" s="344"/>
      <c r="VMI47" s="344"/>
      <c r="VMJ47" s="344"/>
      <c r="VMK47" s="344"/>
      <c r="VML47" s="344"/>
      <c r="VMM47" s="344"/>
      <c r="VMN47" s="344"/>
      <c r="VMO47" s="344"/>
      <c r="VMP47" s="344"/>
      <c r="VMQ47" s="344"/>
      <c r="VMR47" s="344"/>
      <c r="VMS47" s="344"/>
      <c r="VMT47" s="344"/>
      <c r="VMU47" s="344"/>
      <c r="VMV47" s="344"/>
      <c r="VMW47" s="344"/>
      <c r="VMX47" s="344"/>
      <c r="VMY47" s="344"/>
      <c r="VMZ47" s="344"/>
      <c r="VNA47" s="344"/>
      <c r="VNB47" s="344"/>
      <c r="VNC47" s="344"/>
      <c r="VND47" s="344"/>
      <c r="VNE47" s="344"/>
      <c r="VNF47" s="344"/>
      <c r="VNG47" s="344"/>
      <c r="VNH47" s="344"/>
      <c r="VNI47" s="344"/>
      <c r="VNJ47" s="344"/>
      <c r="VNK47" s="344"/>
      <c r="VNL47" s="344"/>
      <c r="VNM47" s="344"/>
      <c r="VNN47" s="344"/>
      <c r="VNO47" s="344"/>
      <c r="VNP47" s="344"/>
      <c r="VNQ47" s="344"/>
      <c r="VNR47" s="344"/>
      <c r="VNS47" s="344"/>
      <c r="VNT47" s="344"/>
      <c r="VNU47" s="344"/>
      <c r="VNV47" s="344"/>
      <c r="VNW47" s="344"/>
      <c r="VNX47" s="344"/>
      <c r="VNY47" s="344"/>
      <c r="VNZ47" s="344"/>
      <c r="VOA47" s="344"/>
      <c r="VOB47" s="344"/>
      <c r="VOC47" s="344"/>
      <c r="VOD47" s="344"/>
      <c r="VOE47" s="344"/>
      <c r="VOF47" s="344"/>
      <c r="VOG47" s="344"/>
      <c r="VOH47" s="344"/>
      <c r="VOI47" s="344"/>
      <c r="VOJ47" s="344"/>
      <c r="VOK47" s="344"/>
      <c r="VOL47" s="344"/>
      <c r="VOM47" s="344"/>
      <c r="VON47" s="344"/>
      <c r="VOO47" s="344"/>
      <c r="VOP47" s="344"/>
      <c r="VOQ47" s="344"/>
      <c r="VOR47" s="344"/>
      <c r="VOS47" s="344"/>
      <c r="VOT47" s="344"/>
      <c r="VOU47" s="344"/>
      <c r="VOV47" s="344"/>
      <c r="VOW47" s="344"/>
      <c r="VOX47" s="344"/>
      <c r="VOY47" s="344"/>
      <c r="VOZ47" s="344"/>
      <c r="VPA47" s="344"/>
      <c r="VPB47" s="344"/>
      <c r="VPC47" s="344"/>
      <c r="VPD47" s="344"/>
      <c r="VPE47" s="344"/>
      <c r="VPF47" s="344"/>
      <c r="VPG47" s="344"/>
      <c r="VPH47" s="344"/>
      <c r="VPI47" s="344"/>
      <c r="VPJ47" s="344"/>
      <c r="VPK47" s="344"/>
      <c r="VPL47" s="344"/>
      <c r="VPM47" s="344"/>
      <c r="VPN47" s="344"/>
      <c r="VPO47" s="344"/>
      <c r="VPP47" s="344"/>
      <c r="VPQ47" s="344"/>
      <c r="VPR47" s="344"/>
      <c r="VPS47" s="344"/>
      <c r="VPT47" s="344"/>
      <c r="VPU47" s="344"/>
      <c r="VPV47" s="344"/>
      <c r="VPW47" s="344"/>
      <c r="VPX47" s="344"/>
      <c r="VPY47" s="344"/>
      <c r="VPZ47" s="344"/>
      <c r="VQA47" s="344"/>
      <c r="VQB47" s="344"/>
      <c r="VQC47" s="344"/>
      <c r="VQD47" s="344"/>
      <c r="VQE47" s="344"/>
      <c r="VQF47" s="344"/>
      <c r="VQG47" s="344"/>
      <c r="VQH47" s="344"/>
      <c r="VQI47" s="344"/>
      <c r="VQJ47" s="344"/>
      <c r="VQK47" s="344"/>
      <c r="VQL47" s="344"/>
      <c r="VQM47" s="344"/>
      <c r="VQN47" s="344"/>
      <c r="VQO47" s="344"/>
      <c r="VQP47" s="344"/>
      <c r="VQQ47" s="344"/>
      <c r="VQR47" s="344"/>
      <c r="VQS47" s="344"/>
      <c r="VQT47" s="344"/>
      <c r="VQU47" s="344"/>
      <c r="VQV47" s="344"/>
      <c r="VQW47" s="344"/>
      <c r="VQX47" s="344"/>
      <c r="VQY47" s="344"/>
      <c r="VQZ47" s="344"/>
      <c r="VRA47" s="344"/>
      <c r="VRB47" s="344"/>
      <c r="VRC47" s="344"/>
      <c r="VRD47" s="344"/>
      <c r="VRE47" s="344"/>
      <c r="VRF47" s="344"/>
      <c r="VRG47" s="344"/>
      <c r="VRH47" s="344"/>
      <c r="VRI47" s="344"/>
      <c r="VRJ47" s="344"/>
      <c r="VRK47" s="344"/>
      <c r="VRL47" s="344"/>
      <c r="VRM47" s="344"/>
      <c r="VRN47" s="344"/>
      <c r="VRO47" s="344"/>
      <c r="VRP47" s="344"/>
      <c r="VRQ47" s="344"/>
      <c r="VRR47" s="344"/>
      <c r="VRS47" s="344"/>
      <c r="VRT47" s="344"/>
      <c r="VRU47" s="344"/>
      <c r="VRV47" s="344"/>
      <c r="VRW47" s="344"/>
      <c r="VRX47" s="344"/>
      <c r="VRY47" s="344"/>
      <c r="VRZ47" s="344"/>
      <c r="VSA47" s="344"/>
      <c r="VSB47" s="344"/>
      <c r="VSC47" s="344"/>
      <c r="VSD47" s="344"/>
      <c r="VSE47" s="344"/>
      <c r="VSF47" s="344"/>
      <c r="VSG47" s="344"/>
      <c r="VSH47" s="344"/>
      <c r="VSI47" s="344"/>
      <c r="VSJ47" s="344"/>
      <c r="VSK47" s="344"/>
      <c r="VSL47" s="344"/>
      <c r="VSM47" s="344"/>
      <c r="VSN47" s="344"/>
      <c r="VSO47" s="344"/>
      <c r="VSP47" s="344"/>
      <c r="VSQ47" s="344"/>
      <c r="VSR47" s="344"/>
      <c r="VSS47" s="344"/>
      <c r="VST47" s="344"/>
      <c r="VSU47" s="344"/>
      <c r="VSV47" s="344"/>
      <c r="VSW47" s="344"/>
      <c r="VSX47" s="344"/>
      <c r="VSY47" s="344"/>
      <c r="VSZ47" s="344"/>
      <c r="VTA47" s="344"/>
      <c r="VTB47" s="344"/>
      <c r="VTC47" s="344"/>
      <c r="VTD47" s="344"/>
      <c r="VTE47" s="344"/>
      <c r="VTF47" s="344"/>
      <c r="VTG47" s="344"/>
      <c r="VTH47" s="344"/>
      <c r="VTI47" s="344"/>
      <c r="VTJ47" s="344"/>
      <c r="VTK47" s="344"/>
      <c r="VTL47" s="344"/>
      <c r="VTM47" s="344"/>
      <c r="VTN47" s="344"/>
      <c r="VTO47" s="344"/>
      <c r="VTP47" s="344"/>
      <c r="VTQ47" s="344"/>
      <c r="VTR47" s="344"/>
      <c r="VTS47" s="344"/>
      <c r="VTT47" s="344"/>
      <c r="VTU47" s="344"/>
      <c r="VTV47" s="344"/>
      <c r="VTW47" s="344"/>
      <c r="VTX47" s="344"/>
      <c r="VTY47" s="344"/>
      <c r="VTZ47" s="344"/>
      <c r="VUA47" s="344"/>
      <c r="VUB47" s="344"/>
      <c r="VUC47" s="344"/>
      <c r="VUD47" s="344"/>
      <c r="VUE47" s="344"/>
      <c r="VUF47" s="344"/>
      <c r="VUG47" s="344"/>
      <c r="VUH47" s="344"/>
      <c r="VUI47" s="344"/>
      <c r="VUJ47" s="344"/>
      <c r="VUK47" s="344"/>
      <c r="VUL47" s="344"/>
      <c r="VUM47" s="344"/>
      <c r="VUN47" s="344"/>
      <c r="VUO47" s="344"/>
      <c r="VUP47" s="344"/>
      <c r="VUQ47" s="344"/>
      <c r="VUR47" s="344"/>
      <c r="VUS47" s="344"/>
      <c r="VUT47" s="344"/>
      <c r="VUU47" s="344"/>
      <c r="VUV47" s="344"/>
      <c r="VUW47" s="344"/>
      <c r="VUX47" s="344"/>
      <c r="VUY47" s="344"/>
      <c r="VUZ47" s="344"/>
      <c r="VVA47" s="344"/>
      <c r="VVB47" s="344"/>
      <c r="VVC47" s="344"/>
      <c r="VVD47" s="344"/>
      <c r="VVE47" s="344"/>
      <c r="VVF47" s="344"/>
      <c r="VVG47" s="344"/>
      <c r="VVH47" s="344"/>
      <c r="VVI47" s="344"/>
      <c r="VVJ47" s="344"/>
      <c r="VVK47" s="344"/>
      <c r="VVL47" s="344"/>
      <c r="VVM47" s="344"/>
      <c r="VVN47" s="344"/>
      <c r="VVO47" s="344"/>
      <c r="VVP47" s="344"/>
      <c r="VVQ47" s="344"/>
      <c r="VVR47" s="344"/>
      <c r="VVS47" s="344"/>
      <c r="VVT47" s="344"/>
      <c r="VVU47" s="344"/>
      <c r="VVV47" s="344"/>
      <c r="VVW47" s="344"/>
      <c r="VVX47" s="344"/>
      <c r="VVY47" s="344"/>
      <c r="VVZ47" s="344"/>
      <c r="VWA47" s="344"/>
      <c r="VWB47" s="344"/>
      <c r="VWC47" s="344"/>
      <c r="VWD47" s="344"/>
      <c r="VWE47" s="344"/>
      <c r="VWF47" s="344"/>
      <c r="VWG47" s="344"/>
      <c r="VWH47" s="344"/>
      <c r="VWI47" s="344"/>
      <c r="VWJ47" s="344"/>
      <c r="VWK47" s="344"/>
      <c r="VWL47" s="344"/>
      <c r="VWM47" s="344"/>
      <c r="VWN47" s="344"/>
      <c r="VWO47" s="344"/>
      <c r="VWP47" s="344"/>
      <c r="VWQ47" s="344"/>
      <c r="VWR47" s="344"/>
      <c r="VWS47" s="344"/>
      <c r="VWT47" s="344"/>
      <c r="VWU47" s="344"/>
      <c r="VWV47" s="344"/>
      <c r="VWW47" s="344"/>
      <c r="VWX47" s="344"/>
      <c r="VWY47" s="344"/>
      <c r="VWZ47" s="344"/>
      <c r="VXA47" s="344"/>
      <c r="VXB47" s="344"/>
      <c r="VXC47" s="344"/>
      <c r="VXD47" s="344"/>
      <c r="VXE47" s="344"/>
      <c r="VXF47" s="344"/>
      <c r="VXG47" s="344"/>
      <c r="VXH47" s="344"/>
      <c r="VXI47" s="344"/>
      <c r="VXJ47" s="344"/>
      <c r="VXK47" s="344"/>
      <c r="VXL47" s="344"/>
      <c r="VXM47" s="344"/>
      <c r="VXN47" s="344"/>
      <c r="VXO47" s="344"/>
      <c r="VXP47" s="344"/>
      <c r="VXQ47" s="344"/>
      <c r="VXR47" s="344"/>
      <c r="VXS47" s="344"/>
      <c r="VXT47" s="344"/>
      <c r="VXU47" s="344"/>
      <c r="VXV47" s="344"/>
      <c r="VXW47" s="344"/>
      <c r="VXX47" s="344"/>
      <c r="VXY47" s="344"/>
      <c r="VXZ47" s="344"/>
      <c r="VYA47" s="344"/>
      <c r="VYB47" s="344"/>
      <c r="VYC47" s="344"/>
      <c r="VYD47" s="344"/>
      <c r="VYE47" s="344"/>
      <c r="VYF47" s="344"/>
      <c r="VYG47" s="344"/>
      <c r="VYH47" s="344"/>
      <c r="VYI47" s="344"/>
      <c r="VYJ47" s="344"/>
      <c r="VYK47" s="344"/>
      <c r="VYL47" s="344"/>
      <c r="VYM47" s="344"/>
      <c r="VYN47" s="344"/>
      <c r="VYO47" s="344"/>
      <c r="VYP47" s="344"/>
      <c r="VYQ47" s="344"/>
      <c r="VYR47" s="344"/>
      <c r="VYS47" s="344"/>
      <c r="VYT47" s="344"/>
      <c r="VYU47" s="344"/>
      <c r="VYV47" s="344"/>
      <c r="VYW47" s="344"/>
      <c r="VYX47" s="344"/>
      <c r="VYY47" s="344"/>
      <c r="VYZ47" s="344"/>
      <c r="VZA47" s="344"/>
      <c r="VZB47" s="344"/>
      <c r="VZC47" s="344"/>
      <c r="VZD47" s="344"/>
      <c r="VZE47" s="344"/>
      <c r="VZF47" s="344"/>
      <c r="VZG47" s="344"/>
      <c r="VZH47" s="344"/>
      <c r="VZI47" s="344"/>
      <c r="VZJ47" s="344"/>
      <c r="VZK47" s="344"/>
      <c r="VZL47" s="344"/>
      <c r="VZM47" s="344"/>
      <c r="VZN47" s="344"/>
      <c r="VZO47" s="344"/>
      <c r="VZP47" s="344"/>
      <c r="VZQ47" s="344"/>
      <c r="VZR47" s="344"/>
      <c r="VZS47" s="344"/>
      <c r="VZT47" s="344"/>
      <c r="VZU47" s="344"/>
      <c r="VZV47" s="344"/>
      <c r="VZW47" s="344"/>
      <c r="VZX47" s="344"/>
      <c r="VZY47" s="344"/>
      <c r="VZZ47" s="344"/>
      <c r="WAA47" s="344"/>
      <c r="WAB47" s="344"/>
      <c r="WAC47" s="344"/>
      <c r="WAD47" s="344"/>
      <c r="WAE47" s="344"/>
      <c r="WAF47" s="344"/>
      <c r="WAG47" s="344"/>
      <c r="WAH47" s="344"/>
      <c r="WAI47" s="344"/>
      <c r="WAJ47" s="344"/>
      <c r="WAK47" s="344"/>
      <c r="WAL47" s="344"/>
      <c r="WAM47" s="344"/>
      <c r="WAN47" s="344"/>
      <c r="WAO47" s="344"/>
      <c r="WAP47" s="344"/>
      <c r="WAQ47" s="344"/>
      <c r="WAR47" s="344"/>
      <c r="WAS47" s="344"/>
      <c r="WAT47" s="344"/>
      <c r="WAU47" s="344"/>
      <c r="WAV47" s="344"/>
      <c r="WAW47" s="344"/>
      <c r="WAX47" s="344"/>
      <c r="WAY47" s="344"/>
      <c r="WAZ47" s="344"/>
      <c r="WBA47" s="344"/>
      <c r="WBB47" s="344"/>
      <c r="WBC47" s="344"/>
      <c r="WBD47" s="344"/>
      <c r="WBE47" s="344"/>
      <c r="WBF47" s="344"/>
      <c r="WBG47" s="344"/>
      <c r="WBH47" s="344"/>
      <c r="WBI47" s="344"/>
      <c r="WBJ47" s="344"/>
      <c r="WBK47" s="344"/>
      <c r="WBL47" s="344"/>
      <c r="WBM47" s="344"/>
      <c r="WBN47" s="344"/>
      <c r="WBO47" s="344"/>
      <c r="WBP47" s="344"/>
      <c r="WBQ47" s="344"/>
      <c r="WBR47" s="344"/>
      <c r="WBS47" s="344"/>
      <c r="WBT47" s="344"/>
      <c r="WBU47" s="344"/>
      <c r="WBV47" s="344"/>
      <c r="WBW47" s="344"/>
      <c r="WBX47" s="344"/>
      <c r="WBY47" s="344"/>
      <c r="WBZ47" s="344"/>
      <c r="WCA47" s="344"/>
      <c r="WCB47" s="344"/>
      <c r="WCC47" s="344"/>
      <c r="WCD47" s="344"/>
      <c r="WCE47" s="344"/>
      <c r="WCF47" s="344"/>
      <c r="WCG47" s="344"/>
      <c r="WCH47" s="344"/>
      <c r="WCI47" s="344"/>
      <c r="WCJ47" s="344"/>
      <c r="WCK47" s="344"/>
      <c r="WCL47" s="344"/>
      <c r="WCM47" s="344"/>
      <c r="WCN47" s="344"/>
      <c r="WCO47" s="344"/>
      <c r="WCP47" s="344"/>
      <c r="WCQ47" s="344"/>
      <c r="WCR47" s="344"/>
      <c r="WCS47" s="344"/>
      <c r="WCT47" s="344"/>
      <c r="WCU47" s="344"/>
      <c r="WCV47" s="344"/>
      <c r="WCW47" s="344"/>
      <c r="WCX47" s="344"/>
      <c r="WCY47" s="344"/>
      <c r="WCZ47" s="344"/>
      <c r="WDA47" s="344"/>
      <c r="WDB47" s="344"/>
      <c r="WDC47" s="344"/>
      <c r="WDD47" s="344"/>
      <c r="WDE47" s="344"/>
      <c r="WDF47" s="344"/>
      <c r="WDG47" s="344"/>
      <c r="WDH47" s="344"/>
      <c r="WDI47" s="344"/>
      <c r="WDJ47" s="344"/>
      <c r="WDK47" s="344"/>
      <c r="WDL47" s="344"/>
      <c r="WDM47" s="344"/>
      <c r="WDN47" s="344"/>
      <c r="WDO47" s="344"/>
      <c r="WDP47" s="344"/>
      <c r="WDQ47" s="344"/>
      <c r="WDR47" s="344"/>
      <c r="WDS47" s="344"/>
      <c r="WDT47" s="344"/>
      <c r="WDU47" s="344"/>
      <c r="WDV47" s="344"/>
      <c r="WDW47" s="344"/>
      <c r="WDX47" s="344"/>
      <c r="WDY47" s="344"/>
      <c r="WDZ47" s="344"/>
      <c r="WEA47" s="344"/>
      <c r="WEB47" s="344"/>
      <c r="WEC47" s="344"/>
      <c r="WED47" s="344"/>
      <c r="WEE47" s="344"/>
      <c r="WEF47" s="344"/>
      <c r="WEG47" s="344"/>
      <c r="WEH47" s="344"/>
      <c r="WEI47" s="344"/>
      <c r="WEJ47" s="344"/>
      <c r="WEK47" s="344"/>
      <c r="WEL47" s="344"/>
      <c r="WEM47" s="344"/>
      <c r="WEN47" s="344"/>
      <c r="WEO47" s="344"/>
      <c r="WEP47" s="344"/>
      <c r="WEQ47" s="344"/>
      <c r="WER47" s="344"/>
      <c r="WES47" s="344"/>
      <c r="WET47" s="344"/>
      <c r="WEU47" s="344"/>
      <c r="WEV47" s="344"/>
      <c r="WEW47" s="344"/>
      <c r="WEX47" s="344"/>
      <c r="WEY47" s="344"/>
      <c r="WEZ47" s="344"/>
      <c r="WFA47" s="344"/>
      <c r="WFB47" s="344"/>
      <c r="WFC47" s="344"/>
      <c r="WFD47" s="344"/>
      <c r="WFE47" s="344"/>
      <c r="WFF47" s="344"/>
      <c r="WFG47" s="344"/>
      <c r="WFH47" s="344"/>
      <c r="WFI47" s="344"/>
      <c r="WFJ47" s="344"/>
      <c r="WFK47" s="344"/>
      <c r="WFL47" s="344"/>
      <c r="WFM47" s="344"/>
      <c r="WFN47" s="344"/>
      <c r="WFO47" s="344"/>
      <c r="WFP47" s="344"/>
      <c r="WFQ47" s="344"/>
      <c r="WFR47" s="344"/>
      <c r="WFS47" s="344"/>
      <c r="WFT47" s="344"/>
      <c r="WFU47" s="344"/>
      <c r="WFV47" s="344"/>
      <c r="WFW47" s="344"/>
      <c r="WFX47" s="344"/>
      <c r="WFY47" s="344"/>
      <c r="WFZ47" s="344"/>
      <c r="WGA47" s="344"/>
      <c r="WGB47" s="344"/>
      <c r="WGC47" s="344"/>
      <c r="WGD47" s="344"/>
      <c r="WGE47" s="344"/>
      <c r="WGF47" s="344"/>
      <c r="WGG47" s="344"/>
      <c r="WGH47" s="344"/>
      <c r="WGI47" s="344"/>
      <c r="WGJ47" s="344"/>
      <c r="WGK47" s="344"/>
      <c r="WGL47" s="344"/>
      <c r="WGM47" s="344"/>
      <c r="WGN47" s="344"/>
      <c r="WGO47" s="344"/>
      <c r="WGP47" s="344"/>
      <c r="WGQ47" s="344"/>
      <c r="WGR47" s="344"/>
      <c r="WGS47" s="344"/>
      <c r="WGT47" s="344"/>
      <c r="WGU47" s="344"/>
      <c r="WGV47" s="344"/>
      <c r="WGW47" s="344"/>
      <c r="WGX47" s="344"/>
      <c r="WGY47" s="344"/>
      <c r="WGZ47" s="344"/>
      <c r="WHA47" s="344"/>
      <c r="WHB47" s="344"/>
      <c r="WHC47" s="344"/>
      <c r="WHD47" s="344"/>
      <c r="WHE47" s="344"/>
      <c r="WHF47" s="344"/>
      <c r="WHG47" s="344"/>
      <c r="WHH47" s="344"/>
      <c r="WHI47" s="344"/>
      <c r="WHJ47" s="344"/>
      <c r="WHK47" s="344"/>
      <c r="WHL47" s="344"/>
      <c r="WHM47" s="344"/>
      <c r="WHN47" s="344"/>
      <c r="WHO47" s="344"/>
      <c r="WHP47" s="344"/>
      <c r="WHQ47" s="344"/>
      <c r="WHR47" s="344"/>
      <c r="WHS47" s="344"/>
      <c r="WHT47" s="344"/>
      <c r="WHU47" s="344"/>
      <c r="WHV47" s="344"/>
      <c r="WHW47" s="344"/>
      <c r="WHX47" s="344"/>
      <c r="WHY47" s="344"/>
      <c r="WHZ47" s="344"/>
      <c r="WIA47" s="344"/>
      <c r="WIB47" s="344"/>
      <c r="WIC47" s="344"/>
      <c r="WID47" s="344"/>
      <c r="WIE47" s="344"/>
      <c r="WIF47" s="344"/>
      <c r="WIG47" s="344"/>
      <c r="WIH47" s="344"/>
      <c r="WII47" s="344"/>
      <c r="WIJ47" s="344"/>
      <c r="WIK47" s="344"/>
      <c r="WIL47" s="344"/>
      <c r="WIM47" s="344"/>
      <c r="WIN47" s="344"/>
      <c r="WIO47" s="344"/>
      <c r="WIP47" s="344"/>
      <c r="WIQ47" s="344"/>
      <c r="WIR47" s="344"/>
      <c r="WIS47" s="344"/>
      <c r="WIT47" s="344"/>
      <c r="WIU47" s="344"/>
      <c r="WIV47" s="344"/>
      <c r="WIW47" s="344"/>
      <c r="WIX47" s="344"/>
      <c r="WIY47" s="344"/>
      <c r="WIZ47" s="344"/>
      <c r="WJA47" s="344"/>
      <c r="WJB47" s="344"/>
      <c r="WJC47" s="344"/>
      <c r="WJD47" s="344"/>
      <c r="WJE47" s="344"/>
      <c r="WJF47" s="344"/>
      <c r="WJG47" s="344"/>
      <c r="WJH47" s="344"/>
      <c r="WJI47" s="344"/>
      <c r="WJJ47" s="344"/>
      <c r="WJK47" s="344"/>
      <c r="WJL47" s="344"/>
      <c r="WJM47" s="344"/>
      <c r="WJN47" s="344"/>
      <c r="WJO47" s="344"/>
      <c r="WJP47" s="344"/>
      <c r="WJQ47" s="344"/>
      <c r="WJR47" s="344"/>
      <c r="WJS47" s="344"/>
      <c r="WJT47" s="344"/>
      <c r="WJU47" s="344"/>
      <c r="WJV47" s="344"/>
      <c r="WJW47" s="344"/>
      <c r="WJX47" s="344"/>
      <c r="WJY47" s="344"/>
      <c r="WJZ47" s="344"/>
      <c r="WKA47" s="344"/>
      <c r="WKB47" s="344"/>
      <c r="WKC47" s="344"/>
      <c r="WKD47" s="344"/>
      <c r="WKE47" s="344"/>
      <c r="WKF47" s="344"/>
      <c r="WKG47" s="344"/>
      <c r="WKH47" s="344"/>
      <c r="WKI47" s="344"/>
      <c r="WKJ47" s="344"/>
      <c r="WKK47" s="344"/>
      <c r="WKL47" s="344"/>
      <c r="WKM47" s="344"/>
      <c r="WKN47" s="344"/>
      <c r="WKO47" s="344"/>
      <c r="WKP47" s="344"/>
      <c r="WKQ47" s="344"/>
      <c r="WKR47" s="344"/>
      <c r="WKS47" s="344"/>
      <c r="WKT47" s="344"/>
      <c r="WKU47" s="344"/>
      <c r="WKV47" s="344"/>
      <c r="WKW47" s="344"/>
      <c r="WKX47" s="344"/>
      <c r="WKY47" s="344"/>
      <c r="WKZ47" s="344"/>
      <c r="WLA47" s="344"/>
      <c r="WLB47" s="344"/>
      <c r="WLC47" s="344"/>
      <c r="WLD47" s="344"/>
      <c r="WLE47" s="344"/>
      <c r="WLF47" s="344"/>
      <c r="WLG47" s="344"/>
      <c r="WLH47" s="344"/>
      <c r="WLI47" s="344"/>
      <c r="WLJ47" s="344"/>
      <c r="WLK47" s="344"/>
      <c r="WLL47" s="344"/>
      <c r="WLM47" s="344"/>
      <c r="WLN47" s="344"/>
      <c r="WLO47" s="344"/>
      <c r="WLP47" s="344"/>
      <c r="WLQ47" s="344"/>
      <c r="WLR47" s="344"/>
      <c r="WLS47" s="344"/>
      <c r="WLT47" s="344"/>
      <c r="WLU47" s="344"/>
      <c r="WLV47" s="344"/>
      <c r="WLW47" s="344"/>
      <c r="WLX47" s="344"/>
      <c r="WLY47" s="344"/>
      <c r="WLZ47" s="344"/>
      <c r="WMA47" s="344"/>
      <c r="WMB47" s="344"/>
      <c r="WMC47" s="344"/>
      <c r="WMD47" s="344"/>
      <c r="WME47" s="344"/>
      <c r="WMF47" s="344"/>
      <c r="WMG47" s="344"/>
      <c r="WMH47" s="344"/>
      <c r="WMI47" s="344"/>
      <c r="WMJ47" s="344"/>
      <c r="WMK47" s="344"/>
      <c r="WML47" s="344"/>
      <c r="WMM47" s="344"/>
      <c r="WMN47" s="344"/>
      <c r="WMO47" s="344"/>
      <c r="WMP47" s="344"/>
      <c r="WMQ47" s="344"/>
      <c r="WMR47" s="344"/>
      <c r="WMS47" s="344"/>
      <c r="WMT47" s="344"/>
      <c r="WMU47" s="344"/>
      <c r="WMV47" s="344"/>
      <c r="WMW47" s="344"/>
      <c r="WMX47" s="344"/>
      <c r="WMY47" s="344"/>
      <c r="WMZ47" s="344"/>
      <c r="WNA47" s="344"/>
      <c r="WNB47" s="344"/>
      <c r="WNC47" s="344"/>
      <c r="WND47" s="344"/>
      <c r="WNE47" s="344"/>
      <c r="WNF47" s="344"/>
      <c r="WNG47" s="344"/>
      <c r="WNH47" s="344"/>
      <c r="WNI47" s="344"/>
      <c r="WNJ47" s="344"/>
      <c r="WNK47" s="344"/>
      <c r="WNL47" s="344"/>
      <c r="WNM47" s="344"/>
      <c r="WNN47" s="344"/>
      <c r="WNO47" s="344"/>
      <c r="WNP47" s="344"/>
      <c r="WNQ47" s="344"/>
      <c r="WNR47" s="344"/>
      <c r="WNS47" s="344"/>
      <c r="WNT47" s="344"/>
      <c r="WNU47" s="344"/>
      <c r="WNV47" s="344"/>
      <c r="WNW47" s="344"/>
      <c r="WNX47" s="344"/>
      <c r="WNY47" s="344"/>
      <c r="WNZ47" s="344"/>
      <c r="WOA47" s="344"/>
      <c r="WOB47" s="344"/>
      <c r="WOC47" s="344"/>
      <c r="WOD47" s="344"/>
      <c r="WOE47" s="344"/>
      <c r="WOF47" s="344"/>
      <c r="WOG47" s="344"/>
      <c r="WOH47" s="344"/>
      <c r="WOI47" s="344"/>
      <c r="WOJ47" s="344"/>
      <c r="WOK47" s="344"/>
      <c r="WOL47" s="344"/>
      <c r="WOM47" s="344"/>
      <c r="WON47" s="344"/>
      <c r="WOO47" s="344"/>
      <c r="WOP47" s="344"/>
      <c r="WOQ47" s="344"/>
      <c r="WOR47" s="344"/>
      <c r="WOS47" s="344"/>
      <c r="WOT47" s="344"/>
      <c r="WOU47" s="344"/>
      <c r="WOV47" s="344"/>
      <c r="WOW47" s="344"/>
      <c r="WOX47" s="344"/>
      <c r="WOY47" s="344"/>
      <c r="WOZ47" s="344"/>
      <c r="WPA47" s="344"/>
      <c r="WPB47" s="344"/>
      <c r="WPC47" s="344"/>
      <c r="WPD47" s="344"/>
      <c r="WPE47" s="344"/>
      <c r="WPF47" s="344"/>
      <c r="WPG47" s="344"/>
      <c r="WPH47" s="344"/>
      <c r="WPI47" s="344"/>
      <c r="WPJ47" s="344"/>
      <c r="WPK47" s="344"/>
      <c r="WPL47" s="344"/>
      <c r="WPM47" s="344"/>
      <c r="WPN47" s="344"/>
      <c r="WPO47" s="344"/>
      <c r="WPP47" s="344"/>
      <c r="WPQ47" s="344"/>
      <c r="WPR47" s="344"/>
      <c r="WPS47" s="344"/>
      <c r="WPT47" s="344"/>
      <c r="WPU47" s="344"/>
      <c r="WPV47" s="344"/>
      <c r="WPW47" s="344"/>
      <c r="WPX47" s="344"/>
      <c r="WPY47" s="344"/>
      <c r="WPZ47" s="344"/>
      <c r="WQA47" s="344"/>
      <c r="WQB47" s="344"/>
      <c r="WQC47" s="344"/>
      <c r="WQD47" s="344"/>
      <c r="WQE47" s="344"/>
      <c r="WQF47" s="344"/>
      <c r="WQG47" s="344"/>
      <c r="WQH47" s="344"/>
      <c r="WQI47" s="344"/>
      <c r="WQJ47" s="344"/>
      <c r="WQK47" s="344"/>
      <c r="WQL47" s="344"/>
      <c r="WQM47" s="344"/>
      <c r="WQN47" s="344"/>
      <c r="WQO47" s="344"/>
      <c r="WQP47" s="344"/>
      <c r="WQQ47" s="344"/>
      <c r="WQR47" s="344"/>
      <c r="WQS47" s="344"/>
      <c r="WQT47" s="344"/>
      <c r="WQU47" s="344"/>
      <c r="WQV47" s="344"/>
      <c r="WQW47" s="344"/>
      <c r="WQX47" s="344"/>
      <c r="WQY47" s="344"/>
      <c r="WQZ47" s="344"/>
      <c r="WRA47" s="344"/>
      <c r="WRB47" s="344"/>
      <c r="WRC47" s="344"/>
      <c r="WRD47" s="344"/>
      <c r="WRE47" s="344"/>
      <c r="WRF47" s="344"/>
      <c r="WRG47" s="344"/>
      <c r="WRH47" s="344"/>
      <c r="WRI47" s="344"/>
      <c r="WRJ47" s="344"/>
      <c r="WRK47" s="344"/>
      <c r="WRL47" s="344"/>
      <c r="WRM47" s="344"/>
      <c r="WRN47" s="344"/>
      <c r="WRO47" s="344"/>
      <c r="WRP47" s="344"/>
      <c r="WRQ47" s="344"/>
      <c r="WRR47" s="344"/>
      <c r="WRS47" s="344"/>
      <c r="WRT47" s="344"/>
      <c r="WRU47" s="344"/>
      <c r="WRV47" s="344"/>
      <c r="WRW47" s="344"/>
      <c r="WRX47" s="344"/>
      <c r="WRY47" s="344"/>
      <c r="WRZ47" s="344"/>
      <c r="WSA47" s="344"/>
      <c r="WSB47" s="344"/>
      <c r="WSC47" s="344"/>
      <c r="WSD47" s="344"/>
      <c r="WSE47" s="344"/>
      <c r="WSF47" s="344"/>
      <c r="WSG47" s="344"/>
      <c r="WSH47" s="344"/>
      <c r="WSI47" s="344"/>
      <c r="WSJ47" s="344"/>
      <c r="WSK47" s="344"/>
      <c r="WSL47" s="344"/>
      <c r="WSM47" s="344"/>
      <c r="WSN47" s="344"/>
      <c r="WSO47" s="344"/>
      <c r="WSP47" s="344"/>
      <c r="WSQ47" s="344"/>
      <c r="WSR47" s="344"/>
      <c r="WSS47" s="344"/>
      <c r="WST47" s="344"/>
      <c r="WSU47" s="344"/>
      <c r="WSV47" s="344"/>
      <c r="WSW47" s="344"/>
      <c r="WSX47" s="344"/>
      <c r="WSY47" s="344"/>
      <c r="WSZ47" s="344"/>
      <c r="WTA47" s="344"/>
      <c r="WTB47" s="344"/>
      <c r="WTC47" s="344"/>
      <c r="WTD47" s="344"/>
      <c r="WTE47" s="344"/>
      <c r="WTF47" s="344"/>
      <c r="WTG47" s="344"/>
      <c r="WTH47" s="344"/>
      <c r="WTI47" s="344"/>
      <c r="WTJ47" s="344"/>
      <c r="WTK47" s="344"/>
      <c r="WTL47" s="344"/>
      <c r="WTM47" s="344"/>
      <c r="WTN47" s="344"/>
      <c r="WTO47" s="344"/>
      <c r="WTP47" s="344"/>
      <c r="WTQ47" s="344"/>
      <c r="WTR47" s="344"/>
      <c r="WTS47" s="344"/>
      <c r="WTT47" s="344"/>
      <c r="WTU47" s="344"/>
      <c r="WTV47" s="344"/>
      <c r="WTW47" s="344"/>
      <c r="WTX47" s="344"/>
      <c r="WTY47" s="344"/>
      <c r="WTZ47" s="344"/>
      <c r="WUA47" s="344"/>
      <c r="WUB47" s="344"/>
      <c r="WUC47" s="344"/>
      <c r="WUD47" s="344"/>
      <c r="WUE47" s="344"/>
      <c r="WUF47" s="344"/>
      <c r="WUG47" s="344"/>
      <c r="WUH47" s="344"/>
      <c r="WUI47" s="344"/>
      <c r="WUJ47" s="344"/>
      <c r="WUK47" s="344"/>
      <c r="WUL47" s="344"/>
      <c r="WUM47" s="344"/>
      <c r="WUN47" s="344"/>
      <c r="WUO47" s="344"/>
      <c r="WUP47" s="344"/>
      <c r="WUQ47" s="344"/>
      <c r="WUR47" s="344"/>
      <c r="WUS47" s="344"/>
      <c r="WUT47" s="344"/>
      <c r="WUU47" s="344"/>
      <c r="WUV47" s="344"/>
      <c r="WUW47" s="344"/>
      <c r="WUX47" s="344"/>
      <c r="WUY47" s="344"/>
      <c r="WUZ47" s="344"/>
      <c r="WVA47" s="344"/>
      <c r="WVB47" s="344"/>
      <c r="WVC47" s="344"/>
      <c r="WVD47" s="344"/>
      <c r="WVE47" s="344"/>
      <c r="WVF47" s="344"/>
      <c r="WVG47" s="344"/>
      <c r="WVH47" s="344"/>
      <c r="WVI47" s="344"/>
      <c r="WVJ47" s="344"/>
      <c r="WVK47" s="344"/>
      <c r="WVL47" s="344"/>
      <c r="WVM47" s="344"/>
      <c r="WVN47" s="344"/>
      <c r="WVO47" s="344"/>
      <c r="WVP47" s="344"/>
      <c r="WVQ47" s="344"/>
      <c r="WVR47" s="344"/>
      <c r="WVS47" s="344"/>
      <c r="WVT47" s="344"/>
      <c r="WVU47" s="344"/>
      <c r="WVV47" s="344"/>
      <c r="WVW47" s="344"/>
      <c r="WVX47" s="344"/>
      <c r="WVY47" s="344"/>
      <c r="WVZ47" s="344"/>
      <c r="WWA47" s="344"/>
      <c r="WWB47" s="344"/>
      <c r="WWC47" s="344"/>
      <c r="WWD47" s="344"/>
      <c r="WWE47" s="344"/>
      <c r="WWF47" s="344"/>
      <c r="WWG47" s="344"/>
      <c r="WWH47" s="344"/>
      <c r="WWI47" s="344"/>
      <c r="WWJ47" s="344"/>
      <c r="WWK47" s="344"/>
      <c r="WWL47" s="344"/>
      <c r="WWM47" s="344"/>
      <c r="WWN47" s="344"/>
      <c r="WWO47" s="344"/>
      <c r="WWP47" s="344"/>
      <c r="WWQ47" s="344"/>
      <c r="WWR47" s="344"/>
      <c r="WWS47" s="344"/>
      <c r="WWT47" s="344"/>
      <c r="WWU47" s="344"/>
      <c r="WWV47" s="344"/>
      <c r="WWW47" s="344"/>
      <c r="WWX47" s="344"/>
      <c r="WWY47" s="344"/>
      <c r="WWZ47" s="344"/>
      <c r="WXA47" s="344"/>
      <c r="WXB47" s="344"/>
      <c r="WXC47" s="344"/>
      <c r="WXD47" s="344"/>
      <c r="WXE47" s="344"/>
      <c r="WXF47" s="344"/>
      <c r="WXG47" s="344"/>
      <c r="WXH47" s="344"/>
      <c r="WXI47" s="344"/>
      <c r="WXJ47" s="344"/>
      <c r="WXK47" s="344"/>
      <c r="WXL47" s="344"/>
      <c r="WXM47" s="344"/>
      <c r="WXN47" s="344"/>
      <c r="WXO47" s="344"/>
      <c r="WXP47" s="344"/>
      <c r="WXQ47" s="344"/>
      <c r="WXR47" s="344"/>
      <c r="WXS47" s="344"/>
      <c r="WXT47" s="344"/>
      <c r="WXU47" s="344"/>
      <c r="WXV47" s="344"/>
      <c r="WXW47" s="344"/>
      <c r="WXX47" s="344"/>
      <c r="WXY47" s="344"/>
      <c r="WXZ47" s="344"/>
      <c r="WYA47" s="344"/>
      <c r="WYB47" s="344"/>
      <c r="WYC47" s="344"/>
      <c r="WYD47" s="344"/>
      <c r="WYE47" s="344"/>
      <c r="WYF47" s="344"/>
      <c r="WYG47" s="344"/>
      <c r="WYH47" s="344"/>
      <c r="WYI47" s="344"/>
      <c r="WYJ47" s="344"/>
      <c r="WYK47" s="344"/>
      <c r="WYL47" s="344"/>
      <c r="WYM47" s="344"/>
      <c r="WYN47" s="344"/>
      <c r="WYO47" s="344"/>
      <c r="WYP47" s="344"/>
      <c r="WYQ47" s="344"/>
      <c r="WYR47" s="344"/>
      <c r="WYS47" s="344"/>
      <c r="WYT47" s="344"/>
      <c r="WYU47" s="344"/>
      <c r="WYV47" s="344"/>
      <c r="WYW47" s="344"/>
      <c r="WYX47" s="344"/>
      <c r="WYY47" s="344"/>
      <c r="WYZ47" s="344"/>
      <c r="WZA47" s="344"/>
      <c r="WZB47" s="344"/>
      <c r="WZC47" s="344"/>
      <c r="WZD47" s="344"/>
      <c r="WZE47" s="344"/>
      <c r="WZF47" s="344"/>
      <c r="WZG47" s="344"/>
      <c r="WZH47" s="344"/>
      <c r="WZI47" s="344"/>
      <c r="WZJ47" s="344"/>
      <c r="WZK47" s="344"/>
      <c r="WZL47" s="344"/>
      <c r="WZM47" s="344"/>
      <c r="WZN47" s="344"/>
      <c r="WZO47" s="344"/>
      <c r="WZP47" s="344"/>
      <c r="WZQ47" s="344"/>
      <c r="WZR47" s="344"/>
      <c r="WZS47" s="344"/>
      <c r="WZT47" s="344"/>
      <c r="WZU47" s="344"/>
      <c r="WZV47" s="344"/>
      <c r="WZW47" s="344"/>
      <c r="WZX47" s="344"/>
      <c r="WZY47" s="344"/>
      <c r="WZZ47" s="344"/>
      <c r="XAA47" s="344"/>
      <c r="XAB47" s="344"/>
      <c r="XAC47" s="344"/>
      <c r="XAD47" s="344"/>
      <c r="XAE47" s="344"/>
      <c r="XAF47" s="344"/>
      <c r="XAG47" s="344"/>
      <c r="XAH47" s="344"/>
      <c r="XAI47" s="344"/>
      <c r="XAJ47" s="344"/>
      <c r="XAK47" s="344"/>
      <c r="XAL47" s="344"/>
      <c r="XAM47" s="344"/>
      <c r="XAN47" s="344"/>
      <c r="XAO47" s="344"/>
      <c r="XAP47" s="344"/>
      <c r="XAQ47" s="344"/>
      <c r="XAR47" s="344"/>
      <c r="XAS47" s="344"/>
      <c r="XAT47" s="344"/>
      <c r="XAU47" s="344"/>
      <c r="XAV47" s="344"/>
      <c r="XAW47" s="344"/>
      <c r="XAX47" s="344"/>
      <c r="XAY47" s="344"/>
      <c r="XAZ47" s="344"/>
      <c r="XBA47" s="344"/>
      <c r="XBB47" s="344"/>
      <c r="XBC47" s="344"/>
      <c r="XBD47" s="344"/>
      <c r="XBE47" s="344"/>
      <c r="XBF47" s="344"/>
      <c r="XBG47" s="344"/>
      <c r="XBH47" s="344"/>
      <c r="XBI47" s="344"/>
      <c r="XBJ47" s="344"/>
      <c r="XBK47" s="344"/>
      <c r="XBL47" s="344"/>
      <c r="XBM47" s="344"/>
      <c r="XBN47" s="344"/>
      <c r="XBO47" s="344"/>
      <c r="XBP47" s="344"/>
      <c r="XBQ47" s="344"/>
      <c r="XBR47" s="344"/>
      <c r="XBS47" s="344"/>
      <c r="XBT47" s="344"/>
      <c r="XBU47" s="344"/>
      <c r="XBV47" s="344"/>
      <c r="XBW47" s="344"/>
      <c r="XBX47" s="344"/>
      <c r="XBY47" s="344"/>
      <c r="XBZ47" s="344"/>
      <c r="XCA47" s="344"/>
      <c r="XCB47" s="344"/>
      <c r="XCC47" s="344"/>
      <c r="XCD47" s="344"/>
      <c r="XCE47" s="344"/>
      <c r="XCF47" s="344"/>
      <c r="XCG47" s="344"/>
      <c r="XCH47" s="344"/>
      <c r="XCI47" s="344"/>
      <c r="XCJ47" s="344"/>
      <c r="XCK47" s="344"/>
      <c r="XCL47" s="344"/>
      <c r="XCM47" s="344"/>
      <c r="XCN47" s="344"/>
      <c r="XCO47" s="344"/>
      <c r="XCP47" s="344"/>
      <c r="XCQ47" s="344"/>
      <c r="XCR47" s="344"/>
      <c r="XCS47" s="344"/>
      <c r="XCT47" s="344"/>
      <c r="XCU47" s="344"/>
      <c r="XCV47" s="344"/>
      <c r="XCW47" s="344"/>
      <c r="XCX47" s="344"/>
      <c r="XCY47" s="344"/>
      <c r="XCZ47" s="344"/>
      <c r="XDA47" s="344"/>
      <c r="XDB47" s="344"/>
      <c r="XDC47" s="344"/>
      <c r="XDD47" s="344"/>
      <c r="XDE47" s="344"/>
      <c r="XDF47" s="344"/>
      <c r="XDG47" s="344"/>
      <c r="XDH47" s="344"/>
      <c r="XDI47" s="344"/>
      <c r="XDJ47" s="344"/>
      <c r="XDK47" s="344"/>
      <c r="XDL47" s="344"/>
      <c r="XDM47" s="344"/>
      <c r="XDN47" s="344"/>
      <c r="XDO47" s="344"/>
      <c r="XDP47" s="344"/>
      <c r="XDQ47" s="344"/>
      <c r="XDR47" s="344"/>
      <c r="XDS47" s="344"/>
      <c r="XDT47" s="344"/>
      <c r="XDU47" s="344"/>
      <c r="XDV47" s="344"/>
      <c r="XDW47" s="344"/>
      <c r="XDX47" s="344"/>
      <c r="XDY47" s="344"/>
      <c r="XDZ47" s="344"/>
      <c r="XEA47" s="344"/>
      <c r="XEB47" s="344"/>
      <c r="XEC47" s="344"/>
      <c r="XED47" s="344"/>
      <c r="XEE47" s="344"/>
      <c r="XEF47" s="344"/>
      <c r="XEG47" s="344"/>
      <c r="XEH47" s="344"/>
      <c r="XEI47" s="344"/>
      <c r="XEJ47" s="344"/>
      <c r="XEK47" s="344"/>
      <c r="XEL47" s="344"/>
      <c r="XEM47" s="344"/>
      <c r="XEN47" s="344"/>
      <c r="XEO47" s="344"/>
      <c r="XEP47" s="344"/>
      <c r="XEQ47" s="344"/>
      <c r="XER47" s="344"/>
      <c r="XES47" s="344"/>
      <c r="XET47" s="344"/>
      <c r="XEU47" s="344"/>
      <c r="XEV47" s="344"/>
      <c r="XEW47" s="344"/>
      <c r="XEX47" s="344"/>
      <c r="XEY47" s="344"/>
      <c r="XEZ47" s="344"/>
      <c r="XFA47" s="344"/>
    </row>
    <row r="48" s="338" customFormat="1" ht="29.25" customHeight="1" spans="1:1024 1025:16381">
      <c r="A48" s="344"/>
      <c r="B48" s="382">
        <v>38</v>
      </c>
      <c r="C48" s="380" t="e">
        <f>_xlfn.XLOOKUP(D48,商品汇总表!$B:$B,商品汇总表!$A:$A,"")</f>
        <v>#N/A</v>
      </c>
      <c r="D48" s="362" t="e" cm="1">
        <f t="array" ref="D48">LOOKUP(1,0/(('5.21出货明细'!AR:AR=$D$52)*('5.21出货明细'!A:A=B48)),'5.21出货明细'!E:E)</f>
        <v>#N/A</v>
      </c>
      <c r="E48" s="358" t="e">
        <f>_xlfn.XLOOKUP(D48,商品汇总表!$B:$B,商品汇总表!$D:$D,"")</f>
        <v>#N/A</v>
      </c>
      <c r="F48" s="363" t="e" cm="1">
        <f t="array" ref="F48">_xlfn.LET(_xlpm.数组,B48&amp;D48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8" s="373"/>
      <c r="H48" s="364"/>
      <c r="I48" s="365"/>
      <c r="J48" s="366"/>
      <c r="K48" s="367"/>
      <c r="L48" s="368"/>
      <c r="M48" s="369" t="s">
        <v>2953</v>
      </c>
      <c r="N48" s="370"/>
      <c r="O48" s="370"/>
      <c r="P48" s="383"/>
      <c r="Q48" s="372"/>
      <c r="R48" s="372"/>
      <c r="S48" s="372"/>
      <c r="T48" s="372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4"/>
      <c r="AT48" s="344"/>
      <c r="AU48" s="344"/>
      <c r="AV48" s="344"/>
      <c r="AW48" s="344"/>
      <c r="AX48" s="344"/>
      <c r="AY48" s="344"/>
      <c r="AZ48" s="344"/>
      <c r="BA48" s="344"/>
      <c r="BB48" s="344"/>
      <c r="BC48" s="344"/>
      <c r="BD48" s="344"/>
      <c r="BE48" s="344"/>
      <c r="BF48" s="344"/>
      <c r="BG48" s="344"/>
      <c r="BH48" s="344"/>
      <c r="BI48" s="344"/>
      <c r="BJ48" s="344"/>
      <c r="BK48" s="344"/>
      <c r="BL48" s="344"/>
      <c r="BM48" s="344"/>
      <c r="BN48" s="344"/>
      <c r="BO48" s="344"/>
      <c r="BP48" s="344"/>
      <c r="BQ48" s="344"/>
      <c r="BR48" s="344"/>
      <c r="BS48" s="344"/>
      <c r="BT48" s="344"/>
      <c r="BU48" s="344"/>
      <c r="BV48" s="344"/>
      <c r="BW48" s="344"/>
      <c r="BX48" s="344"/>
      <c r="BY48" s="344"/>
      <c r="BZ48" s="344"/>
      <c r="CA48" s="344"/>
      <c r="CB48" s="344"/>
      <c r="CC48" s="344"/>
      <c r="CD48" s="344"/>
      <c r="CE48" s="344"/>
      <c r="CF48" s="344"/>
      <c r="CG48" s="344"/>
      <c r="CH48" s="344"/>
      <c r="CI48" s="344"/>
      <c r="CJ48" s="344"/>
      <c r="CK48" s="344"/>
      <c r="CL48" s="344"/>
      <c r="CM48" s="344"/>
      <c r="CN48" s="344"/>
      <c r="CO48" s="344"/>
      <c r="CP48" s="344"/>
      <c r="CQ48" s="344"/>
      <c r="CR48" s="344"/>
      <c r="CS48" s="344"/>
      <c r="CT48" s="344"/>
      <c r="CU48" s="344"/>
      <c r="CV48" s="344"/>
      <c r="CW48" s="344"/>
      <c r="CX48" s="344"/>
      <c r="CY48" s="344"/>
      <c r="CZ48" s="344"/>
      <c r="DA48" s="344"/>
      <c r="DB48" s="344"/>
      <c r="DC48" s="344"/>
      <c r="DD48" s="344"/>
      <c r="DE48" s="344"/>
      <c r="DF48" s="344"/>
      <c r="DG48" s="344"/>
      <c r="DH48" s="344"/>
      <c r="DI48" s="344"/>
      <c r="DJ48" s="344"/>
      <c r="DK48" s="344"/>
      <c r="DL48" s="344"/>
      <c r="DM48" s="344"/>
      <c r="DN48" s="344"/>
      <c r="DO48" s="344"/>
      <c r="DP48" s="344"/>
      <c r="DQ48" s="344"/>
      <c r="DR48" s="344"/>
      <c r="DS48" s="344"/>
      <c r="DT48" s="344"/>
      <c r="DU48" s="344"/>
      <c r="DV48" s="344"/>
      <c r="DW48" s="344"/>
      <c r="DX48" s="344"/>
      <c r="DY48" s="344"/>
      <c r="DZ48" s="344"/>
      <c r="EA48" s="344"/>
      <c r="EB48" s="344"/>
      <c r="EC48" s="344"/>
      <c r="ED48" s="344"/>
      <c r="EE48" s="344"/>
      <c r="EF48" s="344"/>
      <c r="EG48" s="344"/>
      <c r="EH48" s="344"/>
      <c r="EI48" s="344"/>
      <c r="EJ48" s="344"/>
      <c r="EK48" s="344"/>
      <c r="EL48" s="344"/>
      <c r="EM48" s="344"/>
      <c r="EN48" s="344"/>
      <c r="EO48" s="344"/>
      <c r="EP48" s="344"/>
      <c r="EQ48" s="344"/>
      <c r="ER48" s="344"/>
      <c r="ES48" s="344"/>
      <c r="ET48" s="344"/>
      <c r="EU48" s="344"/>
      <c r="EV48" s="344"/>
      <c r="EW48" s="344"/>
      <c r="EX48" s="344"/>
      <c r="EY48" s="344"/>
      <c r="EZ48" s="344"/>
      <c r="FA48" s="344"/>
      <c r="FB48" s="344"/>
      <c r="FC48" s="344"/>
      <c r="FD48" s="344"/>
      <c r="FE48" s="344"/>
      <c r="FF48" s="344"/>
      <c r="FG48" s="344"/>
      <c r="FH48" s="344"/>
      <c r="FI48" s="344"/>
      <c r="FJ48" s="344"/>
      <c r="FK48" s="344"/>
      <c r="FL48" s="344"/>
      <c r="FM48" s="344"/>
      <c r="FN48" s="344"/>
      <c r="FO48" s="344"/>
      <c r="FP48" s="344"/>
      <c r="FQ48" s="344"/>
      <c r="FR48" s="344"/>
      <c r="FS48" s="344"/>
      <c r="FT48" s="344"/>
      <c r="FU48" s="344"/>
      <c r="FV48" s="344"/>
      <c r="FW48" s="344"/>
      <c r="FX48" s="344"/>
      <c r="FY48" s="344"/>
      <c r="FZ48" s="344"/>
      <c r="GA48" s="344"/>
      <c r="GB48" s="344"/>
      <c r="GC48" s="344"/>
      <c r="GD48" s="344"/>
      <c r="GE48" s="344"/>
      <c r="GF48" s="344"/>
      <c r="GG48" s="344"/>
      <c r="GH48" s="344"/>
      <c r="GI48" s="344"/>
      <c r="GJ48" s="344"/>
      <c r="GK48" s="344"/>
      <c r="GL48" s="344"/>
      <c r="GM48" s="344"/>
      <c r="GN48" s="344"/>
      <c r="GO48" s="344"/>
      <c r="GP48" s="344"/>
      <c r="GQ48" s="344"/>
      <c r="GR48" s="344"/>
      <c r="GS48" s="344"/>
      <c r="GT48" s="344"/>
      <c r="GU48" s="344"/>
      <c r="GV48" s="344"/>
      <c r="GW48" s="344"/>
      <c r="GX48" s="344"/>
      <c r="GY48" s="344"/>
      <c r="GZ48" s="344"/>
      <c r="HA48" s="344"/>
      <c r="HB48" s="344"/>
      <c r="HC48" s="344"/>
      <c r="HD48" s="344"/>
      <c r="HE48" s="344"/>
      <c r="HF48" s="344"/>
      <c r="HG48" s="344"/>
      <c r="HH48" s="344"/>
      <c r="HI48" s="344"/>
      <c r="HJ48" s="344"/>
      <c r="HK48" s="344"/>
      <c r="HL48" s="344"/>
      <c r="HM48" s="344"/>
      <c r="HN48" s="344"/>
      <c r="HO48" s="344"/>
      <c r="HP48" s="344"/>
      <c r="HQ48" s="344"/>
      <c r="HR48" s="344"/>
      <c r="HS48" s="344"/>
      <c r="HT48" s="344"/>
      <c r="HU48" s="344"/>
      <c r="HV48" s="344"/>
      <c r="HW48" s="344"/>
      <c r="HX48" s="344"/>
      <c r="HY48" s="344"/>
      <c r="HZ48" s="344"/>
      <c r="IA48" s="344"/>
      <c r="IB48" s="344"/>
      <c r="IC48" s="344"/>
      <c r="ID48" s="344"/>
      <c r="IE48" s="344"/>
      <c r="IF48" s="344"/>
      <c r="IG48" s="344"/>
      <c r="IH48" s="344"/>
      <c r="II48" s="344"/>
      <c r="IJ48" s="344"/>
      <c r="IK48" s="344"/>
      <c r="IL48" s="344"/>
      <c r="IM48" s="344"/>
      <c r="IN48" s="344"/>
      <c r="IO48" s="344"/>
      <c r="IP48" s="344"/>
      <c r="IQ48" s="344"/>
      <c r="IR48" s="344"/>
      <c r="IS48" s="344"/>
      <c r="IT48" s="344"/>
      <c r="IU48" s="344"/>
      <c r="IV48" s="344"/>
      <c r="IW48" s="344"/>
      <c r="IX48" s="344"/>
      <c r="IY48" s="344"/>
      <c r="IZ48" s="344"/>
      <c r="JA48" s="344"/>
      <c r="JB48" s="344"/>
      <c r="JC48" s="344"/>
      <c r="JD48" s="344"/>
      <c r="JE48" s="344"/>
      <c r="JF48" s="344"/>
      <c r="JG48" s="344"/>
      <c r="JH48" s="344"/>
      <c r="JI48" s="344"/>
      <c r="JJ48" s="344"/>
      <c r="JK48" s="344"/>
      <c r="JL48" s="344"/>
      <c r="JM48" s="344"/>
      <c r="JN48" s="344"/>
      <c r="JO48" s="344"/>
      <c r="JP48" s="344"/>
      <c r="JQ48" s="344"/>
      <c r="JR48" s="344"/>
      <c r="JS48" s="344"/>
      <c r="JT48" s="344"/>
      <c r="JU48" s="344"/>
      <c r="JV48" s="344"/>
      <c r="JW48" s="344"/>
      <c r="JX48" s="344"/>
      <c r="JY48" s="344"/>
      <c r="JZ48" s="344"/>
      <c r="KA48" s="344"/>
      <c r="KB48" s="344"/>
      <c r="KC48" s="344"/>
      <c r="KD48" s="344"/>
      <c r="KE48" s="344"/>
      <c r="KF48" s="344"/>
      <c r="KG48" s="344"/>
      <c r="KH48" s="344"/>
      <c r="KI48" s="344"/>
      <c r="KJ48" s="344"/>
      <c r="KK48" s="344"/>
      <c r="KL48" s="344"/>
      <c r="KM48" s="344"/>
      <c r="KN48" s="344"/>
      <c r="KO48" s="344"/>
      <c r="KP48" s="344"/>
      <c r="KQ48" s="344"/>
      <c r="KR48" s="344"/>
      <c r="KS48" s="344"/>
      <c r="KT48" s="344"/>
      <c r="KU48" s="344"/>
      <c r="KV48" s="344"/>
      <c r="KW48" s="344"/>
      <c r="KX48" s="344"/>
      <c r="KY48" s="344"/>
      <c r="KZ48" s="344"/>
      <c r="LA48" s="344"/>
      <c r="LB48" s="344"/>
      <c r="LC48" s="344"/>
      <c r="LD48" s="344"/>
      <c r="LE48" s="344"/>
      <c r="LF48" s="344"/>
      <c r="LG48" s="344"/>
      <c r="LH48" s="344"/>
      <c r="LI48" s="344"/>
      <c r="LJ48" s="344"/>
      <c r="LK48" s="344"/>
      <c r="LL48" s="344"/>
      <c r="LM48" s="344"/>
      <c r="LN48" s="344"/>
      <c r="LO48" s="344"/>
      <c r="LP48" s="344"/>
      <c r="LQ48" s="344"/>
      <c r="LR48" s="344"/>
      <c r="LS48" s="344"/>
      <c r="LT48" s="344"/>
      <c r="LU48" s="344"/>
      <c r="LV48" s="344"/>
      <c r="LW48" s="344"/>
      <c r="LX48" s="344"/>
      <c r="LY48" s="344"/>
      <c r="LZ48" s="344"/>
      <c r="MA48" s="344"/>
      <c r="MB48" s="344"/>
      <c r="MC48" s="344"/>
      <c r="MD48" s="344"/>
      <c r="ME48" s="344"/>
      <c r="MF48" s="344"/>
      <c r="MG48" s="344"/>
      <c r="MH48" s="344"/>
      <c r="MI48" s="344"/>
      <c r="MJ48" s="344"/>
      <c r="MK48" s="344"/>
      <c r="ML48" s="344"/>
      <c r="MM48" s="344"/>
      <c r="MN48" s="344"/>
      <c r="MO48" s="344"/>
      <c r="MP48" s="344"/>
      <c r="MQ48" s="344"/>
      <c r="MR48" s="344"/>
      <c r="MS48" s="344"/>
      <c r="MT48" s="344"/>
      <c r="MU48" s="344"/>
      <c r="MV48" s="344"/>
      <c r="MW48" s="344"/>
      <c r="MX48" s="344"/>
      <c r="MY48" s="344"/>
      <c r="MZ48" s="344"/>
      <c r="NA48" s="344"/>
      <c r="NB48" s="344"/>
      <c r="NC48" s="344"/>
      <c r="ND48" s="344"/>
      <c r="NE48" s="344"/>
      <c r="NF48" s="344"/>
      <c r="NG48" s="344"/>
      <c r="NH48" s="344"/>
      <c r="NI48" s="344"/>
      <c r="NJ48" s="344"/>
      <c r="NK48" s="344"/>
      <c r="NL48" s="344"/>
      <c r="NM48" s="344"/>
      <c r="NN48" s="344"/>
      <c r="NO48" s="344"/>
      <c r="NP48" s="344"/>
      <c r="NQ48" s="344"/>
      <c r="NR48" s="344"/>
      <c r="NS48" s="344"/>
      <c r="NT48" s="344"/>
      <c r="NU48" s="344"/>
      <c r="NV48" s="344"/>
      <c r="NW48" s="344"/>
      <c r="NX48" s="344"/>
      <c r="NY48" s="344"/>
      <c r="NZ48" s="344"/>
      <c r="OA48" s="344"/>
      <c r="OB48" s="344"/>
      <c r="OC48" s="344"/>
      <c r="OD48" s="344"/>
      <c r="OE48" s="344"/>
      <c r="OF48" s="344"/>
      <c r="OG48" s="344"/>
      <c r="OH48" s="344"/>
      <c r="OI48" s="344"/>
      <c r="OJ48" s="344"/>
      <c r="OK48" s="344"/>
      <c r="OL48" s="344"/>
      <c r="OM48" s="344"/>
      <c r="ON48" s="344"/>
      <c r="OO48" s="344"/>
      <c r="OP48" s="344"/>
      <c r="OQ48" s="344"/>
      <c r="OR48" s="344"/>
      <c r="OS48" s="344"/>
      <c r="OT48" s="344"/>
      <c r="OU48" s="344"/>
      <c r="OV48" s="344"/>
      <c r="OW48" s="344"/>
      <c r="OX48" s="344"/>
      <c r="OY48" s="344"/>
      <c r="OZ48" s="344"/>
      <c r="PA48" s="344"/>
      <c r="PB48" s="344"/>
      <c r="PC48" s="344"/>
      <c r="PD48" s="344"/>
      <c r="PE48" s="344"/>
      <c r="PF48" s="344"/>
      <c r="PG48" s="344"/>
      <c r="PH48" s="344"/>
      <c r="PI48" s="344"/>
      <c r="PJ48" s="344"/>
      <c r="PK48" s="344"/>
      <c r="PL48" s="344"/>
      <c r="PM48" s="344"/>
      <c r="PN48" s="344"/>
      <c r="PO48" s="344"/>
      <c r="PP48" s="344"/>
      <c r="PQ48" s="344"/>
      <c r="PR48" s="344"/>
      <c r="PS48" s="344"/>
      <c r="PT48" s="344"/>
      <c r="PU48" s="344"/>
      <c r="PV48" s="344"/>
      <c r="PW48" s="344"/>
      <c r="PX48" s="344"/>
      <c r="PY48" s="344"/>
      <c r="PZ48" s="344"/>
      <c r="QA48" s="344"/>
      <c r="QB48" s="344"/>
      <c r="QC48" s="344"/>
      <c r="QD48" s="344"/>
      <c r="QE48" s="344"/>
      <c r="QF48" s="344"/>
      <c r="QG48" s="344"/>
      <c r="QH48" s="344"/>
      <c r="QI48" s="344"/>
      <c r="QJ48" s="344"/>
      <c r="QK48" s="344"/>
      <c r="QL48" s="344"/>
      <c r="QM48" s="344"/>
      <c r="QN48" s="344"/>
      <c r="QO48" s="344"/>
      <c r="QP48" s="344"/>
      <c r="QQ48" s="344"/>
      <c r="QR48" s="344"/>
      <c r="QS48" s="344"/>
      <c r="QT48" s="344"/>
      <c r="QU48" s="344"/>
      <c r="QV48" s="344"/>
      <c r="QW48" s="344"/>
      <c r="QX48" s="344"/>
      <c r="QY48" s="344"/>
      <c r="QZ48" s="344"/>
      <c r="RA48" s="344"/>
      <c r="RB48" s="344"/>
      <c r="RC48" s="344"/>
      <c r="RD48" s="344"/>
      <c r="RE48" s="344"/>
      <c r="RF48" s="344"/>
      <c r="RG48" s="344"/>
      <c r="RH48" s="344"/>
      <c r="RI48" s="344"/>
      <c r="RJ48" s="344"/>
      <c r="RK48" s="344"/>
      <c r="RL48" s="344"/>
      <c r="RM48" s="344"/>
      <c r="RN48" s="344"/>
      <c r="RO48" s="344"/>
      <c r="RP48" s="344"/>
      <c r="RQ48" s="344"/>
      <c r="RR48" s="344"/>
      <c r="RS48" s="344"/>
      <c r="RT48" s="344"/>
      <c r="RU48" s="344"/>
      <c r="RV48" s="344"/>
      <c r="RW48" s="344"/>
      <c r="RX48" s="344"/>
      <c r="RY48" s="344"/>
      <c r="RZ48" s="344"/>
      <c r="SA48" s="344"/>
      <c r="SB48" s="344"/>
      <c r="SC48" s="344"/>
      <c r="SD48" s="344"/>
      <c r="SE48" s="344"/>
      <c r="SF48" s="344"/>
      <c r="SG48" s="344"/>
      <c r="SH48" s="344"/>
      <c r="SI48" s="344"/>
      <c r="SJ48" s="344"/>
      <c r="SK48" s="344"/>
      <c r="SL48" s="344"/>
      <c r="SM48" s="344"/>
      <c r="SN48" s="344"/>
      <c r="SO48" s="344"/>
      <c r="SP48" s="344"/>
      <c r="SQ48" s="344"/>
      <c r="SR48" s="344"/>
      <c r="SS48" s="344"/>
      <c r="ST48" s="344"/>
      <c r="SU48" s="344"/>
      <c r="SV48" s="344"/>
      <c r="SW48" s="344"/>
      <c r="SX48" s="344"/>
      <c r="SY48" s="344"/>
      <c r="SZ48" s="344"/>
      <c r="TA48" s="344"/>
      <c r="TB48" s="344"/>
      <c r="TC48" s="344"/>
      <c r="TD48" s="344"/>
      <c r="TE48" s="344"/>
      <c r="TF48" s="344"/>
      <c r="TG48" s="344"/>
      <c r="TH48" s="344"/>
      <c r="TI48" s="344"/>
      <c r="TJ48" s="344"/>
      <c r="TK48" s="344"/>
      <c r="TL48" s="344"/>
      <c r="TM48" s="344"/>
      <c r="TN48" s="344"/>
      <c r="TO48" s="344"/>
      <c r="TP48" s="344"/>
      <c r="TQ48" s="344"/>
      <c r="TR48" s="344"/>
      <c r="TS48" s="344"/>
      <c r="TT48" s="344"/>
      <c r="TU48" s="344"/>
      <c r="TV48" s="344"/>
      <c r="TW48" s="344"/>
      <c r="TX48" s="344"/>
      <c r="TY48" s="344"/>
      <c r="TZ48" s="344"/>
      <c r="UA48" s="344"/>
      <c r="UB48" s="344"/>
      <c r="UC48" s="344"/>
      <c r="UD48" s="344"/>
      <c r="UE48" s="344"/>
      <c r="UF48" s="344"/>
      <c r="UG48" s="344"/>
      <c r="UH48" s="344"/>
      <c r="UI48" s="344"/>
      <c r="UJ48" s="344"/>
      <c r="UK48" s="344"/>
      <c r="UL48" s="344"/>
      <c r="UM48" s="344"/>
      <c r="UN48" s="344"/>
      <c r="UO48" s="344"/>
      <c r="UP48" s="344"/>
      <c r="UQ48" s="344"/>
      <c r="UR48" s="344"/>
      <c r="US48" s="344"/>
      <c r="UT48" s="344"/>
      <c r="UU48" s="344"/>
      <c r="UV48" s="344"/>
      <c r="UW48" s="344"/>
      <c r="UX48" s="344"/>
      <c r="UY48" s="344"/>
      <c r="UZ48" s="344"/>
      <c r="VA48" s="344"/>
      <c r="VB48" s="344"/>
      <c r="VC48" s="344"/>
      <c r="VD48" s="344"/>
      <c r="VE48" s="344"/>
      <c r="VF48" s="344"/>
      <c r="VG48" s="344"/>
      <c r="VH48" s="344"/>
      <c r="VI48" s="344"/>
      <c r="VJ48" s="344"/>
      <c r="VK48" s="344"/>
      <c r="VL48" s="344"/>
      <c r="VM48" s="344"/>
      <c r="VN48" s="344"/>
      <c r="VO48" s="344"/>
      <c r="VP48" s="344"/>
      <c r="VQ48" s="344"/>
      <c r="VR48" s="344"/>
      <c r="VS48" s="344"/>
      <c r="VT48" s="344"/>
      <c r="VU48" s="344"/>
      <c r="VV48" s="344"/>
      <c r="VW48" s="344"/>
      <c r="VX48" s="344"/>
      <c r="VY48" s="344"/>
      <c r="VZ48" s="344"/>
      <c r="WA48" s="344"/>
      <c r="WB48" s="344"/>
      <c r="WC48" s="344"/>
      <c r="WD48" s="344"/>
      <c r="WE48" s="344"/>
      <c r="WF48" s="344"/>
      <c r="WG48" s="344"/>
      <c r="WH48" s="344"/>
      <c r="WI48" s="344"/>
      <c r="WJ48" s="344"/>
      <c r="WK48" s="344"/>
      <c r="WL48" s="344"/>
      <c r="WM48" s="344"/>
      <c r="WN48" s="344"/>
      <c r="WO48" s="344"/>
      <c r="WP48" s="344"/>
      <c r="WQ48" s="344"/>
      <c r="WR48" s="344"/>
      <c r="WS48" s="344"/>
      <c r="WT48" s="344"/>
      <c r="WU48" s="344"/>
      <c r="WV48" s="344"/>
      <c r="WW48" s="344"/>
      <c r="WX48" s="344"/>
      <c r="WY48" s="344"/>
      <c r="WZ48" s="344"/>
      <c r="XA48" s="344"/>
      <c r="XB48" s="344"/>
      <c r="XC48" s="344"/>
      <c r="XD48" s="344"/>
      <c r="XE48" s="344"/>
      <c r="XF48" s="344"/>
      <c r="XG48" s="344"/>
      <c r="XH48" s="344"/>
      <c r="XI48" s="344"/>
      <c r="XJ48" s="344"/>
      <c r="XK48" s="344"/>
      <c r="XL48" s="344"/>
      <c r="XM48" s="344"/>
      <c r="XN48" s="344"/>
      <c r="XO48" s="344"/>
      <c r="XP48" s="344"/>
      <c r="XQ48" s="344"/>
      <c r="XR48" s="344"/>
      <c r="XS48" s="344"/>
      <c r="XT48" s="344"/>
      <c r="XU48" s="344"/>
      <c r="XV48" s="344"/>
      <c r="XW48" s="344"/>
      <c r="XX48" s="344"/>
      <c r="XY48" s="344"/>
      <c r="XZ48" s="344"/>
      <c r="YA48" s="344"/>
      <c r="YB48" s="344"/>
      <c r="YC48" s="344"/>
      <c r="YD48" s="344"/>
      <c r="YE48" s="344"/>
      <c r="YF48" s="344"/>
      <c r="YG48" s="344"/>
      <c r="YH48" s="344"/>
      <c r="YI48" s="344"/>
      <c r="YJ48" s="344"/>
      <c r="YK48" s="344"/>
      <c r="YL48" s="344"/>
      <c r="YM48" s="344"/>
      <c r="YN48" s="344"/>
      <c r="YO48" s="344"/>
      <c r="YP48" s="344"/>
      <c r="YQ48" s="344"/>
      <c r="YR48" s="344"/>
      <c r="YS48" s="344"/>
      <c r="YT48" s="344"/>
      <c r="YU48" s="344"/>
      <c r="YV48" s="344"/>
      <c r="YW48" s="344"/>
      <c r="YX48" s="344"/>
      <c r="YY48" s="344"/>
      <c r="YZ48" s="344"/>
      <c r="ZA48" s="344"/>
      <c r="ZB48" s="344"/>
      <c r="ZC48" s="344"/>
      <c r="ZD48" s="344"/>
      <c r="ZE48" s="344"/>
      <c r="ZF48" s="344"/>
      <c r="ZG48" s="344"/>
      <c r="ZH48" s="344"/>
      <c r="ZI48" s="344"/>
      <c r="ZJ48" s="344"/>
      <c r="ZK48" s="344"/>
      <c r="ZL48" s="344"/>
      <c r="ZM48" s="344"/>
      <c r="ZN48" s="344"/>
      <c r="ZO48" s="344"/>
      <c r="ZP48" s="344"/>
      <c r="ZQ48" s="344"/>
      <c r="ZR48" s="344"/>
      <c r="ZS48" s="344"/>
      <c r="ZT48" s="344"/>
      <c r="ZU48" s="344"/>
      <c r="ZV48" s="344"/>
      <c r="ZW48" s="344"/>
      <c r="ZX48" s="344"/>
      <c r="ZY48" s="344"/>
      <c r="ZZ48" s="344"/>
      <c r="AAA48" s="344"/>
      <c r="AAB48" s="344"/>
      <c r="AAC48" s="344"/>
      <c r="AAD48" s="344"/>
      <c r="AAE48" s="344"/>
      <c r="AAF48" s="344"/>
      <c r="AAG48" s="344"/>
      <c r="AAH48" s="344"/>
      <c r="AAI48" s="344"/>
      <c r="AAJ48" s="344"/>
      <c r="AAK48" s="344"/>
      <c r="AAL48" s="344"/>
      <c r="AAM48" s="344"/>
      <c r="AAN48" s="344"/>
      <c r="AAO48" s="344"/>
      <c r="AAP48" s="344"/>
      <c r="AAQ48" s="344"/>
      <c r="AAR48" s="344"/>
      <c r="AAS48" s="344"/>
      <c r="AAT48" s="344"/>
      <c r="AAU48" s="344"/>
      <c r="AAV48" s="344"/>
      <c r="AAW48" s="344"/>
      <c r="AAX48" s="344"/>
      <c r="AAY48" s="344"/>
      <c r="AAZ48" s="344"/>
      <c r="ABA48" s="344"/>
      <c r="ABB48" s="344"/>
      <c r="ABC48" s="344"/>
      <c r="ABD48" s="344"/>
      <c r="ABE48" s="344"/>
      <c r="ABF48" s="344"/>
      <c r="ABG48" s="344"/>
      <c r="ABH48" s="344"/>
      <c r="ABI48" s="344"/>
      <c r="ABJ48" s="344"/>
      <c r="ABK48" s="344"/>
      <c r="ABL48" s="344"/>
      <c r="ABM48" s="344"/>
      <c r="ABN48" s="344"/>
      <c r="ABO48" s="344"/>
      <c r="ABP48" s="344"/>
      <c r="ABQ48" s="344"/>
      <c r="ABR48" s="344"/>
      <c r="ABS48" s="344"/>
      <c r="ABT48" s="344"/>
      <c r="ABU48" s="344"/>
      <c r="ABV48" s="344"/>
      <c r="ABW48" s="344"/>
      <c r="ABX48" s="344"/>
      <c r="ABY48" s="344"/>
      <c r="ABZ48" s="344"/>
      <c r="ACA48" s="344"/>
      <c r="ACB48" s="344"/>
      <c r="ACC48" s="344"/>
      <c r="ACD48" s="344"/>
      <c r="ACE48" s="344"/>
      <c r="ACF48" s="344"/>
      <c r="ACG48" s="344"/>
      <c r="ACH48" s="344"/>
      <c r="ACI48" s="344"/>
      <c r="ACJ48" s="344"/>
      <c r="ACK48" s="344"/>
      <c r="ACL48" s="344"/>
      <c r="ACM48" s="344"/>
      <c r="ACN48" s="344"/>
      <c r="ACO48" s="344"/>
      <c r="ACP48" s="344"/>
      <c r="ACQ48" s="344"/>
      <c r="ACR48" s="344"/>
      <c r="ACS48" s="344"/>
      <c r="ACT48" s="344"/>
      <c r="ACU48" s="344"/>
      <c r="ACV48" s="344"/>
      <c r="ACW48" s="344"/>
      <c r="ACX48" s="344"/>
      <c r="ACY48" s="344"/>
      <c r="ACZ48" s="344"/>
      <c r="ADA48" s="344"/>
      <c r="ADB48" s="344"/>
      <c r="ADC48" s="344"/>
      <c r="ADD48" s="344"/>
      <c r="ADE48" s="344"/>
      <c r="ADF48" s="344"/>
      <c r="ADG48" s="344"/>
      <c r="ADH48" s="344"/>
      <c r="ADI48" s="344"/>
      <c r="ADJ48" s="344"/>
      <c r="ADK48" s="344"/>
      <c r="ADL48" s="344"/>
      <c r="ADM48" s="344"/>
      <c r="ADN48" s="344"/>
      <c r="ADO48" s="344"/>
      <c r="ADP48" s="344"/>
      <c r="ADQ48" s="344"/>
      <c r="ADR48" s="344"/>
      <c r="ADS48" s="344"/>
      <c r="ADT48" s="344"/>
      <c r="ADU48" s="344"/>
      <c r="ADV48" s="344"/>
      <c r="ADW48" s="344"/>
      <c r="ADX48" s="344"/>
      <c r="ADY48" s="344"/>
      <c r="ADZ48" s="344"/>
      <c r="AEA48" s="344"/>
      <c r="AEB48" s="344"/>
      <c r="AEC48" s="344"/>
      <c r="AED48" s="344"/>
      <c r="AEE48" s="344"/>
      <c r="AEF48" s="344"/>
      <c r="AEG48" s="344"/>
      <c r="AEH48" s="344"/>
      <c r="AEI48" s="344"/>
      <c r="AEJ48" s="344"/>
      <c r="AEK48" s="344"/>
      <c r="AEL48" s="344"/>
      <c r="AEM48" s="344"/>
      <c r="AEN48" s="344"/>
      <c r="AEO48" s="344"/>
      <c r="AEP48" s="344"/>
      <c r="AEQ48" s="344"/>
      <c r="AER48" s="344"/>
      <c r="AES48" s="344"/>
      <c r="AET48" s="344"/>
      <c r="AEU48" s="344"/>
      <c r="AEV48" s="344"/>
      <c r="AEW48" s="344"/>
      <c r="AEX48" s="344"/>
      <c r="AEY48" s="344"/>
      <c r="AEZ48" s="344"/>
      <c r="AFA48" s="344"/>
      <c r="AFB48" s="344"/>
      <c r="AFC48" s="344"/>
      <c r="AFD48" s="344"/>
      <c r="AFE48" s="344"/>
      <c r="AFF48" s="344"/>
      <c r="AFG48" s="344"/>
      <c r="AFH48" s="344"/>
      <c r="AFI48" s="344"/>
      <c r="AFJ48" s="344"/>
      <c r="AFK48" s="344"/>
      <c r="AFL48" s="344"/>
      <c r="AFM48" s="344"/>
      <c r="AFN48" s="344"/>
      <c r="AFO48" s="344"/>
      <c r="AFP48" s="344"/>
      <c r="AFQ48" s="344"/>
      <c r="AFR48" s="344"/>
      <c r="AFS48" s="344"/>
      <c r="AFT48" s="344"/>
      <c r="AFU48" s="344"/>
      <c r="AFV48" s="344"/>
      <c r="AFW48" s="344"/>
      <c r="AFX48" s="344"/>
      <c r="AFY48" s="344"/>
      <c r="AFZ48" s="344"/>
      <c r="AGA48" s="344"/>
      <c r="AGB48" s="344"/>
      <c r="AGC48" s="344"/>
      <c r="AGD48" s="344"/>
      <c r="AGE48" s="344"/>
      <c r="AGF48" s="344"/>
      <c r="AGG48" s="344"/>
      <c r="AGH48" s="344"/>
      <c r="AGI48" s="344"/>
      <c r="AGJ48" s="344"/>
      <c r="AGK48" s="344"/>
      <c r="AGL48" s="344"/>
      <c r="AGM48" s="344"/>
      <c r="AGN48" s="344"/>
      <c r="AGO48" s="344"/>
      <c r="AGP48" s="344"/>
      <c r="AGQ48" s="344"/>
      <c r="AGR48" s="344"/>
      <c r="AGS48" s="344"/>
      <c r="AGT48" s="344"/>
      <c r="AGU48" s="344"/>
      <c r="AGV48" s="344"/>
      <c r="AGW48" s="344"/>
      <c r="AGX48" s="344"/>
      <c r="AGY48" s="344"/>
      <c r="AGZ48" s="344"/>
      <c r="AHA48" s="344"/>
      <c r="AHB48" s="344"/>
      <c r="AHC48" s="344"/>
      <c r="AHD48" s="344"/>
      <c r="AHE48" s="344"/>
      <c r="AHF48" s="344"/>
      <c r="AHG48" s="344"/>
      <c r="AHH48" s="344"/>
      <c r="AHI48" s="344"/>
      <c r="AHJ48" s="344"/>
      <c r="AHK48" s="344"/>
      <c r="AHL48" s="344"/>
      <c r="AHM48" s="344"/>
      <c r="AHN48" s="344"/>
      <c r="AHO48" s="344"/>
      <c r="AHP48" s="344"/>
      <c r="AHQ48" s="344"/>
      <c r="AHR48" s="344"/>
      <c r="AHS48" s="344"/>
      <c r="AHT48" s="344"/>
      <c r="AHU48" s="344"/>
      <c r="AHV48" s="344"/>
      <c r="AHW48" s="344"/>
      <c r="AHX48" s="344"/>
      <c r="AHY48" s="344"/>
      <c r="AHZ48" s="344"/>
      <c r="AIA48" s="344"/>
      <c r="AIB48" s="344"/>
      <c r="AIC48" s="344"/>
      <c r="AID48" s="344"/>
      <c r="AIE48" s="344"/>
      <c r="AIF48" s="344"/>
      <c r="AIG48" s="344"/>
      <c r="AIH48" s="344"/>
      <c r="AII48" s="344"/>
      <c r="AIJ48" s="344"/>
      <c r="AIK48" s="344"/>
      <c r="AIL48" s="344"/>
      <c r="AIM48" s="344"/>
      <c r="AIN48" s="344"/>
      <c r="AIO48" s="344"/>
      <c r="AIP48" s="344"/>
      <c r="AIQ48" s="344"/>
      <c r="AIR48" s="344"/>
      <c r="AIS48" s="344"/>
      <c r="AIT48" s="344"/>
      <c r="AIU48" s="344"/>
      <c r="AIV48" s="344"/>
      <c r="AIW48" s="344"/>
      <c r="AIX48" s="344"/>
      <c r="AIY48" s="344"/>
      <c r="AIZ48" s="344"/>
      <c r="AJA48" s="344"/>
      <c r="AJB48" s="344"/>
      <c r="AJC48" s="344"/>
      <c r="AJD48" s="344"/>
      <c r="AJE48" s="344"/>
      <c r="AJF48" s="344"/>
      <c r="AJG48" s="344"/>
      <c r="AJH48" s="344"/>
      <c r="AJI48" s="344"/>
      <c r="AJJ48" s="344"/>
      <c r="AJK48" s="344"/>
      <c r="AJL48" s="344"/>
      <c r="AJM48" s="344"/>
      <c r="AJN48" s="344"/>
      <c r="AJO48" s="344"/>
      <c r="AJP48" s="344"/>
      <c r="AJQ48" s="344"/>
      <c r="AJR48" s="344"/>
      <c r="AJS48" s="344"/>
      <c r="AJT48" s="344"/>
      <c r="AJU48" s="344"/>
      <c r="AJV48" s="344"/>
      <c r="AJW48" s="344"/>
      <c r="AJX48" s="344"/>
      <c r="AJY48" s="344"/>
      <c r="AJZ48" s="344"/>
      <c r="AKA48" s="344"/>
      <c r="AKB48" s="344"/>
      <c r="AKC48" s="344"/>
      <c r="AKD48" s="344"/>
      <c r="AKE48" s="344"/>
      <c r="AKF48" s="344"/>
      <c r="AKG48" s="344"/>
      <c r="AKH48" s="344"/>
      <c r="AKI48" s="344"/>
      <c r="AKJ48" s="344"/>
      <c r="AKK48" s="344"/>
      <c r="AKL48" s="344"/>
      <c r="AKM48" s="344"/>
      <c r="AKN48" s="344"/>
      <c r="AKO48" s="344"/>
      <c r="AKP48" s="344"/>
      <c r="AKQ48" s="344"/>
      <c r="AKR48" s="344"/>
      <c r="AKS48" s="344"/>
      <c r="AKT48" s="344"/>
      <c r="AKU48" s="344"/>
      <c r="AKV48" s="344"/>
      <c r="AKW48" s="344"/>
      <c r="AKX48" s="344"/>
      <c r="AKY48" s="344"/>
      <c r="AKZ48" s="344"/>
      <c r="ALA48" s="344"/>
      <c r="ALB48" s="344"/>
      <c r="ALC48" s="344"/>
      <c r="ALD48" s="344"/>
      <c r="ALE48" s="344"/>
      <c r="ALF48" s="344"/>
      <c r="ALG48" s="344"/>
      <c r="ALH48" s="344"/>
      <c r="ALI48" s="344"/>
      <c r="ALJ48" s="344"/>
      <c r="ALK48" s="344"/>
      <c r="ALL48" s="344"/>
      <c r="ALM48" s="344"/>
      <c r="ALN48" s="344"/>
      <c r="ALO48" s="344"/>
      <c r="ALP48" s="344"/>
      <c r="ALQ48" s="344"/>
      <c r="ALR48" s="344"/>
      <c r="ALS48" s="344"/>
      <c r="ALT48" s="344"/>
      <c r="ALU48" s="344"/>
      <c r="ALV48" s="344"/>
      <c r="ALW48" s="344"/>
      <c r="ALX48" s="344"/>
      <c r="ALY48" s="344"/>
      <c r="ALZ48" s="344"/>
      <c r="AMA48" s="344"/>
      <c r="AMB48" s="344"/>
      <c r="AMC48" s="344"/>
      <c r="AMD48" s="344"/>
      <c r="AME48" s="344"/>
      <c r="AMF48" s="344"/>
      <c r="AMG48" s="344"/>
      <c r="AMH48" s="344"/>
      <c r="AMI48" s="344"/>
      <c r="AMJ48" s="344"/>
      <c r="AMK48" s="344"/>
      <c r="AML48" s="344"/>
      <c r="AMM48" s="344"/>
      <c r="AMN48" s="344"/>
      <c r="AMO48" s="344"/>
      <c r="AMP48" s="344"/>
      <c r="AMQ48" s="344"/>
      <c r="AMR48" s="344"/>
      <c r="AMS48" s="344"/>
      <c r="AMT48" s="344"/>
      <c r="AMU48" s="344"/>
      <c r="AMV48" s="344"/>
      <c r="AMW48" s="344"/>
      <c r="AMX48" s="344"/>
      <c r="AMY48" s="344"/>
      <c r="AMZ48" s="344"/>
      <c r="ANA48" s="344"/>
      <c r="ANB48" s="344"/>
      <c r="ANC48" s="344"/>
      <c r="AND48" s="344"/>
      <c r="ANE48" s="344"/>
      <c r="ANF48" s="344"/>
      <c r="ANG48" s="344"/>
      <c r="ANH48" s="344"/>
      <c r="ANI48" s="344"/>
      <c r="ANJ48" s="344"/>
      <c r="ANK48" s="344"/>
      <c r="ANL48" s="344"/>
      <c r="ANM48" s="344"/>
      <c r="ANN48" s="344"/>
      <c r="ANO48" s="344"/>
      <c r="ANP48" s="344"/>
      <c r="ANQ48" s="344"/>
      <c r="ANR48" s="344"/>
      <c r="ANS48" s="344"/>
      <c r="ANT48" s="344"/>
      <c r="ANU48" s="344"/>
      <c r="ANV48" s="344"/>
      <c r="ANW48" s="344"/>
      <c r="ANX48" s="344"/>
      <c r="ANY48" s="344"/>
      <c r="ANZ48" s="344"/>
      <c r="AOA48" s="344"/>
      <c r="AOB48" s="344"/>
      <c r="AOC48" s="344"/>
      <c r="AOD48" s="344"/>
      <c r="AOE48" s="344"/>
      <c r="AOF48" s="344"/>
      <c r="AOG48" s="344"/>
      <c r="AOH48" s="344"/>
      <c r="AOI48" s="344"/>
      <c r="AOJ48" s="344"/>
      <c r="AOK48" s="344"/>
      <c r="AOL48" s="344"/>
      <c r="AOM48" s="344"/>
      <c r="AON48" s="344"/>
      <c r="AOO48" s="344"/>
      <c r="AOP48" s="344"/>
      <c r="AOQ48" s="344"/>
      <c r="AOR48" s="344"/>
      <c r="AOS48" s="344"/>
      <c r="AOT48" s="344"/>
      <c r="AOU48" s="344"/>
      <c r="AOV48" s="344"/>
      <c r="AOW48" s="344"/>
      <c r="AOX48" s="344"/>
      <c r="AOY48" s="344"/>
      <c r="AOZ48" s="344"/>
      <c r="APA48" s="344"/>
      <c r="APB48" s="344"/>
      <c r="APC48" s="344"/>
      <c r="APD48" s="344"/>
      <c r="APE48" s="344"/>
      <c r="APF48" s="344"/>
      <c r="APG48" s="344"/>
      <c r="APH48" s="344"/>
      <c r="API48" s="344"/>
      <c r="APJ48" s="344"/>
      <c r="APK48" s="344"/>
      <c r="APL48" s="344"/>
      <c r="APM48" s="344"/>
      <c r="APN48" s="344"/>
      <c r="APO48" s="344"/>
      <c r="APP48" s="344"/>
      <c r="APQ48" s="344"/>
      <c r="APR48" s="344"/>
      <c r="APS48" s="344"/>
      <c r="APT48" s="344"/>
      <c r="APU48" s="344"/>
      <c r="APV48" s="344"/>
      <c r="APW48" s="344"/>
      <c r="APX48" s="344"/>
      <c r="APY48" s="344"/>
      <c r="APZ48" s="344"/>
      <c r="AQA48" s="344"/>
      <c r="AQB48" s="344"/>
      <c r="AQC48" s="344"/>
      <c r="AQD48" s="344"/>
      <c r="AQE48" s="344"/>
      <c r="AQF48" s="344"/>
      <c r="AQG48" s="344"/>
      <c r="AQH48" s="344"/>
      <c r="AQI48" s="344"/>
      <c r="AQJ48" s="344"/>
      <c r="AQK48" s="344"/>
      <c r="AQL48" s="344"/>
      <c r="AQM48" s="344"/>
      <c r="AQN48" s="344"/>
      <c r="AQO48" s="344"/>
      <c r="AQP48" s="344"/>
      <c r="AQQ48" s="344"/>
      <c r="AQR48" s="344"/>
      <c r="AQS48" s="344"/>
      <c r="AQT48" s="344"/>
      <c r="AQU48" s="344"/>
      <c r="AQV48" s="344"/>
      <c r="AQW48" s="344"/>
      <c r="AQX48" s="344"/>
      <c r="AQY48" s="344"/>
      <c r="AQZ48" s="344"/>
      <c r="ARA48" s="344"/>
      <c r="ARB48" s="344"/>
      <c r="ARC48" s="344"/>
      <c r="ARD48" s="344"/>
      <c r="ARE48" s="344"/>
      <c r="ARF48" s="344"/>
      <c r="ARG48" s="344"/>
      <c r="ARH48" s="344"/>
      <c r="ARI48" s="344"/>
      <c r="ARJ48" s="344"/>
      <c r="ARK48" s="344"/>
      <c r="ARL48" s="344"/>
      <c r="ARM48" s="344"/>
      <c r="ARN48" s="344"/>
      <c r="ARO48" s="344"/>
      <c r="ARP48" s="344"/>
      <c r="ARQ48" s="344"/>
      <c r="ARR48" s="344"/>
      <c r="ARS48" s="344"/>
      <c r="ART48" s="344"/>
      <c r="ARU48" s="344"/>
      <c r="ARV48" s="344"/>
      <c r="ARW48" s="344"/>
      <c r="ARX48" s="344"/>
      <c r="ARY48" s="344"/>
      <c r="ARZ48" s="344"/>
      <c r="ASA48" s="344"/>
      <c r="ASB48" s="344"/>
      <c r="ASC48" s="344"/>
      <c r="ASD48" s="344"/>
      <c r="ASE48" s="344"/>
      <c r="ASF48" s="344"/>
      <c r="ASG48" s="344"/>
      <c r="ASH48" s="344"/>
      <c r="ASI48" s="344"/>
      <c r="ASJ48" s="344"/>
      <c r="ASK48" s="344"/>
      <c r="ASL48" s="344"/>
      <c r="ASM48" s="344"/>
      <c r="ASN48" s="344"/>
      <c r="ASO48" s="344"/>
      <c r="ASP48" s="344"/>
      <c r="ASQ48" s="344"/>
      <c r="ASR48" s="344"/>
      <c r="ASS48" s="344"/>
      <c r="AST48" s="344"/>
      <c r="ASU48" s="344"/>
      <c r="ASV48" s="344"/>
      <c r="ASW48" s="344"/>
      <c r="ASX48" s="344"/>
      <c r="ASY48" s="344"/>
      <c r="ASZ48" s="344"/>
      <c r="ATA48" s="344"/>
      <c r="ATB48" s="344"/>
      <c r="ATC48" s="344"/>
      <c r="ATD48" s="344"/>
      <c r="ATE48" s="344"/>
      <c r="ATF48" s="344"/>
      <c r="ATG48" s="344"/>
      <c r="ATH48" s="344"/>
      <c r="ATI48" s="344"/>
      <c r="ATJ48" s="344"/>
      <c r="ATK48" s="344"/>
      <c r="ATL48" s="344"/>
      <c r="ATM48" s="344"/>
      <c r="ATN48" s="344"/>
      <c r="ATO48" s="344"/>
      <c r="ATP48" s="344"/>
      <c r="ATQ48" s="344"/>
      <c r="ATR48" s="344"/>
      <c r="ATS48" s="344"/>
      <c r="ATT48" s="344"/>
      <c r="ATU48" s="344"/>
      <c r="ATV48" s="344"/>
      <c r="ATW48" s="344"/>
      <c r="ATX48" s="344"/>
      <c r="ATY48" s="344"/>
      <c r="ATZ48" s="344"/>
      <c r="AUA48" s="344"/>
      <c r="AUB48" s="344"/>
      <c r="AUC48" s="344"/>
      <c r="AUD48" s="344"/>
      <c r="AUE48" s="344"/>
      <c r="AUF48" s="344"/>
      <c r="AUG48" s="344"/>
      <c r="AUH48" s="344"/>
      <c r="AUI48" s="344"/>
      <c r="AUJ48" s="344"/>
      <c r="AUK48" s="344"/>
      <c r="AUL48" s="344"/>
      <c r="AUM48" s="344"/>
      <c r="AUN48" s="344"/>
      <c r="AUO48" s="344"/>
      <c r="AUP48" s="344"/>
      <c r="AUQ48" s="344"/>
      <c r="AUR48" s="344"/>
      <c r="AUS48" s="344"/>
      <c r="AUT48" s="344"/>
      <c r="AUU48" s="344"/>
      <c r="AUV48" s="344"/>
      <c r="AUW48" s="344"/>
      <c r="AUX48" s="344"/>
      <c r="AUY48" s="344"/>
      <c r="AUZ48" s="344"/>
      <c r="AVA48" s="344"/>
      <c r="AVB48" s="344"/>
      <c r="AVC48" s="344"/>
      <c r="AVD48" s="344"/>
      <c r="AVE48" s="344"/>
      <c r="AVF48" s="344"/>
      <c r="AVG48" s="344"/>
      <c r="AVH48" s="344"/>
      <c r="AVI48" s="344"/>
      <c r="AVJ48" s="344"/>
      <c r="AVK48" s="344"/>
      <c r="AVL48" s="344"/>
      <c r="AVM48" s="344"/>
      <c r="AVN48" s="344"/>
      <c r="AVO48" s="344"/>
      <c r="AVP48" s="344"/>
      <c r="AVQ48" s="344"/>
      <c r="AVR48" s="344"/>
      <c r="AVS48" s="344"/>
      <c r="AVT48" s="344"/>
      <c r="AVU48" s="344"/>
      <c r="AVV48" s="344"/>
      <c r="AVW48" s="344"/>
      <c r="AVX48" s="344"/>
      <c r="AVY48" s="344"/>
      <c r="AVZ48" s="344"/>
      <c r="AWA48" s="344"/>
      <c r="AWB48" s="344"/>
      <c r="AWC48" s="344"/>
      <c r="AWD48" s="344"/>
      <c r="AWE48" s="344"/>
      <c r="AWF48" s="344"/>
      <c r="AWG48" s="344"/>
      <c r="AWH48" s="344"/>
      <c r="AWI48" s="344"/>
      <c r="AWJ48" s="344"/>
      <c r="AWK48" s="344"/>
      <c r="AWL48" s="344"/>
      <c r="AWM48" s="344"/>
      <c r="AWN48" s="344"/>
      <c r="AWO48" s="344"/>
      <c r="AWP48" s="344"/>
      <c r="AWQ48" s="344"/>
      <c r="AWR48" s="344"/>
      <c r="AWS48" s="344"/>
      <c r="AWT48" s="344"/>
      <c r="AWU48" s="344"/>
      <c r="AWV48" s="344"/>
      <c r="AWW48" s="344"/>
      <c r="AWX48" s="344"/>
      <c r="AWY48" s="344"/>
      <c r="AWZ48" s="344"/>
      <c r="AXA48" s="344"/>
      <c r="AXB48" s="344"/>
      <c r="AXC48" s="344"/>
      <c r="AXD48" s="344"/>
      <c r="AXE48" s="344"/>
      <c r="AXF48" s="344"/>
      <c r="AXG48" s="344"/>
      <c r="AXH48" s="344"/>
      <c r="AXI48" s="344"/>
      <c r="AXJ48" s="344"/>
      <c r="AXK48" s="344"/>
      <c r="AXL48" s="344"/>
      <c r="AXM48" s="344"/>
      <c r="AXN48" s="344"/>
      <c r="AXO48" s="344"/>
      <c r="AXP48" s="344"/>
      <c r="AXQ48" s="344"/>
      <c r="AXR48" s="344"/>
      <c r="AXS48" s="344"/>
      <c r="AXT48" s="344"/>
      <c r="AXU48" s="344"/>
      <c r="AXV48" s="344"/>
      <c r="AXW48" s="344"/>
      <c r="AXX48" s="344"/>
      <c r="AXY48" s="344"/>
      <c r="AXZ48" s="344"/>
      <c r="AYA48" s="344"/>
      <c r="AYB48" s="344"/>
      <c r="AYC48" s="344"/>
      <c r="AYD48" s="344"/>
      <c r="AYE48" s="344"/>
      <c r="AYF48" s="344"/>
      <c r="AYG48" s="344"/>
      <c r="AYH48" s="344"/>
      <c r="AYI48" s="344"/>
      <c r="AYJ48" s="344"/>
      <c r="AYK48" s="344"/>
      <c r="AYL48" s="344"/>
      <c r="AYM48" s="344"/>
      <c r="AYN48" s="344"/>
      <c r="AYO48" s="344"/>
      <c r="AYP48" s="344"/>
      <c r="AYQ48" s="344"/>
      <c r="AYR48" s="344"/>
      <c r="AYS48" s="344"/>
      <c r="AYT48" s="344"/>
      <c r="AYU48" s="344"/>
      <c r="AYV48" s="344"/>
      <c r="AYW48" s="344"/>
      <c r="AYX48" s="344"/>
      <c r="AYY48" s="344"/>
      <c r="AYZ48" s="344"/>
      <c r="AZA48" s="344"/>
      <c r="AZB48" s="344"/>
      <c r="AZC48" s="344"/>
      <c r="AZD48" s="344"/>
      <c r="AZE48" s="344"/>
      <c r="AZF48" s="344"/>
      <c r="AZG48" s="344"/>
      <c r="AZH48" s="344"/>
      <c r="AZI48" s="344"/>
      <c r="AZJ48" s="344"/>
      <c r="AZK48" s="344"/>
      <c r="AZL48" s="344"/>
      <c r="AZM48" s="344"/>
      <c r="AZN48" s="344"/>
      <c r="AZO48" s="344"/>
      <c r="AZP48" s="344"/>
      <c r="AZQ48" s="344"/>
      <c r="AZR48" s="344"/>
      <c r="AZS48" s="344"/>
      <c r="AZT48" s="344"/>
      <c r="AZU48" s="344"/>
      <c r="AZV48" s="344"/>
      <c r="AZW48" s="344"/>
      <c r="AZX48" s="344"/>
      <c r="AZY48" s="344"/>
      <c r="AZZ48" s="344"/>
      <c r="BAA48" s="344"/>
      <c r="BAB48" s="344"/>
      <c r="BAC48" s="344"/>
      <c r="BAD48" s="344"/>
      <c r="BAE48" s="344"/>
      <c r="BAF48" s="344"/>
      <c r="BAG48" s="344"/>
      <c r="BAH48" s="344"/>
      <c r="BAI48" s="344"/>
      <c r="BAJ48" s="344"/>
      <c r="BAK48" s="344"/>
      <c r="BAL48" s="344"/>
      <c r="BAM48" s="344"/>
      <c r="BAN48" s="344"/>
      <c r="BAO48" s="344"/>
      <c r="BAP48" s="344"/>
      <c r="BAQ48" s="344"/>
      <c r="BAR48" s="344"/>
      <c r="BAS48" s="344"/>
      <c r="BAT48" s="344"/>
      <c r="BAU48" s="344"/>
      <c r="BAV48" s="344"/>
      <c r="BAW48" s="344"/>
      <c r="BAX48" s="344"/>
      <c r="BAY48" s="344"/>
      <c r="BAZ48" s="344"/>
      <c r="BBA48" s="344"/>
      <c r="BBB48" s="344"/>
      <c r="BBC48" s="344"/>
      <c r="BBD48" s="344"/>
      <c r="BBE48" s="344"/>
      <c r="BBF48" s="344"/>
      <c r="BBG48" s="344"/>
      <c r="BBH48" s="344"/>
      <c r="BBI48" s="344"/>
      <c r="BBJ48" s="344"/>
      <c r="BBK48" s="344"/>
      <c r="BBL48" s="344"/>
      <c r="BBM48" s="344"/>
      <c r="BBN48" s="344"/>
      <c r="BBO48" s="344"/>
      <c r="BBP48" s="344"/>
      <c r="BBQ48" s="344"/>
      <c r="BBR48" s="344"/>
      <c r="BBS48" s="344"/>
      <c r="BBT48" s="344"/>
      <c r="BBU48" s="344"/>
      <c r="BBV48" s="344"/>
      <c r="BBW48" s="344"/>
      <c r="BBX48" s="344"/>
      <c r="BBY48" s="344"/>
      <c r="BBZ48" s="344"/>
      <c r="BCA48" s="344"/>
      <c r="BCB48" s="344"/>
      <c r="BCC48" s="344"/>
      <c r="BCD48" s="344"/>
      <c r="BCE48" s="344"/>
      <c r="BCF48" s="344"/>
      <c r="BCG48" s="344"/>
      <c r="BCH48" s="344"/>
      <c r="BCI48" s="344"/>
      <c r="BCJ48" s="344"/>
      <c r="BCK48" s="344"/>
      <c r="BCL48" s="344"/>
      <c r="BCM48" s="344"/>
      <c r="BCN48" s="344"/>
      <c r="BCO48" s="344"/>
      <c r="BCP48" s="344"/>
      <c r="BCQ48" s="344"/>
      <c r="BCR48" s="344"/>
      <c r="BCS48" s="344"/>
      <c r="BCT48" s="344"/>
      <c r="BCU48" s="344"/>
      <c r="BCV48" s="344"/>
      <c r="BCW48" s="344"/>
      <c r="BCX48" s="344"/>
      <c r="BCY48" s="344"/>
      <c r="BCZ48" s="344"/>
      <c r="BDA48" s="344"/>
      <c r="BDB48" s="344"/>
      <c r="BDC48" s="344"/>
      <c r="BDD48" s="344"/>
      <c r="BDE48" s="344"/>
      <c r="BDF48" s="344"/>
      <c r="BDG48" s="344"/>
      <c r="BDH48" s="344"/>
      <c r="BDI48" s="344"/>
      <c r="BDJ48" s="344"/>
      <c r="BDK48" s="344"/>
      <c r="BDL48" s="344"/>
      <c r="BDM48" s="344"/>
      <c r="BDN48" s="344"/>
      <c r="BDO48" s="344"/>
      <c r="BDP48" s="344"/>
      <c r="BDQ48" s="344"/>
      <c r="BDR48" s="344"/>
      <c r="BDS48" s="344"/>
      <c r="BDT48" s="344"/>
      <c r="BDU48" s="344"/>
      <c r="BDV48" s="344"/>
      <c r="BDW48" s="344"/>
      <c r="BDX48" s="344"/>
      <c r="BDY48" s="344"/>
      <c r="BDZ48" s="344"/>
      <c r="BEA48" s="344"/>
      <c r="BEB48" s="344"/>
      <c r="BEC48" s="344"/>
      <c r="BED48" s="344"/>
      <c r="BEE48" s="344"/>
      <c r="BEF48" s="344"/>
      <c r="BEG48" s="344"/>
      <c r="BEH48" s="344"/>
      <c r="BEI48" s="344"/>
      <c r="BEJ48" s="344"/>
      <c r="BEK48" s="344"/>
      <c r="BEL48" s="344"/>
      <c r="BEM48" s="344"/>
      <c r="BEN48" s="344"/>
      <c r="BEO48" s="344"/>
      <c r="BEP48" s="344"/>
      <c r="BEQ48" s="344"/>
      <c r="BER48" s="344"/>
      <c r="BES48" s="344"/>
      <c r="BET48" s="344"/>
      <c r="BEU48" s="344"/>
      <c r="BEV48" s="344"/>
      <c r="BEW48" s="344"/>
      <c r="BEX48" s="344"/>
      <c r="BEY48" s="344"/>
      <c r="BEZ48" s="344"/>
      <c r="BFA48" s="344"/>
      <c r="BFB48" s="344"/>
      <c r="BFC48" s="344"/>
      <c r="BFD48" s="344"/>
      <c r="BFE48" s="344"/>
      <c r="BFF48" s="344"/>
      <c r="BFG48" s="344"/>
      <c r="BFH48" s="344"/>
      <c r="BFI48" s="344"/>
      <c r="BFJ48" s="344"/>
      <c r="BFK48" s="344"/>
      <c r="BFL48" s="344"/>
      <c r="BFM48" s="344"/>
      <c r="BFN48" s="344"/>
      <c r="BFO48" s="344"/>
      <c r="BFP48" s="344"/>
      <c r="BFQ48" s="344"/>
      <c r="BFR48" s="344"/>
      <c r="BFS48" s="344"/>
      <c r="BFT48" s="344"/>
      <c r="BFU48" s="344"/>
      <c r="BFV48" s="344"/>
      <c r="BFW48" s="344"/>
      <c r="BFX48" s="344"/>
      <c r="BFY48" s="344"/>
      <c r="BFZ48" s="344"/>
      <c r="BGA48" s="344"/>
      <c r="BGB48" s="344"/>
      <c r="BGC48" s="344"/>
      <c r="BGD48" s="344"/>
      <c r="BGE48" s="344"/>
      <c r="BGF48" s="344"/>
      <c r="BGG48" s="344"/>
      <c r="BGH48" s="344"/>
      <c r="BGI48" s="344"/>
      <c r="BGJ48" s="344"/>
      <c r="BGK48" s="344"/>
      <c r="BGL48" s="344"/>
      <c r="BGM48" s="344"/>
      <c r="BGN48" s="344"/>
      <c r="BGO48" s="344"/>
      <c r="BGP48" s="344"/>
      <c r="BGQ48" s="344"/>
      <c r="BGR48" s="344"/>
      <c r="BGS48" s="344"/>
      <c r="BGT48" s="344"/>
      <c r="BGU48" s="344"/>
      <c r="BGV48" s="344"/>
      <c r="BGW48" s="344"/>
      <c r="BGX48" s="344"/>
      <c r="BGY48" s="344"/>
      <c r="BGZ48" s="344"/>
      <c r="BHA48" s="344"/>
      <c r="BHB48" s="344"/>
      <c r="BHC48" s="344"/>
      <c r="BHD48" s="344"/>
      <c r="BHE48" s="344"/>
      <c r="BHF48" s="344"/>
      <c r="BHG48" s="344"/>
      <c r="BHH48" s="344"/>
      <c r="BHI48" s="344"/>
      <c r="BHJ48" s="344"/>
      <c r="BHK48" s="344"/>
      <c r="BHL48" s="344"/>
      <c r="BHM48" s="344"/>
      <c r="BHN48" s="344"/>
      <c r="BHO48" s="344"/>
      <c r="BHP48" s="344"/>
      <c r="BHQ48" s="344"/>
      <c r="BHR48" s="344"/>
      <c r="BHS48" s="344"/>
      <c r="BHT48" s="344"/>
      <c r="BHU48" s="344"/>
      <c r="BHV48" s="344"/>
      <c r="BHW48" s="344"/>
      <c r="BHX48" s="344"/>
      <c r="BHY48" s="344"/>
      <c r="BHZ48" s="344"/>
      <c r="BIA48" s="344"/>
      <c r="BIB48" s="344"/>
      <c r="BIC48" s="344"/>
      <c r="BID48" s="344"/>
      <c r="BIE48" s="344"/>
      <c r="BIF48" s="344"/>
      <c r="BIG48" s="344"/>
      <c r="BIH48" s="344"/>
      <c r="BII48" s="344"/>
      <c r="BIJ48" s="344"/>
      <c r="BIK48" s="344"/>
      <c r="BIL48" s="344"/>
      <c r="BIM48" s="344"/>
      <c r="BIN48" s="344"/>
      <c r="BIO48" s="344"/>
      <c r="BIP48" s="344"/>
      <c r="BIQ48" s="344"/>
      <c r="BIR48" s="344"/>
      <c r="BIS48" s="344"/>
      <c r="BIT48" s="344"/>
      <c r="BIU48" s="344"/>
      <c r="BIV48" s="344"/>
      <c r="BIW48" s="344"/>
      <c r="BIX48" s="344"/>
      <c r="BIY48" s="344"/>
      <c r="BIZ48" s="344"/>
      <c r="BJA48" s="344"/>
      <c r="BJB48" s="344"/>
      <c r="BJC48" s="344"/>
      <c r="BJD48" s="344"/>
      <c r="BJE48" s="344"/>
      <c r="BJF48" s="344"/>
      <c r="BJG48" s="344"/>
      <c r="BJH48" s="344"/>
      <c r="BJI48" s="344"/>
      <c r="BJJ48" s="344"/>
      <c r="BJK48" s="344"/>
      <c r="BJL48" s="344"/>
      <c r="BJM48" s="344"/>
      <c r="BJN48" s="344"/>
      <c r="BJO48" s="344"/>
      <c r="BJP48" s="344"/>
      <c r="BJQ48" s="344"/>
      <c r="BJR48" s="344"/>
      <c r="BJS48" s="344"/>
      <c r="BJT48" s="344"/>
      <c r="BJU48" s="344"/>
      <c r="BJV48" s="344"/>
      <c r="BJW48" s="344"/>
      <c r="BJX48" s="344"/>
      <c r="BJY48" s="344"/>
      <c r="BJZ48" s="344"/>
      <c r="BKA48" s="344"/>
      <c r="BKB48" s="344"/>
      <c r="BKC48" s="344"/>
      <c r="BKD48" s="344"/>
      <c r="BKE48" s="344"/>
      <c r="BKF48" s="344"/>
      <c r="BKG48" s="344"/>
      <c r="BKH48" s="344"/>
      <c r="BKI48" s="344"/>
      <c r="BKJ48" s="344"/>
      <c r="BKK48" s="344"/>
      <c r="BKL48" s="344"/>
      <c r="BKM48" s="344"/>
      <c r="BKN48" s="344"/>
      <c r="BKO48" s="344"/>
      <c r="BKP48" s="344"/>
      <c r="BKQ48" s="344"/>
      <c r="BKR48" s="344"/>
      <c r="BKS48" s="344"/>
      <c r="BKT48" s="344"/>
      <c r="BKU48" s="344"/>
      <c r="BKV48" s="344"/>
      <c r="BKW48" s="344"/>
      <c r="BKX48" s="344"/>
      <c r="BKY48" s="344"/>
      <c r="BKZ48" s="344"/>
      <c r="BLA48" s="344"/>
      <c r="BLB48" s="344"/>
      <c r="BLC48" s="344"/>
      <c r="BLD48" s="344"/>
      <c r="BLE48" s="344"/>
      <c r="BLF48" s="344"/>
      <c r="BLG48" s="344"/>
      <c r="BLH48" s="344"/>
      <c r="BLI48" s="344"/>
      <c r="BLJ48" s="344"/>
      <c r="BLK48" s="344"/>
      <c r="BLL48" s="344"/>
      <c r="BLM48" s="344"/>
      <c r="BLN48" s="344"/>
      <c r="BLO48" s="344"/>
      <c r="BLP48" s="344"/>
      <c r="BLQ48" s="344"/>
      <c r="BLR48" s="344"/>
      <c r="BLS48" s="344"/>
      <c r="BLT48" s="344"/>
      <c r="BLU48" s="344"/>
      <c r="BLV48" s="344"/>
      <c r="BLW48" s="344"/>
      <c r="BLX48" s="344"/>
      <c r="BLY48" s="344"/>
      <c r="BLZ48" s="344"/>
      <c r="BMA48" s="344"/>
      <c r="BMB48" s="344"/>
      <c r="BMC48" s="344"/>
      <c r="BMD48" s="344"/>
      <c r="BME48" s="344"/>
      <c r="BMF48" s="344"/>
      <c r="BMG48" s="344"/>
      <c r="BMH48" s="344"/>
      <c r="BMI48" s="344"/>
      <c r="BMJ48" s="344"/>
      <c r="BMK48" s="344"/>
      <c r="BML48" s="344"/>
      <c r="BMM48" s="344"/>
      <c r="BMN48" s="344"/>
      <c r="BMO48" s="344"/>
      <c r="BMP48" s="344"/>
      <c r="BMQ48" s="344"/>
      <c r="BMR48" s="344"/>
      <c r="BMS48" s="344"/>
      <c r="BMT48" s="344"/>
      <c r="BMU48" s="344"/>
      <c r="BMV48" s="344"/>
      <c r="BMW48" s="344"/>
      <c r="BMX48" s="344"/>
      <c r="BMY48" s="344"/>
      <c r="BMZ48" s="344"/>
      <c r="BNA48" s="344"/>
      <c r="BNB48" s="344"/>
      <c r="BNC48" s="344"/>
      <c r="BND48" s="344"/>
      <c r="BNE48" s="344"/>
      <c r="BNF48" s="344"/>
      <c r="BNG48" s="344"/>
      <c r="BNH48" s="344"/>
      <c r="BNI48" s="344"/>
      <c r="BNJ48" s="344"/>
      <c r="BNK48" s="344"/>
      <c r="BNL48" s="344"/>
      <c r="BNM48" s="344"/>
      <c r="BNN48" s="344"/>
      <c r="BNO48" s="344"/>
      <c r="BNP48" s="344"/>
      <c r="BNQ48" s="344"/>
      <c r="BNR48" s="344"/>
      <c r="BNS48" s="344"/>
      <c r="BNT48" s="344"/>
      <c r="BNU48" s="344"/>
      <c r="BNV48" s="344"/>
      <c r="BNW48" s="344"/>
      <c r="BNX48" s="344"/>
      <c r="BNY48" s="344"/>
      <c r="BNZ48" s="344"/>
      <c r="BOA48" s="344"/>
      <c r="BOB48" s="344"/>
      <c r="BOC48" s="344"/>
      <c r="BOD48" s="344"/>
      <c r="BOE48" s="344"/>
      <c r="BOF48" s="344"/>
      <c r="BOG48" s="344"/>
      <c r="BOH48" s="344"/>
      <c r="BOI48" s="344"/>
      <c r="BOJ48" s="344"/>
      <c r="BOK48" s="344"/>
      <c r="BOL48" s="344"/>
      <c r="BOM48" s="344"/>
      <c r="BON48" s="344"/>
      <c r="BOO48" s="344"/>
      <c r="BOP48" s="344"/>
      <c r="BOQ48" s="344"/>
      <c r="BOR48" s="344"/>
      <c r="BOS48" s="344"/>
      <c r="BOT48" s="344"/>
      <c r="BOU48" s="344"/>
      <c r="BOV48" s="344"/>
      <c r="BOW48" s="344"/>
      <c r="BOX48" s="344"/>
      <c r="BOY48" s="344"/>
      <c r="BOZ48" s="344"/>
      <c r="BPA48" s="344"/>
      <c r="BPB48" s="344"/>
      <c r="BPC48" s="344"/>
      <c r="BPD48" s="344"/>
      <c r="BPE48" s="344"/>
      <c r="BPF48" s="344"/>
      <c r="BPG48" s="344"/>
      <c r="BPH48" s="344"/>
      <c r="BPI48" s="344"/>
      <c r="BPJ48" s="344"/>
      <c r="BPK48" s="344"/>
      <c r="BPL48" s="344"/>
      <c r="BPM48" s="344"/>
      <c r="BPN48" s="344"/>
      <c r="BPO48" s="344"/>
      <c r="BPP48" s="344"/>
      <c r="BPQ48" s="344"/>
      <c r="BPR48" s="344"/>
      <c r="BPS48" s="344"/>
      <c r="BPT48" s="344"/>
      <c r="BPU48" s="344"/>
      <c r="BPV48" s="344"/>
      <c r="BPW48" s="344"/>
      <c r="BPX48" s="344"/>
      <c r="BPY48" s="344"/>
      <c r="BPZ48" s="344"/>
      <c r="BQA48" s="344"/>
      <c r="BQB48" s="344"/>
      <c r="BQC48" s="344"/>
      <c r="BQD48" s="344"/>
      <c r="BQE48" s="344"/>
      <c r="BQF48" s="344"/>
      <c r="BQG48" s="344"/>
      <c r="BQH48" s="344"/>
      <c r="BQI48" s="344"/>
      <c r="BQJ48" s="344"/>
      <c r="BQK48" s="344"/>
      <c r="BQL48" s="344"/>
      <c r="BQM48" s="344"/>
      <c r="BQN48" s="344"/>
      <c r="BQO48" s="344"/>
      <c r="BQP48" s="344"/>
      <c r="BQQ48" s="344"/>
      <c r="BQR48" s="344"/>
      <c r="BQS48" s="344"/>
      <c r="BQT48" s="344"/>
      <c r="BQU48" s="344"/>
      <c r="BQV48" s="344"/>
      <c r="BQW48" s="344"/>
      <c r="BQX48" s="344"/>
      <c r="BQY48" s="344"/>
      <c r="BQZ48" s="344"/>
      <c r="BRA48" s="344"/>
      <c r="BRB48" s="344"/>
      <c r="BRC48" s="344"/>
      <c r="BRD48" s="344"/>
      <c r="BRE48" s="344"/>
      <c r="BRF48" s="344"/>
      <c r="BRG48" s="344"/>
      <c r="BRH48" s="344"/>
      <c r="BRI48" s="344"/>
      <c r="BRJ48" s="344"/>
      <c r="BRK48" s="344"/>
      <c r="BRL48" s="344"/>
      <c r="BRM48" s="344"/>
      <c r="BRN48" s="344"/>
      <c r="BRO48" s="344"/>
      <c r="BRP48" s="344"/>
      <c r="BRQ48" s="344"/>
      <c r="BRR48" s="344"/>
      <c r="BRS48" s="344"/>
      <c r="BRT48" s="344"/>
      <c r="BRU48" s="344"/>
      <c r="BRV48" s="344"/>
      <c r="BRW48" s="344"/>
      <c r="BRX48" s="344"/>
      <c r="BRY48" s="344"/>
      <c r="BRZ48" s="344"/>
      <c r="BSA48" s="344"/>
      <c r="BSB48" s="344"/>
      <c r="BSC48" s="344"/>
      <c r="BSD48" s="344"/>
      <c r="BSE48" s="344"/>
      <c r="BSF48" s="344"/>
      <c r="BSG48" s="344"/>
      <c r="BSH48" s="344"/>
      <c r="BSI48" s="344"/>
      <c r="BSJ48" s="344"/>
      <c r="BSK48" s="344"/>
      <c r="BSL48" s="344"/>
      <c r="BSM48" s="344"/>
      <c r="BSN48" s="344"/>
      <c r="BSO48" s="344"/>
      <c r="BSP48" s="344"/>
      <c r="BSQ48" s="344"/>
      <c r="BSR48" s="344"/>
      <c r="BSS48" s="344"/>
      <c r="BST48" s="344"/>
      <c r="BSU48" s="344"/>
      <c r="BSV48" s="344"/>
      <c r="BSW48" s="344"/>
      <c r="BSX48" s="344"/>
      <c r="BSY48" s="344"/>
      <c r="BSZ48" s="344"/>
      <c r="BTA48" s="344"/>
      <c r="BTB48" s="344"/>
      <c r="BTC48" s="344"/>
      <c r="BTD48" s="344"/>
      <c r="BTE48" s="344"/>
      <c r="BTF48" s="344"/>
      <c r="BTG48" s="344"/>
      <c r="BTH48" s="344"/>
      <c r="BTI48" s="344"/>
      <c r="BTJ48" s="344"/>
      <c r="BTK48" s="344"/>
      <c r="BTL48" s="344"/>
      <c r="BTM48" s="344"/>
      <c r="BTN48" s="344"/>
      <c r="BTO48" s="344"/>
      <c r="BTP48" s="344"/>
      <c r="BTQ48" s="344"/>
      <c r="BTR48" s="344"/>
      <c r="BTS48" s="344"/>
      <c r="BTT48" s="344"/>
      <c r="BTU48" s="344"/>
      <c r="BTV48" s="344"/>
      <c r="BTW48" s="344"/>
      <c r="BTX48" s="344"/>
      <c r="BTY48" s="344"/>
      <c r="BTZ48" s="344"/>
      <c r="BUA48" s="344"/>
      <c r="BUB48" s="344"/>
      <c r="BUC48" s="344"/>
      <c r="BUD48" s="344"/>
      <c r="BUE48" s="344"/>
      <c r="BUF48" s="344"/>
      <c r="BUG48" s="344"/>
      <c r="BUH48" s="344"/>
      <c r="BUI48" s="344"/>
      <c r="BUJ48" s="344"/>
      <c r="BUK48" s="344"/>
      <c r="BUL48" s="344"/>
      <c r="BUM48" s="344"/>
      <c r="BUN48" s="344"/>
      <c r="BUO48" s="344"/>
      <c r="BUP48" s="344"/>
      <c r="BUQ48" s="344"/>
      <c r="BUR48" s="344"/>
      <c r="BUS48" s="344"/>
      <c r="BUT48" s="344"/>
      <c r="BUU48" s="344"/>
      <c r="BUV48" s="344"/>
      <c r="BUW48" s="344"/>
      <c r="BUX48" s="344"/>
      <c r="BUY48" s="344"/>
      <c r="BUZ48" s="344"/>
      <c r="BVA48" s="344"/>
      <c r="BVB48" s="344"/>
      <c r="BVC48" s="344"/>
      <c r="BVD48" s="344"/>
      <c r="BVE48" s="344"/>
      <c r="BVF48" s="344"/>
      <c r="BVG48" s="344"/>
      <c r="BVH48" s="344"/>
      <c r="BVI48" s="344"/>
      <c r="BVJ48" s="344"/>
      <c r="BVK48" s="344"/>
      <c r="BVL48" s="344"/>
      <c r="BVM48" s="344"/>
      <c r="BVN48" s="344"/>
      <c r="BVO48" s="344"/>
      <c r="BVP48" s="344"/>
      <c r="BVQ48" s="344"/>
      <c r="BVR48" s="344"/>
      <c r="BVS48" s="344"/>
      <c r="BVT48" s="344"/>
      <c r="BVU48" s="344"/>
      <c r="BVV48" s="344"/>
      <c r="BVW48" s="344"/>
      <c r="BVX48" s="344"/>
      <c r="BVY48" s="344"/>
      <c r="BVZ48" s="344"/>
      <c r="BWA48" s="344"/>
      <c r="BWB48" s="344"/>
      <c r="BWC48" s="344"/>
      <c r="BWD48" s="344"/>
      <c r="BWE48" s="344"/>
      <c r="BWF48" s="344"/>
      <c r="BWG48" s="344"/>
      <c r="BWH48" s="344"/>
      <c r="BWI48" s="344"/>
      <c r="BWJ48" s="344"/>
      <c r="BWK48" s="344"/>
      <c r="BWL48" s="344"/>
      <c r="BWM48" s="344"/>
      <c r="BWN48" s="344"/>
      <c r="BWO48" s="344"/>
      <c r="BWP48" s="344"/>
      <c r="BWQ48" s="344"/>
      <c r="BWR48" s="344"/>
      <c r="BWS48" s="344"/>
      <c r="BWT48" s="344"/>
      <c r="BWU48" s="344"/>
      <c r="BWV48" s="344"/>
      <c r="BWW48" s="344"/>
      <c r="BWX48" s="344"/>
      <c r="BWY48" s="344"/>
      <c r="BWZ48" s="344"/>
      <c r="BXA48" s="344"/>
      <c r="BXB48" s="344"/>
      <c r="BXC48" s="344"/>
      <c r="BXD48" s="344"/>
      <c r="BXE48" s="344"/>
      <c r="BXF48" s="344"/>
      <c r="BXG48" s="344"/>
      <c r="BXH48" s="344"/>
      <c r="BXI48" s="344"/>
      <c r="BXJ48" s="344"/>
      <c r="BXK48" s="344"/>
      <c r="BXL48" s="344"/>
      <c r="BXM48" s="344"/>
      <c r="BXN48" s="344"/>
      <c r="BXO48" s="344"/>
      <c r="BXP48" s="344"/>
      <c r="BXQ48" s="344"/>
      <c r="BXR48" s="344"/>
      <c r="BXS48" s="344"/>
      <c r="BXT48" s="344"/>
      <c r="BXU48" s="344"/>
      <c r="BXV48" s="344"/>
      <c r="BXW48" s="344"/>
      <c r="BXX48" s="344"/>
      <c r="BXY48" s="344"/>
      <c r="BXZ48" s="344"/>
      <c r="BYA48" s="344"/>
      <c r="BYB48" s="344"/>
      <c r="BYC48" s="344"/>
      <c r="BYD48" s="344"/>
      <c r="BYE48" s="344"/>
      <c r="BYF48" s="344"/>
      <c r="BYG48" s="344"/>
      <c r="BYH48" s="344"/>
      <c r="BYI48" s="344"/>
      <c r="BYJ48" s="344"/>
      <c r="BYK48" s="344"/>
      <c r="BYL48" s="344"/>
      <c r="BYM48" s="344"/>
      <c r="BYN48" s="344"/>
      <c r="BYO48" s="344"/>
      <c r="BYP48" s="344"/>
      <c r="BYQ48" s="344"/>
      <c r="BYR48" s="344"/>
      <c r="BYS48" s="344"/>
      <c r="BYT48" s="344"/>
      <c r="BYU48" s="344"/>
      <c r="BYV48" s="344"/>
      <c r="BYW48" s="344"/>
      <c r="BYX48" s="344"/>
      <c r="BYY48" s="344"/>
      <c r="BYZ48" s="344"/>
      <c r="BZA48" s="344"/>
      <c r="BZB48" s="344"/>
      <c r="BZC48" s="344"/>
      <c r="BZD48" s="344"/>
      <c r="BZE48" s="344"/>
      <c r="BZF48" s="344"/>
      <c r="BZG48" s="344"/>
      <c r="BZH48" s="344"/>
      <c r="BZI48" s="344"/>
      <c r="BZJ48" s="344"/>
      <c r="BZK48" s="344"/>
      <c r="BZL48" s="344"/>
      <c r="BZM48" s="344"/>
      <c r="BZN48" s="344"/>
      <c r="BZO48" s="344"/>
      <c r="BZP48" s="344"/>
      <c r="BZQ48" s="344"/>
      <c r="BZR48" s="344"/>
      <c r="BZS48" s="344"/>
      <c r="BZT48" s="344"/>
      <c r="BZU48" s="344"/>
      <c r="BZV48" s="344"/>
      <c r="BZW48" s="344"/>
      <c r="BZX48" s="344"/>
      <c r="BZY48" s="344"/>
      <c r="BZZ48" s="344"/>
      <c r="CAA48" s="344"/>
      <c r="CAB48" s="344"/>
      <c r="CAC48" s="344"/>
      <c r="CAD48" s="344"/>
      <c r="CAE48" s="344"/>
      <c r="CAF48" s="344"/>
      <c r="CAG48" s="344"/>
      <c r="CAH48" s="344"/>
      <c r="CAI48" s="344"/>
      <c r="CAJ48" s="344"/>
      <c r="CAK48" s="344"/>
      <c r="CAL48" s="344"/>
      <c r="CAM48" s="344"/>
      <c r="CAN48" s="344"/>
      <c r="CAO48" s="344"/>
      <c r="CAP48" s="344"/>
      <c r="CAQ48" s="344"/>
      <c r="CAR48" s="344"/>
      <c r="CAS48" s="344"/>
      <c r="CAT48" s="344"/>
      <c r="CAU48" s="344"/>
      <c r="CAV48" s="344"/>
      <c r="CAW48" s="344"/>
      <c r="CAX48" s="344"/>
      <c r="CAY48" s="344"/>
      <c r="CAZ48" s="344"/>
      <c r="CBA48" s="344"/>
      <c r="CBB48" s="344"/>
      <c r="CBC48" s="344"/>
      <c r="CBD48" s="344"/>
      <c r="CBE48" s="344"/>
      <c r="CBF48" s="344"/>
      <c r="CBG48" s="344"/>
      <c r="CBH48" s="344"/>
      <c r="CBI48" s="344"/>
      <c r="CBJ48" s="344"/>
      <c r="CBK48" s="344"/>
      <c r="CBL48" s="344"/>
      <c r="CBM48" s="344"/>
      <c r="CBN48" s="344"/>
      <c r="CBO48" s="344"/>
      <c r="CBP48" s="344"/>
      <c r="CBQ48" s="344"/>
      <c r="CBR48" s="344"/>
      <c r="CBS48" s="344"/>
      <c r="CBT48" s="344"/>
      <c r="CBU48" s="344"/>
      <c r="CBV48" s="344"/>
      <c r="CBW48" s="344"/>
      <c r="CBX48" s="344"/>
      <c r="CBY48" s="344"/>
      <c r="CBZ48" s="344"/>
      <c r="CCA48" s="344"/>
      <c r="CCB48" s="344"/>
      <c r="CCC48" s="344"/>
      <c r="CCD48" s="344"/>
      <c r="CCE48" s="344"/>
      <c r="CCF48" s="344"/>
      <c r="CCG48" s="344"/>
      <c r="CCH48" s="344"/>
      <c r="CCI48" s="344"/>
      <c r="CCJ48" s="344"/>
      <c r="CCK48" s="344"/>
      <c r="CCL48" s="344"/>
      <c r="CCM48" s="344"/>
      <c r="CCN48" s="344"/>
      <c r="CCO48" s="344"/>
      <c r="CCP48" s="344"/>
      <c r="CCQ48" s="344"/>
      <c r="CCR48" s="344"/>
      <c r="CCS48" s="344"/>
      <c r="CCT48" s="344"/>
      <c r="CCU48" s="344"/>
      <c r="CCV48" s="344"/>
      <c r="CCW48" s="344"/>
      <c r="CCX48" s="344"/>
      <c r="CCY48" s="344"/>
      <c r="CCZ48" s="344"/>
      <c r="CDA48" s="344"/>
      <c r="CDB48" s="344"/>
      <c r="CDC48" s="344"/>
      <c r="CDD48" s="344"/>
      <c r="CDE48" s="344"/>
      <c r="CDF48" s="344"/>
      <c r="CDG48" s="344"/>
      <c r="CDH48" s="344"/>
      <c r="CDI48" s="344"/>
      <c r="CDJ48" s="344"/>
      <c r="CDK48" s="344"/>
      <c r="CDL48" s="344"/>
      <c r="CDM48" s="344"/>
      <c r="CDN48" s="344"/>
      <c r="CDO48" s="344"/>
      <c r="CDP48" s="344"/>
      <c r="CDQ48" s="344"/>
      <c r="CDR48" s="344"/>
      <c r="CDS48" s="344"/>
      <c r="CDT48" s="344"/>
      <c r="CDU48" s="344"/>
      <c r="CDV48" s="344"/>
      <c r="CDW48" s="344"/>
      <c r="CDX48" s="344"/>
      <c r="CDY48" s="344"/>
      <c r="CDZ48" s="344"/>
      <c r="CEA48" s="344"/>
      <c r="CEB48" s="344"/>
      <c r="CEC48" s="344"/>
      <c r="CED48" s="344"/>
      <c r="CEE48" s="344"/>
      <c r="CEF48" s="344"/>
      <c r="CEG48" s="344"/>
      <c r="CEH48" s="344"/>
      <c r="CEI48" s="344"/>
      <c r="CEJ48" s="344"/>
      <c r="CEK48" s="344"/>
      <c r="CEL48" s="344"/>
      <c r="CEM48" s="344"/>
      <c r="CEN48" s="344"/>
      <c r="CEO48" s="344"/>
      <c r="CEP48" s="344"/>
      <c r="CEQ48" s="344"/>
      <c r="CER48" s="344"/>
      <c r="CES48" s="344"/>
      <c r="CET48" s="344"/>
      <c r="CEU48" s="344"/>
      <c r="CEV48" s="344"/>
      <c r="CEW48" s="344"/>
      <c r="CEX48" s="344"/>
      <c r="CEY48" s="344"/>
      <c r="CEZ48" s="344"/>
      <c r="CFA48" s="344"/>
      <c r="CFB48" s="344"/>
      <c r="CFC48" s="344"/>
      <c r="CFD48" s="344"/>
      <c r="CFE48" s="344"/>
      <c r="CFF48" s="344"/>
      <c r="CFG48" s="344"/>
      <c r="CFH48" s="344"/>
      <c r="CFI48" s="344"/>
      <c r="CFJ48" s="344"/>
      <c r="CFK48" s="344"/>
      <c r="CFL48" s="344"/>
      <c r="CFM48" s="344"/>
      <c r="CFN48" s="344"/>
      <c r="CFO48" s="344"/>
      <c r="CFP48" s="344"/>
      <c r="CFQ48" s="344"/>
      <c r="CFR48" s="344"/>
      <c r="CFS48" s="344"/>
      <c r="CFT48" s="344"/>
      <c r="CFU48" s="344"/>
      <c r="CFV48" s="344"/>
      <c r="CFW48" s="344"/>
      <c r="CFX48" s="344"/>
      <c r="CFY48" s="344"/>
      <c r="CFZ48" s="344"/>
      <c r="CGA48" s="344"/>
      <c r="CGB48" s="344"/>
      <c r="CGC48" s="344"/>
      <c r="CGD48" s="344"/>
      <c r="CGE48" s="344"/>
      <c r="CGF48" s="344"/>
      <c r="CGG48" s="344"/>
      <c r="CGH48" s="344"/>
      <c r="CGI48" s="344"/>
      <c r="CGJ48" s="344"/>
      <c r="CGK48" s="344"/>
      <c r="CGL48" s="344"/>
      <c r="CGM48" s="344"/>
      <c r="CGN48" s="344"/>
      <c r="CGO48" s="344"/>
      <c r="CGP48" s="344"/>
      <c r="CGQ48" s="344"/>
      <c r="CGR48" s="344"/>
      <c r="CGS48" s="344"/>
      <c r="CGT48" s="344"/>
      <c r="CGU48" s="344"/>
      <c r="CGV48" s="344"/>
      <c r="CGW48" s="344"/>
      <c r="CGX48" s="344"/>
      <c r="CGY48" s="344"/>
      <c r="CGZ48" s="344"/>
      <c r="CHA48" s="344"/>
      <c r="CHB48" s="344"/>
      <c r="CHC48" s="344"/>
      <c r="CHD48" s="344"/>
      <c r="CHE48" s="344"/>
      <c r="CHF48" s="344"/>
      <c r="CHG48" s="344"/>
      <c r="CHH48" s="344"/>
      <c r="CHI48" s="344"/>
      <c r="CHJ48" s="344"/>
      <c r="CHK48" s="344"/>
      <c r="CHL48" s="344"/>
      <c r="CHM48" s="344"/>
      <c r="CHN48" s="344"/>
      <c r="CHO48" s="344"/>
      <c r="CHP48" s="344"/>
      <c r="CHQ48" s="344"/>
      <c r="CHR48" s="344"/>
      <c r="CHS48" s="344"/>
      <c r="CHT48" s="344"/>
      <c r="CHU48" s="344"/>
      <c r="CHV48" s="344"/>
      <c r="CHW48" s="344"/>
      <c r="CHX48" s="344"/>
      <c r="CHY48" s="344"/>
      <c r="CHZ48" s="344"/>
      <c r="CIA48" s="344"/>
      <c r="CIB48" s="344"/>
      <c r="CIC48" s="344"/>
      <c r="CID48" s="344"/>
      <c r="CIE48" s="344"/>
      <c r="CIF48" s="344"/>
      <c r="CIG48" s="344"/>
      <c r="CIH48" s="344"/>
      <c r="CII48" s="344"/>
      <c r="CIJ48" s="344"/>
      <c r="CIK48" s="344"/>
      <c r="CIL48" s="344"/>
      <c r="CIM48" s="344"/>
      <c r="CIN48" s="344"/>
      <c r="CIO48" s="344"/>
      <c r="CIP48" s="344"/>
      <c r="CIQ48" s="344"/>
      <c r="CIR48" s="344"/>
      <c r="CIS48" s="344"/>
      <c r="CIT48" s="344"/>
      <c r="CIU48" s="344"/>
      <c r="CIV48" s="344"/>
      <c r="CIW48" s="344"/>
      <c r="CIX48" s="344"/>
      <c r="CIY48" s="344"/>
      <c r="CIZ48" s="344"/>
      <c r="CJA48" s="344"/>
      <c r="CJB48" s="344"/>
      <c r="CJC48" s="344"/>
      <c r="CJD48" s="344"/>
      <c r="CJE48" s="344"/>
      <c r="CJF48" s="344"/>
      <c r="CJG48" s="344"/>
      <c r="CJH48" s="344"/>
      <c r="CJI48" s="344"/>
      <c r="CJJ48" s="344"/>
      <c r="CJK48" s="344"/>
      <c r="CJL48" s="344"/>
      <c r="CJM48" s="344"/>
      <c r="CJN48" s="344"/>
      <c r="CJO48" s="344"/>
      <c r="CJP48" s="344"/>
      <c r="CJQ48" s="344"/>
      <c r="CJR48" s="344"/>
      <c r="CJS48" s="344"/>
      <c r="CJT48" s="344"/>
      <c r="CJU48" s="344"/>
      <c r="CJV48" s="344"/>
      <c r="CJW48" s="344"/>
      <c r="CJX48" s="344"/>
      <c r="CJY48" s="344"/>
      <c r="CJZ48" s="344"/>
      <c r="CKA48" s="344"/>
      <c r="CKB48" s="344"/>
      <c r="CKC48" s="344"/>
      <c r="CKD48" s="344"/>
      <c r="CKE48" s="344"/>
      <c r="CKF48" s="344"/>
      <c r="CKG48" s="344"/>
      <c r="CKH48" s="344"/>
      <c r="CKI48" s="344"/>
      <c r="CKJ48" s="344"/>
      <c r="CKK48" s="344"/>
      <c r="CKL48" s="344"/>
      <c r="CKM48" s="344"/>
      <c r="CKN48" s="344"/>
      <c r="CKO48" s="344"/>
      <c r="CKP48" s="344"/>
      <c r="CKQ48" s="344"/>
      <c r="CKR48" s="344"/>
      <c r="CKS48" s="344"/>
      <c r="CKT48" s="344"/>
      <c r="CKU48" s="344"/>
      <c r="CKV48" s="344"/>
      <c r="CKW48" s="344"/>
      <c r="CKX48" s="344"/>
      <c r="CKY48" s="344"/>
      <c r="CKZ48" s="344"/>
      <c r="CLA48" s="344"/>
      <c r="CLB48" s="344"/>
      <c r="CLC48" s="344"/>
      <c r="CLD48" s="344"/>
      <c r="CLE48" s="344"/>
      <c r="CLF48" s="344"/>
      <c r="CLG48" s="344"/>
      <c r="CLH48" s="344"/>
      <c r="CLI48" s="344"/>
      <c r="CLJ48" s="344"/>
      <c r="CLK48" s="344"/>
      <c r="CLL48" s="344"/>
      <c r="CLM48" s="344"/>
      <c r="CLN48" s="344"/>
      <c r="CLO48" s="344"/>
      <c r="CLP48" s="344"/>
      <c r="CLQ48" s="344"/>
      <c r="CLR48" s="344"/>
      <c r="CLS48" s="344"/>
      <c r="CLT48" s="344"/>
      <c r="CLU48" s="344"/>
      <c r="CLV48" s="344"/>
      <c r="CLW48" s="344"/>
      <c r="CLX48" s="344"/>
      <c r="CLY48" s="344"/>
      <c r="CLZ48" s="344"/>
      <c r="CMA48" s="344"/>
      <c r="CMB48" s="344"/>
      <c r="CMC48" s="344"/>
      <c r="CMD48" s="344"/>
      <c r="CME48" s="344"/>
      <c r="CMF48" s="344"/>
      <c r="CMG48" s="344"/>
      <c r="CMH48" s="344"/>
      <c r="CMI48" s="344"/>
      <c r="CMJ48" s="344"/>
      <c r="CMK48" s="344"/>
      <c r="CML48" s="344"/>
      <c r="CMM48" s="344"/>
      <c r="CMN48" s="344"/>
      <c r="CMO48" s="344"/>
      <c r="CMP48" s="344"/>
      <c r="CMQ48" s="344"/>
      <c r="CMR48" s="344"/>
      <c r="CMS48" s="344"/>
      <c r="CMT48" s="344"/>
      <c r="CMU48" s="344"/>
      <c r="CMV48" s="344"/>
      <c r="CMW48" s="344"/>
      <c r="CMX48" s="344"/>
      <c r="CMY48" s="344"/>
      <c r="CMZ48" s="344"/>
      <c r="CNA48" s="344"/>
      <c r="CNB48" s="344"/>
      <c r="CNC48" s="344"/>
      <c r="CND48" s="344"/>
      <c r="CNE48" s="344"/>
      <c r="CNF48" s="344"/>
      <c r="CNG48" s="344"/>
      <c r="CNH48" s="344"/>
      <c r="CNI48" s="344"/>
      <c r="CNJ48" s="344"/>
      <c r="CNK48" s="344"/>
      <c r="CNL48" s="344"/>
      <c r="CNM48" s="344"/>
      <c r="CNN48" s="344"/>
      <c r="CNO48" s="344"/>
      <c r="CNP48" s="344"/>
      <c r="CNQ48" s="344"/>
      <c r="CNR48" s="344"/>
      <c r="CNS48" s="344"/>
      <c r="CNT48" s="344"/>
      <c r="CNU48" s="344"/>
      <c r="CNV48" s="344"/>
      <c r="CNW48" s="344"/>
      <c r="CNX48" s="344"/>
      <c r="CNY48" s="344"/>
      <c r="CNZ48" s="344"/>
      <c r="COA48" s="344"/>
      <c r="COB48" s="344"/>
      <c r="COC48" s="344"/>
      <c r="COD48" s="344"/>
      <c r="COE48" s="344"/>
      <c r="COF48" s="344"/>
      <c r="COG48" s="344"/>
      <c r="COH48" s="344"/>
      <c r="COI48" s="344"/>
      <c r="COJ48" s="344"/>
      <c r="COK48" s="344"/>
      <c r="COL48" s="344"/>
      <c r="COM48" s="344"/>
      <c r="CON48" s="344"/>
      <c r="COO48" s="344"/>
      <c r="COP48" s="344"/>
      <c r="COQ48" s="344"/>
      <c r="COR48" s="344"/>
      <c r="COS48" s="344"/>
      <c r="COT48" s="344"/>
      <c r="COU48" s="344"/>
      <c r="COV48" s="344"/>
      <c r="COW48" s="344"/>
      <c r="COX48" s="344"/>
      <c r="COY48" s="344"/>
      <c r="COZ48" s="344"/>
      <c r="CPA48" s="344"/>
      <c r="CPB48" s="344"/>
      <c r="CPC48" s="344"/>
      <c r="CPD48" s="344"/>
      <c r="CPE48" s="344"/>
      <c r="CPF48" s="344"/>
      <c r="CPG48" s="344"/>
      <c r="CPH48" s="344"/>
      <c r="CPI48" s="344"/>
      <c r="CPJ48" s="344"/>
      <c r="CPK48" s="344"/>
      <c r="CPL48" s="344"/>
      <c r="CPM48" s="344"/>
      <c r="CPN48" s="344"/>
      <c r="CPO48" s="344"/>
      <c r="CPP48" s="344"/>
      <c r="CPQ48" s="344"/>
      <c r="CPR48" s="344"/>
      <c r="CPS48" s="344"/>
      <c r="CPT48" s="344"/>
      <c r="CPU48" s="344"/>
      <c r="CPV48" s="344"/>
      <c r="CPW48" s="344"/>
      <c r="CPX48" s="344"/>
      <c r="CPY48" s="344"/>
      <c r="CPZ48" s="344"/>
      <c r="CQA48" s="344"/>
      <c r="CQB48" s="344"/>
      <c r="CQC48" s="344"/>
      <c r="CQD48" s="344"/>
      <c r="CQE48" s="344"/>
      <c r="CQF48" s="344"/>
      <c r="CQG48" s="344"/>
      <c r="CQH48" s="344"/>
      <c r="CQI48" s="344"/>
      <c r="CQJ48" s="344"/>
      <c r="CQK48" s="344"/>
      <c r="CQL48" s="344"/>
      <c r="CQM48" s="344"/>
      <c r="CQN48" s="344"/>
      <c r="CQO48" s="344"/>
      <c r="CQP48" s="344"/>
      <c r="CQQ48" s="344"/>
      <c r="CQR48" s="344"/>
      <c r="CQS48" s="344"/>
      <c r="CQT48" s="344"/>
      <c r="CQU48" s="344"/>
      <c r="CQV48" s="344"/>
      <c r="CQW48" s="344"/>
      <c r="CQX48" s="344"/>
      <c r="CQY48" s="344"/>
      <c r="CQZ48" s="344"/>
      <c r="CRA48" s="344"/>
      <c r="CRB48" s="344"/>
      <c r="CRC48" s="344"/>
      <c r="CRD48" s="344"/>
      <c r="CRE48" s="344"/>
      <c r="CRF48" s="344"/>
      <c r="CRG48" s="344"/>
      <c r="CRH48" s="344"/>
      <c r="CRI48" s="344"/>
      <c r="CRJ48" s="344"/>
      <c r="CRK48" s="344"/>
      <c r="CRL48" s="344"/>
      <c r="CRM48" s="344"/>
      <c r="CRN48" s="344"/>
      <c r="CRO48" s="344"/>
      <c r="CRP48" s="344"/>
      <c r="CRQ48" s="344"/>
      <c r="CRR48" s="344"/>
      <c r="CRS48" s="344"/>
      <c r="CRT48" s="344"/>
      <c r="CRU48" s="344"/>
      <c r="CRV48" s="344"/>
      <c r="CRW48" s="344"/>
      <c r="CRX48" s="344"/>
      <c r="CRY48" s="344"/>
      <c r="CRZ48" s="344"/>
      <c r="CSA48" s="344"/>
      <c r="CSB48" s="344"/>
      <c r="CSC48" s="344"/>
      <c r="CSD48" s="344"/>
      <c r="CSE48" s="344"/>
      <c r="CSF48" s="344"/>
      <c r="CSG48" s="344"/>
      <c r="CSH48" s="344"/>
      <c r="CSI48" s="344"/>
      <c r="CSJ48" s="344"/>
      <c r="CSK48" s="344"/>
      <c r="CSL48" s="344"/>
      <c r="CSM48" s="344"/>
      <c r="CSN48" s="344"/>
      <c r="CSO48" s="344"/>
      <c r="CSP48" s="344"/>
      <c r="CSQ48" s="344"/>
      <c r="CSR48" s="344"/>
      <c r="CSS48" s="344"/>
      <c r="CST48" s="344"/>
      <c r="CSU48" s="344"/>
      <c r="CSV48" s="344"/>
      <c r="CSW48" s="344"/>
      <c r="CSX48" s="344"/>
      <c r="CSY48" s="344"/>
      <c r="CSZ48" s="344"/>
      <c r="CTA48" s="344"/>
      <c r="CTB48" s="344"/>
      <c r="CTC48" s="344"/>
      <c r="CTD48" s="344"/>
      <c r="CTE48" s="344"/>
      <c r="CTF48" s="344"/>
      <c r="CTG48" s="344"/>
      <c r="CTH48" s="344"/>
      <c r="CTI48" s="344"/>
      <c r="CTJ48" s="344"/>
      <c r="CTK48" s="344"/>
      <c r="CTL48" s="344"/>
      <c r="CTM48" s="344"/>
      <c r="CTN48" s="344"/>
      <c r="CTO48" s="344"/>
      <c r="CTP48" s="344"/>
      <c r="CTQ48" s="344"/>
      <c r="CTR48" s="344"/>
      <c r="CTS48" s="344"/>
      <c r="CTT48" s="344"/>
      <c r="CTU48" s="344"/>
      <c r="CTV48" s="344"/>
      <c r="CTW48" s="344"/>
      <c r="CTX48" s="344"/>
      <c r="CTY48" s="344"/>
      <c r="CTZ48" s="344"/>
      <c r="CUA48" s="344"/>
      <c r="CUB48" s="344"/>
      <c r="CUC48" s="344"/>
      <c r="CUD48" s="344"/>
      <c r="CUE48" s="344"/>
      <c r="CUF48" s="344"/>
      <c r="CUG48" s="344"/>
      <c r="CUH48" s="344"/>
      <c r="CUI48" s="344"/>
      <c r="CUJ48" s="344"/>
      <c r="CUK48" s="344"/>
      <c r="CUL48" s="344"/>
      <c r="CUM48" s="344"/>
      <c r="CUN48" s="344"/>
      <c r="CUO48" s="344"/>
      <c r="CUP48" s="344"/>
      <c r="CUQ48" s="344"/>
      <c r="CUR48" s="344"/>
      <c r="CUS48" s="344"/>
      <c r="CUT48" s="344"/>
      <c r="CUU48" s="344"/>
      <c r="CUV48" s="344"/>
      <c r="CUW48" s="344"/>
      <c r="CUX48" s="344"/>
      <c r="CUY48" s="344"/>
      <c r="CUZ48" s="344"/>
      <c r="CVA48" s="344"/>
      <c r="CVB48" s="344"/>
      <c r="CVC48" s="344"/>
      <c r="CVD48" s="344"/>
      <c r="CVE48" s="344"/>
      <c r="CVF48" s="344"/>
      <c r="CVG48" s="344"/>
      <c r="CVH48" s="344"/>
      <c r="CVI48" s="344"/>
      <c r="CVJ48" s="344"/>
      <c r="CVK48" s="344"/>
      <c r="CVL48" s="344"/>
      <c r="CVM48" s="344"/>
      <c r="CVN48" s="344"/>
      <c r="CVO48" s="344"/>
      <c r="CVP48" s="344"/>
      <c r="CVQ48" s="344"/>
      <c r="CVR48" s="344"/>
      <c r="CVS48" s="344"/>
      <c r="CVT48" s="344"/>
      <c r="CVU48" s="344"/>
      <c r="CVV48" s="344"/>
      <c r="CVW48" s="344"/>
      <c r="CVX48" s="344"/>
      <c r="CVY48" s="344"/>
      <c r="CVZ48" s="344"/>
      <c r="CWA48" s="344"/>
      <c r="CWB48" s="344"/>
      <c r="CWC48" s="344"/>
      <c r="CWD48" s="344"/>
      <c r="CWE48" s="344"/>
      <c r="CWF48" s="344"/>
      <c r="CWG48" s="344"/>
      <c r="CWH48" s="344"/>
      <c r="CWI48" s="344"/>
      <c r="CWJ48" s="344"/>
      <c r="CWK48" s="344"/>
      <c r="CWL48" s="344"/>
      <c r="CWM48" s="344"/>
      <c r="CWN48" s="344"/>
      <c r="CWO48" s="344"/>
      <c r="CWP48" s="344"/>
      <c r="CWQ48" s="344"/>
      <c r="CWR48" s="344"/>
      <c r="CWS48" s="344"/>
      <c r="CWT48" s="344"/>
      <c r="CWU48" s="344"/>
      <c r="CWV48" s="344"/>
      <c r="CWW48" s="344"/>
      <c r="CWX48" s="344"/>
      <c r="CWY48" s="344"/>
      <c r="CWZ48" s="344"/>
      <c r="CXA48" s="344"/>
      <c r="CXB48" s="344"/>
      <c r="CXC48" s="344"/>
      <c r="CXD48" s="344"/>
      <c r="CXE48" s="344"/>
      <c r="CXF48" s="344"/>
      <c r="CXG48" s="344"/>
      <c r="CXH48" s="344"/>
      <c r="CXI48" s="344"/>
      <c r="CXJ48" s="344"/>
      <c r="CXK48" s="344"/>
      <c r="CXL48" s="344"/>
      <c r="CXM48" s="344"/>
      <c r="CXN48" s="344"/>
      <c r="CXO48" s="344"/>
      <c r="CXP48" s="344"/>
      <c r="CXQ48" s="344"/>
      <c r="CXR48" s="344"/>
      <c r="CXS48" s="344"/>
      <c r="CXT48" s="344"/>
      <c r="CXU48" s="344"/>
      <c r="CXV48" s="344"/>
      <c r="CXW48" s="344"/>
      <c r="CXX48" s="344"/>
      <c r="CXY48" s="344"/>
      <c r="CXZ48" s="344"/>
      <c r="CYA48" s="344"/>
      <c r="CYB48" s="344"/>
      <c r="CYC48" s="344"/>
      <c r="CYD48" s="344"/>
      <c r="CYE48" s="344"/>
      <c r="CYF48" s="344"/>
      <c r="CYG48" s="344"/>
      <c r="CYH48" s="344"/>
      <c r="CYI48" s="344"/>
      <c r="CYJ48" s="344"/>
      <c r="CYK48" s="344"/>
      <c r="CYL48" s="344"/>
      <c r="CYM48" s="344"/>
      <c r="CYN48" s="344"/>
      <c r="CYO48" s="344"/>
      <c r="CYP48" s="344"/>
      <c r="CYQ48" s="344"/>
      <c r="CYR48" s="344"/>
      <c r="CYS48" s="344"/>
      <c r="CYT48" s="344"/>
      <c r="CYU48" s="344"/>
      <c r="CYV48" s="344"/>
      <c r="CYW48" s="344"/>
      <c r="CYX48" s="344"/>
      <c r="CYY48" s="344"/>
      <c r="CYZ48" s="344"/>
      <c r="CZA48" s="344"/>
      <c r="CZB48" s="344"/>
      <c r="CZC48" s="344"/>
      <c r="CZD48" s="344"/>
      <c r="CZE48" s="344"/>
      <c r="CZF48" s="344"/>
      <c r="CZG48" s="344"/>
      <c r="CZH48" s="344"/>
      <c r="CZI48" s="344"/>
      <c r="CZJ48" s="344"/>
      <c r="CZK48" s="344"/>
      <c r="CZL48" s="344"/>
      <c r="CZM48" s="344"/>
      <c r="CZN48" s="344"/>
      <c r="CZO48" s="344"/>
      <c r="CZP48" s="344"/>
      <c r="CZQ48" s="344"/>
      <c r="CZR48" s="344"/>
      <c r="CZS48" s="344"/>
      <c r="CZT48" s="344"/>
      <c r="CZU48" s="344"/>
      <c r="CZV48" s="344"/>
      <c r="CZW48" s="344"/>
      <c r="CZX48" s="344"/>
      <c r="CZY48" s="344"/>
      <c r="CZZ48" s="344"/>
      <c r="DAA48" s="344"/>
      <c r="DAB48" s="344"/>
      <c r="DAC48" s="344"/>
      <c r="DAD48" s="344"/>
      <c r="DAE48" s="344"/>
      <c r="DAF48" s="344"/>
      <c r="DAG48" s="344"/>
      <c r="DAH48" s="344"/>
      <c r="DAI48" s="344"/>
      <c r="DAJ48" s="344"/>
      <c r="DAK48" s="344"/>
      <c r="DAL48" s="344"/>
      <c r="DAM48" s="344"/>
      <c r="DAN48" s="344"/>
      <c r="DAO48" s="344"/>
      <c r="DAP48" s="344"/>
      <c r="DAQ48" s="344"/>
      <c r="DAR48" s="344"/>
      <c r="DAS48" s="344"/>
      <c r="DAT48" s="344"/>
      <c r="DAU48" s="344"/>
      <c r="DAV48" s="344"/>
      <c r="DAW48" s="344"/>
      <c r="DAX48" s="344"/>
      <c r="DAY48" s="344"/>
      <c r="DAZ48" s="344"/>
      <c r="DBA48" s="344"/>
      <c r="DBB48" s="344"/>
      <c r="DBC48" s="344"/>
      <c r="DBD48" s="344"/>
      <c r="DBE48" s="344"/>
      <c r="DBF48" s="344"/>
      <c r="DBG48" s="344"/>
      <c r="DBH48" s="344"/>
      <c r="DBI48" s="344"/>
      <c r="DBJ48" s="344"/>
      <c r="DBK48" s="344"/>
      <c r="DBL48" s="344"/>
      <c r="DBM48" s="344"/>
      <c r="DBN48" s="344"/>
      <c r="DBO48" s="344"/>
      <c r="DBP48" s="344"/>
      <c r="DBQ48" s="344"/>
      <c r="DBR48" s="344"/>
      <c r="DBS48" s="344"/>
      <c r="DBT48" s="344"/>
      <c r="DBU48" s="344"/>
      <c r="DBV48" s="344"/>
      <c r="DBW48" s="344"/>
      <c r="DBX48" s="344"/>
      <c r="DBY48" s="344"/>
      <c r="DBZ48" s="344"/>
      <c r="DCA48" s="344"/>
      <c r="DCB48" s="344"/>
      <c r="DCC48" s="344"/>
      <c r="DCD48" s="344"/>
      <c r="DCE48" s="344"/>
      <c r="DCF48" s="344"/>
      <c r="DCG48" s="344"/>
      <c r="DCH48" s="344"/>
      <c r="DCI48" s="344"/>
      <c r="DCJ48" s="344"/>
      <c r="DCK48" s="344"/>
      <c r="DCL48" s="344"/>
      <c r="DCM48" s="344"/>
      <c r="DCN48" s="344"/>
      <c r="DCO48" s="344"/>
      <c r="DCP48" s="344"/>
      <c r="DCQ48" s="344"/>
      <c r="DCR48" s="344"/>
      <c r="DCS48" s="344"/>
      <c r="DCT48" s="344"/>
      <c r="DCU48" s="344"/>
      <c r="DCV48" s="344"/>
      <c r="DCW48" s="344"/>
      <c r="DCX48" s="344"/>
      <c r="DCY48" s="344"/>
      <c r="DCZ48" s="344"/>
      <c r="DDA48" s="344"/>
      <c r="DDB48" s="344"/>
      <c r="DDC48" s="344"/>
      <c r="DDD48" s="344"/>
      <c r="DDE48" s="344"/>
      <c r="DDF48" s="344"/>
      <c r="DDG48" s="344"/>
      <c r="DDH48" s="344"/>
      <c r="DDI48" s="344"/>
      <c r="DDJ48" s="344"/>
      <c r="DDK48" s="344"/>
      <c r="DDL48" s="344"/>
      <c r="DDM48" s="344"/>
      <c r="DDN48" s="344"/>
      <c r="DDO48" s="344"/>
      <c r="DDP48" s="344"/>
      <c r="DDQ48" s="344"/>
      <c r="DDR48" s="344"/>
      <c r="DDS48" s="344"/>
      <c r="DDT48" s="344"/>
      <c r="DDU48" s="344"/>
      <c r="DDV48" s="344"/>
      <c r="DDW48" s="344"/>
      <c r="DDX48" s="344"/>
      <c r="DDY48" s="344"/>
      <c r="DDZ48" s="344"/>
      <c r="DEA48" s="344"/>
      <c r="DEB48" s="344"/>
      <c r="DEC48" s="344"/>
      <c r="DED48" s="344"/>
      <c r="DEE48" s="344"/>
      <c r="DEF48" s="344"/>
      <c r="DEG48" s="344"/>
      <c r="DEH48" s="344"/>
      <c r="DEI48" s="344"/>
      <c r="DEJ48" s="344"/>
      <c r="DEK48" s="344"/>
      <c r="DEL48" s="344"/>
      <c r="DEM48" s="344"/>
      <c r="DEN48" s="344"/>
      <c r="DEO48" s="344"/>
      <c r="DEP48" s="344"/>
      <c r="DEQ48" s="344"/>
      <c r="DER48" s="344"/>
      <c r="DES48" s="344"/>
      <c r="DET48" s="344"/>
      <c r="DEU48" s="344"/>
      <c r="DEV48" s="344"/>
      <c r="DEW48" s="344"/>
      <c r="DEX48" s="344"/>
      <c r="DEY48" s="344"/>
      <c r="DEZ48" s="344"/>
      <c r="DFA48" s="344"/>
      <c r="DFB48" s="344"/>
      <c r="DFC48" s="344"/>
      <c r="DFD48" s="344"/>
      <c r="DFE48" s="344"/>
      <c r="DFF48" s="344"/>
      <c r="DFG48" s="344"/>
      <c r="DFH48" s="344"/>
      <c r="DFI48" s="344"/>
      <c r="DFJ48" s="344"/>
      <c r="DFK48" s="344"/>
      <c r="DFL48" s="344"/>
      <c r="DFM48" s="344"/>
      <c r="DFN48" s="344"/>
      <c r="DFO48" s="344"/>
      <c r="DFP48" s="344"/>
      <c r="DFQ48" s="344"/>
      <c r="DFR48" s="344"/>
      <c r="DFS48" s="344"/>
      <c r="DFT48" s="344"/>
      <c r="DFU48" s="344"/>
      <c r="DFV48" s="344"/>
      <c r="DFW48" s="344"/>
      <c r="DFX48" s="344"/>
      <c r="DFY48" s="344"/>
      <c r="DFZ48" s="344"/>
      <c r="DGA48" s="344"/>
      <c r="DGB48" s="344"/>
      <c r="DGC48" s="344"/>
      <c r="DGD48" s="344"/>
      <c r="DGE48" s="344"/>
      <c r="DGF48" s="344"/>
      <c r="DGG48" s="344"/>
      <c r="DGH48" s="344"/>
      <c r="DGI48" s="344"/>
      <c r="DGJ48" s="344"/>
      <c r="DGK48" s="344"/>
      <c r="DGL48" s="344"/>
      <c r="DGM48" s="344"/>
      <c r="DGN48" s="344"/>
      <c r="DGO48" s="344"/>
      <c r="DGP48" s="344"/>
      <c r="DGQ48" s="344"/>
      <c r="DGR48" s="344"/>
      <c r="DGS48" s="344"/>
      <c r="DGT48" s="344"/>
      <c r="DGU48" s="344"/>
      <c r="DGV48" s="344"/>
      <c r="DGW48" s="344"/>
      <c r="DGX48" s="344"/>
      <c r="DGY48" s="344"/>
      <c r="DGZ48" s="344"/>
      <c r="DHA48" s="344"/>
      <c r="DHB48" s="344"/>
      <c r="DHC48" s="344"/>
      <c r="DHD48" s="344"/>
      <c r="DHE48" s="344"/>
      <c r="DHF48" s="344"/>
      <c r="DHG48" s="344"/>
      <c r="DHH48" s="344"/>
      <c r="DHI48" s="344"/>
      <c r="DHJ48" s="344"/>
      <c r="DHK48" s="344"/>
      <c r="DHL48" s="344"/>
      <c r="DHM48" s="344"/>
      <c r="DHN48" s="344"/>
      <c r="DHO48" s="344"/>
      <c r="DHP48" s="344"/>
      <c r="DHQ48" s="344"/>
      <c r="DHR48" s="344"/>
      <c r="DHS48" s="344"/>
      <c r="DHT48" s="344"/>
      <c r="DHU48" s="344"/>
      <c r="DHV48" s="344"/>
      <c r="DHW48" s="344"/>
      <c r="DHX48" s="344"/>
      <c r="DHY48" s="344"/>
      <c r="DHZ48" s="344"/>
      <c r="DIA48" s="344"/>
      <c r="DIB48" s="344"/>
      <c r="DIC48" s="344"/>
      <c r="DID48" s="344"/>
      <c r="DIE48" s="344"/>
      <c r="DIF48" s="344"/>
      <c r="DIG48" s="344"/>
      <c r="DIH48" s="344"/>
      <c r="DII48" s="344"/>
      <c r="DIJ48" s="344"/>
      <c r="DIK48" s="344"/>
      <c r="DIL48" s="344"/>
      <c r="DIM48" s="344"/>
      <c r="DIN48" s="344"/>
      <c r="DIO48" s="344"/>
      <c r="DIP48" s="344"/>
      <c r="DIQ48" s="344"/>
      <c r="DIR48" s="344"/>
      <c r="DIS48" s="344"/>
      <c r="DIT48" s="344"/>
      <c r="DIU48" s="344"/>
      <c r="DIV48" s="344"/>
      <c r="DIW48" s="344"/>
      <c r="DIX48" s="344"/>
      <c r="DIY48" s="344"/>
      <c r="DIZ48" s="344"/>
      <c r="DJA48" s="344"/>
      <c r="DJB48" s="344"/>
      <c r="DJC48" s="344"/>
      <c r="DJD48" s="344"/>
      <c r="DJE48" s="344"/>
      <c r="DJF48" s="344"/>
      <c r="DJG48" s="344"/>
      <c r="DJH48" s="344"/>
      <c r="DJI48" s="344"/>
      <c r="DJJ48" s="344"/>
      <c r="DJK48" s="344"/>
      <c r="DJL48" s="344"/>
      <c r="DJM48" s="344"/>
      <c r="DJN48" s="344"/>
      <c r="DJO48" s="344"/>
      <c r="DJP48" s="344"/>
      <c r="DJQ48" s="344"/>
      <c r="DJR48" s="344"/>
      <c r="DJS48" s="344"/>
      <c r="DJT48" s="344"/>
      <c r="DJU48" s="344"/>
      <c r="DJV48" s="344"/>
      <c r="DJW48" s="344"/>
      <c r="DJX48" s="344"/>
      <c r="DJY48" s="344"/>
      <c r="DJZ48" s="344"/>
      <c r="DKA48" s="344"/>
      <c r="DKB48" s="344"/>
      <c r="DKC48" s="344"/>
      <c r="DKD48" s="344"/>
      <c r="DKE48" s="344"/>
      <c r="DKF48" s="344"/>
      <c r="DKG48" s="344"/>
      <c r="DKH48" s="344"/>
      <c r="DKI48" s="344"/>
      <c r="DKJ48" s="344"/>
      <c r="DKK48" s="344"/>
      <c r="DKL48" s="344"/>
      <c r="DKM48" s="344"/>
      <c r="DKN48" s="344"/>
      <c r="DKO48" s="344"/>
      <c r="DKP48" s="344"/>
      <c r="DKQ48" s="344"/>
      <c r="DKR48" s="344"/>
      <c r="DKS48" s="344"/>
      <c r="DKT48" s="344"/>
      <c r="DKU48" s="344"/>
      <c r="DKV48" s="344"/>
      <c r="DKW48" s="344"/>
      <c r="DKX48" s="344"/>
      <c r="DKY48" s="344"/>
      <c r="DKZ48" s="344"/>
      <c r="DLA48" s="344"/>
      <c r="DLB48" s="344"/>
      <c r="DLC48" s="344"/>
      <c r="DLD48" s="344"/>
      <c r="DLE48" s="344"/>
      <c r="DLF48" s="344"/>
      <c r="DLG48" s="344"/>
      <c r="DLH48" s="344"/>
      <c r="DLI48" s="344"/>
      <c r="DLJ48" s="344"/>
      <c r="DLK48" s="344"/>
      <c r="DLL48" s="344"/>
      <c r="DLM48" s="344"/>
      <c r="DLN48" s="344"/>
      <c r="DLO48" s="344"/>
      <c r="DLP48" s="344"/>
      <c r="DLQ48" s="344"/>
      <c r="DLR48" s="344"/>
      <c r="DLS48" s="344"/>
      <c r="DLT48" s="344"/>
      <c r="DLU48" s="344"/>
      <c r="DLV48" s="344"/>
      <c r="DLW48" s="344"/>
      <c r="DLX48" s="344"/>
      <c r="DLY48" s="344"/>
      <c r="DLZ48" s="344"/>
      <c r="DMA48" s="344"/>
      <c r="DMB48" s="344"/>
      <c r="DMC48" s="344"/>
      <c r="DMD48" s="344"/>
      <c r="DME48" s="344"/>
      <c r="DMF48" s="344"/>
      <c r="DMG48" s="344"/>
      <c r="DMH48" s="344"/>
      <c r="DMI48" s="344"/>
      <c r="DMJ48" s="344"/>
      <c r="DMK48" s="344"/>
      <c r="DML48" s="344"/>
      <c r="DMM48" s="344"/>
      <c r="DMN48" s="344"/>
      <c r="DMO48" s="344"/>
      <c r="DMP48" s="344"/>
      <c r="DMQ48" s="344"/>
      <c r="DMR48" s="344"/>
      <c r="DMS48" s="344"/>
      <c r="DMT48" s="344"/>
      <c r="DMU48" s="344"/>
      <c r="DMV48" s="344"/>
      <c r="DMW48" s="344"/>
      <c r="DMX48" s="344"/>
      <c r="DMY48" s="344"/>
      <c r="DMZ48" s="344"/>
      <c r="DNA48" s="344"/>
      <c r="DNB48" s="344"/>
      <c r="DNC48" s="344"/>
      <c r="DND48" s="344"/>
      <c r="DNE48" s="344"/>
      <c r="DNF48" s="344"/>
      <c r="DNG48" s="344"/>
      <c r="DNH48" s="344"/>
      <c r="DNI48" s="344"/>
      <c r="DNJ48" s="344"/>
      <c r="DNK48" s="344"/>
      <c r="DNL48" s="344"/>
      <c r="DNM48" s="344"/>
      <c r="DNN48" s="344"/>
      <c r="DNO48" s="344"/>
      <c r="DNP48" s="344"/>
      <c r="DNQ48" s="344"/>
      <c r="DNR48" s="344"/>
      <c r="DNS48" s="344"/>
      <c r="DNT48" s="344"/>
      <c r="DNU48" s="344"/>
      <c r="DNV48" s="344"/>
      <c r="DNW48" s="344"/>
      <c r="DNX48" s="344"/>
      <c r="DNY48" s="344"/>
      <c r="DNZ48" s="344"/>
      <c r="DOA48" s="344"/>
      <c r="DOB48" s="344"/>
      <c r="DOC48" s="344"/>
      <c r="DOD48" s="344"/>
      <c r="DOE48" s="344"/>
      <c r="DOF48" s="344"/>
      <c r="DOG48" s="344"/>
      <c r="DOH48" s="344"/>
      <c r="DOI48" s="344"/>
      <c r="DOJ48" s="344"/>
      <c r="DOK48" s="344"/>
      <c r="DOL48" s="344"/>
      <c r="DOM48" s="344"/>
      <c r="DON48" s="344"/>
      <c r="DOO48" s="344"/>
      <c r="DOP48" s="344"/>
      <c r="DOQ48" s="344"/>
      <c r="DOR48" s="344"/>
      <c r="DOS48" s="344"/>
      <c r="DOT48" s="344"/>
      <c r="DOU48" s="344"/>
      <c r="DOV48" s="344"/>
      <c r="DOW48" s="344"/>
      <c r="DOX48" s="344"/>
      <c r="DOY48" s="344"/>
      <c r="DOZ48" s="344"/>
      <c r="DPA48" s="344"/>
      <c r="DPB48" s="344"/>
      <c r="DPC48" s="344"/>
      <c r="DPD48" s="344"/>
      <c r="DPE48" s="344"/>
      <c r="DPF48" s="344"/>
      <c r="DPG48" s="344"/>
      <c r="DPH48" s="344"/>
      <c r="DPI48" s="344"/>
      <c r="DPJ48" s="344"/>
      <c r="DPK48" s="344"/>
      <c r="DPL48" s="344"/>
      <c r="DPM48" s="344"/>
      <c r="DPN48" s="344"/>
      <c r="DPO48" s="344"/>
      <c r="DPP48" s="344"/>
      <c r="DPQ48" s="344"/>
      <c r="DPR48" s="344"/>
      <c r="DPS48" s="344"/>
      <c r="DPT48" s="344"/>
      <c r="DPU48" s="344"/>
      <c r="DPV48" s="344"/>
      <c r="DPW48" s="344"/>
      <c r="DPX48" s="344"/>
      <c r="DPY48" s="344"/>
      <c r="DPZ48" s="344"/>
      <c r="DQA48" s="344"/>
      <c r="DQB48" s="344"/>
      <c r="DQC48" s="344"/>
      <c r="DQD48" s="344"/>
      <c r="DQE48" s="344"/>
      <c r="DQF48" s="344"/>
      <c r="DQG48" s="344"/>
      <c r="DQH48" s="344"/>
      <c r="DQI48" s="344"/>
      <c r="DQJ48" s="344"/>
      <c r="DQK48" s="344"/>
      <c r="DQL48" s="344"/>
      <c r="DQM48" s="344"/>
      <c r="DQN48" s="344"/>
      <c r="DQO48" s="344"/>
      <c r="DQP48" s="344"/>
      <c r="DQQ48" s="344"/>
      <c r="DQR48" s="344"/>
      <c r="DQS48" s="344"/>
      <c r="DQT48" s="344"/>
      <c r="DQU48" s="344"/>
      <c r="DQV48" s="344"/>
      <c r="DQW48" s="344"/>
      <c r="DQX48" s="344"/>
      <c r="DQY48" s="344"/>
      <c r="DQZ48" s="344"/>
      <c r="DRA48" s="344"/>
      <c r="DRB48" s="344"/>
      <c r="DRC48" s="344"/>
      <c r="DRD48" s="344"/>
      <c r="DRE48" s="344"/>
      <c r="DRF48" s="344"/>
      <c r="DRG48" s="344"/>
      <c r="DRH48" s="344"/>
      <c r="DRI48" s="344"/>
      <c r="DRJ48" s="344"/>
      <c r="DRK48" s="344"/>
      <c r="DRL48" s="344"/>
      <c r="DRM48" s="344"/>
      <c r="DRN48" s="344"/>
      <c r="DRO48" s="344"/>
      <c r="DRP48" s="344"/>
      <c r="DRQ48" s="344"/>
      <c r="DRR48" s="344"/>
      <c r="DRS48" s="344"/>
      <c r="DRT48" s="344"/>
      <c r="DRU48" s="344"/>
      <c r="DRV48" s="344"/>
      <c r="DRW48" s="344"/>
      <c r="DRX48" s="344"/>
      <c r="DRY48" s="344"/>
      <c r="DRZ48" s="344"/>
      <c r="DSA48" s="344"/>
      <c r="DSB48" s="344"/>
      <c r="DSC48" s="344"/>
      <c r="DSD48" s="344"/>
      <c r="DSE48" s="344"/>
      <c r="DSF48" s="344"/>
      <c r="DSG48" s="344"/>
      <c r="DSH48" s="344"/>
      <c r="DSI48" s="344"/>
      <c r="DSJ48" s="344"/>
      <c r="DSK48" s="344"/>
      <c r="DSL48" s="344"/>
      <c r="DSM48" s="344"/>
      <c r="DSN48" s="344"/>
      <c r="DSO48" s="344"/>
      <c r="DSP48" s="344"/>
      <c r="DSQ48" s="344"/>
      <c r="DSR48" s="344"/>
      <c r="DSS48" s="344"/>
      <c r="DST48" s="344"/>
      <c r="DSU48" s="344"/>
      <c r="DSV48" s="344"/>
      <c r="DSW48" s="344"/>
      <c r="DSX48" s="344"/>
      <c r="DSY48" s="344"/>
      <c r="DSZ48" s="344"/>
      <c r="DTA48" s="344"/>
      <c r="DTB48" s="344"/>
      <c r="DTC48" s="344"/>
      <c r="DTD48" s="344"/>
      <c r="DTE48" s="344"/>
      <c r="DTF48" s="344"/>
      <c r="DTG48" s="344"/>
      <c r="DTH48" s="344"/>
      <c r="DTI48" s="344"/>
      <c r="DTJ48" s="344"/>
      <c r="DTK48" s="344"/>
      <c r="DTL48" s="344"/>
      <c r="DTM48" s="344"/>
      <c r="DTN48" s="344"/>
      <c r="DTO48" s="344"/>
      <c r="DTP48" s="344"/>
      <c r="DTQ48" s="344"/>
      <c r="DTR48" s="344"/>
      <c r="DTS48" s="344"/>
      <c r="DTT48" s="344"/>
      <c r="DTU48" s="344"/>
      <c r="DTV48" s="344"/>
      <c r="DTW48" s="344"/>
      <c r="DTX48" s="344"/>
      <c r="DTY48" s="344"/>
      <c r="DTZ48" s="344"/>
      <c r="DUA48" s="344"/>
      <c r="DUB48" s="344"/>
      <c r="DUC48" s="344"/>
      <c r="DUD48" s="344"/>
      <c r="DUE48" s="344"/>
      <c r="DUF48" s="344"/>
      <c r="DUG48" s="344"/>
      <c r="DUH48" s="344"/>
      <c r="DUI48" s="344"/>
      <c r="DUJ48" s="344"/>
      <c r="DUK48" s="344"/>
      <c r="DUL48" s="344"/>
      <c r="DUM48" s="344"/>
      <c r="DUN48" s="344"/>
      <c r="DUO48" s="344"/>
      <c r="DUP48" s="344"/>
      <c r="DUQ48" s="344"/>
      <c r="DUR48" s="344"/>
      <c r="DUS48" s="344"/>
      <c r="DUT48" s="344"/>
      <c r="DUU48" s="344"/>
      <c r="DUV48" s="344"/>
      <c r="DUW48" s="344"/>
      <c r="DUX48" s="344"/>
      <c r="DUY48" s="344"/>
      <c r="DUZ48" s="344"/>
      <c r="DVA48" s="344"/>
      <c r="DVB48" s="344"/>
      <c r="DVC48" s="344"/>
      <c r="DVD48" s="344"/>
      <c r="DVE48" s="344"/>
      <c r="DVF48" s="344"/>
      <c r="DVG48" s="344"/>
      <c r="DVH48" s="344"/>
      <c r="DVI48" s="344"/>
      <c r="DVJ48" s="344"/>
      <c r="DVK48" s="344"/>
      <c r="DVL48" s="344"/>
      <c r="DVM48" s="344"/>
      <c r="DVN48" s="344"/>
      <c r="DVO48" s="344"/>
      <c r="DVP48" s="344"/>
      <c r="DVQ48" s="344"/>
      <c r="DVR48" s="344"/>
      <c r="DVS48" s="344"/>
      <c r="DVT48" s="344"/>
      <c r="DVU48" s="344"/>
      <c r="DVV48" s="344"/>
      <c r="DVW48" s="344"/>
      <c r="DVX48" s="344"/>
      <c r="DVY48" s="344"/>
      <c r="DVZ48" s="344"/>
      <c r="DWA48" s="344"/>
      <c r="DWB48" s="344"/>
      <c r="DWC48" s="344"/>
      <c r="DWD48" s="344"/>
      <c r="DWE48" s="344"/>
      <c r="DWF48" s="344"/>
      <c r="DWG48" s="344"/>
      <c r="DWH48" s="344"/>
      <c r="DWI48" s="344"/>
      <c r="DWJ48" s="344"/>
      <c r="DWK48" s="344"/>
      <c r="DWL48" s="344"/>
      <c r="DWM48" s="344"/>
      <c r="DWN48" s="344"/>
      <c r="DWO48" s="344"/>
      <c r="DWP48" s="344"/>
      <c r="DWQ48" s="344"/>
      <c r="DWR48" s="344"/>
      <c r="DWS48" s="344"/>
      <c r="DWT48" s="344"/>
      <c r="DWU48" s="344"/>
      <c r="DWV48" s="344"/>
      <c r="DWW48" s="344"/>
      <c r="DWX48" s="344"/>
      <c r="DWY48" s="344"/>
      <c r="DWZ48" s="344"/>
      <c r="DXA48" s="344"/>
      <c r="DXB48" s="344"/>
      <c r="DXC48" s="344"/>
      <c r="DXD48" s="344"/>
      <c r="DXE48" s="344"/>
      <c r="DXF48" s="344"/>
      <c r="DXG48" s="344"/>
      <c r="DXH48" s="344"/>
      <c r="DXI48" s="344"/>
      <c r="DXJ48" s="344"/>
      <c r="DXK48" s="344"/>
      <c r="DXL48" s="344"/>
      <c r="DXM48" s="344"/>
      <c r="DXN48" s="344"/>
      <c r="DXO48" s="344"/>
      <c r="DXP48" s="344"/>
      <c r="DXQ48" s="344"/>
      <c r="DXR48" s="344"/>
      <c r="DXS48" s="344"/>
      <c r="DXT48" s="344"/>
      <c r="DXU48" s="344"/>
      <c r="DXV48" s="344"/>
      <c r="DXW48" s="344"/>
      <c r="DXX48" s="344"/>
      <c r="DXY48" s="344"/>
      <c r="DXZ48" s="344"/>
      <c r="DYA48" s="344"/>
      <c r="DYB48" s="344"/>
      <c r="DYC48" s="344"/>
      <c r="DYD48" s="344"/>
      <c r="DYE48" s="344"/>
      <c r="DYF48" s="344"/>
      <c r="DYG48" s="344"/>
      <c r="DYH48" s="344"/>
      <c r="DYI48" s="344"/>
      <c r="DYJ48" s="344"/>
      <c r="DYK48" s="344"/>
      <c r="DYL48" s="344"/>
      <c r="DYM48" s="344"/>
      <c r="DYN48" s="344"/>
      <c r="DYO48" s="344"/>
      <c r="DYP48" s="344"/>
      <c r="DYQ48" s="344"/>
      <c r="DYR48" s="344"/>
      <c r="DYS48" s="344"/>
      <c r="DYT48" s="344"/>
      <c r="DYU48" s="344"/>
      <c r="DYV48" s="344"/>
      <c r="DYW48" s="344"/>
      <c r="DYX48" s="344"/>
      <c r="DYY48" s="344"/>
      <c r="DYZ48" s="344"/>
      <c r="DZA48" s="344"/>
      <c r="DZB48" s="344"/>
      <c r="DZC48" s="344"/>
      <c r="DZD48" s="344"/>
      <c r="DZE48" s="344"/>
      <c r="DZF48" s="344"/>
      <c r="DZG48" s="344"/>
      <c r="DZH48" s="344"/>
      <c r="DZI48" s="344"/>
      <c r="DZJ48" s="344"/>
      <c r="DZK48" s="344"/>
      <c r="DZL48" s="344"/>
      <c r="DZM48" s="344"/>
      <c r="DZN48" s="344"/>
      <c r="DZO48" s="344"/>
      <c r="DZP48" s="344"/>
      <c r="DZQ48" s="344"/>
      <c r="DZR48" s="344"/>
      <c r="DZS48" s="344"/>
      <c r="DZT48" s="344"/>
      <c r="DZU48" s="344"/>
      <c r="DZV48" s="344"/>
      <c r="DZW48" s="344"/>
      <c r="DZX48" s="344"/>
      <c r="DZY48" s="344"/>
      <c r="DZZ48" s="344"/>
      <c r="EAA48" s="344"/>
      <c r="EAB48" s="344"/>
      <c r="EAC48" s="344"/>
      <c r="EAD48" s="344"/>
      <c r="EAE48" s="344"/>
      <c r="EAF48" s="344"/>
      <c r="EAG48" s="344"/>
      <c r="EAH48" s="344"/>
      <c r="EAI48" s="344"/>
      <c r="EAJ48" s="344"/>
      <c r="EAK48" s="344"/>
      <c r="EAL48" s="344"/>
      <c r="EAM48" s="344"/>
      <c r="EAN48" s="344"/>
      <c r="EAO48" s="344"/>
      <c r="EAP48" s="344"/>
      <c r="EAQ48" s="344"/>
      <c r="EAR48" s="344"/>
      <c r="EAS48" s="344"/>
      <c r="EAT48" s="344"/>
      <c r="EAU48" s="344"/>
      <c r="EAV48" s="344"/>
      <c r="EAW48" s="344"/>
      <c r="EAX48" s="344"/>
      <c r="EAY48" s="344"/>
      <c r="EAZ48" s="344"/>
      <c r="EBA48" s="344"/>
      <c r="EBB48" s="344"/>
      <c r="EBC48" s="344"/>
      <c r="EBD48" s="344"/>
      <c r="EBE48" s="344"/>
      <c r="EBF48" s="344"/>
      <c r="EBG48" s="344"/>
      <c r="EBH48" s="344"/>
      <c r="EBI48" s="344"/>
      <c r="EBJ48" s="344"/>
      <c r="EBK48" s="344"/>
      <c r="EBL48" s="344"/>
      <c r="EBM48" s="344"/>
      <c r="EBN48" s="344"/>
      <c r="EBO48" s="344"/>
      <c r="EBP48" s="344"/>
      <c r="EBQ48" s="344"/>
      <c r="EBR48" s="344"/>
      <c r="EBS48" s="344"/>
      <c r="EBT48" s="344"/>
      <c r="EBU48" s="344"/>
      <c r="EBV48" s="344"/>
      <c r="EBW48" s="344"/>
      <c r="EBX48" s="344"/>
      <c r="EBY48" s="344"/>
      <c r="EBZ48" s="344"/>
      <c r="ECA48" s="344"/>
      <c r="ECB48" s="344"/>
      <c r="ECC48" s="344"/>
      <c r="ECD48" s="344"/>
      <c r="ECE48" s="344"/>
      <c r="ECF48" s="344"/>
      <c r="ECG48" s="344"/>
      <c r="ECH48" s="344"/>
      <c r="ECI48" s="344"/>
      <c r="ECJ48" s="344"/>
      <c r="ECK48" s="344"/>
      <c r="ECL48" s="344"/>
      <c r="ECM48" s="344"/>
      <c r="ECN48" s="344"/>
      <c r="ECO48" s="344"/>
      <c r="ECP48" s="344"/>
      <c r="ECQ48" s="344"/>
      <c r="ECR48" s="344"/>
      <c r="ECS48" s="344"/>
      <c r="ECT48" s="344"/>
      <c r="ECU48" s="344"/>
      <c r="ECV48" s="344"/>
      <c r="ECW48" s="344"/>
      <c r="ECX48" s="344"/>
      <c r="ECY48" s="344"/>
      <c r="ECZ48" s="344"/>
      <c r="EDA48" s="344"/>
      <c r="EDB48" s="344"/>
      <c r="EDC48" s="344"/>
      <c r="EDD48" s="344"/>
      <c r="EDE48" s="344"/>
      <c r="EDF48" s="344"/>
      <c r="EDG48" s="344"/>
      <c r="EDH48" s="344"/>
      <c r="EDI48" s="344"/>
      <c r="EDJ48" s="344"/>
      <c r="EDK48" s="344"/>
      <c r="EDL48" s="344"/>
      <c r="EDM48" s="344"/>
      <c r="EDN48" s="344"/>
      <c r="EDO48" s="344"/>
      <c r="EDP48" s="344"/>
      <c r="EDQ48" s="344"/>
      <c r="EDR48" s="344"/>
      <c r="EDS48" s="344"/>
      <c r="EDT48" s="344"/>
      <c r="EDU48" s="344"/>
      <c r="EDV48" s="344"/>
      <c r="EDW48" s="344"/>
      <c r="EDX48" s="344"/>
      <c r="EDY48" s="344"/>
      <c r="EDZ48" s="344"/>
      <c r="EEA48" s="344"/>
      <c r="EEB48" s="344"/>
      <c r="EEC48" s="344"/>
      <c r="EED48" s="344"/>
      <c r="EEE48" s="344"/>
      <c r="EEF48" s="344"/>
      <c r="EEG48" s="344"/>
      <c r="EEH48" s="344"/>
      <c r="EEI48" s="344"/>
      <c r="EEJ48" s="344"/>
      <c r="EEK48" s="344"/>
      <c r="EEL48" s="344"/>
      <c r="EEM48" s="344"/>
      <c r="EEN48" s="344"/>
      <c r="EEO48" s="344"/>
      <c r="EEP48" s="344"/>
      <c r="EEQ48" s="344"/>
      <c r="EER48" s="344"/>
      <c r="EES48" s="344"/>
      <c r="EET48" s="344"/>
      <c r="EEU48" s="344"/>
      <c r="EEV48" s="344"/>
      <c r="EEW48" s="344"/>
      <c r="EEX48" s="344"/>
      <c r="EEY48" s="344"/>
      <c r="EEZ48" s="344"/>
      <c r="EFA48" s="344"/>
      <c r="EFB48" s="344"/>
      <c r="EFC48" s="344"/>
      <c r="EFD48" s="344"/>
      <c r="EFE48" s="344"/>
      <c r="EFF48" s="344"/>
      <c r="EFG48" s="344"/>
      <c r="EFH48" s="344"/>
      <c r="EFI48" s="344"/>
      <c r="EFJ48" s="344"/>
      <c r="EFK48" s="344"/>
      <c r="EFL48" s="344"/>
      <c r="EFM48" s="344"/>
      <c r="EFN48" s="344"/>
      <c r="EFO48" s="344"/>
      <c r="EFP48" s="344"/>
      <c r="EFQ48" s="344"/>
      <c r="EFR48" s="344"/>
      <c r="EFS48" s="344"/>
      <c r="EFT48" s="344"/>
      <c r="EFU48" s="344"/>
      <c r="EFV48" s="344"/>
      <c r="EFW48" s="344"/>
      <c r="EFX48" s="344"/>
      <c r="EFY48" s="344"/>
      <c r="EFZ48" s="344"/>
      <c r="EGA48" s="344"/>
      <c r="EGB48" s="344"/>
      <c r="EGC48" s="344"/>
      <c r="EGD48" s="344"/>
      <c r="EGE48" s="344"/>
      <c r="EGF48" s="344"/>
      <c r="EGG48" s="344"/>
      <c r="EGH48" s="344"/>
      <c r="EGI48" s="344"/>
      <c r="EGJ48" s="344"/>
      <c r="EGK48" s="344"/>
      <c r="EGL48" s="344"/>
      <c r="EGM48" s="344"/>
      <c r="EGN48" s="344"/>
      <c r="EGO48" s="344"/>
      <c r="EGP48" s="344"/>
      <c r="EGQ48" s="344"/>
      <c r="EGR48" s="344"/>
      <c r="EGS48" s="344"/>
      <c r="EGT48" s="344"/>
      <c r="EGU48" s="344"/>
      <c r="EGV48" s="344"/>
      <c r="EGW48" s="344"/>
      <c r="EGX48" s="344"/>
      <c r="EGY48" s="344"/>
      <c r="EGZ48" s="344"/>
      <c r="EHA48" s="344"/>
      <c r="EHB48" s="344"/>
      <c r="EHC48" s="344"/>
      <c r="EHD48" s="344"/>
      <c r="EHE48" s="344"/>
      <c r="EHF48" s="344"/>
      <c r="EHG48" s="344"/>
      <c r="EHH48" s="344"/>
      <c r="EHI48" s="344"/>
      <c r="EHJ48" s="344"/>
      <c r="EHK48" s="344"/>
      <c r="EHL48" s="344"/>
      <c r="EHM48" s="344"/>
      <c r="EHN48" s="344"/>
      <c r="EHO48" s="344"/>
      <c r="EHP48" s="344"/>
      <c r="EHQ48" s="344"/>
      <c r="EHR48" s="344"/>
      <c r="EHS48" s="344"/>
      <c r="EHT48" s="344"/>
      <c r="EHU48" s="344"/>
      <c r="EHV48" s="344"/>
      <c r="EHW48" s="344"/>
      <c r="EHX48" s="344"/>
      <c r="EHY48" s="344"/>
      <c r="EHZ48" s="344"/>
      <c r="EIA48" s="344"/>
      <c r="EIB48" s="344"/>
      <c r="EIC48" s="344"/>
      <c r="EID48" s="344"/>
      <c r="EIE48" s="344"/>
      <c r="EIF48" s="344"/>
      <c r="EIG48" s="344"/>
      <c r="EIH48" s="344"/>
      <c r="EII48" s="344"/>
      <c r="EIJ48" s="344"/>
      <c r="EIK48" s="344"/>
      <c r="EIL48" s="344"/>
      <c r="EIM48" s="344"/>
      <c r="EIN48" s="344"/>
      <c r="EIO48" s="344"/>
      <c r="EIP48" s="344"/>
      <c r="EIQ48" s="344"/>
      <c r="EIR48" s="344"/>
      <c r="EIS48" s="344"/>
      <c r="EIT48" s="344"/>
      <c r="EIU48" s="344"/>
      <c r="EIV48" s="344"/>
      <c r="EIW48" s="344"/>
      <c r="EIX48" s="344"/>
      <c r="EIY48" s="344"/>
      <c r="EIZ48" s="344"/>
      <c r="EJA48" s="344"/>
      <c r="EJB48" s="344"/>
      <c r="EJC48" s="344"/>
      <c r="EJD48" s="344"/>
      <c r="EJE48" s="344"/>
      <c r="EJF48" s="344"/>
      <c r="EJG48" s="344"/>
      <c r="EJH48" s="344"/>
      <c r="EJI48" s="344"/>
      <c r="EJJ48" s="344"/>
      <c r="EJK48" s="344"/>
      <c r="EJL48" s="344"/>
      <c r="EJM48" s="344"/>
      <c r="EJN48" s="344"/>
      <c r="EJO48" s="344"/>
      <c r="EJP48" s="344"/>
      <c r="EJQ48" s="344"/>
      <c r="EJR48" s="344"/>
      <c r="EJS48" s="344"/>
      <c r="EJT48" s="344"/>
      <c r="EJU48" s="344"/>
      <c r="EJV48" s="344"/>
      <c r="EJW48" s="344"/>
      <c r="EJX48" s="344"/>
      <c r="EJY48" s="344"/>
      <c r="EJZ48" s="344"/>
      <c r="EKA48" s="344"/>
      <c r="EKB48" s="344"/>
      <c r="EKC48" s="344"/>
      <c r="EKD48" s="344"/>
      <c r="EKE48" s="344"/>
      <c r="EKF48" s="344"/>
      <c r="EKG48" s="344"/>
      <c r="EKH48" s="344"/>
      <c r="EKI48" s="344"/>
      <c r="EKJ48" s="344"/>
      <c r="EKK48" s="344"/>
      <c r="EKL48" s="344"/>
      <c r="EKM48" s="344"/>
      <c r="EKN48" s="344"/>
      <c r="EKO48" s="344"/>
      <c r="EKP48" s="344"/>
      <c r="EKQ48" s="344"/>
      <c r="EKR48" s="344"/>
      <c r="EKS48" s="344"/>
      <c r="EKT48" s="344"/>
      <c r="EKU48" s="344"/>
      <c r="EKV48" s="344"/>
      <c r="EKW48" s="344"/>
      <c r="EKX48" s="344"/>
      <c r="EKY48" s="344"/>
      <c r="EKZ48" s="344"/>
      <c r="ELA48" s="344"/>
      <c r="ELB48" s="344"/>
      <c r="ELC48" s="344"/>
      <c r="ELD48" s="344"/>
      <c r="ELE48" s="344"/>
      <c r="ELF48" s="344"/>
      <c r="ELG48" s="344"/>
      <c r="ELH48" s="344"/>
      <c r="ELI48" s="344"/>
      <c r="ELJ48" s="344"/>
      <c r="ELK48" s="344"/>
      <c r="ELL48" s="344"/>
      <c r="ELM48" s="344"/>
      <c r="ELN48" s="344"/>
      <c r="ELO48" s="344"/>
      <c r="ELP48" s="344"/>
      <c r="ELQ48" s="344"/>
      <c r="ELR48" s="344"/>
      <c r="ELS48" s="344"/>
      <c r="ELT48" s="344"/>
      <c r="ELU48" s="344"/>
      <c r="ELV48" s="344"/>
      <c r="ELW48" s="344"/>
      <c r="ELX48" s="344"/>
      <c r="ELY48" s="344"/>
      <c r="ELZ48" s="344"/>
      <c r="EMA48" s="344"/>
      <c r="EMB48" s="344"/>
      <c r="EMC48" s="344"/>
      <c r="EMD48" s="344"/>
      <c r="EME48" s="344"/>
      <c r="EMF48" s="344"/>
      <c r="EMG48" s="344"/>
      <c r="EMH48" s="344"/>
      <c r="EMI48" s="344"/>
      <c r="EMJ48" s="344"/>
      <c r="EMK48" s="344"/>
      <c r="EML48" s="344"/>
      <c r="EMM48" s="344"/>
      <c r="EMN48" s="344"/>
      <c r="EMO48" s="344"/>
      <c r="EMP48" s="344"/>
      <c r="EMQ48" s="344"/>
      <c r="EMR48" s="344"/>
      <c r="EMS48" s="344"/>
      <c r="EMT48" s="344"/>
      <c r="EMU48" s="344"/>
      <c r="EMV48" s="344"/>
      <c r="EMW48" s="344"/>
      <c r="EMX48" s="344"/>
      <c r="EMY48" s="344"/>
      <c r="EMZ48" s="344"/>
      <c r="ENA48" s="344"/>
      <c r="ENB48" s="344"/>
      <c r="ENC48" s="344"/>
      <c r="END48" s="344"/>
      <c r="ENE48" s="344"/>
      <c r="ENF48" s="344"/>
      <c r="ENG48" s="344"/>
      <c r="ENH48" s="344"/>
      <c r="ENI48" s="344"/>
      <c r="ENJ48" s="344"/>
      <c r="ENK48" s="344"/>
      <c r="ENL48" s="344"/>
      <c r="ENM48" s="344"/>
      <c r="ENN48" s="344"/>
      <c r="ENO48" s="344"/>
      <c r="ENP48" s="344"/>
      <c r="ENQ48" s="344"/>
      <c r="ENR48" s="344"/>
      <c r="ENS48" s="344"/>
      <c r="ENT48" s="344"/>
      <c r="ENU48" s="344"/>
      <c r="ENV48" s="344"/>
      <c r="ENW48" s="344"/>
      <c r="ENX48" s="344"/>
      <c r="ENY48" s="344"/>
      <c r="ENZ48" s="344"/>
      <c r="EOA48" s="344"/>
      <c r="EOB48" s="344"/>
      <c r="EOC48" s="344"/>
      <c r="EOD48" s="344"/>
      <c r="EOE48" s="344"/>
      <c r="EOF48" s="344"/>
      <c r="EOG48" s="344"/>
      <c r="EOH48" s="344"/>
      <c r="EOI48" s="344"/>
      <c r="EOJ48" s="344"/>
      <c r="EOK48" s="344"/>
      <c r="EOL48" s="344"/>
      <c r="EOM48" s="344"/>
      <c r="EON48" s="344"/>
      <c r="EOO48" s="344"/>
      <c r="EOP48" s="344"/>
      <c r="EOQ48" s="344"/>
      <c r="EOR48" s="344"/>
      <c r="EOS48" s="344"/>
      <c r="EOT48" s="344"/>
      <c r="EOU48" s="344"/>
      <c r="EOV48" s="344"/>
      <c r="EOW48" s="344"/>
      <c r="EOX48" s="344"/>
      <c r="EOY48" s="344"/>
      <c r="EOZ48" s="344"/>
      <c r="EPA48" s="344"/>
      <c r="EPB48" s="344"/>
      <c r="EPC48" s="344"/>
      <c r="EPD48" s="344"/>
      <c r="EPE48" s="344"/>
      <c r="EPF48" s="344"/>
      <c r="EPG48" s="344"/>
      <c r="EPH48" s="344"/>
      <c r="EPI48" s="344"/>
      <c r="EPJ48" s="344"/>
      <c r="EPK48" s="344"/>
      <c r="EPL48" s="344"/>
      <c r="EPM48" s="344"/>
      <c r="EPN48" s="344"/>
      <c r="EPO48" s="344"/>
      <c r="EPP48" s="344"/>
      <c r="EPQ48" s="344"/>
      <c r="EPR48" s="344"/>
      <c r="EPS48" s="344"/>
      <c r="EPT48" s="344"/>
      <c r="EPU48" s="344"/>
      <c r="EPV48" s="344"/>
      <c r="EPW48" s="344"/>
      <c r="EPX48" s="344"/>
      <c r="EPY48" s="344"/>
      <c r="EPZ48" s="344"/>
      <c r="EQA48" s="344"/>
      <c r="EQB48" s="344"/>
      <c r="EQC48" s="344"/>
      <c r="EQD48" s="344"/>
      <c r="EQE48" s="344"/>
      <c r="EQF48" s="344"/>
      <c r="EQG48" s="344"/>
      <c r="EQH48" s="344"/>
      <c r="EQI48" s="344"/>
      <c r="EQJ48" s="344"/>
      <c r="EQK48" s="344"/>
      <c r="EQL48" s="344"/>
      <c r="EQM48" s="344"/>
      <c r="EQN48" s="344"/>
      <c r="EQO48" s="344"/>
      <c r="EQP48" s="344"/>
      <c r="EQQ48" s="344"/>
      <c r="EQR48" s="344"/>
      <c r="EQS48" s="344"/>
      <c r="EQT48" s="344"/>
      <c r="EQU48" s="344"/>
      <c r="EQV48" s="344"/>
      <c r="EQW48" s="344"/>
      <c r="EQX48" s="344"/>
      <c r="EQY48" s="344"/>
      <c r="EQZ48" s="344"/>
      <c r="ERA48" s="344"/>
      <c r="ERB48" s="344"/>
      <c r="ERC48" s="344"/>
      <c r="ERD48" s="344"/>
      <c r="ERE48" s="344"/>
      <c r="ERF48" s="344"/>
      <c r="ERG48" s="344"/>
      <c r="ERH48" s="344"/>
      <c r="ERI48" s="344"/>
      <c r="ERJ48" s="344"/>
      <c r="ERK48" s="344"/>
      <c r="ERL48" s="344"/>
      <c r="ERM48" s="344"/>
      <c r="ERN48" s="344"/>
      <c r="ERO48" s="344"/>
      <c r="ERP48" s="344"/>
      <c r="ERQ48" s="344"/>
      <c r="ERR48" s="344"/>
      <c r="ERS48" s="344"/>
      <c r="ERT48" s="344"/>
      <c r="ERU48" s="344"/>
      <c r="ERV48" s="344"/>
      <c r="ERW48" s="344"/>
      <c r="ERX48" s="344"/>
      <c r="ERY48" s="344"/>
      <c r="ERZ48" s="344"/>
      <c r="ESA48" s="344"/>
      <c r="ESB48" s="344"/>
      <c r="ESC48" s="344"/>
      <c r="ESD48" s="344"/>
      <c r="ESE48" s="344"/>
      <c r="ESF48" s="344"/>
      <c r="ESG48" s="344"/>
      <c r="ESH48" s="344"/>
      <c r="ESI48" s="344"/>
      <c r="ESJ48" s="344"/>
      <c r="ESK48" s="344"/>
      <c r="ESL48" s="344"/>
      <c r="ESM48" s="344"/>
      <c r="ESN48" s="344"/>
      <c r="ESO48" s="344"/>
      <c r="ESP48" s="344"/>
      <c r="ESQ48" s="344"/>
      <c r="ESR48" s="344"/>
      <c r="ESS48" s="344"/>
      <c r="EST48" s="344"/>
      <c r="ESU48" s="344"/>
      <c r="ESV48" s="344"/>
      <c r="ESW48" s="344"/>
      <c r="ESX48" s="344"/>
      <c r="ESY48" s="344"/>
      <c r="ESZ48" s="344"/>
      <c r="ETA48" s="344"/>
      <c r="ETB48" s="344"/>
      <c r="ETC48" s="344"/>
      <c r="ETD48" s="344"/>
      <c r="ETE48" s="344"/>
      <c r="ETF48" s="344"/>
      <c r="ETG48" s="344"/>
      <c r="ETH48" s="344"/>
      <c r="ETI48" s="344"/>
      <c r="ETJ48" s="344"/>
      <c r="ETK48" s="344"/>
      <c r="ETL48" s="344"/>
      <c r="ETM48" s="344"/>
      <c r="ETN48" s="344"/>
      <c r="ETO48" s="344"/>
      <c r="ETP48" s="344"/>
      <c r="ETQ48" s="344"/>
      <c r="ETR48" s="344"/>
      <c r="ETS48" s="344"/>
      <c r="ETT48" s="344"/>
      <c r="ETU48" s="344"/>
      <c r="ETV48" s="344"/>
      <c r="ETW48" s="344"/>
      <c r="ETX48" s="344"/>
      <c r="ETY48" s="344"/>
      <c r="ETZ48" s="344"/>
      <c r="EUA48" s="344"/>
      <c r="EUB48" s="344"/>
      <c r="EUC48" s="344"/>
      <c r="EUD48" s="344"/>
      <c r="EUE48" s="344"/>
      <c r="EUF48" s="344"/>
      <c r="EUG48" s="344"/>
      <c r="EUH48" s="344"/>
      <c r="EUI48" s="344"/>
      <c r="EUJ48" s="344"/>
      <c r="EUK48" s="344"/>
      <c r="EUL48" s="344"/>
      <c r="EUM48" s="344"/>
      <c r="EUN48" s="344"/>
      <c r="EUO48" s="344"/>
      <c r="EUP48" s="344"/>
      <c r="EUQ48" s="344"/>
      <c r="EUR48" s="344"/>
      <c r="EUS48" s="344"/>
      <c r="EUT48" s="344"/>
      <c r="EUU48" s="344"/>
      <c r="EUV48" s="344"/>
      <c r="EUW48" s="344"/>
      <c r="EUX48" s="344"/>
      <c r="EUY48" s="344"/>
      <c r="EUZ48" s="344"/>
      <c r="EVA48" s="344"/>
      <c r="EVB48" s="344"/>
      <c r="EVC48" s="344"/>
      <c r="EVD48" s="344"/>
      <c r="EVE48" s="344"/>
      <c r="EVF48" s="344"/>
      <c r="EVG48" s="344"/>
      <c r="EVH48" s="344"/>
      <c r="EVI48" s="344"/>
      <c r="EVJ48" s="344"/>
      <c r="EVK48" s="344"/>
      <c r="EVL48" s="344"/>
      <c r="EVM48" s="344"/>
      <c r="EVN48" s="344"/>
      <c r="EVO48" s="344"/>
      <c r="EVP48" s="344"/>
      <c r="EVQ48" s="344"/>
      <c r="EVR48" s="344"/>
      <c r="EVS48" s="344"/>
      <c r="EVT48" s="344"/>
      <c r="EVU48" s="344"/>
      <c r="EVV48" s="344"/>
      <c r="EVW48" s="344"/>
      <c r="EVX48" s="344"/>
      <c r="EVY48" s="344"/>
      <c r="EVZ48" s="344"/>
      <c r="EWA48" s="344"/>
      <c r="EWB48" s="344"/>
      <c r="EWC48" s="344"/>
      <c r="EWD48" s="344"/>
      <c r="EWE48" s="344"/>
      <c r="EWF48" s="344"/>
      <c r="EWG48" s="344"/>
      <c r="EWH48" s="344"/>
      <c r="EWI48" s="344"/>
      <c r="EWJ48" s="344"/>
      <c r="EWK48" s="344"/>
      <c r="EWL48" s="344"/>
      <c r="EWM48" s="344"/>
      <c r="EWN48" s="344"/>
      <c r="EWO48" s="344"/>
      <c r="EWP48" s="344"/>
      <c r="EWQ48" s="344"/>
      <c r="EWR48" s="344"/>
      <c r="EWS48" s="344"/>
      <c r="EWT48" s="344"/>
      <c r="EWU48" s="344"/>
      <c r="EWV48" s="344"/>
      <c r="EWW48" s="344"/>
      <c r="EWX48" s="344"/>
      <c r="EWY48" s="344"/>
      <c r="EWZ48" s="344"/>
      <c r="EXA48" s="344"/>
      <c r="EXB48" s="344"/>
      <c r="EXC48" s="344"/>
      <c r="EXD48" s="344"/>
      <c r="EXE48" s="344"/>
      <c r="EXF48" s="344"/>
      <c r="EXG48" s="344"/>
      <c r="EXH48" s="344"/>
      <c r="EXI48" s="344"/>
      <c r="EXJ48" s="344"/>
      <c r="EXK48" s="344"/>
      <c r="EXL48" s="344"/>
      <c r="EXM48" s="344"/>
      <c r="EXN48" s="344"/>
      <c r="EXO48" s="344"/>
      <c r="EXP48" s="344"/>
      <c r="EXQ48" s="344"/>
      <c r="EXR48" s="344"/>
      <c r="EXS48" s="344"/>
      <c r="EXT48" s="344"/>
      <c r="EXU48" s="344"/>
      <c r="EXV48" s="344"/>
      <c r="EXW48" s="344"/>
      <c r="EXX48" s="344"/>
      <c r="EXY48" s="344"/>
      <c r="EXZ48" s="344"/>
      <c r="EYA48" s="344"/>
      <c r="EYB48" s="344"/>
      <c r="EYC48" s="344"/>
      <c r="EYD48" s="344"/>
      <c r="EYE48" s="344"/>
      <c r="EYF48" s="344"/>
      <c r="EYG48" s="344"/>
      <c r="EYH48" s="344"/>
      <c r="EYI48" s="344"/>
      <c r="EYJ48" s="344"/>
      <c r="EYK48" s="344"/>
      <c r="EYL48" s="344"/>
      <c r="EYM48" s="344"/>
      <c r="EYN48" s="344"/>
      <c r="EYO48" s="344"/>
      <c r="EYP48" s="344"/>
      <c r="EYQ48" s="344"/>
      <c r="EYR48" s="344"/>
      <c r="EYS48" s="344"/>
      <c r="EYT48" s="344"/>
      <c r="EYU48" s="344"/>
      <c r="EYV48" s="344"/>
      <c r="EYW48" s="344"/>
      <c r="EYX48" s="344"/>
      <c r="EYY48" s="344"/>
      <c r="EYZ48" s="344"/>
      <c r="EZA48" s="344"/>
      <c r="EZB48" s="344"/>
      <c r="EZC48" s="344"/>
      <c r="EZD48" s="344"/>
      <c r="EZE48" s="344"/>
      <c r="EZF48" s="344"/>
      <c r="EZG48" s="344"/>
      <c r="EZH48" s="344"/>
      <c r="EZI48" s="344"/>
      <c r="EZJ48" s="344"/>
      <c r="EZK48" s="344"/>
      <c r="EZL48" s="344"/>
      <c r="EZM48" s="344"/>
      <c r="EZN48" s="344"/>
      <c r="EZO48" s="344"/>
      <c r="EZP48" s="344"/>
      <c r="EZQ48" s="344"/>
      <c r="EZR48" s="344"/>
      <c r="EZS48" s="344"/>
      <c r="EZT48" s="344"/>
      <c r="EZU48" s="344"/>
      <c r="EZV48" s="344"/>
      <c r="EZW48" s="344"/>
      <c r="EZX48" s="344"/>
      <c r="EZY48" s="344"/>
      <c r="EZZ48" s="344"/>
      <c r="FAA48" s="344"/>
      <c r="FAB48" s="344"/>
      <c r="FAC48" s="344"/>
      <c r="FAD48" s="344"/>
      <c r="FAE48" s="344"/>
      <c r="FAF48" s="344"/>
      <c r="FAG48" s="344"/>
      <c r="FAH48" s="344"/>
      <c r="FAI48" s="344"/>
      <c r="FAJ48" s="344"/>
      <c r="FAK48" s="344"/>
      <c r="FAL48" s="344"/>
      <c r="FAM48" s="344"/>
      <c r="FAN48" s="344"/>
      <c r="FAO48" s="344"/>
      <c r="FAP48" s="344"/>
      <c r="FAQ48" s="344"/>
      <c r="FAR48" s="344"/>
      <c r="FAS48" s="344"/>
      <c r="FAT48" s="344"/>
      <c r="FAU48" s="344"/>
      <c r="FAV48" s="344"/>
      <c r="FAW48" s="344"/>
      <c r="FAX48" s="344"/>
      <c r="FAY48" s="344"/>
      <c r="FAZ48" s="344"/>
      <c r="FBA48" s="344"/>
      <c r="FBB48" s="344"/>
      <c r="FBC48" s="344"/>
      <c r="FBD48" s="344"/>
      <c r="FBE48" s="344"/>
      <c r="FBF48" s="344"/>
      <c r="FBG48" s="344"/>
      <c r="FBH48" s="344"/>
      <c r="FBI48" s="344"/>
      <c r="FBJ48" s="344"/>
      <c r="FBK48" s="344"/>
      <c r="FBL48" s="344"/>
      <c r="FBM48" s="344"/>
      <c r="FBN48" s="344"/>
      <c r="FBO48" s="344"/>
      <c r="FBP48" s="344"/>
      <c r="FBQ48" s="344"/>
      <c r="FBR48" s="344"/>
      <c r="FBS48" s="344"/>
      <c r="FBT48" s="344"/>
      <c r="FBU48" s="344"/>
      <c r="FBV48" s="344"/>
      <c r="FBW48" s="344"/>
      <c r="FBX48" s="344"/>
      <c r="FBY48" s="344"/>
      <c r="FBZ48" s="344"/>
      <c r="FCA48" s="344"/>
      <c r="FCB48" s="344"/>
      <c r="FCC48" s="344"/>
      <c r="FCD48" s="344"/>
      <c r="FCE48" s="344"/>
      <c r="FCF48" s="344"/>
      <c r="FCG48" s="344"/>
      <c r="FCH48" s="344"/>
      <c r="FCI48" s="344"/>
      <c r="FCJ48" s="344"/>
      <c r="FCK48" s="344"/>
      <c r="FCL48" s="344"/>
      <c r="FCM48" s="344"/>
      <c r="FCN48" s="344"/>
      <c r="FCO48" s="344"/>
      <c r="FCP48" s="344"/>
      <c r="FCQ48" s="344"/>
      <c r="FCR48" s="344"/>
      <c r="FCS48" s="344"/>
      <c r="FCT48" s="344"/>
      <c r="FCU48" s="344"/>
      <c r="FCV48" s="344"/>
      <c r="FCW48" s="344"/>
      <c r="FCX48" s="344"/>
      <c r="FCY48" s="344"/>
      <c r="FCZ48" s="344"/>
      <c r="FDA48" s="344"/>
      <c r="FDB48" s="344"/>
      <c r="FDC48" s="344"/>
      <c r="FDD48" s="344"/>
      <c r="FDE48" s="344"/>
      <c r="FDF48" s="344"/>
      <c r="FDG48" s="344"/>
      <c r="FDH48" s="344"/>
      <c r="FDI48" s="344"/>
      <c r="FDJ48" s="344"/>
      <c r="FDK48" s="344"/>
      <c r="FDL48" s="344"/>
      <c r="FDM48" s="344"/>
      <c r="FDN48" s="344"/>
      <c r="FDO48" s="344"/>
      <c r="FDP48" s="344"/>
      <c r="FDQ48" s="344"/>
      <c r="FDR48" s="344"/>
      <c r="FDS48" s="344"/>
      <c r="FDT48" s="344"/>
      <c r="FDU48" s="344"/>
      <c r="FDV48" s="344"/>
      <c r="FDW48" s="344"/>
      <c r="FDX48" s="344"/>
      <c r="FDY48" s="344"/>
      <c r="FDZ48" s="344"/>
      <c r="FEA48" s="344"/>
      <c r="FEB48" s="344"/>
      <c r="FEC48" s="344"/>
      <c r="FED48" s="344"/>
      <c r="FEE48" s="344"/>
      <c r="FEF48" s="344"/>
      <c r="FEG48" s="344"/>
      <c r="FEH48" s="344"/>
      <c r="FEI48" s="344"/>
      <c r="FEJ48" s="344"/>
      <c r="FEK48" s="344"/>
      <c r="FEL48" s="344"/>
      <c r="FEM48" s="344"/>
      <c r="FEN48" s="344"/>
      <c r="FEO48" s="344"/>
      <c r="FEP48" s="344"/>
      <c r="FEQ48" s="344"/>
      <c r="FER48" s="344"/>
      <c r="FES48" s="344"/>
      <c r="FET48" s="344"/>
      <c r="FEU48" s="344"/>
      <c r="FEV48" s="344"/>
      <c r="FEW48" s="344"/>
      <c r="FEX48" s="344"/>
      <c r="FEY48" s="344"/>
      <c r="FEZ48" s="344"/>
      <c r="FFA48" s="344"/>
      <c r="FFB48" s="344"/>
      <c r="FFC48" s="344"/>
      <c r="FFD48" s="344"/>
      <c r="FFE48" s="344"/>
      <c r="FFF48" s="344"/>
      <c r="FFG48" s="344"/>
      <c r="FFH48" s="344"/>
      <c r="FFI48" s="344"/>
      <c r="FFJ48" s="344"/>
      <c r="FFK48" s="344"/>
      <c r="FFL48" s="344"/>
      <c r="FFM48" s="344"/>
      <c r="FFN48" s="344"/>
      <c r="FFO48" s="344"/>
      <c r="FFP48" s="344"/>
      <c r="FFQ48" s="344"/>
      <c r="FFR48" s="344"/>
      <c r="FFS48" s="344"/>
      <c r="FFT48" s="344"/>
      <c r="FFU48" s="344"/>
      <c r="FFV48" s="344"/>
      <c r="FFW48" s="344"/>
      <c r="FFX48" s="344"/>
      <c r="FFY48" s="344"/>
      <c r="FFZ48" s="344"/>
      <c r="FGA48" s="344"/>
      <c r="FGB48" s="344"/>
      <c r="FGC48" s="344"/>
      <c r="FGD48" s="344"/>
      <c r="FGE48" s="344"/>
      <c r="FGF48" s="344"/>
      <c r="FGG48" s="344"/>
      <c r="FGH48" s="344"/>
      <c r="FGI48" s="344"/>
      <c r="FGJ48" s="344"/>
      <c r="FGK48" s="344"/>
      <c r="FGL48" s="344"/>
      <c r="FGM48" s="344"/>
      <c r="FGN48" s="344"/>
      <c r="FGO48" s="344"/>
      <c r="FGP48" s="344"/>
      <c r="FGQ48" s="344"/>
      <c r="FGR48" s="344"/>
      <c r="FGS48" s="344"/>
      <c r="FGT48" s="344"/>
      <c r="FGU48" s="344"/>
      <c r="FGV48" s="344"/>
      <c r="FGW48" s="344"/>
      <c r="FGX48" s="344"/>
      <c r="FGY48" s="344"/>
      <c r="FGZ48" s="344"/>
      <c r="FHA48" s="344"/>
      <c r="FHB48" s="344"/>
      <c r="FHC48" s="344"/>
      <c r="FHD48" s="344"/>
      <c r="FHE48" s="344"/>
      <c r="FHF48" s="344"/>
      <c r="FHG48" s="344"/>
      <c r="FHH48" s="344"/>
      <c r="FHI48" s="344"/>
      <c r="FHJ48" s="344"/>
      <c r="FHK48" s="344"/>
      <c r="FHL48" s="344"/>
      <c r="FHM48" s="344"/>
      <c r="FHN48" s="344"/>
      <c r="FHO48" s="344"/>
      <c r="FHP48" s="344"/>
      <c r="FHQ48" s="344"/>
      <c r="FHR48" s="344"/>
      <c r="FHS48" s="344"/>
      <c r="FHT48" s="344"/>
      <c r="FHU48" s="344"/>
      <c r="FHV48" s="344"/>
      <c r="FHW48" s="344"/>
      <c r="FHX48" s="344"/>
      <c r="FHY48" s="344"/>
      <c r="FHZ48" s="344"/>
      <c r="FIA48" s="344"/>
      <c r="FIB48" s="344"/>
      <c r="FIC48" s="344"/>
      <c r="FID48" s="344"/>
      <c r="FIE48" s="344"/>
      <c r="FIF48" s="344"/>
      <c r="FIG48" s="344"/>
      <c r="FIH48" s="344"/>
      <c r="FII48" s="344"/>
      <c r="FIJ48" s="344"/>
      <c r="FIK48" s="344"/>
      <c r="FIL48" s="344"/>
      <c r="FIM48" s="344"/>
      <c r="FIN48" s="344"/>
      <c r="FIO48" s="344"/>
      <c r="FIP48" s="344"/>
      <c r="FIQ48" s="344"/>
      <c r="FIR48" s="344"/>
      <c r="FIS48" s="344"/>
      <c r="FIT48" s="344"/>
      <c r="FIU48" s="344"/>
      <c r="FIV48" s="344"/>
      <c r="FIW48" s="344"/>
      <c r="FIX48" s="344"/>
      <c r="FIY48" s="344"/>
      <c r="FIZ48" s="344"/>
      <c r="FJA48" s="344"/>
      <c r="FJB48" s="344"/>
      <c r="FJC48" s="344"/>
      <c r="FJD48" s="344"/>
      <c r="FJE48" s="344"/>
      <c r="FJF48" s="344"/>
      <c r="FJG48" s="344"/>
      <c r="FJH48" s="344"/>
      <c r="FJI48" s="344"/>
      <c r="FJJ48" s="344"/>
      <c r="FJK48" s="344"/>
      <c r="FJL48" s="344"/>
      <c r="FJM48" s="344"/>
      <c r="FJN48" s="344"/>
      <c r="FJO48" s="344"/>
      <c r="FJP48" s="344"/>
      <c r="FJQ48" s="344"/>
      <c r="FJR48" s="344"/>
      <c r="FJS48" s="344"/>
      <c r="FJT48" s="344"/>
      <c r="FJU48" s="344"/>
      <c r="FJV48" s="344"/>
      <c r="FJW48" s="344"/>
      <c r="FJX48" s="344"/>
      <c r="FJY48" s="344"/>
      <c r="FJZ48" s="344"/>
      <c r="FKA48" s="344"/>
      <c r="FKB48" s="344"/>
      <c r="FKC48" s="344"/>
      <c r="FKD48" s="344"/>
      <c r="FKE48" s="344"/>
      <c r="FKF48" s="344"/>
      <c r="FKG48" s="344"/>
      <c r="FKH48" s="344"/>
      <c r="FKI48" s="344"/>
      <c r="FKJ48" s="344"/>
      <c r="FKK48" s="344"/>
      <c r="FKL48" s="344"/>
      <c r="FKM48" s="344"/>
      <c r="FKN48" s="344"/>
      <c r="FKO48" s="344"/>
      <c r="FKP48" s="344"/>
      <c r="FKQ48" s="344"/>
      <c r="FKR48" s="344"/>
      <c r="FKS48" s="344"/>
      <c r="FKT48" s="344"/>
      <c r="FKU48" s="344"/>
      <c r="FKV48" s="344"/>
      <c r="FKW48" s="344"/>
      <c r="FKX48" s="344"/>
      <c r="FKY48" s="344"/>
      <c r="FKZ48" s="344"/>
      <c r="FLA48" s="344"/>
      <c r="FLB48" s="344"/>
      <c r="FLC48" s="344"/>
      <c r="FLD48" s="344"/>
      <c r="FLE48" s="344"/>
      <c r="FLF48" s="344"/>
      <c r="FLG48" s="344"/>
      <c r="FLH48" s="344"/>
      <c r="FLI48" s="344"/>
      <c r="FLJ48" s="344"/>
      <c r="FLK48" s="344"/>
      <c r="FLL48" s="344"/>
      <c r="FLM48" s="344"/>
      <c r="FLN48" s="344"/>
      <c r="FLO48" s="344"/>
      <c r="FLP48" s="344"/>
      <c r="FLQ48" s="344"/>
      <c r="FLR48" s="344"/>
      <c r="FLS48" s="344"/>
      <c r="FLT48" s="344"/>
      <c r="FLU48" s="344"/>
      <c r="FLV48" s="344"/>
      <c r="FLW48" s="344"/>
      <c r="FLX48" s="344"/>
      <c r="FLY48" s="344"/>
      <c r="FLZ48" s="344"/>
      <c r="FMA48" s="344"/>
      <c r="FMB48" s="344"/>
      <c r="FMC48" s="344"/>
      <c r="FMD48" s="344"/>
      <c r="FME48" s="344"/>
      <c r="FMF48" s="344"/>
      <c r="FMG48" s="344"/>
      <c r="FMH48" s="344"/>
      <c r="FMI48" s="344"/>
      <c r="FMJ48" s="344"/>
      <c r="FMK48" s="344"/>
      <c r="FML48" s="344"/>
      <c r="FMM48" s="344"/>
      <c r="FMN48" s="344"/>
      <c r="FMO48" s="344"/>
      <c r="FMP48" s="344"/>
      <c r="FMQ48" s="344"/>
      <c r="FMR48" s="344"/>
      <c r="FMS48" s="344"/>
      <c r="FMT48" s="344"/>
      <c r="FMU48" s="344"/>
      <c r="FMV48" s="344"/>
      <c r="FMW48" s="344"/>
      <c r="FMX48" s="344"/>
      <c r="FMY48" s="344"/>
      <c r="FMZ48" s="344"/>
      <c r="FNA48" s="344"/>
      <c r="FNB48" s="344"/>
      <c r="FNC48" s="344"/>
      <c r="FND48" s="344"/>
      <c r="FNE48" s="344"/>
      <c r="FNF48" s="344"/>
      <c r="FNG48" s="344"/>
      <c r="FNH48" s="344"/>
      <c r="FNI48" s="344"/>
      <c r="FNJ48" s="344"/>
      <c r="FNK48" s="344"/>
      <c r="FNL48" s="344"/>
      <c r="FNM48" s="344"/>
      <c r="FNN48" s="344"/>
      <c r="FNO48" s="344"/>
      <c r="FNP48" s="344"/>
      <c r="FNQ48" s="344"/>
      <c r="FNR48" s="344"/>
      <c r="FNS48" s="344"/>
      <c r="FNT48" s="344"/>
      <c r="FNU48" s="344"/>
      <c r="FNV48" s="344"/>
      <c r="FNW48" s="344"/>
      <c r="FNX48" s="344"/>
      <c r="FNY48" s="344"/>
      <c r="FNZ48" s="344"/>
      <c r="FOA48" s="344"/>
      <c r="FOB48" s="344"/>
      <c r="FOC48" s="344"/>
      <c r="FOD48" s="344"/>
      <c r="FOE48" s="344"/>
      <c r="FOF48" s="344"/>
      <c r="FOG48" s="344"/>
      <c r="FOH48" s="344"/>
      <c r="FOI48" s="344"/>
      <c r="FOJ48" s="344"/>
      <c r="FOK48" s="344"/>
      <c r="FOL48" s="344"/>
      <c r="FOM48" s="344"/>
      <c r="FON48" s="344"/>
      <c r="FOO48" s="344"/>
      <c r="FOP48" s="344"/>
      <c r="FOQ48" s="344"/>
      <c r="FOR48" s="344"/>
      <c r="FOS48" s="344"/>
      <c r="FOT48" s="344"/>
      <c r="FOU48" s="344"/>
      <c r="FOV48" s="344"/>
      <c r="FOW48" s="344"/>
      <c r="FOX48" s="344"/>
      <c r="FOY48" s="344"/>
      <c r="FOZ48" s="344"/>
      <c r="FPA48" s="344"/>
      <c r="FPB48" s="344"/>
      <c r="FPC48" s="344"/>
      <c r="FPD48" s="344"/>
      <c r="FPE48" s="344"/>
      <c r="FPF48" s="344"/>
      <c r="FPG48" s="344"/>
      <c r="FPH48" s="344"/>
      <c r="FPI48" s="344"/>
      <c r="FPJ48" s="344"/>
      <c r="FPK48" s="344"/>
      <c r="FPL48" s="344"/>
      <c r="FPM48" s="344"/>
      <c r="FPN48" s="344"/>
      <c r="FPO48" s="344"/>
      <c r="FPP48" s="344"/>
      <c r="FPQ48" s="344"/>
      <c r="FPR48" s="344"/>
      <c r="FPS48" s="344"/>
      <c r="FPT48" s="344"/>
      <c r="FPU48" s="344"/>
      <c r="FPV48" s="344"/>
      <c r="FPW48" s="344"/>
      <c r="FPX48" s="344"/>
      <c r="FPY48" s="344"/>
      <c r="FPZ48" s="344"/>
      <c r="FQA48" s="344"/>
      <c r="FQB48" s="344"/>
      <c r="FQC48" s="344"/>
      <c r="FQD48" s="344"/>
      <c r="FQE48" s="344"/>
      <c r="FQF48" s="344"/>
      <c r="FQG48" s="344"/>
      <c r="FQH48" s="344"/>
      <c r="FQI48" s="344"/>
      <c r="FQJ48" s="344"/>
      <c r="FQK48" s="344"/>
      <c r="FQL48" s="344"/>
      <c r="FQM48" s="344"/>
      <c r="FQN48" s="344"/>
      <c r="FQO48" s="344"/>
      <c r="FQP48" s="344"/>
      <c r="FQQ48" s="344"/>
      <c r="FQR48" s="344"/>
      <c r="FQS48" s="344"/>
      <c r="FQT48" s="344"/>
      <c r="FQU48" s="344"/>
      <c r="FQV48" s="344"/>
      <c r="FQW48" s="344"/>
      <c r="FQX48" s="344"/>
      <c r="FQY48" s="344"/>
      <c r="FQZ48" s="344"/>
      <c r="FRA48" s="344"/>
      <c r="FRB48" s="344"/>
      <c r="FRC48" s="344"/>
      <c r="FRD48" s="344"/>
      <c r="FRE48" s="344"/>
      <c r="FRF48" s="344"/>
      <c r="FRG48" s="344"/>
      <c r="FRH48" s="344"/>
      <c r="FRI48" s="344"/>
      <c r="FRJ48" s="344"/>
      <c r="FRK48" s="344"/>
      <c r="FRL48" s="344"/>
      <c r="FRM48" s="344"/>
      <c r="FRN48" s="344"/>
      <c r="FRO48" s="344"/>
      <c r="FRP48" s="344"/>
      <c r="FRQ48" s="344"/>
      <c r="FRR48" s="344"/>
      <c r="FRS48" s="344"/>
      <c r="FRT48" s="344"/>
      <c r="FRU48" s="344"/>
      <c r="FRV48" s="344"/>
      <c r="FRW48" s="344"/>
      <c r="FRX48" s="344"/>
      <c r="FRY48" s="344"/>
      <c r="FRZ48" s="344"/>
      <c r="FSA48" s="344"/>
      <c r="FSB48" s="344"/>
      <c r="FSC48" s="344"/>
      <c r="FSD48" s="344"/>
      <c r="FSE48" s="344"/>
      <c r="FSF48" s="344"/>
      <c r="FSG48" s="344"/>
      <c r="FSH48" s="344"/>
      <c r="FSI48" s="344"/>
      <c r="FSJ48" s="344"/>
      <c r="FSK48" s="344"/>
      <c r="FSL48" s="344"/>
      <c r="FSM48" s="344"/>
      <c r="FSN48" s="344"/>
      <c r="FSO48" s="344"/>
      <c r="FSP48" s="344"/>
      <c r="FSQ48" s="344"/>
      <c r="FSR48" s="344"/>
      <c r="FSS48" s="344"/>
      <c r="FST48" s="344"/>
      <c r="FSU48" s="344"/>
      <c r="FSV48" s="344"/>
      <c r="FSW48" s="344"/>
      <c r="FSX48" s="344"/>
      <c r="FSY48" s="344"/>
      <c r="FSZ48" s="344"/>
      <c r="FTA48" s="344"/>
      <c r="FTB48" s="344"/>
      <c r="FTC48" s="344"/>
      <c r="FTD48" s="344"/>
      <c r="FTE48" s="344"/>
      <c r="FTF48" s="344"/>
      <c r="FTG48" s="344"/>
      <c r="FTH48" s="344"/>
      <c r="FTI48" s="344"/>
      <c r="FTJ48" s="344"/>
      <c r="FTK48" s="344"/>
      <c r="FTL48" s="344"/>
      <c r="FTM48" s="344"/>
      <c r="FTN48" s="344"/>
      <c r="FTO48" s="344"/>
      <c r="FTP48" s="344"/>
      <c r="FTQ48" s="344"/>
      <c r="FTR48" s="344"/>
      <c r="FTS48" s="344"/>
      <c r="FTT48" s="344"/>
      <c r="FTU48" s="344"/>
      <c r="FTV48" s="344"/>
      <c r="FTW48" s="344"/>
      <c r="FTX48" s="344"/>
      <c r="FTY48" s="344"/>
      <c r="FTZ48" s="344"/>
      <c r="FUA48" s="344"/>
      <c r="FUB48" s="344"/>
      <c r="FUC48" s="344"/>
      <c r="FUD48" s="344"/>
      <c r="FUE48" s="344"/>
      <c r="FUF48" s="344"/>
      <c r="FUG48" s="344"/>
      <c r="FUH48" s="344"/>
      <c r="FUI48" s="344"/>
      <c r="FUJ48" s="344"/>
      <c r="FUK48" s="344"/>
      <c r="FUL48" s="344"/>
      <c r="FUM48" s="344"/>
      <c r="FUN48" s="344"/>
      <c r="FUO48" s="344"/>
      <c r="FUP48" s="344"/>
      <c r="FUQ48" s="344"/>
      <c r="FUR48" s="344"/>
      <c r="FUS48" s="344"/>
      <c r="FUT48" s="344"/>
      <c r="FUU48" s="344"/>
      <c r="FUV48" s="344"/>
      <c r="FUW48" s="344"/>
      <c r="FUX48" s="344"/>
      <c r="FUY48" s="344"/>
      <c r="FUZ48" s="344"/>
      <c r="FVA48" s="344"/>
      <c r="FVB48" s="344"/>
      <c r="FVC48" s="344"/>
      <c r="FVD48" s="344"/>
      <c r="FVE48" s="344"/>
      <c r="FVF48" s="344"/>
      <c r="FVG48" s="344"/>
      <c r="FVH48" s="344"/>
      <c r="FVI48" s="344"/>
      <c r="FVJ48" s="344"/>
      <c r="FVK48" s="344"/>
      <c r="FVL48" s="344"/>
      <c r="FVM48" s="344"/>
      <c r="FVN48" s="344"/>
      <c r="FVO48" s="344"/>
      <c r="FVP48" s="344"/>
      <c r="FVQ48" s="344"/>
      <c r="FVR48" s="344"/>
      <c r="FVS48" s="344"/>
      <c r="FVT48" s="344"/>
      <c r="FVU48" s="344"/>
      <c r="FVV48" s="344"/>
      <c r="FVW48" s="344"/>
      <c r="FVX48" s="344"/>
      <c r="FVY48" s="344"/>
      <c r="FVZ48" s="344"/>
      <c r="FWA48" s="344"/>
      <c r="FWB48" s="344"/>
      <c r="FWC48" s="344"/>
      <c r="FWD48" s="344"/>
      <c r="FWE48" s="344"/>
      <c r="FWF48" s="344"/>
      <c r="FWG48" s="344"/>
      <c r="FWH48" s="344"/>
      <c r="FWI48" s="344"/>
      <c r="FWJ48" s="344"/>
      <c r="FWK48" s="344"/>
      <c r="FWL48" s="344"/>
      <c r="FWM48" s="344"/>
      <c r="FWN48" s="344"/>
      <c r="FWO48" s="344"/>
      <c r="FWP48" s="344"/>
      <c r="FWQ48" s="344"/>
      <c r="FWR48" s="344"/>
      <c r="FWS48" s="344"/>
      <c r="FWT48" s="344"/>
      <c r="FWU48" s="344"/>
      <c r="FWV48" s="344"/>
      <c r="FWW48" s="344"/>
      <c r="FWX48" s="344"/>
      <c r="FWY48" s="344"/>
      <c r="FWZ48" s="344"/>
      <c r="FXA48" s="344"/>
      <c r="FXB48" s="344"/>
      <c r="FXC48" s="344"/>
      <c r="FXD48" s="344"/>
      <c r="FXE48" s="344"/>
      <c r="FXF48" s="344"/>
      <c r="FXG48" s="344"/>
      <c r="FXH48" s="344"/>
      <c r="FXI48" s="344"/>
      <c r="FXJ48" s="344"/>
      <c r="FXK48" s="344"/>
      <c r="FXL48" s="344"/>
      <c r="FXM48" s="344"/>
      <c r="FXN48" s="344"/>
      <c r="FXO48" s="344"/>
      <c r="FXP48" s="344"/>
      <c r="FXQ48" s="344"/>
      <c r="FXR48" s="344"/>
      <c r="FXS48" s="344"/>
      <c r="FXT48" s="344"/>
      <c r="FXU48" s="344"/>
      <c r="FXV48" s="344"/>
      <c r="FXW48" s="344"/>
      <c r="FXX48" s="344"/>
      <c r="FXY48" s="344"/>
      <c r="FXZ48" s="344"/>
      <c r="FYA48" s="344"/>
      <c r="FYB48" s="344"/>
      <c r="FYC48" s="344"/>
      <c r="FYD48" s="344"/>
      <c r="FYE48" s="344"/>
      <c r="FYF48" s="344"/>
      <c r="FYG48" s="344"/>
      <c r="FYH48" s="344"/>
      <c r="FYI48" s="344"/>
      <c r="FYJ48" s="344"/>
      <c r="FYK48" s="344"/>
      <c r="FYL48" s="344"/>
      <c r="FYM48" s="344"/>
      <c r="FYN48" s="344"/>
      <c r="FYO48" s="344"/>
      <c r="FYP48" s="344"/>
      <c r="FYQ48" s="344"/>
      <c r="FYR48" s="344"/>
      <c r="FYS48" s="344"/>
      <c r="FYT48" s="344"/>
      <c r="FYU48" s="344"/>
      <c r="FYV48" s="344"/>
      <c r="FYW48" s="344"/>
      <c r="FYX48" s="344"/>
      <c r="FYY48" s="344"/>
      <c r="FYZ48" s="344"/>
      <c r="FZA48" s="344"/>
      <c r="FZB48" s="344"/>
      <c r="FZC48" s="344"/>
      <c r="FZD48" s="344"/>
      <c r="FZE48" s="344"/>
      <c r="FZF48" s="344"/>
      <c r="FZG48" s="344"/>
      <c r="FZH48" s="344"/>
      <c r="FZI48" s="344"/>
      <c r="FZJ48" s="344"/>
      <c r="FZK48" s="344"/>
      <c r="FZL48" s="344"/>
      <c r="FZM48" s="344"/>
      <c r="FZN48" s="344"/>
      <c r="FZO48" s="344"/>
      <c r="FZP48" s="344"/>
      <c r="FZQ48" s="344"/>
      <c r="FZR48" s="344"/>
      <c r="FZS48" s="344"/>
      <c r="FZT48" s="344"/>
      <c r="FZU48" s="344"/>
      <c r="FZV48" s="344"/>
      <c r="FZW48" s="344"/>
      <c r="FZX48" s="344"/>
      <c r="FZY48" s="344"/>
      <c r="FZZ48" s="344"/>
      <c r="GAA48" s="344"/>
      <c r="GAB48" s="344"/>
      <c r="GAC48" s="344"/>
      <c r="GAD48" s="344"/>
      <c r="GAE48" s="344"/>
      <c r="GAF48" s="344"/>
      <c r="GAG48" s="344"/>
      <c r="GAH48" s="344"/>
      <c r="GAI48" s="344"/>
      <c r="GAJ48" s="344"/>
      <c r="GAK48" s="344"/>
      <c r="GAL48" s="344"/>
      <c r="GAM48" s="344"/>
      <c r="GAN48" s="344"/>
      <c r="GAO48" s="344"/>
      <c r="GAP48" s="344"/>
      <c r="GAQ48" s="344"/>
      <c r="GAR48" s="344"/>
      <c r="GAS48" s="344"/>
      <c r="GAT48" s="344"/>
      <c r="GAU48" s="344"/>
      <c r="GAV48" s="344"/>
      <c r="GAW48" s="344"/>
      <c r="GAX48" s="344"/>
      <c r="GAY48" s="344"/>
      <c r="GAZ48" s="344"/>
      <c r="GBA48" s="344"/>
      <c r="GBB48" s="344"/>
      <c r="GBC48" s="344"/>
      <c r="GBD48" s="344"/>
      <c r="GBE48" s="344"/>
      <c r="GBF48" s="344"/>
      <c r="GBG48" s="344"/>
      <c r="GBH48" s="344"/>
      <c r="GBI48" s="344"/>
      <c r="GBJ48" s="344"/>
      <c r="GBK48" s="344"/>
      <c r="GBL48" s="344"/>
      <c r="GBM48" s="344"/>
      <c r="GBN48" s="344"/>
      <c r="GBO48" s="344"/>
      <c r="GBP48" s="344"/>
      <c r="GBQ48" s="344"/>
      <c r="GBR48" s="344"/>
      <c r="GBS48" s="344"/>
      <c r="GBT48" s="344"/>
      <c r="GBU48" s="344"/>
      <c r="GBV48" s="344"/>
      <c r="GBW48" s="344"/>
      <c r="GBX48" s="344"/>
      <c r="GBY48" s="344"/>
      <c r="GBZ48" s="344"/>
      <c r="GCA48" s="344"/>
      <c r="GCB48" s="344"/>
      <c r="GCC48" s="344"/>
      <c r="GCD48" s="344"/>
      <c r="GCE48" s="344"/>
      <c r="GCF48" s="344"/>
      <c r="GCG48" s="344"/>
      <c r="GCH48" s="344"/>
      <c r="GCI48" s="344"/>
      <c r="GCJ48" s="344"/>
      <c r="GCK48" s="344"/>
      <c r="GCL48" s="344"/>
      <c r="GCM48" s="344"/>
      <c r="GCN48" s="344"/>
      <c r="GCO48" s="344"/>
      <c r="GCP48" s="344"/>
      <c r="GCQ48" s="344"/>
      <c r="GCR48" s="344"/>
      <c r="GCS48" s="344"/>
      <c r="GCT48" s="344"/>
      <c r="GCU48" s="344"/>
      <c r="GCV48" s="344"/>
      <c r="GCW48" s="344"/>
      <c r="GCX48" s="344"/>
      <c r="GCY48" s="344"/>
      <c r="GCZ48" s="344"/>
      <c r="GDA48" s="344"/>
      <c r="GDB48" s="344"/>
      <c r="GDC48" s="344"/>
      <c r="GDD48" s="344"/>
      <c r="GDE48" s="344"/>
      <c r="GDF48" s="344"/>
      <c r="GDG48" s="344"/>
      <c r="GDH48" s="344"/>
      <c r="GDI48" s="344"/>
      <c r="GDJ48" s="344"/>
      <c r="GDK48" s="344"/>
      <c r="GDL48" s="344"/>
      <c r="GDM48" s="344"/>
      <c r="GDN48" s="344"/>
      <c r="GDO48" s="344"/>
      <c r="GDP48" s="344"/>
      <c r="GDQ48" s="344"/>
      <c r="GDR48" s="344"/>
      <c r="GDS48" s="344"/>
      <c r="GDT48" s="344"/>
      <c r="GDU48" s="344"/>
      <c r="GDV48" s="344"/>
      <c r="GDW48" s="344"/>
      <c r="GDX48" s="344"/>
      <c r="GDY48" s="344"/>
      <c r="GDZ48" s="344"/>
      <c r="GEA48" s="344"/>
      <c r="GEB48" s="344"/>
      <c r="GEC48" s="344"/>
      <c r="GED48" s="344"/>
      <c r="GEE48" s="344"/>
      <c r="GEF48" s="344"/>
      <c r="GEG48" s="344"/>
      <c r="GEH48" s="344"/>
      <c r="GEI48" s="344"/>
      <c r="GEJ48" s="344"/>
      <c r="GEK48" s="344"/>
      <c r="GEL48" s="344"/>
      <c r="GEM48" s="344"/>
      <c r="GEN48" s="344"/>
      <c r="GEO48" s="344"/>
      <c r="GEP48" s="344"/>
      <c r="GEQ48" s="344"/>
      <c r="GER48" s="344"/>
      <c r="GES48" s="344"/>
      <c r="GET48" s="344"/>
      <c r="GEU48" s="344"/>
      <c r="GEV48" s="344"/>
      <c r="GEW48" s="344"/>
      <c r="GEX48" s="344"/>
      <c r="GEY48" s="344"/>
      <c r="GEZ48" s="344"/>
      <c r="GFA48" s="344"/>
      <c r="GFB48" s="344"/>
      <c r="GFC48" s="344"/>
      <c r="GFD48" s="344"/>
      <c r="GFE48" s="344"/>
      <c r="GFF48" s="344"/>
      <c r="GFG48" s="344"/>
      <c r="GFH48" s="344"/>
      <c r="GFI48" s="344"/>
      <c r="GFJ48" s="344"/>
      <c r="GFK48" s="344"/>
      <c r="GFL48" s="344"/>
      <c r="GFM48" s="344"/>
      <c r="GFN48" s="344"/>
      <c r="GFO48" s="344"/>
      <c r="GFP48" s="344"/>
      <c r="GFQ48" s="344"/>
      <c r="GFR48" s="344"/>
      <c r="GFS48" s="344"/>
      <c r="GFT48" s="344"/>
      <c r="GFU48" s="344"/>
      <c r="GFV48" s="344"/>
      <c r="GFW48" s="344"/>
      <c r="GFX48" s="344"/>
      <c r="GFY48" s="344"/>
      <c r="GFZ48" s="344"/>
      <c r="GGA48" s="344"/>
      <c r="GGB48" s="344"/>
      <c r="GGC48" s="344"/>
      <c r="GGD48" s="344"/>
      <c r="GGE48" s="344"/>
      <c r="GGF48" s="344"/>
      <c r="GGG48" s="344"/>
      <c r="GGH48" s="344"/>
      <c r="GGI48" s="344"/>
      <c r="GGJ48" s="344"/>
      <c r="GGK48" s="344"/>
      <c r="GGL48" s="344"/>
      <c r="GGM48" s="344"/>
      <c r="GGN48" s="344"/>
      <c r="GGO48" s="344"/>
      <c r="GGP48" s="344"/>
      <c r="GGQ48" s="344"/>
      <c r="GGR48" s="344"/>
      <c r="GGS48" s="344"/>
      <c r="GGT48" s="344"/>
      <c r="GGU48" s="344"/>
      <c r="GGV48" s="344"/>
      <c r="GGW48" s="344"/>
      <c r="GGX48" s="344"/>
      <c r="GGY48" s="344"/>
      <c r="GGZ48" s="344"/>
      <c r="GHA48" s="344"/>
      <c r="GHB48" s="344"/>
      <c r="GHC48" s="344"/>
      <c r="GHD48" s="344"/>
      <c r="GHE48" s="344"/>
      <c r="GHF48" s="344"/>
      <c r="GHG48" s="344"/>
      <c r="GHH48" s="344"/>
      <c r="GHI48" s="344"/>
      <c r="GHJ48" s="344"/>
      <c r="GHK48" s="344"/>
      <c r="GHL48" s="344"/>
      <c r="GHM48" s="344"/>
      <c r="GHN48" s="344"/>
      <c r="GHO48" s="344"/>
      <c r="GHP48" s="344"/>
      <c r="GHQ48" s="344"/>
      <c r="GHR48" s="344"/>
      <c r="GHS48" s="344"/>
      <c r="GHT48" s="344"/>
      <c r="GHU48" s="344"/>
      <c r="GHV48" s="344"/>
      <c r="GHW48" s="344"/>
      <c r="GHX48" s="344"/>
      <c r="GHY48" s="344"/>
      <c r="GHZ48" s="344"/>
      <c r="GIA48" s="344"/>
      <c r="GIB48" s="344"/>
      <c r="GIC48" s="344"/>
      <c r="GID48" s="344"/>
      <c r="GIE48" s="344"/>
      <c r="GIF48" s="344"/>
      <c r="GIG48" s="344"/>
      <c r="GIH48" s="344"/>
      <c r="GII48" s="344"/>
      <c r="GIJ48" s="344"/>
      <c r="GIK48" s="344"/>
      <c r="GIL48" s="344"/>
      <c r="GIM48" s="344"/>
      <c r="GIN48" s="344"/>
      <c r="GIO48" s="344"/>
      <c r="GIP48" s="344"/>
      <c r="GIQ48" s="344"/>
      <c r="GIR48" s="344"/>
      <c r="GIS48" s="344"/>
      <c r="GIT48" s="344"/>
      <c r="GIU48" s="344"/>
      <c r="GIV48" s="344"/>
      <c r="GIW48" s="344"/>
      <c r="GIX48" s="344"/>
      <c r="GIY48" s="344"/>
      <c r="GIZ48" s="344"/>
      <c r="GJA48" s="344"/>
      <c r="GJB48" s="344"/>
      <c r="GJC48" s="344"/>
      <c r="GJD48" s="344"/>
      <c r="GJE48" s="344"/>
      <c r="GJF48" s="344"/>
      <c r="GJG48" s="344"/>
      <c r="GJH48" s="344"/>
      <c r="GJI48" s="344"/>
      <c r="GJJ48" s="344"/>
      <c r="GJK48" s="344"/>
      <c r="GJL48" s="344"/>
      <c r="GJM48" s="344"/>
      <c r="GJN48" s="344"/>
      <c r="GJO48" s="344"/>
      <c r="GJP48" s="344"/>
      <c r="GJQ48" s="344"/>
      <c r="GJR48" s="344"/>
      <c r="GJS48" s="344"/>
      <c r="GJT48" s="344"/>
      <c r="GJU48" s="344"/>
      <c r="GJV48" s="344"/>
      <c r="GJW48" s="344"/>
      <c r="GJX48" s="344"/>
      <c r="GJY48" s="344"/>
      <c r="GJZ48" s="344"/>
      <c r="GKA48" s="344"/>
      <c r="GKB48" s="344"/>
      <c r="GKC48" s="344"/>
      <c r="GKD48" s="344"/>
      <c r="GKE48" s="344"/>
      <c r="GKF48" s="344"/>
      <c r="GKG48" s="344"/>
      <c r="GKH48" s="344"/>
      <c r="GKI48" s="344"/>
      <c r="GKJ48" s="344"/>
      <c r="GKK48" s="344"/>
      <c r="GKL48" s="344"/>
      <c r="GKM48" s="344"/>
      <c r="GKN48" s="344"/>
      <c r="GKO48" s="344"/>
      <c r="GKP48" s="344"/>
      <c r="GKQ48" s="344"/>
      <c r="GKR48" s="344"/>
      <c r="GKS48" s="344"/>
      <c r="GKT48" s="344"/>
      <c r="GKU48" s="344"/>
      <c r="GKV48" s="344"/>
      <c r="GKW48" s="344"/>
      <c r="GKX48" s="344"/>
      <c r="GKY48" s="344"/>
      <c r="GKZ48" s="344"/>
      <c r="GLA48" s="344"/>
      <c r="GLB48" s="344"/>
      <c r="GLC48" s="344"/>
      <c r="GLD48" s="344"/>
      <c r="GLE48" s="344"/>
      <c r="GLF48" s="344"/>
      <c r="GLG48" s="344"/>
      <c r="GLH48" s="344"/>
      <c r="GLI48" s="344"/>
      <c r="GLJ48" s="344"/>
      <c r="GLK48" s="344"/>
      <c r="GLL48" s="344"/>
      <c r="GLM48" s="344"/>
      <c r="GLN48" s="344"/>
      <c r="GLO48" s="344"/>
      <c r="GLP48" s="344"/>
      <c r="GLQ48" s="344"/>
      <c r="GLR48" s="344"/>
      <c r="GLS48" s="344"/>
      <c r="GLT48" s="344"/>
      <c r="GLU48" s="344"/>
      <c r="GLV48" s="344"/>
      <c r="GLW48" s="344"/>
      <c r="GLX48" s="344"/>
      <c r="GLY48" s="344"/>
      <c r="GLZ48" s="344"/>
      <c r="GMA48" s="344"/>
      <c r="GMB48" s="344"/>
      <c r="GMC48" s="344"/>
      <c r="GMD48" s="344"/>
      <c r="GME48" s="344"/>
      <c r="GMF48" s="344"/>
      <c r="GMG48" s="344"/>
      <c r="GMH48" s="344"/>
      <c r="GMI48" s="344"/>
      <c r="GMJ48" s="344"/>
      <c r="GMK48" s="344"/>
      <c r="GML48" s="344"/>
      <c r="GMM48" s="344"/>
      <c r="GMN48" s="344"/>
      <c r="GMO48" s="344"/>
      <c r="GMP48" s="344"/>
      <c r="GMQ48" s="344"/>
      <c r="GMR48" s="344"/>
      <c r="GMS48" s="344"/>
      <c r="GMT48" s="344"/>
      <c r="GMU48" s="344"/>
      <c r="GMV48" s="344"/>
      <c r="GMW48" s="344"/>
      <c r="GMX48" s="344"/>
      <c r="GMY48" s="344"/>
      <c r="GMZ48" s="344"/>
      <c r="GNA48" s="344"/>
      <c r="GNB48" s="344"/>
      <c r="GNC48" s="344"/>
      <c r="GND48" s="344"/>
      <c r="GNE48" s="344"/>
      <c r="GNF48" s="344"/>
      <c r="GNG48" s="344"/>
      <c r="GNH48" s="344"/>
      <c r="GNI48" s="344"/>
      <c r="GNJ48" s="344"/>
      <c r="GNK48" s="344"/>
      <c r="GNL48" s="344"/>
      <c r="GNM48" s="344"/>
      <c r="GNN48" s="344"/>
      <c r="GNO48" s="344"/>
      <c r="GNP48" s="344"/>
      <c r="GNQ48" s="344"/>
      <c r="GNR48" s="344"/>
      <c r="GNS48" s="344"/>
      <c r="GNT48" s="344"/>
      <c r="GNU48" s="344"/>
      <c r="GNV48" s="344"/>
      <c r="GNW48" s="344"/>
      <c r="GNX48" s="344"/>
      <c r="GNY48" s="344"/>
      <c r="GNZ48" s="344"/>
      <c r="GOA48" s="344"/>
      <c r="GOB48" s="344"/>
      <c r="GOC48" s="344"/>
      <c r="GOD48" s="344"/>
      <c r="GOE48" s="344"/>
      <c r="GOF48" s="344"/>
      <c r="GOG48" s="344"/>
      <c r="GOH48" s="344"/>
      <c r="GOI48" s="344"/>
      <c r="GOJ48" s="344"/>
      <c r="GOK48" s="344"/>
      <c r="GOL48" s="344"/>
      <c r="GOM48" s="344"/>
      <c r="GON48" s="344"/>
      <c r="GOO48" s="344"/>
      <c r="GOP48" s="344"/>
      <c r="GOQ48" s="344"/>
      <c r="GOR48" s="344"/>
      <c r="GOS48" s="344"/>
      <c r="GOT48" s="344"/>
      <c r="GOU48" s="344"/>
      <c r="GOV48" s="344"/>
      <c r="GOW48" s="344"/>
      <c r="GOX48" s="344"/>
      <c r="GOY48" s="344"/>
      <c r="GOZ48" s="344"/>
      <c r="GPA48" s="344"/>
      <c r="GPB48" s="344"/>
      <c r="GPC48" s="344"/>
      <c r="GPD48" s="344"/>
      <c r="GPE48" s="344"/>
      <c r="GPF48" s="344"/>
      <c r="GPG48" s="344"/>
      <c r="GPH48" s="344"/>
      <c r="GPI48" s="344"/>
      <c r="GPJ48" s="344"/>
      <c r="GPK48" s="344"/>
      <c r="GPL48" s="344"/>
      <c r="GPM48" s="344"/>
      <c r="GPN48" s="344"/>
      <c r="GPO48" s="344"/>
      <c r="GPP48" s="344"/>
      <c r="GPQ48" s="344"/>
      <c r="GPR48" s="344"/>
      <c r="GPS48" s="344"/>
      <c r="GPT48" s="344"/>
      <c r="GPU48" s="344"/>
      <c r="GPV48" s="344"/>
      <c r="GPW48" s="344"/>
      <c r="GPX48" s="344"/>
      <c r="GPY48" s="344"/>
      <c r="GPZ48" s="344"/>
      <c r="GQA48" s="344"/>
      <c r="GQB48" s="344"/>
      <c r="GQC48" s="344"/>
      <c r="GQD48" s="344"/>
      <c r="GQE48" s="344"/>
      <c r="GQF48" s="344"/>
      <c r="GQG48" s="344"/>
      <c r="GQH48" s="344"/>
      <c r="GQI48" s="344"/>
      <c r="GQJ48" s="344"/>
      <c r="GQK48" s="344"/>
      <c r="GQL48" s="344"/>
      <c r="GQM48" s="344"/>
      <c r="GQN48" s="344"/>
      <c r="GQO48" s="344"/>
      <c r="GQP48" s="344"/>
      <c r="GQQ48" s="344"/>
      <c r="GQR48" s="344"/>
      <c r="GQS48" s="344"/>
      <c r="GQT48" s="344"/>
      <c r="GQU48" s="344"/>
      <c r="GQV48" s="344"/>
      <c r="GQW48" s="344"/>
      <c r="GQX48" s="344"/>
      <c r="GQY48" s="344"/>
      <c r="GQZ48" s="344"/>
      <c r="GRA48" s="344"/>
      <c r="GRB48" s="344"/>
      <c r="GRC48" s="344"/>
      <c r="GRD48" s="344"/>
      <c r="GRE48" s="344"/>
      <c r="GRF48" s="344"/>
      <c r="GRG48" s="344"/>
      <c r="GRH48" s="344"/>
      <c r="GRI48" s="344"/>
      <c r="GRJ48" s="344"/>
      <c r="GRK48" s="344"/>
      <c r="GRL48" s="344"/>
      <c r="GRM48" s="344"/>
      <c r="GRN48" s="344"/>
      <c r="GRO48" s="344"/>
      <c r="GRP48" s="344"/>
      <c r="GRQ48" s="344"/>
      <c r="GRR48" s="344"/>
      <c r="GRS48" s="344"/>
      <c r="GRT48" s="344"/>
      <c r="GRU48" s="344"/>
      <c r="GRV48" s="344"/>
      <c r="GRW48" s="344"/>
      <c r="GRX48" s="344"/>
      <c r="GRY48" s="344"/>
      <c r="GRZ48" s="344"/>
      <c r="GSA48" s="344"/>
      <c r="GSB48" s="344"/>
      <c r="GSC48" s="344"/>
      <c r="GSD48" s="344"/>
      <c r="GSE48" s="344"/>
      <c r="GSF48" s="344"/>
      <c r="GSG48" s="344"/>
      <c r="GSH48" s="344"/>
      <c r="GSI48" s="344"/>
      <c r="GSJ48" s="344"/>
      <c r="GSK48" s="344"/>
      <c r="GSL48" s="344"/>
      <c r="GSM48" s="344"/>
      <c r="GSN48" s="344"/>
      <c r="GSO48" s="344"/>
      <c r="GSP48" s="344"/>
      <c r="GSQ48" s="344"/>
      <c r="GSR48" s="344"/>
      <c r="GSS48" s="344"/>
      <c r="GST48" s="344"/>
      <c r="GSU48" s="344"/>
      <c r="GSV48" s="344"/>
      <c r="GSW48" s="344"/>
      <c r="GSX48" s="344"/>
      <c r="GSY48" s="344"/>
      <c r="GSZ48" s="344"/>
      <c r="GTA48" s="344"/>
      <c r="GTB48" s="344"/>
      <c r="GTC48" s="344"/>
      <c r="GTD48" s="344"/>
      <c r="GTE48" s="344"/>
      <c r="GTF48" s="344"/>
      <c r="GTG48" s="344"/>
      <c r="GTH48" s="344"/>
      <c r="GTI48" s="344"/>
      <c r="GTJ48" s="344"/>
      <c r="GTK48" s="344"/>
      <c r="GTL48" s="344"/>
      <c r="GTM48" s="344"/>
      <c r="GTN48" s="344"/>
      <c r="GTO48" s="344"/>
      <c r="GTP48" s="344"/>
      <c r="GTQ48" s="344"/>
      <c r="GTR48" s="344"/>
      <c r="GTS48" s="344"/>
      <c r="GTT48" s="344"/>
      <c r="GTU48" s="344"/>
      <c r="GTV48" s="344"/>
      <c r="GTW48" s="344"/>
      <c r="GTX48" s="344"/>
      <c r="GTY48" s="344"/>
      <c r="GTZ48" s="344"/>
      <c r="GUA48" s="344"/>
      <c r="GUB48" s="344"/>
      <c r="GUC48" s="344"/>
      <c r="GUD48" s="344"/>
      <c r="GUE48" s="344"/>
      <c r="GUF48" s="344"/>
      <c r="GUG48" s="344"/>
      <c r="GUH48" s="344"/>
      <c r="GUI48" s="344"/>
      <c r="GUJ48" s="344"/>
      <c r="GUK48" s="344"/>
      <c r="GUL48" s="344"/>
      <c r="GUM48" s="344"/>
      <c r="GUN48" s="344"/>
      <c r="GUO48" s="344"/>
      <c r="GUP48" s="344"/>
      <c r="GUQ48" s="344"/>
      <c r="GUR48" s="344"/>
      <c r="GUS48" s="344"/>
      <c r="GUT48" s="344"/>
      <c r="GUU48" s="344"/>
      <c r="GUV48" s="344"/>
      <c r="GUW48" s="344"/>
      <c r="GUX48" s="344"/>
      <c r="GUY48" s="344"/>
      <c r="GUZ48" s="344"/>
      <c r="GVA48" s="344"/>
      <c r="GVB48" s="344"/>
      <c r="GVC48" s="344"/>
      <c r="GVD48" s="344"/>
      <c r="GVE48" s="344"/>
      <c r="GVF48" s="344"/>
      <c r="GVG48" s="344"/>
      <c r="GVH48" s="344"/>
      <c r="GVI48" s="344"/>
      <c r="GVJ48" s="344"/>
      <c r="GVK48" s="344"/>
      <c r="GVL48" s="344"/>
      <c r="GVM48" s="344"/>
      <c r="GVN48" s="344"/>
      <c r="GVO48" s="344"/>
      <c r="GVP48" s="344"/>
      <c r="GVQ48" s="344"/>
      <c r="GVR48" s="344"/>
      <c r="GVS48" s="344"/>
      <c r="GVT48" s="344"/>
      <c r="GVU48" s="344"/>
      <c r="GVV48" s="344"/>
      <c r="GVW48" s="344"/>
      <c r="GVX48" s="344"/>
      <c r="GVY48" s="344"/>
      <c r="GVZ48" s="344"/>
      <c r="GWA48" s="344"/>
      <c r="GWB48" s="344"/>
      <c r="GWC48" s="344"/>
      <c r="GWD48" s="344"/>
      <c r="GWE48" s="344"/>
      <c r="GWF48" s="344"/>
      <c r="GWG48" s="344"/>
      <c r="GWH48" s="344"/>
      <c r="GWI48" s="344"/>
      <c r="GWJ48" s="344"/>
      <c r="GWK48" s="344"/>
      <c r="GWL48" s="344"/>
      <c r="GWM48" s="344"/>
      <c r="GWN48" s="344"/>
      <c r="GWO48" s="344"/>
      <c r="GWP48" s="344"/>
      <c r="GWQ48" s="344"/>
      <c r="GWR48" s="344"/>
      <c r="GWS48" s="344"/>
      <c r="GWT48" s="344"/>
      <c r="GWU48" s="344"/>
      <c r="GWV48" s="344"/>
      <c r="GWW48" s="344"/>
      <c r="GWX48" s="344"/>
      <c r="GWY48" s="344"/>
      <c r="GWZ48" s="344"/>
      <c r="GXA48" s="344"/>
      <c r="GXB48" s="344"/>
      <c r="GXC48" s="344"/>
      <c r="GXD48" s="344"/>
      <c r="GXE48" s="344"/>
      <c r="GXF48" s="344"/>
      <c r="GXG48" s="344"/>
      <c r="GXH48" s="344"/>
      <c r="GXI48" s="344"/>
      <c r="GXJ48" s="344"/>
      <c r="GXK48" s="344"/>
      <c r="GXL48" s="344"/>
      <c r="GXM48" s="344"/>
      <c r="GXN48" s="344"/>
      <c r="GXO48" s="344"/>
      <c r="GXP48" s="344"/>
      <c r="GXQ48" s="344"/>
      <c r="GXR48" s="344"/>
      <c r="GXS48" s="344"/>
      <c r="GXT48" s="344"/>
      <c r="GXU48" s="344"/>
      <c r="GXV48" s="344"/>
      <c r="GXW48" s="344"/>
      <c r="GXX48" s="344"/>
      <c r="GXY48" s="344"/>
      <c r="GXZ48" s="344"/>
      <c r="GYA48" s="344"/>
      <c r="GYB48" s="344"/>
      <c r="GYC48" s="344"/>
      <c r="GYD48" s="344"/>
      <c r="GYE48" s="344"/>
      <c r="GYF48" s="344"/>
      <c r="GYG48" s="344"/>
      <c r="GYH48" s="344"/>
      <c r="GYI48" s="344"/>
      <c r="GYJ48" s="344"/>
      <c r="GYK48" s="344"/>
      <c r="GYL48" s="344"/>
      <c r="GYM48" s="344"/>
      <c r="GYN48" s="344"/>
      <c r="GYO48" s="344"/>
      <c r="GYP48" s="344"/>
      <c r="GYQ48" s="344"/>
      <c r="GYR48" s="344"/>
      <c r="GYS48" s="344"/>
      <c r="GYT48" s="344"/>
      <c r="GYU48" s="344"/>
      <c r="GYV48" s="344"/>
      <c r="GYW48" s="344"/>
      <c r="GYX48" s="344"/>
      <c r="GYY48" s="344"/>
      <c r="GYZ48" s="344"/>
      <c r="GZA48" s="344"/>
      <c r="GZB48" s="344"/>
      <c r="GZC48" s="344"/>
      <c r="GZD48" s="344"/>
      <c r="GZE48" s="344"/>
      <c r="GZF48" s="344"/>
      <c r="GZG48" s="344"/>
      <c r="GZH48" s="344"/>
      <c r="GZI48" s="344"/>
      <c r="GZJ48" s="344"/>
      <c r="GZK48" s="344"/>
      <c r="GZL48" s="344"/>
      <c r="GZM48" s="344"/>
      <c r="GZN48" s="344"/>
      <c r="GZO48" s="344"/>
      <c r="GZP48" s="344"/>
      <c r="GZQ48" s="344"/>
      <c r="GZR48" s="344"/>
      <c r="GZS48" s="344"/>
      <c r="GZT48" s="344"/>
      <c r="GZU48" s="344"/>
      <c r="GZV48" s="344"/>
      <c r="GZW48" s="344"/>
      <c r="GZX48" s="344"/>
      <c r="GZY48" s="344"/>
      <c r="GZZ48" s="344"/>
      <c r="HAA48" s="344"/>
      <c r="HAB48" s="344"/>
      <c r="HAC48" s="344"/>
      <c r="HAD48" s="344"/>
      <c r="HAE48" s="344"/>
      <c r="HAF48" s="344"/>
      <c r="HAG48" s="344"/>
      <c r="HAH48" s="344"/>
      <c r="HAI48" s="344"/>
      <c r="HAJ48" s="344"/>
      <c r="HAK48" s="344"/>
      <c r="HAL48" s="344"/>
      <c r="HAM48" s="344"/>
      <c r="HAN48" s="344"/>
      <c r="HAO48" s="344"/>
      <c r="HAP48" s="344"/>
      <c r="HAQ48" s="344"/>
      <c r="HAR48" s="344"/>
      <c r="HAS48" s="344"/>
      <c r="HAT48" s="344"/>
      <c r="HAU48" s="344"/>
      <c r="HAV48" s="344"/>
      <c r="HAW48" s="344"/>
      <c r="HAX48" s="344"/>
      <c r="HAY48" s="344"/>
      <c r="HAZ48" s="344"/>
      <c r="HBA48" s="344"/>
      <c r="HBB48" s="344"/>
      <c r="HBC48" s="344"/>
      <c r="HBD48" s="344"/>
      <c r="HBE48" s="344"/>
      <c r="HBF48" s="344"/>
      <c r="HBG48" s="344"/>
      <c r="HBH48" s="344"/>
      <c r="HBI48" s="344"/>
      <c r="HBJ48" s="344"/>
      <c r="HBK48" s="344"/>
      <c r="HBL48" s="344"/>
      <c r="HBM48" s="344"/>
      <c r="HBN48" s="344"/>
      <c r="HBO48" s="344"/>
      <c r="HBP48" s="344"/>
      <c r="HBQ48" s="344"/>
      <c r="HBR48" s="344"/>
      <c r="HBS48" s="344"/>
      <c r="HBT48" s="344"/>
      <c r="HBU48" s="344"/>
      <c r="HBV48" s="344"/>
      <c r="HBW48" s="344"/>
      <c r="HBX48" s="344"/>
      <c r="HBY48" s="344"/>
      <c r="HBZ48" s="344"/>
      <c r="HCA48" s="344"/>
      <c r="HCB48" s="344"/>
      <c r="HCC48" s="344"/>
      <c r="HCD48" s="344"/>
      <c r="HCE48" s="344"/>
      <c r="HCF48" s="344"/>
      <c r="HCG48" s="344"/>
      <c r="HCH48" s="344"/>
      <c r="HCI48" s="344"/>
      <c r="HCJ48" s="344"/>
      <c r="HCK48" s="344"/>
      <c r="HCL48" s="344"/>
      <c r="HCM48" s="344"/>
      <c r="HCN48" s="344"/>
      <c r="HCO48" s="344"/>
      <c r="HCP48" s="344"/>
      <c r="HCQ48" s="344"/>
      <c r="HCR48" s="344"/>
      <c r="HCS48" s="344"/>
      <c r="HCT48" s="344"/>
      <c r="HCU48" s="344"/>
      <c r="HCV48" s="344"/>
      <c r="HCW48" s="344"/>
      <c r="HCX48" s="344"/>
      <c r="HCY48" s="344"/>
      <c r="HCZ48" s="344"/>
      <c r="HDA48" s="344"/>
      <c r="HDB48" s="344"/>
      <c r="HDC48" s="344"/>
      <c r="HDD48" s="344"/>
      <c r="HDE48" s="344"/>
      <c r="HDF48" s="344"/>
      <c r="HDG48" s="344"/>
      <c r="HDH48" s="344"/>
      <c r="HDI48" s="344"/>
      <c r="HDJ48" s="344"/>
      <c r="HDK48" s="344"/>
      <c r="HDL48" s="344"/>
      <c r="HDM48" s="344"/>
      <c r="HDN48" s="344"/>
      <c r="HDO48" s="344"/>
      <c r="HDP48" s="344"/>
      <c r="HDQ48" s="344"/>
      <c r="HDR48" s="344"/>
      <c r="HDS48" s="344"/>
      <c r="HDT48" s="344"/>
      <c r="HDU48" s="344"/>
      <c r="HDV48" s="344"/>
      <c r="HDW48" s="344"/>
      <c r="HDX48" s="344"/>
      <c r="HDY48" s="344"/>
      <c r="HDZ48" s="344"/>
      <c r="HEA48" s="344"/>
      <c r="HEB48" s="344"/>
      <c r="HEC48" s="344"/>
      <c r="HED48" s="344"/>
      <c r="HEE48" s="344"/>
      <c r="HEF48" s="344"/>
      <c r="HEG48" s="344"/>
      <c r="HEH48" s="344"/>
      <c r="HEI48" s="344"/>
      <c r="HEJ48" s="344"/>
      <c r="HEK48" s="344"/>
      <c r="HEL48" s="344"/>
      <c r="HEM48" s="344"/>
      <c r="HEN48" s="344"/>
      <c r="HEO48" s="344"/>
      <c r="HEP48" s="344"/>
      <c r="HEQ48" s="344"/>
      <c r="HER48" s="344"/>
      <c r="HES48" s="344"/>
      <c r="HET48" s="344"/>
      <c r="HEU48" s="344"/>
      <c r="HEV48" s="344"/>
      <c r="HEW48" s="344"/>
      <c r="HEX48" s="344"/>
      <c r="HEY48" s="344"/>
      <c r="HEZ48" s="344"/>
      <c r="HFA48" s="344"/>
      <c r="HFB48" s="344"/>
      <c r="HFC48" s="344"/>
      <c r="HFD48" s="344"/>
      <c r="HFE48" s="344"/>
      <c r="HFF48" s="344"/>
      <c r="HFG48" s="344"/>
      <c r="HFH48" s="344"/>
      <c r="HFI48" s="344"/>
      <c r="HFJ48" s="344"/>
      <c r="HFK48" s="344"/>
      <c r="HFL48" s="344"/>
      <c r="HFM48" s="344"/>
      <c r="HFN48" s="344"/>
      <c r="HFO48" s="344"/>
      <c r="HFP48" s="344"/>
      <c r="HFQ48" s="344"/>
      <c r="HFR48" s="344"/>
      <c r="HFS48" s="344"/>
      <c r="HFT48" s="344"/>
      <c r="HFU48" s="344"/>
      <c r="HFV48" s="344"/>
      <c r="HFW48" s="344"/>
      <c r="HFX48" s="344"/>
      <c r="HFY48" s="344"/>
      <c r="HFZ48" s="344"/>
      <c r="HGA48" s="344"/>
      <c r="HGB48" s="344"/>
      <c r="HGC48" s="344"/>
      <c r="HGD48" s="344"/>
      <c r="HGE48" s="344"/>
      <c r="HGF48" s="344"/>
      <c r="HGG48" s="344"/>
      <c r="HGH48" s="344"/>
      <c r="HGI48" s="344"/>
      <c r="HGJ48" s="344"/>
      <c r="HGK48" s="344"/>
      <c r="HGL48" s="344"/>
      <c r="HGM48" s="344"/>
      <c r="HGN48" s="344"/>
      <c r="HGO48" s="344"/>
      <c r="HGP48" s="344"/>
      <c r="HGQ48" s="344"/>
      <c r="HGR48" s="344"/>
      <c r="HGS48" s="344"/>
      <c r="HGT48" s="344"/>
      <c r="HGU48" s="344"/>
      <c r="HGV48" s="344"/>
      <c r="HGW48" s="344"/>
      <c r="HGX48" s="344"/>
      <c r="HGY48" s="344"/>
      <c r="HGZ48" s="344"/>
      <c r="HHA48" s="344"/>
      <c r="HHB48" s="344"/>
      <c r="HHC48" s="344"/>
      <c r="HHD48" s="344"/>
      <c r="HHE48" s="344"/>
      <c r="HHF48" s="344"/>
      <c r="HHG48" s="344"/>
      <c r="HHH48" s="344"/>
      <c r="HHI48" s="344"/>
      <c r="HHJ48" s="344"/>
      <c r="HHK48" s="344"/>
      <c r="HHL48" s="344"/>
      <c r="HHM48" s="344"/>
      <c r="HHN48" s="344"/>
      <c r="HHO48" s="344"/>
      <c r="HHP48" s="344"/>
      <c r="HHQ48" s="344"/>
      <c r="HHR48" s="344"/>
      <c r="HHS48" s="344"/>
      <c r="HHT48" s="344"/>
      <c r="HHU48" s="344"/>
      <c r="HHV48" s="344"/>
      <c r="HHW48" s="344"/>
      <c r="HHX48" s="344"/>
      <c r="HHY48" s="344"/>
      <c r="HHZ48" s="344"/>
      <c r="HIA48" s="344"/>
      <c r="HIB48" s="344"/>
      <c r="HIC48" s="344"/>
      <c r="HID48" s="344"/>
      <c r="HIE48" s="344"/>
      <c r="HIF48" s="344"/>
      <c r="HIG48" s="344"/>
      <c r="HIH48" s="344"/>
      <c r="HII48" s="344"/>
      <c r="HIJ48" s="344"/>
      <c r="HIK48" s="344"/>
      <c r="HIL48" s="344"/>
      <c r="HIM48" s="344"/>
      <c r="HIN48" s="344"/>
      <c r="HIO48" s="344"/>
      <c r="HIP48" s="344"/>
      <c r="HIQ48" s="344"/>
      <c r="HIR48" s="344"/>
      <c r="HIS48" s="344"/>
      <c r="HIT48" s="344"/>
      <c r="HIU48" s="344"/>
      <c r="HIV48" s="344"/>
      <c r="HIW48" s="344"/>
      <c r="HIX48" s="344"/>
      <c r="HIY48" s="344"/>
      <c r="HIZ48" s="344"/>
      <c r="HJA48" s="344"/>
      <c r="HJB48" s="344"/>
      <c r="HJC48" s="344"/>
      <c r="HJD48" s="344"/>
      <c r="HJE48" s="344"/>
      <c r="HJF48" s="344"/>
      <c r="HJG48" s="344"/>
      <c r="HJH48" s="344"/>
      <c r="HJI48" s="344"/>
      <c r="HJJ48" s="344"/>
      <c r="HJK48" s="344"/>
      <c r="HJL48" s="344"/>
      <c r="HJM48" s="344"/>
      <c r="HJN48" s="344"/>
      <c r="HJO48" s="344"/>
      <c r="HJP48" s="344"/>
      <c r="HJQ48" s="344"/>
      <c r="HJR48" s="344"/>
      <c r="HJS48" s="344"/>
      <c r="HJT48" s="344"/>
      <c r="HJU48" s="344"/>
      <c r="HJV48" s="344"/>
      <c r="HJW48" s="344"/>
      <c r="HJX48" s="344"/>
      <c r="HJY48" s="344"/>
      <c r="HJZ48" s="344"/>
      <c r="HKA48" s="344"/>
      <c r="HKB48" s="344"/>
      <c r="HKC48" s="344"/>
      <c r="HKD48" s="344"/>
      <c r="HKE48" s="344"/>
      <c r="HKF48" s="344"/>
      <c r="HKG48" s="344"/>
      <c r="HKH48" s="344"/>
      <c r="HKI48" s="344"/>
      <c r="HKJ48" s="344"/>
      <c r="HKK48" s="344"/>
      <c r="HKL48" s="344"/>
      <c r="HKM48" s="344"/>
      <c r="HKN48" s="344"/>
      <c r="HKO48" s="344"/>
      <c r="HKP48" s="344"/>
      <c r="HKQ48" s="344"/>
      <c r="HKR48" s="344"/>
      <c r="HKS48" s="344"/>
      <c r="HKT48" s="344"/>
      <c r="HKU48" s="344"/>
      <c r="HKV48" s="344"/>
      <c r="HKW48" s="344"/>
      <c r="HKX48" s="344"/>
      <c r="HKY48" s="344"/>
      <c r="HKZ48" s="344"/>
      <c r="HLA48" s="344"/>
      <c r="HLB48" s="344"/>
      <c r="HLC48" s="344"/>
      <c r="HLD48" s="344"/>
      <c r="HLE48" s="344"/>
      <c r="HLF48" s="344"/>
      <c r="HLG48" s="344"/>
      <c r="HLH48" s="344"/>
      <c r="HLI48" s="344"/>
      <c r="HLJ48" s="344"/>
      <c r="HLK48" s="344"/>
      <c r="HLL48" s="344"/>
      <c r="HLM48" s="344"/>
      <c r="HLN48" s="344"/>
      <c r="HLO48" s="344"/>
      <c r="HLP48" s="344"/>
      <c r="HLQ48" s="344"/>
      <c r="HLR48" s="344"/>
      <c r="HLS48" s="344"/>
      <c r="HLT48" s="344"/>
      <c r="HLU48" s="344"/>
      <c r="HLV48" s="344"/>
      <c r="HLW48" s="344"/>
      <c r="HLX48" s="344"/>
      <c r="HLY48" s="344"/>
      <c r="HLZ48" s="344"/>
      <c r="HMA48" s="344"/>
      <c r="HMB48" s="344"/>
      <c r="HMC48" s="344"/>
      <c r="HMD48" s="344"/>
      <c r="HME48" s="344"/>
      <c r="HMF48" s="344"/>
      <c r="HMG48" s="344"/>
      <c r="HMH48" s="344"/>
      <c r="HMI48" s="344"/>
      <c r="HMJ48" s="344"/>
      <c r="HMK48" s="344"/>
      <c r="HML48" s="344"/>
      <c r="HMM48" s="344"/>
      <c r="HMN48" s="344"/>
      <c r="HMO48" s="344"/>
      <c r="HMP48" s="344"/>
      <c r="HMQ48" s="344"/>
      <c r="HMR48" s="344"/>
      <c r="HMS48" s="344"/>
      <c r="HMT48" s="344"/>
      <c r="HMU48" s="344"/>
      <c r="HMV48" s="344"/>
      <c r="HMW48" s="344"/>
      <c r="HMX48" s="344"/>
      <c r="HMY48" s="344"/>
      <c r="HMZ48" s="344"/>
      <c r="HNA48" s="344"/>
      <c r="HNB48" s="344"/>
      <c r="HNC48" s="344"/>
      <c r="HND48" s="344"/>
      <c r="HNE48" s="344"/>
      <c r="HNF48" s="344"/>
      <c r="HNG48" s="344"/>
      <c r="HNH48" s="344"/>
      <c r="HNI48" s="344"/>
      <c r="HNJ48" s="344"/>
      <c r="HNK48" s="344"/>
      <c r="HNL48" s="344"/>
      <c r="HNM48" s="344"/>
      <c r="HNN48" s="344"/>
      <c r="HNO48" s="344"/>
      <c r="HNP48" s="344"/>
      <c r="HNQ48" s="344"/>
      <c r="HNR48" s="344"/>
      <c r="HNS48" s="344"/>
      <c r="HNT48" s="344"/>
      <c r="HNU48" s="344"/>
      <c r="HNV48" s="344"/>
      <c r="HNW48" s="344"/>
      <c r="HNX48" s="344"/>
      <c r="HNY48" s="344"/>
      <c r="HNZ48" s="344"/>
      <c r="HOA48" s="344"/>
      <c r="HOB48" s="344"/>
      <c r="HOC48" s="344"/>
      <c r="HOD48" s="344"/>
      <c r="HOE48" s="344"/>
      <c r="HOF48" s="344"/>
      <c r="HOG48" s="344"/>
      <c r="HOH48" s="344"/>
      <c r="HOI48" s="344"/>
      <c r="HOJ48" s="344"/>
      <c r="HOK48" s="344"/>
      <c r="HOL48" s="344"/>
      <c r="HOM48" s="344"/>
      <c r="HON48" s="344"/>
      <c r="HOO48" s="344"/>
      <c r="HOP48" s="344"/>
      <c r="HOQ48" s="344"/>
      <c r="HOR48" s="344"/>
      <c r="HOS48" s="344"/>
      <c r="HOT48" s="344"/>
      <c r="HOU48" s="344"/>
      <c r="HOV48" s="344"/>
      <c r="HOW48" s="344"/>
      <c r="HOX48" s="344"/>
      <c r="HOY48" s="344"/>
      <c r="HOZ48" s="344"/>
      <c r="HPA48" s="344"/>
      <c r="HPB48" s="344"/>
      <c r="HPC48" s="344"/>
      <c r="HPD48" s="344"/>
      <c r="HPE48" s="344"/>
      <c r="HPF48" s="344"/>
      <c r="HPG48" s="344"/>
      <c r="HPH48" s="344"/>
      <c r="HPI48" s="344"/>
      <c r="HPJ48" s="344"/>
      <c r="HPK48" s="344"/>
      <c r="HPL48" s="344"/>
      <c r="HPM48" s="344"/>
      <c r="HPN48" s="344"/>
      <c r="HPO48" s="344"/>
      <c r="HPP48" s="344"/>
      <c r="HPQ48" s="344"/>
      <c r="HPR48" s="344"/>
      <c r="HPS48" s="344"/>
      <c r="HPT48" s="344"/>
      <c r="HPU48" s="344"/>
      <c r="HPV48" s="344"/>
      <c r="HPW48" s="344"/>
      <c r="HPX48" s="344"/>
      <c r="HPY48" s="344"/>
      <c r="HPZ48" s="344"/>
      <c r="HQA48" s="344"/>
      <c r="HQB48" s="344"/>
      <c r="HQC48" s="344"/>
      <c r="HQD48" s="344"/>
      <c r="HQE48" s="344"/>
      <c r="HQF48" s="344"/>
      <c r="HQG48" s="344"/>
      <c r="HQH48" s="344"/>
      <c r="HQI48" s="344"/>
      <c r="HQJ48" s="344"/>
      <c r="HQK48" s="344"/>
      <c r="HQL48" s="344"/>
      <c r="HQM48" s="344"/>
      <c r="HQN48" s="344"/>
      <c r="HQO48" s="344"/>
      <c r="HQP48" s="344"/>
      <c r="HQQ48" s="344"/>
      <c r="HQR48" s="344"/>
      <c r="HQS48" s="344"/>
      <c r="HQT48" s="344"/>
      <c r="HQU48" s="344"/>
      <c r="HQV48" s="344"/>
      <c r="HQW48" s="344"/>
      <c r="HQX48" s="344"/>
      <c r="HQY48" s="344"/>
      <c r="HQZ48" s="344"/>
      <c r="HRA48" s="344"/>
      <c r="HRB48" s="344"/>
      <c r="HRC48" s="344"/>
      <c r="HRD48" s="344"/>
      <c r="HRE48" s="344"/>
      <c r="HRF48" s="344"/>
      <c r="HRG48" s="344"/>
      <c r="HRH48" s="344"/>
      <c r="HRI48" s="344"/>
      <c r="HRJ48" s="344"/>
      <c r="HRK48" s="344"/>
      <c r="HRL48" s="344"/>
      <c r="HRM48" s="344"/>
      <c r="HRN48" s="344"/>
      <c r="HRO48" s="344"/>
      <c r="HRP48" s="344"/>
      <c r="HRQ48" s="344"/>
      <c r="HRR48" s="344"/>
      <c r="HRS48" s="344"/>
      <c r="HRT48" s="344"/>
      <c r="HRU48" s="344"/>
      <c r="HRV48" s="344"/>
      <c r="HRW48" s="344"/>
      <c r="HRX48" s="344"/>
      <c r="HRY48" s="344"/>
      <c r="HRZ48" s="344"/>
      <c r="HSA48" s="344"/>
      <c r="HSB48" s="344"/>
      <c r="HSC48" s="344"/>
      <c r="HSD48" s="344"/>
      <c r="HSE48" s="344"/>
      <c r="HSF48" s="344"/>
      <c r="HSG48" s="344"/>
      <c r="HSH48" s="344"/>
      <c r="HSI48" s="344"/>
      <c r="HSJ48" s="344"/>
      <c r="HSK48" s="344"/>
      <c r="HSL48" s="344"/>
      <c r="HSM48" s="344"/>
      <c r="HSN48" s="344"/>
      <c r="HSO48" s="344"/>
      <c r="HSP48" s="344"/>
      <c r="HSQ48" s="344"/>
      <c r="HSR48" s="344"/>
      <c r="HSS48" s="344"/>
      <c r="HST48" s="344"/>
      <c r="HSU48" s="344"/>
      <c r="HSV48" s="344"/>
      <c r="HSW48" s="344"/>
      <c r="HSX48" s="344"/>
      <c r="HSY48" s="344"/>
      <c r="HSZ48" s="344"/>
      <c r="HTA48" s="344"/>
      <c r="HTB48" s="344"/>
      <c r="HTC48" s="344"/>
      <c r="HTD48" s="344"/>
      <c r="HTE48" s="344"/>
      <c r="HTF48" s="344"/>
      <c r="HTG48" s="344"/>
      <c r="HTH48" s="344"/>
      <c r="HTI48" s="344"/>
      <c r="HTJ48" s="344"/>
      <c r="HTK48" s="344"/>
      <c r="HTL48" s="344"/>
      <c r="HTM48" s="344"/>
      <c r="HTN48" s="344"/>
      <c r="HTO48" s="344"/>
      <c r="HTP48" s="344"/>
      <c r="HTQ48" s="344"/>
      <c r="HTR48" s="344"/>
      <c r="HTS48" s="344"/>
      <c r="HTT48" s="344"/>
      <c r="HTU48" s="344"/>
      <c r="HTV48" s="344"/>
      <c r="HTW48" s="344"/>
      <c r="HTX48" s="344"/>
      <c r="HTY48" s="344"/>
      <c r="HTZ48" s="344"/>
      <c r="HUA48" s="344"/>
      <c r="HUB48" s="344"/>
      <c r="HUC48" s="344"/>
      <c r="HUD48" s="344"/>
      <c r="HUE48" s="344"/>
      <c r="HUF48" s="344"/>
      <c r="HUG48" s="344"/>
      <c r="HUH48" s="344"/>
      <c r="HUI48" s="344"/>
      <c r="HUJ48" s="344"/>
      <c r="HUK48" s="344"/>
      <c r="HUL48" s="344"/>
      <c r="HUM48" s="344"/>
      <c r="HUN48" s="344"/>
      <c r="HUO48" s="344"/>
      <c r="HUP48" s="344"/>
      <c r="HUQ48" s="344"/>
      <c r="HUR48" s="344"/>
      <c r="HUS48" s="344"/>
      <c r="HUT48" s="344"/>
      <c r="HUU48" s="344"/>
      <c r="HUV48" s="344"/>
      <c r="HUW48" s="344"/>
      <c r="HUX48" s="344"/>
      <c r="HUY48" s="344"/>
      <c r="HUZ48" s="344"/>
      <c r="HVA48" s="344"/>
      <c r="HVB48" s="344"/>
      <c r="HVC48" s="344"/>
      <c r="HVD48" s="344"/>
      <c r="HVE48" s="344"/>
      <c r="HVF48" s="344"/>
      <c r="HVG48" s="344"/>
      <c r="HVH48" s="344"/>
      <c r="HVI48" s="344"/>
      <c r="HVJ48" s="344"/>
      <c r="HVK48" s="344"/>
      <c r="HVL48" s="344"/>
      <c r="HVM48" s="344"/>
      <c r="HVN48" s="344"/>
      <c r="HVO48" s="344"/>
      <c r="HVP48" s="344"/>
      <c r="HVQ48" s="344"/>
      <c r="HVR48" s="344"/>
      <c r="HVS48" s="344"/>
      <c r="HVT48" s="344"/>
      <c r="HVU48" s="344"/>
      <c r="HVV48" s="344"/>
      <c r="HVW48" s="344"/>
      <c r="HVX48" s="344"/>
      <c r="HVY48" s="344"/>
      <c r="HVZ48" s="344"/>
      <c r="HWA48" s="344"/>
      <c r="HWB48" s="344"/>
      <c r="HWC48" s="344"/>
      <c r="HWD48" s="344"/>
      <c r="HWE48" s="344"/>
      <c r="HWF48" s="344"/>
      <c r="HWG48" s="344"/>
      <c r="HWH48" s="344"/>
      <c r="HWI48" s="344"/>
      <c r="HWJ48" s="344"/>
      <c r="HWK48" s="344"/>
      <c r="HWL48" s="344"/>
      <c r="HWM48" s="344"/>
      <c r="HWN48" s="344"/>
      <c r="HWO48" s="344"/>
      <c r="HWP48" s="344"/>
      <c r="HWQ48" s="344"/>
      <c r="HWR48" s="344"/>
      <c r="HWS48" s="344"/>
      <c r="HWT48" s="344"/>
      <c r="HWU48" s="344"/>
      <c r="HWV48" s="344"/>
      <c r="HWW48" s="344"/>
      <c r="HWX48" s="344"/>
      <c r="HWY48" s="344"/>
      <c r="HWZ48" s="344"/>
      <c r="HXA48" s="344"/>
      <c r="HXB48" s="344"/>
      <c r="HXC48" s="344"/>
      <c r="HXD48" s="344"/>
      <c r="HXE48" s="344"/>
      <c r="HXF48" s="344"/>
      <c r="HXG48" s="344"/>
      <c r="HXH48" s="344"/>
      <c r="HXI48" s="344"/>
      <c r="HXJ48" s="344"/>
      <c r="HXK48" s="344"/>
      <c r="HXL48" s="344"/>
      <c r="HXM48" s="344"/>
      <c r="HXN48" s="344"/>
      <c r="HXO48" s="344"/>
      <c r="HXP48" s="344"/>
      <c r="HXQ48" s="344"/>
      <c r="HXR48" s="344"/>
      <c r="HXS48" s="344"/>
      <c r="HXT48" s="344"/>
      <c r="HXU48" s="344"/>
      <c r="HXV48" s="344"/>
      <c r="HXW48" s="344"/>
      <c r="HXX48" s="344"/>
      <c r="HXY48" s="344"/>
      <c r="HXZ48" s="344"/>
      <c r="HYA48" s="344"/>
      <c r="HYB48" s="344"/>
      <c r="HYC48" s="344"/>
      <c r="HYD48" s="344"/>
      <c r="HYE48" s="344"/>
      <c r="HYF48" s="344"/>
      <c r="HYG48" s="344"/>
      <c r="HYH48" s="344"/>
      <c r="HYI48" s="344"/>
      <c r="HYJ48" s="344"/>
      <c r="HYK48" s="344"/>
      <c r="HYL48" s="344"/>
      <c r="HYM48" s="344"/>
      <c r="HYN48" s="344"/>
      <c r="HYO48" s="344"/>
      <c r="HYP48" s="344"/>
      <c r="HYQ48" s="344"/>
      <c r="HYR48" s="344"/>
      <c r="HYS48" s="344"/>
      <c r="HYT48" s="344"/>
      <c r="HYU48" s="344"/>
      <c r="HYV48" s="344"/>
      <c r="HYW48" s="344"/>
      <c r="HYX48" s="344"/>
      <c r="HYY48" s="344"/>
      <c r="HYZ48" s="344"/>
      <c r="HZA48" s="344"/>
      <c r="HZB48" s="344"/>
      <c r="HZC48" s="344"/>
      <c r="HZD48" s="344"/>
      <c r="HZE48" s="344"/>
      <c r="HZF48" s="344"/>
      <c r="HZG48" s="344"/>
      <c r="HZH48" s="344"/>
      <c r="HZI48" s="344"/>
      <c r="HZJ48" s="344"/>
      <c r="HZK48" s="344"/>
      <c r="HZL48" s="344"/>
      <c r="HZM48" s="344"/>
      <c r="HZN48" s="344"/>
      <c r="HZO48" s="344"/>
      <c r="HZP48" s="344"/>
      <c r="HZQ48" s="344"/>
      <c r="HZR48" s="344"/>
      <c r="HZS48" s="344"/>
      <c r="HZT48" s="344"/>
      <c r="HZU48" s="344"/>
      <c r="HZV48" s="344"/>
      <c r="HZW48" s="344"/>
      <c r="HZX48" s="344"/>
      <c r="HZY48" s="344"/>
      <c r="HZZ48" s="344"/>
      <c r="IAA48" s="344"/>
      <c r="IAB48" s="344"/>
      <c r="IAC48" s="344"/>
      <c r="IAD48" s="344"/>
      <c r="IAE48" s="344"/>
      <c r="IAF48" s="344"/>
      <c r="IAG48" s="344"/>
      <c r="IAH48" s="344"/>
      <c r="IAI48" s="344"/>
      <c r="IAJ48" s="344"/>
      <c r="IAK48" s="344"/>
      <c r="IAL48" s="344"/>
      <c r="IAM48" s="344"/>
      <c r="IAN48" s="344"/>
      <c r="IAO48" s="344"/>
      <c r="IAP48" s="344"/>
      <c r="IAQ48" s="344"/>
      <c r="IAR48" s="344"/>
      <c r="IAS48" s="344"/>
      <c r="IAT48" s="344"/>
      <c r="IAU48" s="344"/>
      <c r="IAV48" s="344"/>
      <c r="IAW48" s="344"/>
      <c r="IAX48" s="344"/>
      <c r="IAY48" s="344"/>
      <c r="IAZ48" s="344"/>
      <c r="IBA48" s="344"/>
      <c r="IBB48" s="344"/>
      <c r="IBC48" s="344"/>
      <c r="IBD48" s="344"/>
      <c r="IBE48" s="344"/>
      <c r="IBF48" s="344"/>
      <c r="IBG48" s="344"/>
      <c r="IBH48" s="344"/>
      <c r="IBI48" s="344"/>
      <c r="IBJ48" s="344"/>
      <c r="IBK48" s="344"/>
      <c r="IBL48" s="344"/>
      <c r="IBM48" s="344"/>
      <c r="IBN48" s="344"/>
      <c r="IBO48" s="344"/>
      <c r="IBP48" s="344"/>
      <c r="IBQ48" s="344"/>
      <c r="IBR48" s="344"/>
      <c r="IBS48" s="344"/>
      <c r="IBT48" s="344"/>
      <c r="IBU48" s="344"/>
      <c r="IBV48" s="344"/>
      <c r="IBW48" s="344"/>
      <c r="IBX48" s="344"/>
      <c r="IBY48" s="344"/>
      <c r="IBZ48" s="344"/>
      <c r="ICA48" s="344"/>
      <c r="ICB48" s="344"/>
      <c r="ICC48" s="344"/>
      <c r="ICD48" s="344"/>
      <c r="ICE48" s="344"/>
      <c r="ICF48" s="344"/>
      <c r="ICG48" s="344"/>
      <c r="ICH48" s="344"/>
      <c r="ICI48" s="344"/>
      <c r="ICJ48" s="344"/>
      <c r="ICK48" s="344"/>
      <c r="ICL48" s="344"/>
      <c r="ICM48" s="344"/>
      <c r="ICN48" s="344"/>
      <c r="ICO48" s="344"/>
      <c r="ICP48" s="344"/>
      <c r="ICQ48" s="344"/>
      <c r="ICR48" s="344"/>
      <c r="ICS48" s="344"/>
      <c r="ICT48" s="344"/>
      <c r="ICU48" s="344"/>
      <c r="ICV48" s="344"/>
      <c r="ICW48" s="344"/>
      <c r="ICX48" s="344"/>
      <c r="ICY48" s="344"/>
      <c r="ICZ48" s="344"/>
      <c r="IDA48" s="344"/>
      <c r="IDB48" s="344"/>
      <c r="IDC48" s="344"/>
      <c r="IDD48" s="344"/>
      <c r="IDE48" s="344"/>
      <c r="IDF48" s="344"/>
      <c r="IDG48" s="344"/>
      <c r="IDH48" s="344"/>
      <c r="IDI48" s="344"/>
      <c r="IDJ48" s="344"/>
      <c r="IDK48" s="344"/>
      <c r="IDL48" s="344"/>
      <c r="IDM48" s="344"/>
      <c r="IDN48" s="344"/>
      <c r="IDO48" s="344"/>
      <c r="IDP48" s="344"/>
      <c r="IDQ48" s="344"/>
      <c r="IDR48" s="344"/>
      <c r="IDS48" s="344"/>
      <c r="IDT48" s="344"/>
      <c r="IDU48" s="344"/>
      <c r="IDV48" s="344"/>
      <c r="IDW48" s="344"/>
      <c r="IDX48" s="344"/>
      <c r="IDY48" s="344"/>
      <c r="IDZ48" s="344"/>
      <c r="IEA48" s="344"/>
      <c r="IEB48" s="344"/>
      <c r="IEC48" s="344"/>
      <c r="IED48" s="344"/>
      <c r="IEE48" s="344"/>
      <c r="IEF48" s="344"/>
      <c r="IEG48" s="344"/>
      <c r="IEH48" s="344"/>
      <c r="IEI48" s="344"/>
      <c r="IEJ48" s="344"/>
      <c r="IEK48" s="344"/>
      <c r="IEL48" s="344"/>
      <c r="IEM48" s="344"/>
      <c r="IEN48" s="344"/>
      <c r="IEO48" s="344"/>
      <c r="IEP48" s="344"/>
      <c r="IEQ48" s="344"/>
      <c r="IER48" s="344"/>
      <c r="IES48" s="344"/>
      <c r="IET48" s="344"/>
      <c r="IEU48" s="344"/>
      <c r="IEV48" s="344"/>
      <c r="IEW48" s="344"/>
      <c r="IEX48" s="344"/>
      <c r="IEY48" s="344"/>
      <c r="IEZ48" s="344"/>
      <c r="IFA48" s="344"/>
      <c r="IFB48" s="344"/>
      <c r="IFC48" s="344"/>
      <c r="IFD48" s="344"/>
      <c r="IFE48" s="344"/>
      <c r="IFF48" s="344"/>
      <c r="IFG48" s="344"/>
      <c r="IFH48" s="344"/>
      <c r="IFI48" s="344"/>
      <c r="IFJ48" s="344"/>
      <c r="IFK48" s="344"/>
      <c r="IFL48" s="344"/>
      <c r="IFM48" s="344"/>
      <c r="IFN48" s="344"/>
      <c r="IFO48" s="344"/>
      <c r="IFP48" s="344"/>
      <c r="IFQ48" s="344"/>
      <c r="IFR48" s="344"/>
      <c r="IFS48" s="344"/>
      <c r="IFT48" s="344"/>
      <c r="IFU48" s="344"/>
      <c r="IFV48" s="344"/>
      <c r="IFW48" s="344"/>
      <c r="IFX48" s="344"/>
      <c r="IFY48" s="344"/>
      <c r="IFZ48" s="344"/>
      <c r="IGA48" s="344"/>
      <c r="IGB48" s="344"/>
      <c r="IGC48" s="344"/>
      <c r="IGD48" s="344"/>
      <c r="IGE48" s="344"/>
      <c r="IGF48" s="344"/>
      <c r="IGG48" s="344"/>
      <c r="IGH48" s="344"/>
      <c r="IGI48" s="344"/>
      <c r="IGJ48" s="344"/>
      <c r="IGK48" s="344"/>
      <c r="IGL48" s="344"/>
      <c r="IGM48" s="344"/>
      <c r="IGN48" s="344"/>
      <c r="IGO48" s="344"/>
      <c r="IGP48" s="344"/>
      <c r="IGQ48" s="344"/>
      <c r="IGR48" s="344"/>
      <c r="IGS48" s="344"/>
      <c r="IGT48" s="344"/>
      <c r="IGU48" s="344"/>
      <c r="IGV48" s="344"/>
      <c r="IGW48" s="344"/>
      <c r="IGX48" s="344"/>
      <c r="IGY48" s="344"/>
      <c r="IGZ48" s="344"/>
      <c r="IHA48" s="344"/>
      <c r="IHB48" s="344"/>
      <c r="IHC48" s="344"/>
      <c r="IHD48" s="344"/>
      <c r="IHE48" s="344"/>
      <c r="IHF48" s="344"/>
      <c r="IHG48" s="344"/>
      <c r="IHH48" s="344"/>
      <c r="IHI48" s="344"/>
      <c r="IHJ48" s="344"/>
      <c r="IHK48" s="344"/>
      <c r="IHL48" s="344"/>
      <c r="IHM48" s="344"/>
      <c r="IHN48" s="344"/>
      <c r="IHO48" s="344"/>
      <c r="IHP48" s="344"/>
      <c r="IHQ48" s="344"/>
      <c r="IHR48" s="344"/>
      <c r="IHS48" s="344"/>
      <c r="IHT48" s="344"/>
      <c r="IHU48" s="344"/>
      <c r="IHV48" s="344"/>
      <c r="IHW48" s="344"/>
      <c r="IHX48" s="344"/>
      <c r="IHY48" s="344"/>
      <c r="IHZ48" s="344"/>
      <c r="IIA48" s="344"/>
      <c r="IIB48" s="344"/>
      <c r="IIC48" s="344"/>
      <c r="IID48" s="344"/>
      <c r="IIE48" s="344"/>
      <c r="IIF48" s="344"/>
      <c r="IIG48" s="344"/>
      <c r="IIH48" s="344"/>
      <c r="III48" s="344"/>
      <c r="IIJ48" s="344"/>
      <c r="IIK48" s="344"/>
      <c r="IIL48" s="344"/>
      <c r="IIM48" s="344"/>
      <c r="IIN48" s="344"/>
      <c r="IIO48" s="344"/>
      <c r="IIP48" s="344"/>
      <c r="IIQ48" s="344"/>
      <c r="IIR48" s="344"/>
      <c r="IIS48" s="344"/>
      <c r="IIT48" s="344"/>
      <c r="IIU48" s="344"/>
      <c r="IIV48" s="344"/>
      <c r="IIW48" s="344"/>
      <c r="IIX48" s="344"/>
      <c r="IIY48" s="344"/>
      <c r="IIZ48" s="344"/>
      <c r="IJA48" s="344"/>
      <c r="IJB48" s="344"/>
      <c r="IJC48" s="344"/>
      <c r="IJD48" s="344"/>
      <c r="IJE48" s="344"/>
      <c r="IJF48" s="344"/>
      <c r="IJG48" s="344"/>
      <c r="IJH48" s="344"/>
      <c r="IJI48" s="344"/>
      <c r="IJJ48" s="344"/>
      <c r="IJK48" s="344"/>
      <c r="IJL48" s="344"/>
      <c r="IJM48" s="344"/>
      <c r="IJN48" s="344"/>
      <c r="IJO48" s="344"/>
      <c r="IJP48" s="344"/>
      <c r="IJQ48" s="344"/>
      <c r="IJR48" s="344"/>
      <c r="IJS48" s="344"/>
      <c r="IJT48" s="344"/>
      <c r="IJU48" s="344"/>
      <c r="IJV48" s="344"/>
      <c r="IJW48" s="344"/>
      <c r="IJX48" s="344"/>
      <c r="IJY48" s="344"/>
      <c r="IJZ48" s="344"/>
      <c r="IKA48" s="344"/>
      <c r="IKB48" s="344"/>
      <c r="IKC48" s="344"/>
      <c r="IKD48" s="344"/>
      <c r="IKE48" s="344"/>
      <c r="IKF48" s="344"/>
      <c r="IKG48" s="344"/>
      <c r="IKH48" s="344"/>
      <c r="IKI48" s="344"/>
      <c r="IKJ48" s="344"/>
      <c r="IKK48" s="344"/>
      <c r="IKL48" s="344"/>
      <c r="IKM48" s="344"/>
      <c r="IKN48" s="344"/>
      <c r="IKO48" s="344"/>
      <c r="IKP48" s="344"/>
      <c r="IKQ48" s="344"/>
      <c r="IKR48" s="344"/>
      <c r="IKS48" s="344"/>
      <c r="IKT48" s="344"/>
      <c r="IKU48" s="344"/>
      <c r="IKV48" s="344"/>
      <c r="IKW48" s="344"/>
      <c r="IKX48" s="344"/>
      <c r="IKY48" s="344"/>
      <c r="IKZ48" s="344"/>
      <c r="ILA48" s="344"/>
      <c r="ILB48" s="344"/>
      <c r="ILC48" s="344"/>
      <c r="ILD48" s="344"/>
      <c r="ILE48" s="344"/>
      <c r="ILF48" s="344"/>
      <c r="ILG48" s="344"/>
      <c r="ILH48" s="344"/>
      <c r="ILI48" s="344"/>
      <c r="ILJ48" s="344"/>
      <c r="ILK48" s="344"/>
      <c r="ILL48" s="344"/>
      <c r="ILM48" s="344"/>
      <c r="ILN48" s="344"/>
      <c r="ILO48" s="344"/>
      <c r="ILP48" s="344"/>
      <c r="ILQ48" s="344"/>
      <c r="ILR48" s="344"/>
      <c r="ILS48" s="344"/>
      <c r="ILT48" s="344"/>
      <c r="ILU48" s="344"/>
      <c r="ILV48" s="344"/>
      <c r="ILW48" s="344"/>
      <c r="ILX48" s="344"/>
      <c r="ILY48" s="344"/>
      <c r="ILZ48" s="344"/>
      <c r="IMA48" s="344"/>
      <c r="IMB48" s="344"/>
      <c r="IMC48" s="344"/>
      <c r="IMD48" s="344"/>
      <c r="IME48" s="344"/>
      <c r="IMF48" s="344"/>
      <c r="IMG48" s="344"/>
      <c r="IMH48" s="344"/>
      <c r="IMI48" s="344"/>
      <c r="IMJ48" s="344"/>
      <c r="IMK48" s="344"/>
      <c r="IML48" s="344"/>
      <c r="IMM48" s="344"/>
      <c r="IMN48" s="344"/>
      <c r="IMO48" s="344"/>
      <c r="IMP48" s="344"/>
      <c r="IMQ48" s="344"/>
      <c r="IMR48" s="344"/>
      <c r="IMS48" s="344"/>
      <c r="IMT48" s="344"/>
      <c r="IMU48" s="344"/>
      <c r="IMV48" s="344"/>
      <c r="IMW48" s="344"/>
      <c r="IMX48" s="344"/>
      <c r="IMY48" s="344"/>
      <c r="IMZ48" s="344"/>
      <c r="INA48" s="344"/>
      <c r="INB48" s="344"/>
      <c r="INC48" s="344"/>
      <c r="IND48" s="344"/>
      <c r="INE48" s="344"/>
      <c r="INF48" s="344"/>
      <c r="ING48" s="344"/>
      <c r="INH48" s="344"/>
      <c r="INI48" s="344"/>
      <c r="INJ48" s="344"/>
      <c r="INK48" s="344"/>
      <c r="INL48" s="344"/>
      <c r="INM48" s="344"/>
      <c r="INN48" s="344"/>
      <c r="INO48" s="344"/>
      <c r="INP48" s="344"/>
      <c r="INQ48" s="344"/>
      <c r="INR48" s="344"/>
      <c r="INS48" s="344"/>
      <c r="INT48" s="344"/>
      <c r="INU48" s="344"/>
      <c r="INV48" s="344"/>
      <c r="INW48" s="344"/>
      <c r="INX48" s="344"/>
      <c r="INY48" s="344"/>
      <c r="INZ48" s="344"/>
      <c r="IOA48" s="344"/>
      <c r="IOB48" s="344"/>
      <c r="IOC48" s="344"/>
      <c r="IOD48" s="344"/>
      <c r="IOE48" s="344"/>
      <c r="IOF48" s="344"/>
      <c r="IOG48" s="344"/>
      <c r="IOH48" s="344"/>
      <c r="IOI48" s="344"/>
      <c r="IOJ48" s="344"/>
      <c r="IOK48" s="344"/>
      <c r="IOL48" s="344"/>
      <c r="IOM48" s="344"/>
      <c r="ION48" s="344"/>
      <c r="IOO48" s="344"/>
      <c r="IOP48" s="344"/>
      <c r="IOQ48" s="344"/>
      <c r="IOR48" s="344"/>
      <c r="IOS48" s="344"/>
      <c r="IOT48" s="344"/>
      <c r="IOU48" s="344"/>
      <c r="IOV48" s="344"/>
      <c r="IOW48" s="344"/>
      <c r="IOX48" s="344"/>
      <c r="IOY48" s="344"/>
      <c r="IOZ48" s="344"/>
      <c r="IPA48" s="344"/>
      <c r="IPB48" s="344"/>
      <c r="IPC48" s="344"/>
      <c r="IPD48" s="344"/>
      <c r="IPE48" s="344"/>
      <c r="IPF48" s="344"/>
      <c r="IPG48" s="344"/>
      <c r="IPH48" s="344"/>
      <c r="IPI48" s="344"/>
      <c r="IPJ48" s="344"/>
      <c r="IPK48" s="344"/>
      <c r="IPL48" s="344"/>
      <c r="IPM48" s="344"/>
      <c r="IPN48" s="344"/>
      <c r="IPO48" s="344"/>
      <c r="IPP48" s="344"/>
      <c r="IPQ48" s="344"/>
      <c r="IPR48" s="344"/>
      <c r="IPS48" s="344"/>
      <c r="IPT48" s="344"/>
      <c r="IPU48" s="344"/>
      <c r="IPV48" s="344"/>
      <c r="IPW48" s="344"/>
      <c r="IPX48" s="344"/>
      <c r="IPY48" s="344"/>
      <c r="IPZ48" s="344"/>
      <c r="IQA48" s="344"/>
      <c r="IQB48" s="344"/>
      <c r="IQC48" s="344"/>
      <c r="IQD48" s="344"/>
      <c r="IQE48" s="344"/>
      <c r="IQF48" s="344"/>
      <c r="IQG48" s="344"/>
      <c r="IQH48" s="344"/>
      <c r="IQI48" s="344"/>
      <c r="IQJ48" s="344"/>
      <c r="IQK48" s="344"/>
      <c r="IQL48" s="344"/>
      <c r="IQM48" s="344"/>
      <c r="IQN48" s="344"/>
      <c r="IQO48" s="344"/>
      <c r="IQP48" s="344"/>
      <c r="IQQ48" s="344"/>
      <c r="IQR48" s="344"/>
      <c r="IQS48" s="344"/>
      <c r="IQT48" s="344"/>
      <c r="IQU48" s="344"/>
      <c r="IQV48" s="344"/>
      <c r="IQW48" s="344"/>
      <c r="IQX48" s="344"/>
      <c r="IQY48" s="344"/>
      <c r="IQZ48" s="344"/>
      <c r="IRA48" s="344"/>
      <c r="IRB48" s="344"/>
      <c r="IRC48" s="344"/>
      <c r="IRD48" s="344"/>
      <c r="IRE48" s="344"/>
      <c r="IRF48" s="344"/>
      <c r="IRG48" s="344"/>
      <c r="IRH48" s="344"/>
      <c r="IRI48" s="344"/>
      <c r="IRJ48" s="344"/>
      <c r="IRK48" s="344"/>
      <c r="IRL48" s="344"/>
      <c r="IRM48" s="344"/>
      <c r="IRN48" s="344"/>
      <c r="IRO48" s="344"/>
      <c r="IRP48" s="344"/>
      <c r="IRQ48" s="344"/>
      <c r="IRR48" s="344"/>
      <c r="IRS48" s="344"/>
      <c r="IRT48" s="344"/>
      <c r="IRU48" s="344"/>
      <c r="IRV48" s="344"/>
      <c r="IRW48" s="344"/>
      <c r="IRX48" s="344"/>
      <c r="IRY48" s="344"/>
      <c r="IRZ48" s="344"/>
      <c r="ISA48" s="344"/>
      <c r="ISB48" s="344"/>
      <c r="ISC48" s="344"/>
      <c r="ISD48" s="344"/>
      <c r="ISE48" s="344"/>
      <c r="ISF48" s="344"/>
      <c r="ISG48" s="344"/>
      <c r="ISH48" s="344"/>
      <c r="ISI48" s="344"/>
      <c r="ISJ48" s="344"/>
      <c r="ISK48" s="344"/>
      <c r="ISL48" s="344"/>
      <c r="ISM48" s="344"/>
      <c r="ISN48" s="344"/>
      <c r="ISO48" s="344"/>
      <c r="ISP48" s="344"/>
      <c r="ISQ48" s="344"/>
      <c r="ISR48" s="344"/>
      <c r="ISS48" s="344"/>
      <c r="IST48" s="344"/>
      <c r="ISU48" s="344"/>
      <c r="ISV48" s="344"/>
      <c r="ISW48" s="344"/>
      <c r="ISX48" s="344"/>
      <c r="ISY48" s="344"/>
      <c r="ISZ48" s="344"/>
      <c r="ITA48" s="344"/>
      <c r="ITB48" s="344"/>
      <c r="ITC48" s="344"/>
      <c r="ITD48" s="344"/>
      <c r="ITE48" s="344"/>
      <c r="ITF48" s="344"/>
      <c r="ITG48" s="344"/>
      <c r="ITH48" s="344"/>
      <c r="ITI48" s="344"/>
      <c r="ITJ48" s="344"/>
      <c r="ITK48" s="344"/>
      <c r="ITL48" s="344"/>
      <c r="ITM48" s="344"/>
      <c r="ITN48" s="344"/>
      <c r="ITO48" s="344"/>
      <c r="ITP48" s="344"/>
      <c r="ITQ48" s="344"/>
      <c r="ITR48" s="344"/>
      <c r="ITS48" s="344"/>
      <c r="ITT48" s="344"/>
      <c r="ITU48" s="344"/>
      <c r="ITV48" s="344"/>
      <c r="ITW48" s="344"/>
      <c r="ITX48" s="344"/>
      <c r="ITY48" s="344"/>
      <c r="ITZ48" s="344"/>
      <c r="IUA48" s="344"/>
      <c r="IUB48" s="344"/>
      <c r="IUC48" s="344"/>
      <c r="IUD48" s="344"/>
      <c r="IUE48" s="344"/>
      <c r="IUF48" s="344"/>
      <c r="IUG48" s="344"/>
      <c r="IUH48" s="344"/>
      <c r="IUI48" s="344"/>
      <c r="IUJ48" s="344"/>
      <c r="IUK48" s="344"/>
      <c r="IUL48" s="344"/>
      <c r="IUM48" s="344"/>
      <c r="IUN48" s="344"/>
      <c r="IUO48" s="344"/>
      <c r="IUP48" s="344"/>
      <c r="IUQ48" s="344"/>
      <c r="IUR48" s="344"/>
      <c r="IUS48" s="344"/>
      <c r="IUT48" s="344"/>
      <c r="IUU48" s="344"/>
      <c r="IUV48" s="344"/>
      <c r="IUW48" s="344"/>
      <c r="IUX48" s="344"/>
      <c r="IUY48" s="344"/>
      <c r="IUZ48" s="344"/>
      <c r="IVA48" s="344"/>
      <c r="IVB48" s="344"/>
      <c r="IVC48" s="344"/>
      <c r="IVD48" s="344"/>
      <c r="IVE48" s="344"/>
      <c r="IVF48" s="344"/>
      <c r="IVG48" s="344"/>
      <c r="IVH48" s="344"/>
      <c r="IVI48" s="344"/>
      <c r="IVJ48" s="344"/>
      <c r="IVK48" s="344"/>
      <c r="IVL48" s="344"/>
      <c r="IVM48" s="344"/>
      <c r="IVN48" s="344"/>
      <c r="IVO48" s="344"/>
      <c r="IVP48" s="344"/>
      <c r="IVQ48" s="344"/>
      <c r="IVR48" s="344"/>
      <c r="IVS48" s="344"/>
      <c r="IVT48" s="344"/>
      <c r="IVU48" s="344"/>
      <c r="IVV48" s="344"/>
      <c r="IVW48" s="344"/>
      <c r="IVX48" s="344"/>
      <c r="IVY48" s="344"/>
      <c r="IVZ48" s="344"/>
      <c r="IWA48" s="344"/>
      <c r="IWB48" s="344"/>
      <c r="IWC48" s="344"/>
      <c r="IWD48" s="344"/>
      <c r="IWE48" s="344"/>
      <c r="IWF48" s="344"/>
      <c r="IWG48" s="344"/>
      <c r="IWH48" s="344"/>
      <c r="IWI48" s="344"/>
      <c r="IWJ48" s="344"/>
      <c r="IWK48" s="344"/>
      <c r="IWL48" s="344"/>
      <c r="IWM48" s="344"/>
      <c r="IWN48" s="344"/>
      <c r="IWO48" s="344"/>
      <c r="IWP48" s="344"/>
      <c r="IWQ48" s="344"/>
      <c r="IWR48" s="344"/>
      <c r="IWS48" s="344"/>
      <c r="IWT48" s="344"/>
      <c r="IWU48" s="344"/>
      <c r="IWV48" s="344"/>
      <c r="IWW48" s="344"/>
      <c r="IWX48" s="344"/>
      <c r="IWY48" s="344"/>
      <c r="IWZ48" s="344"/>
      <c r="IXA48" s="344"/>
      <c r="IXB48" s="344"/>
      <c r="IXC48" s="344"/>
      <c r="IXD48" s="344"/>
      <c r="IXE48" s="344"/>
      <c r="IXF48" s="344"/>
      <c r="IXG48" s="344"/>
      <c r="IXH48" s="344"/>
      <c r="IXI48" s="344"/>
      <c r="IXJ48" s="344"/>
      <c r="IXK48" s="344"/>
      <c r="IXL48" s="344"/>
      <c r="IXM48" s="344"/>
      <c r="IXN48" s="344"/>
      <c r="IXO48" s="344"/>
      <c r="IXP48" s="344"/>
      <c r="IXQ48" s="344"/>
      <c r="IXR48" s="344"/>
      <c r="IXS48" s="344"/>
      <c r="IXT48" s="344"/>
      <c r="IXU48" s="344"/>
      <c r="IXV48" s="344"/>
      <c r="IXW48" s="344"/>
      <c r="IXX48" s="344"/>
      <c r="IXY48" s="344"/>
      <c r="IXZ48" s="344"/>
      <c r="IYA48" s="344"/>
      <c r="IYB48" s="344"/>
      <c r="IYC48" s="344"/>
      <c r="IYD48" s="344"/>
      <c r="IYE48" s="344"/>
      <c r="IYF48" s="344"/>
      <c r="IYG48" s="344"/>
      <c r="IYH48" s="344"/>
      <c r="IYI48" s="344"/>
      <c r="IYJ48" s="344"/>
      <c r="IYK48" s="344"/>
      <c r="IYL48" s="344"/>
      <c r="IYM48" s="344"/>
      <c r="IYN48" s="344"/>
      <c r="IYO48" s="344"/>
      <c r="IYP48" s="344"/>
      <c r="IYQ48" s="344"/>
      <c r="IYR48" s="344"/>
      <c r="IYS48" s="344"/>
      <c r="IYT48" s="344"/>
      <c r="IYU48" s="344"/>
      <c r="IYV48" s="344"/>
      <c r="IYW48" s="344"/>
      <c r="IYX48" s="344"/>
      <c r="IYY48" s="344"/>
      <c r="IYZ48" s="344"/>
      <c r="IZA48" s="344"/>
      <c r="IZB48" s="344"/>
      <c r="IZC48" s="344"/>
      <c r="IZD48" s="344"/>
      <c r="IZE48" s="344"/>
      <c r="IZF48" s="344"/>
      <c r="IZG48" s="344"/>
      <c r="IZH48" s="344"/>
      <c r="IZI48" s="344"/>
      <c r="IZJ48" s="344"/>
      <c r="IZK48" s="344"/>
      <c r="IZL48" s="344"/>
      <c r="IZM48" s="344"/>
      <c r="IZN48" s="344"/>
      <c r="IZO48" s="344"/>
      <c r="IZP48" s="344"/>
      <c r="IZQ48" s="344"/>
      <c r="IZR48" s="344"/>
      <c r="IZS48" s="344"/>
      <c r="IZT48" s="344"/>
      <c r="IZU48" s="344"/>
      <c r="IZV48" s="344"/>
      <c r="IZW48" s="344"/>
      <c r="IZX48" s="344"/>
      <c r="IZY48" s="344"/>
      <c r="IZZ48" s="344"/>
      <c r="JAA48" s="344"/>
      <c r="JAB48" s="344"/>
      <c r="JAC48" s="344"/>
      <c r="JAD48" s="344"/>
      <c r="JAE48" s="344"/>
      <c r="JAF48" s="344"/>
      <c r="JAG48" s="344"/>
      <c r="JAH48" s="344"/>
      <c r="JAI48" s="344"/>
      <c r="JAJ48" s="344"/>
      <c r="JAK48" s="344"/>
      <c r="JAL48" s="344"/>
      <c r="JAM48" s="344"/>
      <c r="JAN48" s="344"/>
      <c r="JAO48" s="344"/>
      <c r="JAP48" s="344"/>
      <c r="JAQ48" s="344"/>
      <c r="JAR48" s="344"/>
      <c r="JAS48" s="344"/>
      <c r="JAT48" s="344"/>
      <c r="JAU48" s="344"/>
      <c r="JAV48" s="344"/>
      <c r="JAW48" s="344"/>
      <c r="JAX48" s="344"/>
      <c r="JAY48" s="344"/>
      <c r="JAZ48" s="344"/>
      <c r="JBA48" s="344"/>
      <c r="JBB48" s="344"/>
      <c r="JBC48" s="344"/>
      <c r="JBD48" s="344"/>
      <c r="JBE48" s="344"/>
      <c r="JBF48" s="344"/>
      <c r="JBG48" s="344"/>
      <c r="JBH48" s="344"/>
      <c r="JBI48" s="344"/>
      <c r="JBJ48" s="344"/>
      <c r="JBK48" s="344"/>
      <c r="JBL48" s="344"/>
      <c r="JBM48" s="344"/>
      <c r="JBN48" s="344"/>
      <c r="JBO48" s="344"/>
      <c r="JBP48" s="344"/>
      <c r="JBQ48" s="344"/>
      <c r="JBR48" s="344"/>
      <c r="JBS48" s="344"/>
      <c r="JBT48" s="344"/>
      <c r="JBU48" s="344"/>
      <c r="JBV48" s="344"/>
      <c r="JBW48" s="344"/>
      <c r="JBX48" s="344"/>
      <c r="JBY48" s="344"/>
      <c r="JBZ48" s="344"/>
      <c r="JCA48" s="344"/>
      <c r="JCB48" s="344"/>
      <c r="JCC48" s="344"/>
      <c r="JCD48" s="344"/>
      <c r="JCE48" s="344"/>
      <c r="JCF48" s="344"/>
      <c r="JCG48" s="344"/>
      <c r="JCH48" s="344"/>
      <c r="JCI48" s="344"/>
      <c r="JCJ48" s="344"/>
      <c r="JCK48" s="344"/>
      <c r="JCL48" s="344"/>
      <c r="JCM48" s="344"/>
      <c r="JCN48" s="344"/>
      <c r="JCO48" s="344"/>
      <c r="JCP48" s="344"/>
      <c r="JCQ48" s="344"/>
      <c r="JCR48" s="344"/>
      <c r="JCS48" s="344"/>
      <c r="JCT48" s="344"/>
      <c r="JCU48" s="344"/>
      <c r="JCV48" s="344"/>
      <c r="JCW48" s="344"/>
      <c r="JCX48" s="344"/>
      <c r="JCY48" s="344"/>
      <c r="JCZ48" s="344"/>
      <c r="JDA48" s="344"/>
      <c r="JDB48" s="344"/>
      <c r="JDC48" s="344"/>
      <c r="JDD48" s="344"/>
      <c r="JDE48" s="344"/>
      <c r="JDF48" s="344"/>
      <c r="JDG48" s="344"/>
      <c r="JDH48" s="344"/>
      <c r="JDI48" s="344"/>
      <c r="JDJ48" s="344"/>
      <c r="JDK48" s="344"/>
      <c r="JDL48" s="344"/>
      <c r="JDM48" s="344"/>
      <c r="JDN48" s="344"/>
      <c r="JDO48" s="344"/>
      <c r="JDP48" s="344"/>
      <c r="JDQ48" s="344"/>
      <c r="JDR48" s="344"/>
      <c r="JDS48" s="344"/>
      <c r="JDT48" s="344"/>
      <c r="JDU48" s="344"/>
      <c r="JDV48" s="344"/>
      <c r="JDW48" s="344"/>
      <c r="JDX48" s="344"/>
      <c r="JDY48" s="344"/>
      <c r="JDZ48" s="344"/>
      <c r="JEA48" s="344"/>
      <c r="JEB48" s="344"/>
      <c r="JEC48" s="344"/>
      <c r="JED48" s="344"/>
      <c r="JEE48" s="344"/>
      <c r="JEF48" s="344"/>
      <c r="JEG48" s="344"/>
      <c r="JEH48" s="344"/>
      <c r="JEI48" s="344"/>
      <c r="JEJ48" s="344"/>
      <c r="JEK48" s="344"/>
      <c r="JEL48" s="344"/>
      <c r="JEM48" s="344"/>
      <c r="JEN48" s="344"/>
      <c r="JEO48" s="344"/>
      <c r="JEP48" s="344"/>
      <c r="JEQ48" s="344"/>
      <c r="JER48" s="344"/>
      <c r="JES48" s="344"/>
      <c r="JET48" s="344"/>
      <c r="JEU48" s="344"/>
      <c r="JEV48" s="344"/>
      <c r="JEW48" s="344"/>
      <c r="JEX48" s="344"/>
      <c r="JEY48" s="344"/>
      <c r="JEZ48" s="344"/>
      <c r="JFA48" s="344"/>
      <c r="JFB48" s="344"/>
      <c r="JFC48" s="344"/>
      <c r="JFD48" s="344"/>
      <c r="JFE48" s="344"/>
      <c r="JFF48" s="344"/>
      <c r="JFG48" s="344"/>
      <c r="JFH48" s="344"/>
      <c r="JFI48" s="344"/>
      <c r="JFJ48" s="344"/>
      <c r="JFK48" s="344"/>
      <c r="JFL48" s="344"/>
      <c r="JFM48" s="344"/>
      <c r="JFN48" s="344"/>
      <c r="JFO48" s="344"/>
      <c r="JFP48" s="344"/>
      <c r="JFQ48" s="344"/>
      <c r="JFR48" s="344"/>
      <c r="JFS48" s="344"/>
      <c r="JFT48" s="344"/>
      <c r="JFU48" s="344"/>
      <c r="JFV48" s="344"/>
      <c r="JFW48" s="344"/>
      <c r="JFX48" s="344"/>
      <c r="JFY48" s="344"/>
      <c r="JFZ48" s="344"/>
      <c r="JGA48" s="344"/>
      <c r="JGB48" s="344"/>
      <c r="JGC48" s="344"/>
      <c r="JGD48" s="344"/>
      <c r="JGE48" s="344"/>
      <c r="JGF48" s="344"/>
      <c r="JGG48" s="344"/>
      <c r="JGH48" s="344"/>
      <c r="JGI48" s="344"/>
      <c r="JGJ48" s="344"/>
      <c r="JGK48" s="344"/>
      <c r="JGL48" s="344"/>
      <c r="JGM48" s="344"/>
      <c r="JGN48" s="344"/>
      <c r="JGO48" s="344"/>
      <c r="JGP48" s="344"/>
      <c r="JGQ48" s="344"/>
      <c r="JGR48" s="344"/>
      <c r="JGS48" s="344"/>
      <c r="JGT48" s="344"/>
      <c r="JGU48" s="344"/>
      <c r="JGV48" s="344"/>
      <c r="JGW48" s="344"/>
      <c r="JGX48" s="344"/>
      <c r="JGY48" s="344"/>
      <c r="JGZ48" s="344"/>
      <c r="JHA48" s="344"/>
      <c r="JHB48" s="344"/>
      <c r="JHC48" s="344"/>
      <c r="JHD48" s="344"/>
      <c r="JHE48" s="344"/>
      <c r="JHF48" s="344"/>
      <c r="JHG48" s="344"/>
      <c r="JHH48" s="344"/>
      <c r="JHI48" s="344"/>
      <c r="JHJ48" s="344"/>
      <c r="JHK48" s="344"/>
      <c r="JHL48" s="344"/>
      <c r="JHM48" s="344"/>
      <c r="JHN48" s="344"/>
      <c r="JHO48" s="344"/>
      <c r="JHP48" s="344"/>
      <c r="JHQ48" s="344"/>
      <c r="JHR48" s="344"/>
      <c r="JHS48" s="344"/>
      <c r="JHT48" s="344"/>
      <c r="JHU48" s="344"/>
      <c r="JHV48" s="344"/>
      <c r="JHW48" s="344"/>
      <c r="JHX48" s="344"/>
      <c r="JHY48" s="344"/>
      <c r="JHZ48" s="344"/>
      <c r="JIA48" s="344"/>
      <c r="JIB48" s="344"/>
      <c r="JIC48" s="344"/>
      <c r="JID48" s="344"/>
      <c r="JIE48" s="344"/>
      <c r="JIF48" s="344"/>
      <c r="JIG48" s="344"/>
      <c r="JIH48" s="344"/>
      <c r="JII48" s="344"/>
      <c r="JIJ48" s="344"/>
      <c r="JIK48" s="344"/>
      <c r="JIL48" s="344"/>
      <c r="JIM48" s="344"/>
      <c r="JIN48" s="344"/>
      <c r="JIO48" s="344"/>
      <c r="JIP48" s="344"/>
      <c r="JIQ48" s="344"/>
      <c r="JIR48" s="344"/>
      <c r="JIS48" s="344"/>
      <c r="JIT48" s="344"/>
      <c r="JIU48" s="344"/>
      <c r="JIV48" s="344"/>
      <c r="JIW48" s="344"/>
      <c r="JIX48" s="344"/>
      <c r="JIY48" s="344"/>
      <c r="JIZ48" s="344"/>
      <c r="JJA48" s="344"/>
      <c r="JJB48" s="344"/>
      <c r="JJC48" s="344"/>
      <c r="JJD48" s="344"/>
      <c r="JJE48" s="344"/>
      <c r="JJF48" s="344"/>
      <c r="JJG48" s="344"/>
      <c r="JJH48" s="344"/>
      <c r="JJI48" s="344"/>
      <c r="JJJ48" s="344"/>
      <c r="JJK48" s="344"/>
      <c r="JJL48" s="344"/>
      <c r="JJM48" s="344"/>
      <c r="JJN48" s="344"/>
      <c r="JJO48" s="344"/>
      <c r="JJP48" s="344"/>
      <c r="JJQ48" s="344"/>
      <c r="JJR48" s="344"/>
      <c r="JJS48" s="344"/>
      <c r="JJT48" s="344"/>
      <c r="JJU48" s="344"/>
      <c r="JJV48" s="344"/>
      <c r="JJW48" s="344"/>
      <c r="JJX48" s="344"/>
      <c r="JJY48" s="344"/>
      <c r="JJZ48" s="344"/>
      <c r="JKA48" s="344"/>
      <c r="JKB48" s="344"/>
      <c r="JKC48" s="344"/>
      <c r="JKD48" s="344"/>
      <c r="JKE48" s="344"/>
      <c r="JKF48" s="344"/>
      <c r="JKG48" s="344"/>
      <c r="JKH48" s="344"/>
      <c r="JKI48" s="344"/>
      <c r="JKJ48" s="344"/>
      <c r="JKK48" s="344"/>
      <c r="JKL48" s="344"/>
      <c r="JKM48" s="344"/>
      <c r="JKN48" s="344"/>
      <c r="JKO48" s="344"/>
      <c r="JKP48" s="344"/>
      <c r="JKQ48" s="344"/>
      <c r="JKR48" s="344"/>
      <c r="JKS48" s="344"/>
      <c r="JKT48" s="344"/>
      <c r="JKU48" s="344"/>
      <c r="JKV48" s="344"/>
      <c r="JKW48" s="344"/>
      <c r="JKX48" s="344"/>
      <c r="JKY48" s="344"/>
      <c r="JKZ48" s="344"/>
      <c r="JLA48" s="344"/>
      <c r="JLB48" s="344"/>
      <c r="JLC48" s="344"/>
      <c r="JLD48" s="344"/>
      <c r="JLE48" s="344"/>
      <c r="JLF48" s="344"/>
      <c r="JLG48" s="344"/>
      <c r="JLH48" s="344"/>
      <c r="JLI48" s="344"/>
      <c r="JLJ48" s="344"/>
      <c r="JLK48" s="344"/>
      <c r="JLL48" s="344"/>
      <c r="JLM48" s="344"/>
      <c r="JLN48" s="344"/>
      <c r="JLO48" s="344"/>
      <c r="JLP48" s="344"/>
      <c r="JLQ48" s="344"/>
      <c r="JLR48" s="344"/>
      <c r="JLS48" s="344"/>
      <c r="JLT48" s="344"/>
      <c r="JLU48" s="344"/>
      <c r="JLV48" s="344"/>
      <c r="JLW48" s="344"/>
      <c r="JLX48" s="344"/>
      <c r="JLY48" s="344"/>
      <c r="JLZ48" s="344"/>
      <c r="JMA48" s="344"/>
      <c r="JMB48" s="344"/>
      <c r="JMC48" s="344"/>
      <c r="JMD48" s="344"/>
      <c r="JME48" s="344"/>
      <c r="JMF48" s="344"/>
      <c r="JMG48" s="344"/>
      <c r="JMH48" s="344"/>
      <c r="JMI48" s="344"/>
      <c r="JMJ48" s="344"/>
      <c r="JMK48" s="344"/>
      <c r="JML48" s="344"/>
      <c r="JMM48" s="344"/>
      <c r="JMN48" s="344"/>
      <c r="JMO48" s="344"/>
      <c r="JMP48" s="344"/>
      <c r="JMQ48" s="344"/>
      <c r="JMR48" s="344"/>
      <c r="JMS48" s="344"/>
      <c r="JMT48" s="344"/>
      <c r="JMU48" s="344"/>
      <c r="JMV48" s="344"/>
      <c r="JMW48" s="344"/>
      <c r="JMX48" s="344"/>
      <c r="JMY48" s="344"/>
      <c r="JMZ48" s="344"/>
      <c r="JNA48" s="344"/>
      <c r="JNB48" s="344"/>
      <c r="JNC48" s="344"/>
      <c r="JND48" s="344"/>
      <c r="JNE48" s="344"/>
      <c r="JNF48" s="344"/>
      <c r="JNG48" s="344"/>
      <c r="JNH48" s="344"/>
      <c r="JNI48" s="344"/>
      <c r="JNJ48" s="344"/>
      <c r="JNK48" s="344"/>
      <c r="JNL48" s="344"/>
      <c r="JNM48" s="344"/>
      <c r="JNN48" s="344"/>
      <c r="JNO48" s="344"/>
      <c r="JNP48" s="344"/>
      <c r="JNQ48" s="344"/>
      <c r="JNR48" s="344"/>
      <c r="JNS48" s="344"/>
      <c r="JNT48" s="344"/>
      <c r="JNU48" s="344"/>
      <c r="JNV48" s="344"/>
      <c r="JNW48" s="344"/>
      <c r="JNX48" s="344"/>
      <c r="JNY48" s="344"/>
      <c r="JNZ48" s="344"/>
      <c r="JOA48" s="344"/>
      <c r="JOB48" s="344"/>
      <c r="JOC48" s="344"/>
      <c r="JOD48" s="344"/>
      <c r="JOE48" s="344"/>
      <c r="JOF48" s="344"/>
      <c r="JOG48" s="344"/>
      <c r="JOH48" s="344"/>
      <c r="JOI48" s="344"/>
      <c r="JOJ48" s="344"/>
      <c r="JOK48" s="344"/>
      <c r="JOL48" s="344"/>
      <c r="JOM48" s="344"/>
      <c r="JON48" s="344"/>
      <c r="JOO48" s="344"/>
      <c r="JOP48" s="344"/>
      <c r="JOQ48" s="344"/>
      <c r="JOR48" s="344"/>
      <c r="JOS48" s="344"/>
      <c r="JOT48" s="344"/>
      <c r="JOU48" s="344"/>
      <c r="JOV48" s="344"/>
      <c r="JOW48" s="344"/>
      <c r="JOX48" s="344"/>
      <c r="JOY48" s="344"/>
      <c r="JOZ48" s="344"/>
      <c r="JPA48" s="344"/>
      <c r="JPB48" s="344"/>
      <c r="JPC48" s="344"/>
      <c r="JPD48" s="344"/>
      <c r="JPE48" s="344"/>
      <c r="JPF48" s="344"/>
      <c r="JPG48" s="344"/>
      <c r="JPH48" s="344"/>
      <c r="JPI48" s="344"/>
      <c r="JPJ48" s="344"/>
      <c r="JPK48" s="344"/>
      <c r="JPL48" s="344"/>
      <c r="JPM48" s="344"/>
      <c r="JPN48" s="344"/>
      <c r="JPO48" s="344"/>
      <c r="JPP48" s="344"/>
      <c r="JPQ48" s="344"/>
      <c r="JPR48" s="344"/>
      <c r="JPS48" s="344"/>
      <c r="JPT48" s="344"/>
      <c r="JPU48" s="344"/>
      <c r="JPV48" s="344"/>
      <c r="JPW48" s="344"/>
      <c r="JPX48" s="344"/>
      <c r="JPY48" s="344"/>
      <c r="JPZ48" s="344"/>
      <c r="JQA48" s="344"/>
      <c r="JQB48" s="344"/>
      <c r="JQC48" s="344"/>
      <c r="JQD48" s="344"/>
      <c r="JQE48" s="344"/>
      <c r="JQF48" s="344"/>
      <c r="JQG48" s="344"/>
      <c r="JQH48" s="344"/>
      <c r="JQI48" s="344"/>
      <c r="JQJ48" s="344"/>
      <c r="JQK48" s="344"/>
      <c r="JQL48" s="344"/>
      <c r="JQM48" s="344"/>
      <c r="JQN48" s="344"/>
      <c r="JQO48" s="344"/>
      <c r="JQP48" s="344"/>
      <c r="JQQ48" s="344"/>
      <c r="JQR48" s="344"/>
      <c r="JQS48" s="344"/>
      <c r="JQT48" s="344"/>
      <c r="JQU48" s="344"/>
      <c r="JQV48" s="344"/>
      <c r="JQW48" s="344"/>
      <c r="JQX48" s="344"/>
      <c r="JQY48" s="344"/>
      <c r="JQZ48" s="344"/>
      <c r="JRA48" s="344"/>
      <c r="JRB48" s="344"/>
      <c r="JRC48" s="344"/>
      <c r="JRD48" s="344"/>
      <c r="JRE48" s="344"/>
      <c r="JRF48" s="344"/>
      <c r="JRG48" s="344"/>
      <c r="JRH48" s="344"/>
      <c r="JRI48" s="344"/>
      <c r="JRJ48" s="344"/>
      <c r="JRK48" s="344"/>
      <c r="JRL48" s="344"/>
      <c r="JRM48" s="344"/>
      <c r="JRN48" s="344"/>
      <c r="JRO48" s="344"/>
      <c r="JRP48" s="344"/>
      <c r="JRQ48" s="344"/>
      <c r="JRR48" s="344"/>
      <c r="JRS48" s="344"/>
      <c r="JRT48" s="344"/>
      <c r="JRU48" s="344"/>
      <c r="JRV48" s="344"/>
      <c r="JRW48" s="344"/>
      <c r="JRX48" s="344"/>
      <c r="JRY48" s="344"/>
      <c r="JRZ48" s="344"/>
      <c r="JSA48" s="344"/>
      <c r="JSB48" s="344"/>
      <c r="JSC48" s="344"/>
      <c r="JSD48" s="344"/>
      <c r="JSE48" s="344"/>
      <c r="JSF48" s="344"/>
      <c r="JSG48" s="344"/>
      <c r="JSH48" s="344"/>
      <c r="JSI48" s="344"/>
      <c r="JSJ48" s="344"/>
      <c r="JSK48" s="344"/>
      <c r="JSL48" s="344"/>
      <c r="JSM48" s="344"/>
      <c r="JSN48" s="344"/>
      <c r="JSO48" s="344"/>
      <c r="JSP48" s="344"/>
      <c r="JSQ48" s="344"/>
      <c r="JSR48" s="344"/>
      <c r="JSS48" s="344"/>
      <c r="JST48" s="344"/>
      <c r="JSU48" s="344"/>
      <c r="JSV48" s="344"/>
      <c r="JSW48" s="344"/>
      <c r="JSX48" s="344"/>
      <c r="JSY48" s="344"/>
      <c r="JSZ48" s="344"/>
      <c r="JTA48" s="344"/>
      <c r="JTB48" s="344"/>
      <c r="JTC48" s="344"/>
      <c r="JTD48" s="344"/>
      <c r="JTE48" s="344"/>
      <c r="JTF48" s="344"/>
      <c r="JTG48" s="344"/>
      <c r="JTH48" s="344"/>
      <c r="JTI48" s="344"/>
      <c r="JTJ48" s="344"/>
      <c r="JTK48" s="344"/>
      <c r="JTL48" s="344"/>
      <c r="JTM48" s="344"/>
      <c r="JTN48" s="344"/>
      <c r="JTO48" s="344"/>
      <c r="JTP48" s="344"/>
      <c r="JTQ48" s="344"/>
      <c r="JTR48" s="344"/>
      <c r="JTS48" s="344"/>
      <c r="JTT48" s="344"/>
      <c r="JTU48" s="344"/>
      <c r="JTV48" s="344"/>
      <c r="JTW48" s="344"/>
      <c r="JTX48" s="344"/>
      <c r="JTY48" s="344"/>
      <c r="JTZ48" s="344"/>
      <c r="JUA48" s="344"/>
      <c r="JUB48" s="344"/>
      <c r="JUC48" s="344"/>
      <c r="JUD48" s="344"/>
      <c r="JUE48" s="344"/>
      <c r="JUF48" s="344"/>
      <c r="JUG48" s="344"/>
      <c r="JUH48" s="344"/>
      <c r="JUI48" s="344"/>
      <c r="JUJ48" s="344"/>
      <c r="JUK48" s="344"/>
      <c r="JUL48" s="344"/>
      <c r="JUM48" s="344"/>
      <c r="JUN48" s="344"/>
      <c r="JUO48" s="344"/>
      <c r="JUP48" s="344"/>
      <c r="JUQ48" s="344"/>
      <c r="JUR48" s="344"/>
      <c r="JUS48" s="344"/>
      <c r="JUT48" s="344"/>
      <c r="JUU48" s="344"/>
      <c r="JUV48" s="344"/>
      <c r="JUW48" s="344"/>
      <c r="JUX48" s="344"/>
      <c r="JUY48" s="344"/>
      <c r="JUZ48" s="344"/>
      <c r="JVA48" s="344"/>
      <c r="JVB48" s="344"/>
      <c r="JVC48" s="344"/>
      <c r="JVD48" s="344"/>
      <c r="JVE48" s="344"/>
      <c r="JVF48" s="344"/>
      <c r="JVG48" s="344"/>
      <c r="JVH48" s="344"/>
      <c r="JVI48" s="344"/>
      <c r="JVJ48" s="344"/>
      <c r="JVK48" s="344"/>
      <c r="JVL48" s="344"/>
      <c r="JVM48" s="344"/>
      <c r="JVN48" s="344"/>
      <c r="JVO48" s="344"/>
      <c r="JVP48" s="344"/>
      <c r="JVQ48" s="344"/>
      <c r="JVR48" s="344"/>
      <c r="JVS48" s="344"/>
      <c r="JVT48" s="344"/>
      <c r="JVU48" s="344"/>
      <c r="JVV48" s="344"/>
      <c r="JVW48" s="344"/>
      <c r="JVX48" s="344"/>
      <c r="JVY48" s="344"/>
      <c r="JVZ48" s="344"/>
      <c r="JWA48" s="344"/>
      <c r="JWB48" s="344"/>
      <c r="JWC48" s="344"/>
      <c r="JWD48" s="344"/>
      <c r="JWE48" s="344"/>
      <c r="JWF48" s="344"/>
      <c r="JWG48" s="344"/>
      <c r="JWH48" s="344"/>
      <c r="JWI48" s="344"/>
      <c r="JWJ48" s="344"/>
      <c r="JWK48" s="344"/>
      <c r="JWL48" s="344"/>
      <c r="JWM48" s="344"/>
      <c r="JWN48" s="344"/>
      <c r="JWO48" s="344"/>
      <c r="JWP48" s="344"/>
      <c r="JWQ48" s="344"/>
      <c r="JWR48" s="344"/>
      <c r="JWS48" s="344"/>
      <c r="JWT48" s="344"/>
      <c r="JWU48" s="344"/>
      <c r="JWV48" s="344"/>
      <c r="JWW48" s="344"/>
      <c r="JWX48" s="344"/>
      <c r="JWY48" s="344"/>
      <c r="JWZ48" s="344"/>
      <c r="JXA48" s="344"/>
      <c r="JXB48" s="344"/>
      <c r="JXC48" s="344"/>
      <c r="JXD48" s="344"/>
      <c r="JXE48" s="344"/>
      <c r="JXF48" s="344"/>
      <c r="JXG48" s="344"/>
      <c r="JXH48" s="344"/>
      <c r="JXI48" s="344"/>
      <c r="JXJ48" s="344"/>
      <c r="JXK48" s="344"/>
      <c r="JXL48" s="344"/>
      <c r="JXM48" s="344"/>
      <c r="JXN48" s="344"/>
      <c r="JXO48" s="344"/>
      <c r="JXP48" s="344"/>
      <c r="JXQ48" s="344"/>
      <c r="JXR48" s="344"/>
      <c r="JXS48" s="344"/>
      <c r="JXT48" s="344"/>
      <c r="JXU48" s="344"/>
      <c r="JXV48" s="344"/>
      <c r="JXW48" s="344"/>
      <c r="JXX48" s="344"/>
      <c r="JXY48" s="344"/>
      <c r="JXZ48" s="344"/>
      <c r="JYA48" s="344"/>
      <c r="JYB48" s="344"/>
      <c r="JYC48" s="344"/>
      <c r="JYD48" s="344"/>
      <c r="JYE48" s="344"/>
      <c r="JYF48" s="344"/>
      <c r="JYG48" s="344"/>
      <c r="JYH48" s="344"/>
      <c r="JYI48" s="344"/>
      <c r="JYJ48" s="344"/>
      <c r="JYK48" s="344"/>
      <c r="JYL48" s="344"/>
      <c r="JYM48" s="344"/>
      <c r="JYN48" s="344"/>
      <c r="JYO48" s="344"/>
      <c r="JYP48" s="344"/>
      <c r="JYQ48" s="344"/>
      <c r="JYR48" s="344"/>
      <c r="JYS48" s="344"/>
      <c r="JYT48" s="344"/>
      <c r="JYU48" s="344"/>
      <c r="JYV48" s="344"/>
      <c r="JYW48" s="344"/>
      <c r="JYX48" s="344"/>
      <c r="JYY48" s="344"/>
      <c r="JYZ48" s="344"/>
      <c r="JZA48" s="344"/>
      <c r="JZB48" s="344"/>
      <c r="JZC48" s="344"/>
      <c r="JZD48" s="344"/>
      <c r="JZE48" s="344"/>
      <c r="JZF48" s="344"/>
      <c r="JZG48" s="344"/>
      <c r="JZH48" s="344"/>
      <c r="JZI48" s="344"/>
      <c r="JZJ48" s="344"/>
      <c r="JZK48" s="344"/>
      <c r="JZL48" s="344"/>
      <c r="JZM48" s="344"/>
      <c r="JZN48" s="344"/>
      <c r="JZO48" s="344"/>
      <c r="JZP48" s="344"/>
      <c r="JZQ48" s="344"/>
      <c r="JZR48" s="344"/>
      <c r="JZS48" s="344"/>
      <c r="JZT48" s="344"/>
      <c r="JZU48" s="344"/>
      <c r="JZV48" s="344"/>
      <c r="JZW48" s="344"/>
      <c r="JZX48" s="344"/>
      <c r="JZY48" s="344"/>
      <c r="JZZ48" s="344"/>
      <c r="KAA48" s="344"/>
      <c r="KAB48" s="344"/>
      <c r="KAC48" s="344"/>
      <c r="KAD48" s="344"/>
      <c r="KAE48" s="344"/>
      <c r="KAF48" s="344"/>
      <c r="KAG48" s="344"/>
      <c r="KAH48" s="344"/>
      <c r="KAI48" s="344"/>
      <c r="KAJ48" s="344"/>
      <c r="KAK48" s="344"/>
      <c r="KAL48" s="344"/>
      <c r="KAM48" s="344"/>
      <c r="KAN48" s="344"/>
      <c r="KAO48" s="344"/>
      <c r="KAP48" s="344"/>
      <c r="KAQ48" s="344"/>
      <c r="KAR48" s="344"/>
      <c r="KAS48" s="344"/>
      <c r="KAT48" s="344"/>
      <c r="KAU48" s="344"/>
      <c r="KAV48" s="344"/>
      <c r="KAW48" s="344"/>
      <c r="KAX48" s="344"/>
      <c r="KAY48" s="344"/>
      <c r="KAZ48" s="344"/>
      <c r="KBA48" s="344"/>
      <c r="KBB48" s="344"/>
      <c r="KBC48" s="344"/>
      <c r="KBD48" s="344"/>
      <c r="KBE48" s="344"/>
      <c r="KBF48" s="344"/>
      <c r="KBG48" s="344"/>
      <c r="KBH48" s="344"/>
      <c r="KBI48" s="344"/>
      <c r="KBJ48" s="344"/>
      <c r="KBK48" s="344"/>
      <c r="KBL48" s="344"/>
      <c r="KBM48" s="344"/>
      <c r="KBN48" s="344"/>
      <c r="KBO48" s="344"/>
      <c r="KBP48" s="344"/>
      <c r="KBQ48" s="344"/>
      <c r="KBR48" s="344"/>
      <c r="KBS48" s="344"/>
      <c r="KBT48" s="344"/>
      <c r="KBU48" s="344"/>
      <c r="KBV48" s="344"/>
      <c r="KBW48" s="344"/>
      <c r="KBX48" s="344"/>
      <c r="KBY48" s="344"/>
      <c r="KBZ48" s="344"/>
      <c r="KCA48" s="344"/>
      <c r="KCB48" s="344"/>
      <c r="KCC48" s="344"/>
      <c r="KCD48" s="344"/>
      <c r="KCE48" s="344"/>
      <c r="KCF48" s="344"/>
      <c r="KCG48" s="344"/>
      <c r="KCH48" s="344"/>
      <c r="KCI48" s="344"/>
      <c r="KCJ48" s="344"/>
      <c r="KCK48" s="344"/>
      <c r="KCL48" s="344"/>
      <c r="KCM48" s="344"/>
      <c r="KCN48" s="344"/>
      <c r="KCO48" s="344"/>
      <c r="KCP48" s="344"/>
      <c r="KCQ48" s="344"/>
      <c r="KCR48" s="344"/>
      <c r="KCS48" s="344"/>
      <c r="KCT48" s="344"/>
      <c r="KCU48" s="344"/>
      <c r="KCV48" s="344"/>
      <c r="KCW48" s="344"/>
      <c r="KCX48" s="344"/>
      <c r="KCY48" s="344"/>
      <c r="KCZ48" s="344"/>
      <c r="KDA48" s="344"/>
      <c r="KDB48" s="344"/>
      <c r="KDC48" s="344"/>
      <c r="KDD48" s="344"/>
      <c r="KDE48" s="344"/>
      <c r="KDF48" s="344"/>
      <c r="KDG48" s="344"/>
      <c r="KDH48" s="344"/>
      <c r="KDI48" s="344"/>
      <c r="KDJ48" s="344"/>
      <c r="KDK48" s="344"/>
      <c r="KDL48" s="344"/>
      <c r="KDM48" s="344"/>
      <c r="KDN48" s="344"/>
      <c r="KDO48" s="344"/>
      <c r="KDP48" s="344"/>
      <c r="KDQ48" s="344"/>
      <c r="KDR48" s="344"/>
      <c r="KDS48" s="344"/>
      <c r="KDT48" s="344"/>
      <c r="KDU48" s="344"/>
      <c r="KDV48" s="344"/>
      <c r="KDW48" s="344"/>
      <c r="KDX48" s="344"/>
      <c r="KDY48" s="344"/>
      <c r="KDZ48" s="344"/>
      <c r="KEA48" s="344"/>
      <c r="KEB48" s="344"/>
      <c r="KEC48" s="344"/>
      <c r="KED48" s="344"/>
      <c r="KEE48" s="344"/>
      <c r="KEF48" s="344"/>
      <c r="KEG48" s="344"/>
      <c r="KEH48" s="344"/>
      <c r="KEI48" s="344"/>
      <c r="KEJ48" s="344"/>
      <c r="KEK48" s="344"/>
      <c r="KEL48" s="344"/>
      <c r="KEM48" s="344"/>
      <c r="KEN48" s="344"/>
      <c r="KEO48" s="344"/>
      <c r="KEP48" s="344"/>
      <c r="KEQ48" s="344"/>
      <c r="KER48" s="344"/>
      <c r="KES48" s="344"/>
      <c r="KET48" s="344"/>
      <c r="KEU48" s="344"/>
      <c r="KEV48" s="344"/>
      <c r="KEW48" s="344"/>
      <c r="KEX48" s="344"/>
      <c r="KEY48" s="344"/>
      <c r="KEZ48" s="344"/>
      <c r="KFA48" s="344"/>
      <c r="KFB48" s="344"/>
      <c r="KFC48" s="344"/>
      <c r="KFD48" s="344"/>
      <c r="KFE48" s="344"/>
      <c r="KFF48" s="344"/>
      <c r="KFG48" s="344"/>
      <c r="KFH48" s="344"/>
      <c r="KFI48" s="344"/>
      <c r="KFJ48" s="344"/>
      <c r="KFK48" s="344"/>
      <c r="KFL48" s="344"/>
      <c r="KFM48" s="344"/>
      <c r="KFN48" s="344"/>
      <c r="KFO48" s="344"/>
      <c r="KFP48" s="344"/>
      <c r="KFQ48" s="344"/>
      <c r="KFR48" s="344"/>
      <c r="KFS48" s="344"/>
      <c r="KFT48" s="344"/>
      <c r="KFU48" s="344"/>
      <c r="KFV48" s="344"/>
      <c r="KFW48" s="344"/>
      <c r="KFX48" s="344"/>
      <c r="KFY48" s="344"/>
      <c r="KFZ48" s="344"/>
      <c r="KGA48" s="344"/>
      <c r="KGB48" s="344"/>
      <c r="KGC48" s="344"/>
      <c r="KGD48" s="344"/>
      <c r="KGE48" s="344"/>
      <c r="KGF48" s="344"/>
      <c r="KGG48" s="344"/>
      <c r="KGH48" s="344"/>
      <c r="KGI48" s="344"/>
      <c r="KGJ48" s="344"/>
      <c r="KGK48" s="344"/>
      <c r="KGL48" s="344"/>
      <c r="KGM48" s="344"/>
      <c r="KGN48" s="344"/>
      <c r="KGO48" s="344"/>
      <c r="KGP48" s="344"/>
      <c r="KGQ48" s="344"/>
      <c r="KGR48" s="344"/>
      <c r="KGS48" s="344"/>
      <c r="KGT48" s="344"/>
      <c r="KGU48" s="344"/>
      <c r="KGV48" s="344"/>
      <c r="KGW48" s="344"/>
      <c r="KGX48" s="344"/>
      <c r="KGY48" s="344"/>
      <c r="KGZ48" s="344"/>
      <c r="KHA48" s="344"/>
      <c r="KHB48" s="344"/>
      <c r="KHC48" s="344"/>
      <c r="KHD48" s="344"/>
      <c r="KHE48" s="344"/>
      <c r="KHF48" s="344"/>
      <c r="KHG48" s="344"/>
      <c r="KHH48" s="344"/>
      <c r="KHI48" s="344"/>
      <c r="KHJ48" s="344"/>
      <c r="KHK48" s="344"/>
      <c r="KHL48" s="344"/>
      <c r="KHM48" s="344"/>
      <c r="KHN48" s="344"/>
      <c r="KHO48" s="344"/>
      <c r="KHP48" s="344"/>
      <c r="KHQ48" s="344"/>
      <c r="KHR48" s="344"/>
      <c r="KHS48" s="344"/>
      <c r="KHT48" s="344"/>
      <c r="KHU48" s="344"/>
      <c r="KHV48" s="344"/>
      <c r="KHW48" s="344"/>
      <c r="KHX48" s="344"/>
      <c r="KHY48" s="344"/>
      <c r="KHZ48" s="344"/>
      <c r="KIA48" s="344"/>
      <c r="KIB48" s="344"/>
      <c r="KIC48" s="344"/>
      <c r="KID48" s="344"/>
      <c r="KIE48" s="344"/>
      <c r="KIF48" s="344"/>
      <c r="KIG48" s="344"/>
      <c r="KIH48" s="344"/>
      <c r="KII48" s="344"/>
      <c r="KIJ48" s="344"/>
      <c r="KIK48" s="344"/>
      <c r="KIL48" s="344"/>
      <c r="KIM48" s="344"/>
      <c r="KIN48" s="344"/>
      <c r="KIO48" s="344"/>
      <c r="KIP48" s="344"/>
      <c r="KIQ48" s="344"/>
      <c r="KIR48" s="344"/>
      <c r="KIS48" s="344"/>
      <c r="KIT48" s="344"/>
      <c r="KIU48" s="344"/>
      <c r="KIV48" s="344"/>
      <c r="KIW48" s="344"/>
      <c r="KIX48" s="344"/>
      <c r="KIY48" s="344"/>
      <c r="KIZ48" s="344"/>
      <c r="KJA48" s="344"/>
      <c r="KJB48" s="344"/>
      <c r="KJC48" s="344"/>
      <c r="KJD48" s="344"/>
      <c r="KJE48" s="344"/>
      <c r="KJF48" s="344"/>
      <c r="KJG48" s="344"/>
      <c r="KJH48" s="344"/>
      <c r="KJI48" s="344"/>
      <c r="KJJ48" s="344"/>
      <c r="KJK48" s="344"/>
      <c r="KJL48" s="344"/>
      <c r="KJM48" s="344"/>
      <c r="KJN48" s="344"/>
      <c r="KJO48" s="344"/>
      <c r="KJP48" s="344"/>
      <c r="KJQ48" s="344"/>
      <c r="KJR48" s="344"/>
      <c r="KJS48" s="344"/>
      <c r="KJT48" s="344"/>
      <c r="KJU48" s="344"/>
      <c r="KJV48" s="344"/>
      <c r="KJW48" s="344"/>
      <c r="KJX48" s="344"/>
      <c r="KJY48" s="344"/>
      <c r="KJZ48" s="344"/>
      <c r="KKA48" s="344"/>
      <c r="KKB48" s="344"/>
      <c r="KKC48" s="344"/>
      <c r="KKD48" s="344"/>
      <c r="KKE48" s="344"/>
      <c r="KKF48" s="344"/>
      <c r="KKG48" s="344"/>
      <c r="KKH48" s="344"/>
      <c r="KKI48" s="344"/>
      <c r="KKJ48" s="344"/>
      <c r="KKK48" s="344"/>
      <c r="KKL48" s="344"/>
      <c r="KKM48" s="344"/>
      <c r="KKN48" s="344"/>
      <c r="KKO48" s="344"/>
      <c r="KKP48" s="344"/>
      <c r="KKQ48" s="344"/>
      <c r="KKR48" s="344"/>
      <c r="KKS48" s="344"/>
      <c r="KKT48" s="344"/>
      <c r="KKU48" s="344"/>
      <c r="KKV48" s="344"/>
      <c r="KKW48" s="344"/>
      <c r="KKX48" s="344"/>
      <c r="KKY48" s="344"/>
      <c r="KKZ48" s="344"/>
      <c r="KLA48" s="344"/>
      <c r="KLB48" s="344"/>
      <c r="KLC48" s="344"/>
      <c r="KLD48" s="344"/>
      <c r="KLE48" s="344"/>
      <c r="KLF48" s="344"/>
      <c r="KLG48" s="344"/>
      <c r="KLH48" s="344"/>
      <c r="KLI48" s="344"/>
      <c r="KLJ48" s="344"/>
      <c r="KLK48" s="344"/>
      <c r="KLL48" s="344"/>
      <c r="KLM48" s="344"/>
      <c r="KLN48" s="344"/>
      <c r="KLO48" s="344"/>
      <c r="KLP48" s="344"/>
      <c r="KLQ48" s="344"/>
      <c r="KLR48" s="344"/>
      <c r="KLS48" s="344"/>
      <c r="KLT48" s="344"/>
      <c r="KLU48" s="344"/>
      <c r="KLV48" s="344"/>
      <c r="KLW48" s="344"/>
      <c r="KLX48" s="344"/>
      <c r="KLY48" s="344"/>
      <c r="KLZ48" s="344"/>
      <c r="KMA48" s="344"/>
      <c r="KMB48" s="344"/>
      <c r="KMC48" s="344"/>
      <c r="KMD48" s="344"/>
      <c r="KME48" s="344"/>
      <c r="KMF48" s="344"/>
      <c r="KMG48" s="344"/>
      <c r="KMH48" s="344"/>
      <c r="KMI48" s="344"/>
      <c r="KMJ48" s="344"/>
      <c r="KMK48" s="344"/>
      <c r="KML48" s="344"/>
      <c r="KMM48" s="344"/>
      <c r="KMN48" s="344"/>
      <c r="KMO48" s="344"/>
      <c r="KMP48" s="344"/>
      <c r="KMQ48" s="344"/>
      <c r="KMR48" s="344"/>
      <c r="KMS48" s="344"/>
      <c r="KMT48" s="344"/>
      <c r="KMU48" s="344"/>
      <c r="KMV48" s="344"/>
      <c r="KMW48" s="344"/>
      <c r="KMX48" s="344"/>
      <c r="KMY48" s="344"/>
      <c r="KMZ48" s="344"/>
      <c r="KNA48" s="344"/>
      <c r="KNB48" s="344"/>
      <c r="KNC48" s="344"/>
      <c r="KND48" s="344"/>
      <c r="KNE48" s="344"/>
      <c r="KNF48" s="344"/>
      <c r="KNG48" s="344"/>
      <c r="KNH48" s="344"/>
      <c r="KNI48" s="344"/>
      <c r="KNJ48" s="344"/>
      <c r="KNK48" s="344"/>
      <c r="KNL48" s="344"/>
      <c r="KNM48" s="344"/>
      <c r="KNN48" s="344"/>
      <c r="KNO48" s="344"/>
      <c r="KNP48" s="344"/>
      <c r="KNQ48" s="344"/>
      <c r="KNR48" s="344"/>
      <c r="KNS48" s="344"/>
      <c r="KNT48" s="344"/>
      <c r="KNU48" s="344"/>
      <c r="KNV48" s="344"/>
      <c r="KNW48" s="344"/>
      <c r="KNX48" s="344"/>
      <c r="KNY48" s="344"/>
      <c r="KNZ48" s="344"/>
      <c r="KOA48" s="344"/>
      <c r="KOB48" s="344"/>
      <c r="KOC48" s="344"/>
      <c r="KOD48" s="344"/>
      <c r="KOE48" s="344"/>
      <c r="KOF48" s="344"/>
      <c r="KOG48" s="344"/>
      <c r="KOH48" s="344"/>
      <c r="KOI48" s="344"/>
      <c r="KOJ48" s="344"/>
      <c r="KOK48" s="344"/>
      <c r="KOL48" s="344"/>
      <c r="KOM48" s="344"/>
      <c r="KON48" s="344"/>
      <c r="KOO48" s="344"/>
      <c r="KOP48" s="344"/>
      <c r="KOQ48" s="344"/>
      <c r="KOR48" s="344"/>
      <c r="KOS48" s="344"/>
      <c r="KOT48" s="344"/>
      <c r="KOU48" s="344"/>
      <c r="KOV48" s="344"/>
      <c r="KOW48" s="344"/>
      <c r="KOX48" s="344"/>
      <c r="KOY48" s="344"/>
      <c r="KOZ48" s="344"/>
      <c r="KPA48" s="344"/>
      <c r="KPB48" s="344"/>
      <c r="KPC48" s="344"/>
      <c r="KPD48" s="344"/>
      <c r="KPE48" s="344"/>
      <c r="KPF48" s="344"/>
      <c r="KPG48" s="344"/>
      <c r="KPH48" s="344"/>
      <c r="KPI48" s="344"/>
      <c r="KPJ48" s="344"/>
      <c r="KPK48" s="344"/>
      <c r="KPL48" s="344"/>
      <c r="KPM48" s="344"/>
      <c r="KPN48" s="344"/>
      <c r="KPO48" s="344"/>
      <c r="KPP48" s="344"/>
      <c r="KPQ48" s="344"/>
      <c r="KPR48" s="344"/>
      <c r="KPS48" s="344"/>
      <c r="KPT48" s="344"/>
      <c r="KPU48" s="344"/>
      <c r="KPV48" s="344"/>
      <c r="KPW48" s="344"/>
      <c r="KPX48" s="344"/>
      <c r="KPY48" s="344"/>
      <c r="KPZ48" s="344"/>
      <c r="KQA48" s="344"/>
      <c r="KQB48" s="344"/>
      <c r="KQC48" s="344"/>
      <c r="KQD48" s="344"/>
      <c r="KQE48" s="344"/>
      <c r="KQF48" s="344"/>
      <c r="KQG48" s="344"/>
      <c r="KQH48" s="344"/>
      <c r="KQI48" s="344"/>
      <c r="KQJ48" s="344"/>
      <c r="KQK48" s="344"/>
      <c r="KQL48" s="344"/>
      <c r="KQM48" s="344"/>
      <c r="KQN48" s="344"/>
      <c r="KQO48" s="344"/>
      <c r="KQP48" s="344"/>
      <c r="KQQ48" s="344"/>
      <c r="KQR48" s="344"/>
      <c r="KQS48" s="344"/>
      <c r="KQT48" s="344"/>
      <c r="KQU48" s="344"/>
      <c r="KQV48" s="344"/>
      <c r="KQW48" s="344"/>
      <c r="KQX48" s="344"/>
      <c r="KQY48" s="344"/>
      <c r="KQZ48" s="344"/>
      <c r="KRA48" s="344"/>
      <c r="KRB48" s="344"/>
      <c r="KRC48" s="344"/>
      <c r="KRD48" s="344"/>
      <c r="KRE48" s="344"/>
      <c r="KRF48" s="344"/>
      <c r="KRG48" s="344"/>
      <c r="KRH48" s="344"/>
      <c r="KRI48" s="344"/>
      <c r="KRJ48" s="344"/>
      <c r="KRK48" s="344"/>
      <c r="KRL48" s="344"/>
      <c r="KRM48" s="344"/>
      <c r="KRN48" s="344"/>
      <c r="KRO48" s="344"/>
      <c r="KRP48" s="344"/>
      <c r="KRQ48" s="344"/>
      <c r="KRR48" s="344"/>
      <c r="KRS48" s="344"/>
      <c r="KRT48" s="344"/>
      <c r="KRU48" s="344"/>
      <c r="KRV48" s="344"/>
      <c r="KRW48" s="344"/>
      <c r="KRX48" s="344"/>
      <c r="KRY48" s="344"/>
      <c r="KRZ48" s="344"/>
      <c r="KSA48" s="344"/>
      <c r="KSB48" s="344"/>
      <c r="KSC48" s="344"/>
      <c r="KSD48" s="344"/>
      <c r="KSE48" s="344"/>
      <c r="KSF48" s="344"/>
      <c r="KSG48" s="344"/>
      <c r="KSH48" s="344"/>
      <c r="KSI48" s="344"/>
      <c r="KSJ48" s="344"/>
      <c r="KSK48" s="344"/>
      <c r="KSL48" s="344"/>
      <c r="KSM48" s="344"/>
      <c r="KSN48" s="344"/>
      <c r="KSO48" s="344"/>
      <c r="KSP48" s="344"/>
      <c r="KSQ48" s="344"/>
      <c r="KSR48" s="344"/>
      <c r="KSS48" s="344"/>
      <c r="KST48" s="344"/>
      <c r="KSU48" s="344"/>
      <c r="KSV48" s="344"/>
      <c r="KSW48" s="344"/>
      <c r="KSX48" s="344"/>
      <c r="KSY48" s="344"/>
      <c r="KSZ48" s="344"/>
      <c r="KTA48" s="344"/>
      <c r="KTB48" s="344"/>
      <c r="KTC48" s="344"/>
      <c r="KTD48" s="344"/>
      <c r="KTE48" s="344"/>
      <c r="KTF48" s="344"/>
      <c r="KTG48" s="344"/>
      <c r="KTH48" s="344"/>
      <c r="KTI48" s="344"/>
      <c r="KTJ48" s="344"/>
      <c r="KTK48" s="344"/>
      <c r="KTL48" s="344"/>
      <c r="KTM48" s="344"/>
      <c r="KTN48" s="344"/>
      <c r="KTO48" s="344"/>
      <c r="KTP48" s="344"/>
      <c r="KTQ48" s="344"/>
      <c r="KTR48" s="344"/>
      <c r="KTS48" s="344"/>
      <c r="KTT48" s="344"/>
      <c r="KTU48" s="344"/>
      <c r="KTV48" s="344"/>
      <c r="KTW48" s="344"/>
      <c r="KTX48" s="344"/>
      <c r="KTY48" s="344"/>
      <c r="KTZ48" s="344"/>
      <c r="KUA48" s="344"/>
      <c r="KUB48" s="344"/>
      <c r="KUC48" s="344"/>
      <c r="KUD48" s="344"/>
      <c r="KUE48" s="344"/>
      <c r="KUF48" s="344"/>
      <c r="KUG48" s="344"/>
      <c r="KUH48" s="344"/>
      <c r="KUI48" s="344"/>
      <c r="KUJ48" s="344"/>
      <c r="KUK48" s="344"/>
      <c r="KUL48" s="344"/>
      <c r="KUM48" s="344"/>
      <c r="KUN48" s="344"/>
      <c r="KUO48" s="344"/>
      <c r="KUP48" s="344"/>
      <c r="KUQ48" s="344"/>
      <c r="KUR48" s="344"/>
      <c r="KUS48" s="344"/>
      <c r="KUT48" s="344"/>
      <c r="KUU48" s="344"/>
      <c r="KUV48" s="344"/>
      <c r="KUW48" s="344"/>
      <c r="KUX48" s="344"/>
      <c r="KUY48" s="344"/>
      <c r="KUZ48" s="344"/>
      <c r="KVA48" s="344"/>
      <c r="KVB48" s="344"/>
      <c r="KVC48" s="344"/>
      <c r="KVD48" s="344"/>
      <c r="KVE48" s="344"/>
      <c r="KVF48" s="344"/>
      <c r="KVG48" s="344"/>
      <c r="KVH48" s="344"/>
      <c r="KVI48" s="344"/>
      <c r="KVJ48" s="344"/>
      <c r="KVK48" s="344"/>
      <c r="KVL48" s="344"/>
      <c r="KVM48" s="344"/>
      <c r="KVN48" s="344"/>
      <c r="KVO48" s="344"/>
      <c r="KVP48" s="344"/>
      <c r="KVQ48" s="344"/>
      <c r="KVR48" s="344"/>
      <c r="KVS48" s="344"/>
      <c r="KVT48" s="344"/>
      <c r="KVU48" s="344"/>
      <c r="KVV48" s="344"/>
      <c r="KVW48" s="344"/>
      <c r="KVX48" s="344"/>
      <c r="KVY48" s="344"/>
      <c r="KVZ48" s="344"/>
      <c r="KWA48" s="344"/>
      <c r="KWB48" s="344"/>
      <c r="KWC48" s="344"/>
      <c r="KWD48" s="344"/>
      <c r="KWE48" s="344"/>
      <c r="KWF48" s="344"/>
      <c r="KWG48" s="344"/>
      <c r="KWH48" s="344"/>
      <c r="KWI48" s="344"/>
      <c r="KWJ48" s="344"/>
      <c r="KWK48" s="344"/>
      <c r="KWL48" s="344"/>
      <c r="KWM48" s="344"/>
      <c r="KWN48" s="344"/>
      <c r="KWO48" s="344"/>
      <c r="KWP48" s="344"/>
      <c r="KWQ48" s="344"/>
      <c r="KWR48" s="344"/>
      <c r="KWS48" s="344"/>
      <c r="KWT48" s="344"/>
      <c r="KWU48" s="344"/>
      <c r="KWV48" s="344"/>
      <c r="KWW48" s="344"/>
      <c r="KWX48" s="344"/>
      <c r="KWY48" s="344"/>
      <c r="KWZ48" s="344"/>
      <c r="KXA48" s="344"/>
      <c r="KXB48" s="344"/>
      <c r="KXC48" s="344"/>
      <c r="KXD48" s="344"/>
      <c r="KXE48" s="344"/>
      <c r="KXF48" s="344"/>
      <c r="KXG48" s="344"/>
      <c r="KXH48" s="344"/>
      <c r="KXI48" s="344"/>
      <c r="KXJ48" s="344"/>
      <c r="KXK48" s="344"/>
      <c r="KXL48" s="344"/>
      <c r="KXM48" s="344"/>
      <c r="KXN48" s="344"/>
      <c r="KXO48" s="344"/>
      <c r="KXP48" s="344"/>
      <c r="KXQ48" s="344"/>
      <c r="KXR48" s="344"/>
      <c r="KXS48" s="344"/>
      <c r="KXT48" s="344"/>
      <c r="KXU48" s="344"/>
      <c r="KXV48" s="344"/>
      <c r="KXW48" s="344"/>
      <c r="KXX48" s="344"/>
      <c r="KXY48" s="344"/>
      <c r="KXZ48" s="344"/>
      <c r="KYA48" s="344"/>
      <c r="KYB48" s="344"/>
      <c r="KYC48" s="344"/>
      <c r="KYD48" s="344"/>
      <c r="KYE48" s="344"/>
      <c r="KYF48" s="344"/>
      <c r="KYG48" s="344"/>
      <c r="KYH48" s="344"/>
      <c r="KYI48" s="344"/>
      <c r="KYJ48" s="344"/>
      <c r="KYK48" s="344"/>
      <c r="KYL48" s="344"/>
      <c r="KYM48" s="344"/>
      <c r="KYN48" s="344"/>
      <c r="KYO48" s="344"/>
      <c r="KYP48" s="344"/>
      <c r="KYQ48" s="344"/>
      <c r="KYR48" s="344"/>
      <c r="KYS48" s="344"/>
      <c r="KYT48" s="344"/>
      <c r="KYU48" s="344"/>
      <c r="KYV48" s="344"/>
      <c r="KYW48" s="344"/>
      <c r="KYX48" s="344"/>
      <c r="KYY48" s="344"/>
      <c r="KYZ48" s="344"/>
      <c r="KZA48" s="344"/>
      <c r="KZB48" s="344"/>
      <c r="KZC48" s="344"/>
      <c r="KZD48" s="344"/>
      <c r="KZE48" s="344"/>
      <c r="KZF48" s="344"/>
      <c r="KZG48" s="344"/>
      <c r="KZH48" s="344"/>
      <c r="KZI48" s="344"/>
      <c r="KZJ48" s="344"/>
      <c r="KZK48" s="344"/>
      <c r="KZL48" s="344"/>
      <c r="KZM48" s="344"/>
      <c r="KZN48" s="344"/>
      <c r="KZO48" s="344"/>
      <c r="KZP48" s="344"/>
      <c r="KZQ48" s="344"/>
      <c r="KZR48" s="344"/>
      <c r="KZS48" s="344"/>
      <c r="KZT48" s="344"/>
      <c r="KZU48" s="344"/>
      <c r="KZV48" s="344"/>
      <c r="KZW48" s="344"/>
      <c r="KZX48" s="344"/>
      <c r="KZY48" s="344"/>
      <c r="KZZ48" s="344"/>
      <c r="LAA48" s="344"/>
      <c r="LAB48" s="344"/>
      <c r="LAC48" s="344"/>
      <c r="LAD48" s="344"/>
      <c r="LAE48" s="344"/>
      <c r="LAF48" s="344"/>
      <c r="LAG48" s="344"/>
      <c r="LAH48" s="344"/>
      <c r="LAI48" s="344"/>
      <c r="LAJ48" s="344"/>
      <c r="LAK48" s="344"/>
      <c r="LAL48" s="344"/>
      <c r="LAM48" s="344"/>
      <c r="LAN48" s="344"/>
      <c r="LAO48" s="344"/>
      <c r="LAP48" s="344"/>
      <c r="LAQ48" s="344"/>
      <c r="LAR48" s="344"/>
      <c r="LAS48" s="344"/>
      <c r="LAT48" s="344"/>
      <c r="LAU48" s="344"/>
      <c r="LAV48" s="344"/>
      <c r="LAW48" s="344"/>
      <c r="LAX48" s="344"/>
      <c r="LAY48" s="344"/>
      <c r="LAZ48" s="344"/>
      <c r="LBA48" s="344"/>
      <c r="LBB48" s="344"/>
      <c r="LBC48" s="344"/>
      <c r="LBD48" s="344"/>
      <c r="LBE48" s="344"/>
      <c r="LBF48" s="344"/>
      <c r="LBG48" s="344"/>
      <c r="LBH48" s="344"/>
      <c r="LBI48" s="344"/>
      <c r="LBJ48" s="344"/>
      <c r="LBK48" s="344"/>
      <c r="LBL48" s="344"/>
      <c r="LBM48" s="344"/>
      <c r="LBN48" s="344"/>
      <c r="LBO48" s="344"/>
      <c r="LBP48" s="344"/>
      <c r="LBQ48" s="344"/>
      <c r="LBR48" s="344"/>
      <c r="LBS48" s="344"/>
      <c r="LBT48" s="344"/>
      <c r="LBU48" s="344"/>
      <c r="LBV48" s="344"/>
      <c r="LBW48" s="344"/>
      <c r="LBX48" s="344"/>
      <c r="LBY48" s="344"/>
      <c r="LBZ48" s="344"/>
      <c r="LCA48" s="344"/>
      <c r="LCB48" s="344"/>
      <c r="LCC48" s="344"/>
      <c r="LCD48" s="344"/>
      <c r="LCE48" s="344"/>
      <c r="LCF48" s="344"/>
      <c r="LCG48" s="344"/>
      <c r="LCH48" s="344"/>
      <c r="LCI48" s="344"/>
      <c r="LCJ48" s="344"/>
      <c r="LCK48" s="344"/>
      <c r="LCL48" s="344"/>
      <c r="LCM48" s="344"/>
      <c r="LCN48" s="344"/>
      <c r="LCO48" s="344"/>
      <c r="LCP48" s="344"/>
      <c r="LCQ48" s="344"/>
      <c r="LCR48" s="344"/>
      <c r="LCS48" s="344"/>
      <c r="LCT48" s="344"/>
      <c r="LCU48" s="344"/>
      <c r="LCV48" s="344"/>
      <c r="LCW48" s="344"/>
      <c r="LCX48" s="344"/>
      <c r="LCY48" s="344"/>
      <c r="LCZ48" s="344"/>
      <c r="LDA48" s="344"/>
      <c r="LDB48" s="344"/>
      <c r="LDC48" s="344"/>
      <c r="LDD48" s="344"/>
      <c r="LDE48" s="344"/>
      <c r="LDF48" s="344"/>
      <c r="LDG48" s="344"/>
      <c r="LDH48" s="344"/>
      <c r="LDI48" s="344"/>
      <c r="LDJ48" s="344"/>
      <c r="LDK48" s="344"/>
      <c r="LDL48" s="344"/>
      <c r="LDM48" s="344"/>
      <c r="LDN48" s="344"/>
      <c r="LDO48" s="344"/>
      <c r="LDP48" s="344"/>
      <c r="LDQ48" s="344"/>
      <c r="LDR48" s="344"/>
      <c r="LDS48" s="344"/>
      <c r="LDT48" s="344"/>
      <c r="LDU48" s="344"/>
      <c r="LDV48" s="344"/>
      <c r="LDW48" s="344"/>
      <c r="LDX48" s="344"/>
      <c r="LDY48" s="344"/>
      <c r="LDZ48" s="344"/>
      <c r="LEA48" s="344"/>
      <c r="LEB48" s="344"/>
      <c r="LEC48" s="344"/>
      <c r="LED48" s="344"/>
      <c r="LEE48" s="344"/>
      <c r="LEF48" s="344"/>
      <c r="LEG48" s="344"/>
      <c r="LEH48" s="344"/>
      <c r="LEI48" s="344"/>
      <c r="LEJ48" s="344"/>
      <c r="LEK48" s="344"/>
      <c r="LEL48" s="344"/>
      <c r="LEM48" s="344"/>
      <c r="LEN48" s="344"/>
      <c r="LEO48" s="344"/>
      <c r="LEP48" s="344"/>
      <c r="LEQ48" s="344"/>
      <c r="LER48" s="344"/>
      <c r="LES48" s="344"/>
      <c r="LET48" s="344"/>
      <c r="LEU48" s="344"/>
      <c r="LEV48" s="344"/>
      <c r="LEW48" s="344"/>
      <c r="LEX48" s="344"/>
      <c r="LEY48" s="344"/>
      <c r="LEZ48" s="344"/>
      <c r="LFA48" s="344"/>
      <c r="LFB48" s="344"/>
      <c r="LFC48" s="344"/>
      <c r="LFD48" s="344"/>
      <c r="LFE48" s="344"/>
      <c r="LFF48" s="344"/>
      <c r="LFG48" s="344"/>
      <c r="LFH48" s="344"/>
      <c r="LFI48" s="344"/>
      <c r="LFJ48" s="344"/>
      <c r="LFK48" s="344"/>
      <c r="LFL48" s="344"/>
      <c r="LFM48" s="344"/>
      <c r="LFN48" s="344"/>
      <c r="LFO48" s="344"/>
      <c r="LFP48" s="344"/>
      <c r="LFQ48" s="344"/>
      <c r="LFR48" s="344"/>
      <c r="LFS48" s="344"/>
      <c r="LFT48" s="344"/>
      <c r="LFU48" s="344"/>
      <c r="LFV48" s="344"/>
      <c r="LFW48" s="344"/>
      <c r="LFX48" s="344"/>
      <c r="LFY48" s="344"/>
      <c r="LFZ48" s="344"/>
      <c r="LGA48" s="344"/>
      <c r="LGB48" s="344"/>
      <c r="LGC48" s="344"/>
      <c r="LGD48" s="344"/>
      <c r="LGE48" s="344"/>
      <c r="LGF48" s="344"/>
      <c r="LGG48" s="344"/>
      <c r="LGH48" s="344"/>
      <c r="LGI48" s="344"/>
      <c r="LGJ48" s="344"/>
      <c r="LGK48" s="344"/>
      <c r="LGL48" s="344"/>
      <c r="LGM48" s="344"/>
      <c r="LGN48" s="344"/>
      <c r="LGO48" s="344"/>
      <c r="LGP48" s="344"/>
      <c r="LGQ48" s="344"/>
      <c r="LGR48" s="344"/>
      <c r="LGS48" s="344"/>
      <c r="LGT48" s="344"/>
      <c r="LGU48" s="344"/>
      <c r="LGV48" s="344"/>
      <c r="LGW48" s="344"/>
      <c r="LGX48" s="344"/>
      <c r="LGY48" s="344"/>
      <c r="LGZ48" s="344"/>
      <c r="LHA48" s="344"/>
      <c r="LHB48" s="344"/>
      <c r="LHC48" s="344"/>
      <c r="LHD48" s="344"/>
      <c r="LHE48" s="344"/>
      <c r="LHF48" s="344"/>
      <c r="LHG48" s="344"/>
      <c r="LHH48" s="344"/>
      <c r="LHI48" s="344"/>
      <c r="LHJ48" s="344"/>
      <c r="LHK48" s="344"/>
      <c r="LHL48" s="344"/>
      <c r="LHM48" s="344"/>
      <c r="LHN48" s="344"/>
      <c r="LHO48" s="344"/>
      <c r="LHP48" s="344"/>
      <c r="LHQ48" s="344"/>
      <c r="LHR48" s="344"/>
      <c r="LHS48" s="344"/>
      <c r="LHT48" s="344"/>
      <c r="LHU48" s="344"/>
      <c r="LHV48" s="344"/>
      <c r="LHW48" s="344"/>
      <c r="LHX48" s="344"/>
      <c r="LHY48" s="344"/>
      <c r="LHZ48" s="344"/>
      <c r="LIA48" s="344"/>
      <c r="LIB48" s="344"/>
      <c r="LIC48" s="344"/>
      <c r="LID48" s="344"/>
      <c r="LIE48" s="344"/>
      <c r="LIF48" s="344"/>
      <c r="LIG48" s="344"/>
      <c r="LIH48" s="344"/>
      <c r="LII48" s="344"/>
      <c r="LIJ48" s="344"/>
      <c r="LIK48" s="344"/>
      <c r="LIL48" s="344"/>
      <c r="LIM48" s="344"/>
      <c r="LIN48" s="344"/>
      <c r="LIO48" s="344"/>
      <c r="LIP48" s="344"/>
      <c r="LIQ48" s="344"/>
      <c r="LIR48" s="344"/>
      <c r="LIS48" s="344"/>
      <c r="LIT48" s="344"/>
      <c r="LIU48" s="344"/>
      <c r="LIV48" s="344"/>
      <c r="LIW48" s="344"/>
      <c r="LIX48" s="344"/>
      <c r="LIY48" s="344"/>
      <c r="LIZ48" s="344"/>
      <c r="LJA48" s="344"/>
      <c r="LJB48" s="344"/>
      <c r="LJC48" s="344"/>
      <c r="LJD48" s="344"/>
      <c r="LJE48" s="344"/>
      <c r="LJF48" s="344"/>
      <c r="LJG48" s="344"/>
      <c r="LJH48" s="344"/>
      <c r="LJI48" s="344"/>
      <c r="LJJ48" s="344"/>
      <c r="LJK48" s="344"/>
      <c r="LJL48" s="344"/>
      <c r="LJM48" s="344"/>
      <c r="LJN48" s="344"/>
      <c r="LJO48" s="344"/>
      <c r="LJP48" s="344"/>
      <c r="LJQ48" s="344"/>
      <c r="LJR48" s="344"/>
      <c r="LJS48" s="344"/>
      <c r="LJT48" s="344"/>
      <c r="LJU48" s="344"/>
      <c r="LJV48" s="344"/>
      <c r="LJW48" s="344"/>
      <c r="LJX48" s="344"/>
      <c r="LJY48" s="344"/>
      <c r="LJZ48" s="344"/>
      <c r="LKA48" s="344"/>
      <c r="LKB48" s="344"/>
      <c r="LKC48" s="344"/>
      <c r="LKD48" s="344"/>
      <c r="LKE48" s="344"/>
      <c r="LKF48" s="344"/>
      <c r="LKG48" s="344"/>
      <c r="LKH48" s="344"/>
      <c r="LKI48" s="344"/>
      <c r="LKJ48" s="344"/>
      <c r="LKK48" s="344"/>
      <c r="LKL48" s="344"/>
      <c r="LKM48" s="344"/>
      <c r="LKN48" s="344"/>
      <c r="LKO48" s="344"/>
      <c r="LKP48" s="344"/>
      <c r="LKQ48" s="344"/>
      <c r="LKR48" s="344"/>
      <c r="LKS48" s="344"/>
      <c r="LKT48" s="344"/>
      <c r="LKU48" s="344"/>
      <c r="LKV48" s="344"/>
      <c r="LKW48" s="344"/>
      <c r="LKX48" s="344"/>
      <c r="LKY48" s="344"/>
      <c r="LKZ48" s="344"/>
      <c r="LLA48" s="344"/>
      <c r="LLB48" s="344"/>
      <c r="LLC48" s="344"/>
      <c r="LLD48" s="344"/>
      <c r="LLE48" s="344"/>
      <c r="LLF48" s="344"/>
      <c r="LLG48" s="344"/>
      <c r="LLH48" s="344"/>
      <c r="LLI48" s="344"/>
      <c r="LLJ48" s="344"/>
      <c r="LLK48" s="344"/>
      <c r="LLL48" s="344"/>
      <c r="LLM48" s="344"/>
      <c r="LLN48" s="344"/>
      <c r="LLO48" s="344"/>
      <c r="LLP48" s="344"/>
      <c r="LLQ48" s="344"/>
      <c r="LLR48" s="344"/>
      <c r="LLS48" s="344"/>
      <c r="LLT48" s="344"/>
      <c r="LLU48" s="344"/>
      <c r="LLV48" s="344"/>
      <c r="LLW48" s="344"/>
      <c r="LLX48" s="344"/>
      <c r="LLY48" s="344"/>
      <c r="LLZ48" s="344"/>
      <c r="LMA48" s="344"/>
      <c r="LMB48" s="344"/>
      <c r="LMC48" s="344"/>
      <c r="LMD48" s="344"/>
      <c r="LME48" s="344"/>
      <c r="LMF48" s="344"/>
      <c r="LMG48" s="344"/>
      <c r="LMH48" s="344"/>
      <c r="LMI48" s="344"/>
      <c r="LMJ48" s="344"/>
      <c r="LMK48" s="344"/>
      <c r="LML48" s="344"/>
      <c r="LMM48" s="344"/>
      <c r="LMN48" s="344"/>
      <c r="LMO48" s="344"/>
      <c r="LMP48" s="344"/>
      <c r="LMQ48" s="344"/>
      <c r="LMR48" s="344"/>
      <c r="LMS48" s="344"/>
      <c r="LMT48" s="344"/>
      <c r="LMU48" s="344"/>
      <c r="LMV48" s="344"/>
      <c r="LMW48" s="344"/>
      <c r="LMX48" s="344"/>
      <c r="LMY48" s="344"/>
      <c r="LMZ48" s="344"/>
      <c r="LNA48" s="344"/>
      <c r="LNB48" s="344"/>
      <c r="LNC48" s="344"/>
      <c r="LND48" s="344"/>
      <c r="LNE48" s="344"/>
      <c r="LNF48" s="344"/>
      <c r="LNG48" s="344"/>
      <c r="LNH48" s="344"/>
      <c r="LNI48" s="344"/>
      <c r="LNJ48" s="344"/>
      <c r="LNK48" s="344"/>
      <c r="LNL48" s="344"/>
      <c r="LNM48" s="344"/>
      <c r="LNN48" s="344"/>
      <c r="LNO48" s="344"/>
      <c r="LNP48" s="344"/>
      <c r="LNQ48" s="344"/>
      <c r="LNR48" s="344"/>
      <c r="LNS48" s="344"/>
      <c r="LNT48" s="344"/>
      <c r="LNU48" s="344"/>
      <c r="LNV48" s="344"/>
      <c r="LNW48" s="344"/>
      <c r="LNX48" s="344"/>
      <c r="LNY48" s="344"/>
      <c r="LNZ48" s="344"/>
      <c r="LOA48" s="344"/>
      <c r="LOB48" s="344"/>
      <c r="LOC48" s="344"/>
      <c r="LOD48" s="344"/>
      <c r="LOE48" s="344"/>
      <c r="LOF48" s="344"/>
      <c r="LOG48" s="344"/>
      <c r="LOH48" s="344"/>
      <c r="LOI48" s="344"/>
      <c r="LOJ48" s="344"/>
      <c r="LOK48" s="344"/>
      <c r="LOL48" s="344"/>
      <c r="LOM48" s="344"/>
      <c r="LON48" s="344"/>
      <c r="LOO48" s="344"/>
      <c r="LOP48" s="344"/>
      <c r="LOQ48" s="344"/>
      <c r="LOR48" s="344"/>
      <c r="LOS48" s="344"/>
      <c r="LOT48" s="344"/>
      <c r="LOU48" s="344"/>
      <c r="LOV48" s="344"/>
      <c r="LOW48" s="344"/>
      <c r="LOX48" s="344"/>
      <c r="LOY48" s="344"/>
      <c r="LOZ48" s="344"/>
      <c r="LPA48" s="344"/>
      <c r="LPB48" s="344"/>
      <c r="LPC48" s="344"/>
      <c r="LPD48" s="344"/>
      <c r="LPE48" s="344"/>
      <c r="LPF48" s="344"/>
      <c r="LPG48" s="344"/>
      <c r="LPH48" s="344"/>
      <c r="LPI48" s="344"/>
      <c r="LPJ48" s="344"/>
      <c r="LPK48" s="344"/>
      <c r="LPL48" s="344"/>
      <c r="LPM48" s="344"/>
      <c r="LPN48" s="344"/>
      <c r="LPO48" s="344"/>
      <c r="LPP48" s="344"/>
      <c r="LPQ48" s="344"/>
      <c r="LPR48" s="344"/>
      <c r="LPS48" s="344"/>
      <c r="LPT48" s="344"/>
      <c r="LPU48" s="344"/>
      <c r="LPV48" s="344"/>
      <c r="LPW48" s="344"/>
      <c r="LPX48" s="344"/>
      <c r="LPY48" s="344"/>
      <c r="LPZ48" s="344"/>
      <c r="LQA48" s="344"/>
      <c r="LQB48" s="344"/>
      <c r="LQC48" s="344"/>
      <c r="LQD48" s="344"/>
      <c r="LQE48" s="344"/>
      <c r="LQF48" s="344"/>
      <c r="LQG48" s="344"/>
      <c r="LQH48" s="344"/>
      <c r="LQI48" s="344"/>
      <c r="LQJ48" s="344"/>
      <c r="LQK48" s="344"/>
      <c r="LQL48" s="344"/>
      <c r="LQM48" s="344"/>
      <c r="LQN48" s="344"/>
      <c r="LQO48" s="344"/>
      <c r="LQP48" s="344"/>
      <c r="LQQ48" s="344"/>
      <c r="LQR48" s="344"/>
      <c r="LQS48" s="344"/>
      <c r="LQT48" s="344"/>
      <c r="LQU48" s="344"/>
      <c r="LQV48" s="344"/>
      <c r="LQW48" s="344"/>
      <c r="LQX48" s="344"/>
      <c r="LQY48" s="344"/>
      <c r="LQZ48" s="344"/>
      <c r="LRA48" s="344"/>
      <c r="LRB48" s="344"/>
      <c r="LRC48" s="344"/>
      <c r="LRD48" s="344"/>
      <c r="LRE48" s="344"/>
      <c r="LRF48" s="344"/>
      <c r="LRG48" s="344"/>
      <c r="LRH48" s="344"/>
      <c r="LRI48" s="344"/>
      <c r="LRJ48" s="344"/>
      <c r="LRK48" s="344"/>
      <c r="LRL48" s="344"/>
      <c r="LRM48" s="344"/>
      <c r="LRN48" s="344"/>
      <c r="LRO48" s="344"/>
      <c r="LRP48" s="344"/>
      <c r="LRQ48" s="344"/>
      <c r="LRR48" s="344"/>
      <c r="LRS48" s="344"/>
      <c r="LRT48" s="344"/>
      <c r="LRU48" s="344"/>
      <c r="LRV48" s="344"/>
      <c r="LRW48" s="344"/>
      <c r="LRX48" s="344"/>
      <c r="LRY48" s="344"/>
      <c r="LRZ48" s="344"/>
      <c r="LSA48" s="344"/>
      <c r="LSB48" s="344"/>
      <c r="LSC48" s="344"/>
      <c r="LSD48" s="344"/>
      <c r="LSE48" s="344"/>
      <c r="LSF48" s="344"/>
      <c r="LSG48" s="344"/>
      <c r="LSH48" s="344"/>
      <c r="LSI48" s="344"/>
      <c r="LSJ48" s="344"/>
      <c r="LSK48" s="344"/>
      <c r="LSL48" s="344"/>
      <c r="LSM48" s="344"/>
      <c r="LSN48" s="344"/>
      <c r="LSO48" s="344"/>
      <c r="LSP48" s="344"/>
      <c r="LSQ48" s="344"/>
      <c r="LSR48" s="344"/>
      <c r="LSS48" s="344"/>
      <c r="LST48" s="344"/>
      <c r="LSU48" s="344"/>
      <c r="LSV48" s="344"/>
      <c r="LSW48" s="344"/>
      <c r="LSX48" s="344"/>
      <c r="LSY48" s="344"/>
      <c r="LSZ48" s="344"/>
      <c r="LTA48" s="344"/>
      <c r="LTB48" s="344"/>
      <c r="LTC48" s="344"/>
      <c r="LTD48" s="344"/>
      <c r="LTE48" s="344"/>
      <c r="LTF48" s="344"/>
      <c r="LTG48" s="344"/>
      <c r="LTH48" s="344"/>
      <c r="LTI48" s="344"/>
      <c r="LTJ48" s="344"/>
      <c r="LTK48" s="344"/>
      <c r="LTL48" s="344"/>
      <c r="LTM48" s="344"/>
      <c r="LTN48" s="344"/>
      <c r="LTO48" s="344"/>
      <c r="LTP48" s="344"/>
      <c r="LTQ48" s="344"/>
      <c r="LTR48" s="344"/>
      <c r="LTS48" s="344"/>
      <c r="LTT48" s="344"/>
      <c r="LTU48" s="344"/>
      <c r="LTV48" s="344"/>
      <c r="LTW48" s="344"/>
      <c r="LTX48" s="344"/>
      <c r="LTY48" s="344"/>
      <c r="LTZ48" s="344"/>
      <c r="LUA48" s="344"/>
      <c r="LUB48" s="344"/>
      <c r="LUC48" s="344"/>
      <c r="LUD48" s="344"/>
      <c r="LUE48" s="344"/>
      <c r="LUF48" s="344"/>
      <c r="LUG48" s="344"/>
      <c r="LUH48" s="344"/>
      <c r="LUI48" s="344"/>
      <c r="LUJ48" s="344"/>
      <c r="LUK48" s="344"/>
      <c r="LUL48" s="344"/>
      <c r="LUM48" s="344"/>
      <c r="LUN48" s="344"/>
      <c r="LUO48" s="344"/>
      <c r="LUP48" s="344"/>
      <c r="LUQ48" s="344"/>
      <c r="LUR48" s="344"/>
      <c r="LUS48" s="344"/>
      <c r="LUT48" s="344"/>
      <c r="LUU48" s="344"/>
      <c r="LUV48" s="344"/>
      <c r="LUW48" s="344"/>
      <c r="LUX48" s="344"/>
      <c r="LUY48" s="344"/>
      <c r="LUZ48" s="344"/>
      <c r="LVA48" s="344"/>
      <c r="LVB48" s="344"/>
      <c r="LVC48" s="344"/>
      <c r="LVD48" s="344"/>
      <c r="LVE48" s="344"/>
      <c r="LVF48" s="344"/>
      <c r="LVG48" s="344"/>
      <c r="LVH48" s="344"/>
      <c r="LVI48" s="344"/>
      <c r="LVJ48" s="344"/>
      <c r="LVK48" s="344"/>
      <c r="LVL48" s="344"/>
      <c r="LVM48" s="344"/>
      <c r="LVN48" s="344"/>
      <c r="LVO48" s="344"/>
      <c r="LVP48" s="344"/>
      <c r="LVQ48" s="344"/>
      <c r="LVR48" s="344"/>
      <c r="LVS48" s="344"/>
      <c r="LVT48" s="344"/>
      <c r="LVU48" s="344"/>
      <c r="LVV48" s="344"/>
      <c r="LVW48" s="344"/>
      <c r="LVX48" s="344"/>
      <c r="LVY48" s="344"/>
      <c r="LVZ48" s="344"/>
      <c r="LWA48" s="344"/>
      <c r="LWB48" s="344"/>
      <c r="LWC48" s="344"/>
      <c r="LWD48" s="344"/>
      <c r="LWE48" s="344"/>
      <c r="LWF48" s="344"/>
      <c r="LWG48" s="344"/>
      <c r="LWH48" s="344"/>
      <c r="LWI48" s="344"/>
      <c r="LWJ48" s="344"/>
      <c r="LWK48" s="344"/>
      <c r="LWL48" s="344"/>
      <c r="LWM48" s="344"/>
      <c r="LWN48" s="344"/>
      <c r="LWO48" s="344"/>
      <c r="LWP48" s="344"/>
      <c r="LWQ48" s="344"/>
      <c r="LWR48" s="344"/>
      <c r="LWS48" s="344"/>
      <c r="LWT48" s="344"/>
      <c r="LWU48" s="344"/>
      <c r="LWV48" s="344"/>
      <c r="LWW48" s="344"/>
      <c r="LWX48" s="344"/>
      <c r="LWY48" s="344"/>
      <c r="LWZ48" s="344"/>
      <c r="LXA48" s="344"/>
      <c r="LXB48" s="344"/>
      <c r="LXC48" s="344"/>
      <c r="LXD48" s="344"/>
      <c r="LXE48" s="344"/>
      <c r="LXF48" s="344"/>
      <c r="LXG48" s="344"/>
      <c r="LXH48" s="344"/>
      <c r="LXI48" s="344"/>
      <c r="LXJ48" s="344"/>
      <c r="LXK48" s="344"/>
      <c r="LXL48" s="344"/>
      <c r="LXM48" s="344"/>
      <c r="LXN48" s="344"/>
      <c r="LXO48" s="344"/>
      <c r="LXP48" s="344"/>
      <c r="LXQ48" s="344"/>
      <c r="LXR48" s="344"/>
      <c r="LXS48" s="344"/>
      <c r="LXT48" s="344"/>
      <c r="LXU48" s="344"/>
      <c r="LXV48" s="344"/>
      <c r="LXW48" s="344"/>
      <c r="LXX48" s="344"/>
      <c r="LXY48" s="344"/>
      <c r="LXZ48" s="344"/>
      <c r="LYA48" s="344"/>
      <c r="LYB48" s="344"/>
      <c r="LYC48" s="344"/>
      <c r="LYD48" s="344"/>
      <c r="LYE48" s="344"/>
      <c r="LYF48" s="344"/>
      <c r="LYG48" s="344"/>
      <c r="LYH48" s="344"/>
      <c r="LYI48" s="344"/>
      <c r="LYJ48" s="344"/>
      <c r="LYK48" s="344"/>
      <c r="LYL48" s="344"/>
      <c r="LYM48" s="344"/>
      <c r="LYN48" s="344"/>
      <c r="LYO48" s="344"/>
      <c r="LYP48" s="344"/>
      <c r="LYQ48" s="344"/>
      <c r="LYR48" s="344"/>
      <c r="LYS48" s="344"/>
      <c r="LYT48" s="344"/>
      <c r="LYU48" s="344"/>
      <c r="LYV48" s="344"/>
      <c r="LYW48" s="344"/>
      <c r="LYX48" s="344"/>
      <c r="LYY48" s="344"/>
      <c r="LYZ48" s="344"/>
      <c r="LZA48" s="344"/>
      <c r="LZB48" s="344"/>
      <c r="LZC48" s="344"/>
      <c r="LZD48" s="344"/>
      <c r="LZE48" s="344"/>
      <c r="LZF48" s="344"/>
      <c r="LZG48" s="344"/>
      <c r="LZH48" s="344"/>
      <c r="LZI48" s="344"/>
      <c r="LZJ48" s="344"/>
      <c r="LZK48" s="344"/>
      <c r="LZL48" s="344"/>
      <c r="LZM48" s="344"/>
      <c r="LZN48" s="344"/>
      <c r="LZO48" s="344"/>
      <c r="LZP48" s="344"/>
      <c r="LZQ48" s="344"/>
      <c r="LZR48" s="344"/>
      <c r="LZS48" s="344"/>
      <c r="LZT48" s="344"/>
      <c r="LZU48" s="344"/>
      <c r="LZV48" s="344"/>
      <c r="LZW48" s="344"/>
      <c r="LZX48" s="344"/>
      <c r="LZY48" s="344"/>
      <c r="LZZ48" s="344"/>
      <c r="MAA48" s="344"/>
      <c r="MAB48" s="344"/>
      <c r="MAC48" s="344"/>
      <c r="MAD48" s="344"/>
      <c r="MAE48" s="344"/>
      <c r="MAF48" s="344"/>
      <c r="MAG48" s="344"/>
      <c r="MAH48" s="344"/>
      <c r="MAI48" s="344"/>
      <c r="MAJ48" s="344"/>
      <c r="MAK48" s="344"/>
      <c r="MAL48" s="344"/>
      <c r="MAM48" s="344"/>
      <c r="MAN48" s="344"/>
      <c r="MAO48" s="344"/>
      <c r="MAP48" s="344"/>
      <c r="MAQ48" s="344"/>
      <c r="MAR48" s="344"/>
      <c r="MAS48" s="344"/>
      <c r="MAT48" s="344"/>
      <c r="MAU48" s="344"/>
      <c r="MAV48" s="344"/>
      <c r="MAW48" s="344"/>
      <c r="MAX48" s="344"/>
      <c r="MAY48" s="344"/>
      <c r="MAZ48" s="344"/>
      <c r="MBA48" s="344"/>
      <c r="MBB48" s="344"/>
      <c r="MBC48" s="344"/>
      <c r="MBD48" s="344"/>
      <c r="MBE48" s="344"/>
      <c r="MBF48" s="344"/>
      <c r="MBG48" s="344"/>
      <c r="MBH48" s="344"/>
      <c r="MBI48" s="344"/>
      <c r="MBJ48" s="344"/>
      <c r="MBK48" s="344"/>
      <c r="MBL48" s="344"/>
      <c r="MBM48" s="344"/>
      <c r="MBN48" s="344"/>
      <c r="MBO48" s="344"/>
      <c r="MBP48" s="344"/>
      <c r="MBQ48" s="344"/>
      <c r="MBR48" s="344"/>
      <c r="MBS48" s="344"/>
      <c r="MBT48" s="344"/>
      <c r="MBU48" s="344"/>
      <c r="MBV48" s="344"/>
      <c r="MBW48" s="344"/>
      <c r="MBX48" s="344"/>
      <c r="MBY48" s="344"/>
      <c r="MBZ48" s="344"/>
      <c r="MCA48" s="344"/>
      <c r="MCB48" s="344"/>
      <c r="MCC48" s="344"/>
      <c r="MCD48" s="344"/>
      <c r="MCE48" s="344"/>
      <c r="MCF48" s="344"/>
      <c r="MCG48" s="344"/>
      <c r="MCH48" s="344"/>
      <c r="MCI48" s="344"/>
      <c r="MCJ48" s="344"/>
      <c r="MCK48" s="344"/>
      <c r="MCL48" s="344"/>
      <c r="MCM48" s="344"/>
      <c r="MCN48" s="344"/>
      <c r="MCO48" s="344"/>
      <c r="MCP48" s="344"/>
      <c r="MCQ48" s="344"/>
      <c r="MCR48" s="344"/>
      <c r="MCS48" s="344"/>
      <c r="MCT48" s="344"/>
      <c r="MCU48" s="344"/>
      <c r="MCV48" s="344"/>
      <c r="MCW48" s="344"/>
      <c r="MCX48" s="344"/>
      <c r="MCY48" s="344"/>
      <c r="MCZ48" s="344"/>
      <c r="MDA48" s="344"/>
      <c r="MDB48" s="344"/>
      <c r="MDC48" s="344"/>
      <c r="MDD48" s="344"/>
      <c r="MDE48" s="344"/>
      <c r="MDF48" s="344"/>
      <c r="MDG48" s="344"/>
      <c r="MDH48" s="344"/>
      <c r="MDI48" s="344"/>
      <c r="MDJ48" s="344"/>
      <c r="MDK48" s="344"/>
      <c r="MDL48" s="344"/>
      <c r="MDM48" s="344"/>
      <c r="MDN48" s="344"/>
      <c r="MDO48" s="344"/>
      <c r="MDP48" s="344"/>
      <c r="MDQ48" s="344"/>
      <c r="MDR48" s="344"/>
      <c r="MDS48" s="344"/>
      <c r="MDT48" s="344"/>
      <c r="MDU48" s="344"/>
      <c r="MDV48" s="344"/>
      <c r="MDW48" s="344"/>
      <c r="MDX48" s="344"/>
      <c r="MDY48" s="344"/>
      <c r="MDZ48" s="344"/>
      <c r="MEA48" s="344"/>
      <c r="MEB48" s="344"/>
      <c r="MEC48" s="344"/>
      <c r="MED48" s="344"/>
      <c r="MEE48" s="344"/>
      <c r="MEF48" s="344"/>
      <c r="MEG48" s="344"/>
      <c r="MEH48" s="344"/>
      <c r="MEI48" s="344"/>
      <c r="MEJ48" s="344"/>
      <c r="MEK48" s="344"/>
      <c r="MEL48" s="344"/>
      <c r="MEM48" s="344"/>
      <c r="MEN48" s="344"/>
      <c r="MEO48" s="344"/>
      <c r="MEP48" s="344"/>
      <c r="MEQ48" s="344"/>
      <c r="MER48" s="344"/>
      <c r="MES48" s="344"/>
      <c r="MET48" s="344"/>
      <c r="MEU48" s="344"/>
      <c r="MEV48" s="344"/>
      <c r="MEW48" s="344"/>
      <c r="MEX48" s="344"/>
      <c r="MEY48" s="344"/>
      <c r="MEZ48" s="344"/>
      <c r="MFA48" s="344"/>
      <c r="MFB48" s="344"/>
      <c r="MFC48" s="344"/>
      <c r="MFD48" s="344"/>
      <c r="MFE48" s="344"/>
      <c r="MFF48" s="344"/>
      <c r="MFG48" s="344"/>
      <c r="MFH48" s="344"/>
      <c r="MFI48" s="344"/>
      <c r="MFJ48" s="344"/>
      <c r="MFK48" s="344"/>
      <c r="MFL48" s="344"/>
      <c r="MFM48" s="344"/>
      <c r="MFN48" s="344"/>
      <c r="MFO48" s="344"/>
      <c r="MFP48" s="344"/>
      <c r="MFQ48" s="344"/>
      <c r="MFR48" s="344"/>
      <c r="MFS48" s="344"/>
      <c r="MFT48" s="344"/>
      <c r="MFU48" s="344"/>
      <c r="MFV48" s="344"/>
      <c r="MFW48" s="344"/>
      <c r="MFX48" s="344"/>
      <c r="MFY48" s="344"/>
      <c r="MFZ48" s="344"/>
      <c r="MGA48" s="344"/>
      <c r="MGB48" s="344"/>
      <c r="MGC48" s="344"/>
      <c r="MGD48" s="344"/>
      <c r="MGE48" s="344"/>
      <c r="MGF48" s="344"/>
      <c r="MGG48" s="344"/>
      <c r="MGH48" s="344"/>
      <c r="MGI48" s="344"/>
      <c r="MGJ48" s="344"/>
      <c r="MGK48" s="344"/>
      <c r="MGL48" s="344"/>
      <c r="MGM48" s="344"/>
      <c r="MGN48" s="344"/>
      <c r="MGO48" s="344"/>
      <c r="MGP48" s="344"/>
      <c r="MGQ48" s="344"/>
      <c r="MGR48" s="344"/>
      <c r="MGS48" s="344"/>
      <c r="MGT48" s="344"/>
      <c r="MGU48" s="344"/>
      <c r="MGV48" s="344"/>
      <c r="MGW48" s="344"/>
      <c r="MGX48" s="344"/>
      <c r="MGY48" s="344"/>
      <c r="MGZ48" s="344"/>
      <c r="MHA48" s="344"/>
      <c r="MHB48" s="344"/>
      <c r="MHC48" s="344"/>
      <c r="MHD48" s="344"/>
      <c r="MHE48" s="344"/>
      <c r="MHF48" s="344"/>
      <c r="MHG48" s="344"/>
      <c r="MHH48" s="344"/>
      <c r="MHI48" s="344"/>
      <c r="MHJ48" s="344"/>
      <c r="MHK48" s="344"/>
      <c r="MHL48" s="344"/>
      <c r="MHM48" s="344"/>
      <c r="MHN48" s="344"/>
      <c r="MHO48" s="344"/>
      <c r="MHP48" s="344"/>
      <c r="MHQ48" s="344"/>
      <c r="MHR48" s="344"/>
      <c r="MHS48" s="344"/>
      <c r="MHT48" s="344"/>
      <c r="MHU48" s="344"/>
      <c r="MHV48" s="344"/>
      <c r="MHW48" s="344"/>
      <c r="MHX48" s="344"/>
      <c r="MHY48" s="344"/>
      <c r="MHZ48" s="344"/>
      <c r="MIA48" s="344"/>
      <c r="MIB48" s="344"/>
      <c r="MIC48" s="344"/>
      <c r="MID48" s="344"/>
      <c r="MIE48" s="344"/>
      <c r="MIF48" s="344"/>
      <c r="MIG48" s="344"/>
      <c r="MIH48" s="344"/>
      <c r="MII48" s="344"/>
      <c r="MIJ48" s="344"/>
      <c r="MIK48" s="344"/>
      <c r="MIL48" s="344"/>
      <c r="MIM48" s="344"/>
      <c r="MIN48" s="344"/>
      <c r="MIO48" s="344"/>
      <c r="MIP48" s="344"/>
      <c r="MIQ48" s="344"/>
      <c r="MIR48" s="344"/>
      <c r="MIS48" s="344"/>
      <c r="MIT48" s="344"/>
      <c r="MIU48" s="344"/>
      <c r="MIV48" s="344"/>
      <c r="MIW48" s="344"/>
      <c r="MIX48" s="344"/>
      <c r="MIY48" s="344"/>
      <c r="MIZ48" s="344"/>
      <c r="MJA48" s="344"/>
      <c r="MJB48" s="344"/>
      <c r="MJC48" s="344"/>
      <c r="MJD48" s="344"/>
      <c r="MJE48" s="344"/>
      <c r="MJF48" s="344"/>
      <c r="MJG48" s="344"/>
      <c r="MJH48" s="344"/>
      <c r="MJI48" s="344"/>
      <c r="MJJ48" s="344"/>
      <c r="MJK48" s="344"/>
      <c r="MJL48" s="344"/>
      <c r="MJM48" s="344"/>
      <c r="MJN48" s="344"/>
      <c r="MJO48" s="344"/>
      <c r="MJP48" s="344"/>
      <c r="MJQ48" s="344"/>
      <c r="MJR48" s="344"/>
      <c r="MJS48" s="344"/>
      <c r="MJT48" s="344"/>
      <c r="MJU48" s="344"/>
      <c r="MJV48" s="344"/>
      <c r="MJW48" s="344"/>
      <c r="MJX48" s="344"/>
      <c r="MJY48" s="344"/>
      <c r="MJZ48" s="344"/>
      <c r="MKA48" s="344"/>
      <c r="MKB48" s="344"/>
      <c r="MKC48" s="344"/>
      <c r="MKD48" s="344"/>
      <c r="MKE48" s="344"/>
      <c r="MKF48" s="344"/>
      <c r="MKG48" s="344"/>
      <c r="MKH48" s="344"/>
      <c r="MKI48" s="344"/>
      <c r="MKJ48" s="344"/>
      <c r="MKK48" s="344"/>
      <c r="MKL48" s="344"/>
      <c r="MKM48" s="344"/>
      <c r="MKN48" s="344"/>
      <c r="MKO48" s="344"/>
      <c r="MKP48" s="344"/>
      <c r="MKQ48" s="344"/>
      <c r="MKR48" s="344"/>
      <c r="MKS48" s="344"/>
      <c r="MKT48" s="344"/>
      <c r="MKU48" s="344"/>
      <c r="MKV48" s="344"/>
      <c r="MKW48" s="344"/>
      <c r="MKX48" s="344"/>
      <c r="MKY48" s="344"/>
      <c r="MKZ48" s="344"/>
      <c r="MLA48" s="344"/>
      <c r="MLB48" s="344"/>
      <c r="MLC48" s="344"/>
      <c r="MLD48" s="344"/>
      <c r="MLE48" s="344"/>
      <c r="MLF48" s="344"/>
      <c r="MLG48" s="344"/>
      <c r="MLH48" s="344"/>
      <c r="MLI48" s="344"/>
      <c r="MLJ48" s="344"/>
      <c r="MLK48" s="344"/>
      <c r="MLL48" s="344"/>
      <c r="MLM48" s="344"/>
      <c r="MLN48" s="344"/>
      <c r="MLO48" s="344"/>
      <c r="MLP48" s="344"/>
      <c r="MLQ48" s="344"/>
      <c r="MLR48" s="344"/>
      <c r="MLS48" s="344"/>
      <c r="MLT48" s="344"/>
      <c r="MLU48" s="344"/>
      <c r="MLV48" s="344"/>
      <c r="MLW48" s="344"/>
      <c r="MLX48" s="344"/>
      <c r="MLY48" s="344"/>
      <c r="MLZ48" s="344"/>
      <c r="MMA48" s="344"/>
      <c r="MMB48" s="344"/>
      <c r="MMC48" s="344"/>
      <c r="MMD48" s="344"/>
      <c r="MME48" s="344"/>
      <c r="MMF48" s="344"/>
      <c r="MMG48" s="344"/>
      <c r="MMH48" s="344"/>
      <c r="MMI48" s="344"/>
      <c r="MMJ48" s="344"/>
      <c r="MMK48" s="344"/>
      <c r="MML48" s="344"/>
      <c r="MMM48" s="344"/>
      <c r="MMN48" s="344"/>
      <c r="MMO48" s="344"/>
      <c r="MMP48" s="344"/>
      <c r="MMQ48" s="344"/>
      <c r="MMR48" s="344"/>
      <c r="MMS48" s="344"/>
      <c r="MMT48" s="344"/>
      <c r="MMU48" s="344"/>
      <c r="MMV48" s="344"/>
      <c r="MMW48" s="344"/>
      <c r="MMX48" s="344"/>
      <c r="MMY48" s="344"/>
      <c r="MMZ48" s="344"/>
      <c r="MNA48" s="344"/>
      <c r="MNB48" s="344"/>
      <c r="MNC48" s="344"/>
      <c r="MND48" s="344"/>
      <c r="MNE48" s="344"/>
      <c r="MNF48" s="344"/>
      <c r="MNG48" s="344"/>
      <c r="MNH48" s="344"/>
      <c r="MNI48" s="344"/>
      <c r="MNJ48" s="344"/>
      <c r="MNK48" s="344"/>
      <c r="MNL48" s="344"/>
      <c r="MNM48" s="344"/>
      <c r="MNN48" s="344"/>
      <c r="MNO48" s="344"/>
      <c r="MNP48" s="344"/>
      <c r="MNQ48" s="344"/>
      <c r="MNR48" s="344"/>
      <c r="MNS48" s="344"/>
      <c r="MNT48" s="344"/>
      <c r="MNU48" s="344"/>
      <c r="MNV48" s="344"/>
      <c r="MNW48" s="344"/>
      <c r="MNX48" s="344"/>
      <c r="MNY48" s="344"/>
      <c r="MNZ48" s="344"/>
      <c r="MOA48" s="344"/>
      <c r="MOB48" s="344"/>
      <c r="MOC48" s="344"/>
      <c r="MOD48" s="344"/>
      <c r="MOE48" s="344"/>
      <c r="MOF48" s="344"/>
      <c r="MOG48" s="344"/>
      <c r="MOH48" s="344"/>
      <c r="MOI48" s="344"/>
      <c r="MOJ48" s="344"/>
      <c r="MOK48" s="344"/>
      <c r="MOL48" s="344"/>
      <c r="MOM48" s="344"/>
      <c r="MON48" s="344"/>
      <c r="MOO48" s="344"/>
      <c r="MOP48" s="344"/>
      <c r="MOQ48" s="344"/>
      <c r="MOR48" s="344"/>
      <c r="MOS48" s="344"/>
      <c r="MOT48" s="344"/>
      <c r="MOU48" s="344"/>
      <c r="MOV48" s="344"/>
      <c r="MOW48" s="344"/>
      <c r="MOX48" s="344"/>
      <c r="MOY48" s="344"/>
      <c r="MOZ48" s="344"/>
      <c r="MPA48" s="344"/>
      <c r="MPB48" s="344"/>
      <c r="MPC48" s="344"/>
      <c r="MPD48" s="344"/>
      <c r="MPE48" s="344"/>
      <c r="MPF48" s="344"/>
      <c r="MPG48" s="344"/>
      <c r="MPH48" s="344"/>
      <c r="MPI48" s="344"/>
      <c r="MPJ48" s="344"/>
      <c r="MPK48" s="344"/>
      <c r="MPL48" s="344"/>
      <c r="MPM48" s="344"/>
      <c r="MPN48" s="344"/>
      <c r="MPO48" s="344"/>
      <c r="MPP48" s="344"/>
      <c r="MPQ48" s="344"/>
      <c r="MPR48" s="344"/>
      <c r="MPS48" s="344"/>
      <c r="MPT48" s="344"/>
      <c r="MPU48" s="344"/>
      <c r="MPV48" s="344"/>
      <c r="MPW48" s="344"/>
      <c r="MPX48" s="344"/>
      <c r="MPY48" s="344"/>
      <c r="MPZ48" s="344"/>
      <c r="MQA48" s="344"/>
      <c r="MQB48" s="344"/>
      <c r="MQC48" s="344"/>
      <c r="MQD48" s="344"/>
      <c r="MQE48" s="344"/>
      <c r="MQF48" s="344"/>
      <c r="MQG48" s="344"/>
      <c r="MQH48" s="344"/>
      <c r="MQI48" s="344"/>
      <c r="MQJ48" s="344"/>
      <c r="MQK48" s="344"/>
      <c r="MQL48" s="344"/>
      <c r="MQM48" s="344"/>
      <c r="MQN48" s="344"/>
      <c r="MQO48" s="344"/>
      <c r="MQP48" s="344"/>
      <c r="MQQ48" s="344"/>
      <c r="MQR48" s="344"/>
      <c r="MQS48" s="344"/>
      <c r="MQT48" s="344"/>
      <c r="MQU48" s="344"/>
      <c r="MQV48" s="344"/>
      <c r="MQW48" s="344"/>
      <c r="MQX48" s="344"/>
      <c r="MQY48" s="344"/>
      <c r="MQZ48" s="344"/>
      <c r="MRA48" s="344"/>
      <c r="MRB48" s="344"/>
      <c r="MRC48" s="344"/>
      <c r="MRD48" s="344"/>
      <c r="MRE48" s="344"/>
      <c r="MRF48" s="344"/>
      <c r="MRG48" s="344"/>
      <c r="MRH48" s="344"/>
      <c r="MRI48" s="344"/>
      <c r="MRJ48" s="344"/>
      <c r="MRK48" s="344"/>
      <c r="MRL48" s="344"/>
      <c r="MRM48" s="344"/>
      <c r="MRN48" s="344"/>
      <c r="MRO48" s="344"/>
      <c r="MRP48" s="344"/>
      <c r="MRQ48" s="344"/>
      <c r="MRR48" s="344"/>
      <c r="MRS48" s="344"/>
      <c r="MRT48" s="344"/>
      <c r="MRU48" s="344"/>
      <c r="MRV48" s="344"/>
      <c r="MRW48" s="344"/>
      <c r="MRX48" s="344"/>
      <c r="MRY48" s="344"/>
      <c r="MRZ48" s="344"/>
      <c r="MSA48" s="344"/>
      <c r="MSB48" s="344"/>
      <c r="MSC48" s="344"/>
      <c r="MSD48" s="344"/>
      <c r="MSE48" s="344"/>
      <c r="MSF48" s="344"/>
      <c r="MSG48" s="344"/>
      <c r="MSH48" s="344"/>
      <c r="MSI48" s="344"/>
      <c r="MSJ48" s="344"/>
      <c r="MSK48" s="344"/>
      <c r="MSL48" s="344"/>
      <c r="MSM48" s="344"/>
      <c r="MSN48" s="344"/>
      <c r="MSO48" s="344"/>
      <c r="MSP48" s="344"/>
      <c r="MSQ48" s="344"/>
      <c r="MSR48" s="344"/>
      <c r="MSS48" s="344"/>
      <c r="MST48" s="344"/>
      <c r="MSU48" s="344"/>
      <c r="MSV48" s="344"/>
      <c r="MSW48" s="344"/>
      <c r="MSX48" s="344"/>
      <c r="MSY48" s="344"/>
      <c r="MSZ48" s="344"/>
      <c r="MTA48" s="344"/>
      <c r="MTB48" s="344"/>
      <c r="MTC48" s="344"/>
      <c r="MTD48" s="344"/>
      <c r="MTE48" s="344"/>
      <c r="MTF48" s="344"/>
      <c r="MTG48" s="344"/>
      <c r="MTH48" s="344"/>
      <c r="MTI48" s="344"/>
      <c r="MTJ48" s="344"/>
      <c r="MTK48" s="344"/>
      <c r="MTL48" s="344"/>
      <c r="MTM48" s="344"/>
      <c r="MTN48" s="344"/>
      <c r="MTO48" s="344"/>
      <c r="MTP48" s="344"/>
      <c r="MTQ48" s="344"/>
      <c r="MTR48" s="344"/>
      <c r="MTS48" s="344"/>
      <c r="MTT48" s="344"/>
      <c r="MTU48" s="344"/>
      <c r="MTV48" s="344"/>
      <c r="MTW48" s="344"/>
      <c r="MTX48" s="344"/>
      <c r="MTY48" s="344"/>
      <c r="MTZ48" s="344"/>
      <c r="MUA48" s="344"/>
      <c r="MUB48" s="344"/>
      <c r="MUC48" s="344"/>
      <c r="MUD48" s="344"/>
      <c r="MUE48" s="344"/>
      <c r="MUF48" s="344"/>
      <c r="MUG48" s="344"/>
      <c r="MUH48" s="344"/>
      <c r="MUI48" s="344"/>
      <c r="MUJ48" s="344"/>
      <c r="MUK48" s="344"/>
      <c r="MUL48" s="344"/>
      <c r="MUM48" s="344"/>
      <c r="MUN48" s="344"/>
      <c r="MUO48" s="344"/>
      <c r="MUP48" s="344"/>
      <c r="MUQ48" s="344"/>
      <c r="MUR48" s="344"/>
      <c r="MUS48" s="344"/>
      <c r="MUT48" s="344"/>
      <c r="MUU48" s="344"/>
      <c r="MUV48" s="344"/>
      <c r="MUW48" s="344"/>
      <c r="MUX48" s="344"/>
      <c r="MUY48" s="344"/>
      <c r="MUZ48" s="344"/>
      <c r="MVA48" s="344"/>
      <c r="MVB48" s="344"/>
      <c r="MVC48" s="344"/>
      <c r="MVD48" s="344"/>
      <c r="MVE48" s="344"/>
      <c r="MVF48" s="344"/>
      <c r="MVG48" s="344"/>
      <c r="MVH48" s="344"/>
      <c r="MVI48" s="344"/>
      <c r="MVJ48" s="344"/>
      <c r="MVK48" s="344"/>
      <c r="MVL48" s="344"/>
      <c r="MVM48" s="344"/>
      <c r="MVN48" s="344"/>
      <c r="MVO48" s="344"/>
      <c r="MVP48" s="344"/>
      <c r="MVQ48" s="344"/>
      <c r="MVR48" s="344"/>
      <c r="MVS48" s="344"/>
      <c r="MVT48" s="344"/>
      <c r="MVU48" s="344"/>
      <c r="MVV48" s="344"/>
      <c r="MVW48" s="344"/>
      <c r="MVX48" s="344"/>
      <c r="MVY48" s="344"/>
      <c r="MVZ48" s="344"/>
      <c r="MWA48" s="344"/>
      <c r="MWB48" s="344"/>
      <c r="MWC48" s="344"/>
      <c r="MWD48" s="344"/>
      <c r="MWE48" s="344"/>
      <c r="MWF48" s="344"/>
      <c r="MWG48" s="344"/>
      <c r="MWH48" s="344"/>
      <c r="MWI48" s="344"/>
      <c r="MWJ48" s="344"/>
      <c r="MWK48" s="344"/>
      <c r="MWL48" s="344"/>
      <c r="MWM48" s="344"/>
      <c r="MWN48" s="344"/>
      <c r="MWO48" s="344"/>
      <c r="MWP48" s="344"/>
      <c r="MWQ48" s="344"/>
      <c r="MWR48" s="344"/>
      <c r="MWS48" s="344"/>
      <c r="MWT48" s="344"/>
      <c r="MWU48" s="344"/>
      <c r="MWV48" s="344"/>
      <c r="MWW48" s="344"/>
      <c r="MWX48" s="344"/>
      <c r="MWY48" s="344"/>
      <c r="MWZ48" s="344"/>
      <c r="MXA48" s="344"/>
      <c r="MXB48" s="344"/>
      <c r="MXC48" s="344"/>
      <c r="MXD48" s="344"/>
      <c r="MXE48" s="344"/>
      <c r="MXF48" s="344"/>
      <c r="MXG48" s="344"/>
      <c r="MXH48" s="344"/>
      <c r="MXI48" s="344"/>
      <c r="MXJ48" s="344"/>
      <c r="MXK48" s="344"/>
      <c r="MXL48" s="344"/>
      <c r="MXM48" s="344"/>
      <c r="MXN48" s="344"/>
      <c r="MXO48" s="344"/>
      <c r="MXP48" s="344"/>
      <c r="MXQ48" s="344"/>
      <c r="MXR48" s="344"/>
      <c r="MXS48" s="344"/>
      <c r="MXT48" s="344"/>
      <c r="MXU48" s="344"/>
      <c r="MXV48" s="344"/>
      <c r="MXW48" s="344"/>
      <c r="MXX48" s="344"/>
      <c r="MXY48" s="344"/>
      <c r="MXZ48" s="344"/>
      <c r="MYA48" s="344"/>
      <c r="MYB48" s="344"/>
      <c r="MYC48" s="344"/>
      <c r="MYD48" s="344"/>
      <c r="MYE48" s="344"/>
      <c r="MYF48" s="344"/>
      <c r="MYG48" s="344"/>
      <c r="MYH48" s="344"/>
      <c r="MYI48" s="344"/>
      <c r="MYJ48" s="344"/>
      <c r="MYK48" s="344"/>
      <c r="MYL48" s="344"/>
      <c r="MYM48" s="344"/>
      <c r="MYN48" s="344"/>
      <c r="MYO48" s="344"/>
      <c r="MYP48" s="344"/>
      <c r="MYQ48" s="344"/>
      <c r="MYR48" s="344"/>
      <c r="MYS48" s="344"/>
      <c r="MYT48" s="344"/>
      <c r="MYU48" s="344"/>
      <c r="MYV48" s="344"/>
      <c r="MYW48" s="344"/>
      <c r="MYX48" s="344"/>
      <c r="MYY48" s="344"/>
      <c r="MYZ48" s="344"/>
      <c r="MZA48" s="344"/>
      <c r="MZB48" s="344"/>
      <c r="MZC48" s="344"/>
      <c r="MZD48" s="344"/>
      <c r="MZE48" s="344"/>
      <c r="MZF48" s="344"/>
      <c r="MZG48" s="344"/>
      <c r="MZH48" s="344"/>
      <c r="MZI48" s="344"/>
      <c r="MZJ48" s="344"/>
      <c r="MZK48" s="344"/>
      <c r="MZL48" s="344"/>
      <c r="MZM48" s="344"/>
      <c r="MZN48" s="344"/>
      <c r="MZO48" s="344"/>
      <c r="MZP48" s="344"/>
      <c r="MZQ48" s="344"/>
      <c r="MZR48" s="344"/>
      <c r="MZS48" s="344"/>
      <c r="MZT48" s="344"/>
      <c r="MZU48" s="344"/>
      <c r="MZV48" s="344"/>
      <c r="MZW48" s="344"/>
      <c r="MZX48" s="344"/>
      <c r="MZY48" s="344"/>
      <c r="MZZ48" s="344"/>
      <c r="NAA48" s="344"/>
      <c r="NAB48" s="344"/>
      <c r="NAC48" s="344"/>
      <c r="NAD48" s="344"/>
      <c r="NAE48" s="344"/>
      <c r="NAF48" s="344"/>
      <c r="NAG48" s="344"/>
      <c r="NAH48" s="344"/>
      <c r="NAI48" s="344"/>
      <c r="NAJ48" s="344"/>
      <c r="NAK48" s="344"/>
      <c r="NAL48" s="344"/>
      <c r="NAM48" s="344"/>
      <c r="NAN48" s="344"/>
      <c r="NAO48" s="344"/>
      <c r="NAP48" s="344"/>
      <c r="NAQ48" s="344"/>
      <c r="NAR48" s="344"/>
      <c r="NAS48" s="344"/>
      <c r="NAT48" s="344"/>
      <c r="NAU48" s="344"/>
      <c r="NAV48" s="344"/>
      <c r="NAW48" s="344"/>
      <c r="NAX48" s="344"/>
      <c r="NAY48" s="344"/>
      <c r="NAZ48" s="344"/>
      <c r="NBA48" s="344"/>
      <c r="NBB48" s="344"/>
      <c r="NBC48" s="344"/>
      <c r="NBD48" s="344"/>
      <c r="NBE48" s="344"/>
      <c r="NBF48" s="344"/>
      <c r="NBG48" s="344"/>
      <c r="NBH48" s="344"/>
      <c r="NBI48" s="344"/>
      <c r="NBJ48" s="344"/>
      <c r="NBK48" s="344"/>
      <c r="NBL48" s="344"/>
      <c r="NBM48" s="344"/>
      <c r="NBN48" s="344"/>
      <c r="NBO48" s="344"/>
      <c r="NBP48" s="344"/>
      <c r="NBQ48" s="344"/>
      <c r="NBR48" s="344"/>
      <c r="NBS48" s="344"/>
      <c r="NBT48" s="344"/>
      <c r="NBU48" s="344"/>
      <c r="NBV48" s="344"/>
      <c r="NBW48" s="344"/>
      <c r="NBX48" s="344"/>
      <c r="NBY48" s="344"/>
      <c r="NBZ48" s="344"/>
      <c r="NCA48" s="344"/>
      <c r="NCB48" s="344"/>
      <c r="NCC48" s="344"/>
      <c r="NCD48" s="344"/>
      <c r="NCE48" s="344"/>
      <c r="NCF48" s="344"/>
      <c r="NCG48" s="344"/>
      <c r="NCH48" s="344"/>
      <c r="NCI48" s="344"/>
      <c r="NCJ48" s="344"/>
      <c r="NCK48" s="344"/>
      <c r="NCL48" s="344"/>
      <c r="NCM48" s="344"/>
      <c r="NCN48" s="344"/>
      <c r="NCO48" s="344"/>
      <c r="NCP48" s="344"/>
      <c r="NCQ48" s="344"/>
      <c r="NCR48" s="344"/>
      <c r="NCS48" s="344"/>
      <c r="NCT48" s="344"/>
      <c r="NCU48" s="344"/>
      <c r="NCV48" s="344"/>
      <c r="NCW48" s="344"/>
      <c r="NCX48" s="344"/>
      <c r="NCY48" s="344"/>
      <c r="NCZ48" s="344"/>
      <c r="NDA48" s="344"/>
      <c r="NDB48" s="344"/>
      <c r="NDC48" s="344"/>
      <c r="NDD48" s="344"/>
      <c r="NDE48" s="344"/>
      <c r="NDF48" s="344"/>
      <c r="NDG48" s="344"/>
      <c r="NDH48" s="344"/>
      <c r="NDI48" s="344"/>
      <c r="NDJ48" s="344"/>
      <c r="NDK48" s="344"/>
      <c r="NDL48" s="344"/>
      <c r="NDM48" s="344"/>
      <c r="NDN48" s="344"/>
      <c r="NDO48" s="344"/>
      <c r="NDP48" s="344"/>
      <c r="NDQ48" s="344"/>
      <c r="NDR48" s="344"/>
      <c r="NDS48" s="344"/>
      <c r="NDT48" s="344"/>
      <c r="NDU48" s="344"/>
      <c r="NDV48" s="344"/>
      <c r="NDW48" s="344"/>
      <c r="NDX48" s="344"/>
      <c r="NDY48" s="344"/>
      <c r="NDZ48" s="344"/>
      <c r="NEA48" s="344"/>
      <c r="NEB48" s="344"/>
      <c r="NEC48" s="344"/>
      <c r="NED48" s="344"/>
      <c r="NEE48" s="344"/>
      <c r="NEF48" s="344"/>
      <c r="NEG48" s="344"/>
      <c r="NEH48" s="344"/>
      <c r="NEI48" s="344"/>
      <c r="NEJ48" s="344"/>
      <c r="NEK48" s="344"/>
      <c r="NEL48" s="344"/>
      <c r="NEM48" s="344"/>
      <c r="NEN48" s="344"/>
      <c r="NEO48" s="344"/>
      <c r="NEP48" s="344"/>
      <c r="NEQ48" s="344"/>
      <c r="NER48" s="344"/>
      <c r="NES48" s="344"/>
      <c r="NET48" s="344"/>
      <c r="NEU48" s="344"/>
      <c r="NEV48" s="344"/>
      <c r="NEW48" s="344"/>
      <c r="NEX48" s="344"/>
      <c r="NEY48" s="344"/>
      <c r="NEZ48" s="344"/>
      <c r="NFA48" s="344"/>
      <c r="NFB48" s="344"/>
      <c r="NFC48" s="344"/>
      <c r="NFD48" s="344"/>
      <c r="NFE48" s="344"/>
      <c r="NFF48" s="344"/>
      <c r="NFG48" s="344"/>
      <c r="NFH48" s="344"/>
      <c r="NFI48" s="344"/>
      <c r="NFJ48" s="344"/>
      <c r="NFK48" s="344"/>
      <c r="NFL48" s="344"/>
      <c r="NFM48" s="344"/>
      <c r="NFN48" s="344"/>
      <c r="NFO48" s="344"/>
      <c r="NFP48" s="344"/>
      <c r="NFQ48" s="344"/>
      <c r="NFR48" s="344"/>
      <c r="NFS48" s="344"/>
      <c r="NFT48" s="344"/>
      <c r="NFU48" s="344"/>
      <c r="NFV48" s="344"/>
      <c r="NFW48" s="344"/>
      <c r="NFX48" s="344"/>
      <c r="NFY48" s="344"/>
      <c r="NFZ48" s="344"/>
      <c r="NGA48" s="344"/>
      <c r="NGB48" s="344"/>
      <c r="NGC48" s="344"/>
      <c r="NGD48" s="344"/>
      <c r="NGE48" s="344"/>
      <c r="NGF48" s="344"/>
      <c r="NGG48" s="344"/>
      <c r="NGH48" s="344"/>
      <c r="NGI48" s="344"/>
      <c r="NGJ48" s="344"/>
      <c r="NGK48" s="344"/>
      <c r="NGL48" s="344"/>
      <c r="NGM48" s="344"/>
      <c r="NGN48" s="344"/>
      <c r="NGO48" s="344"/>
      <c r="NGP48" s="344"/>
      <c r="NGQ48" s="344"/>
      <c r="NGR48" s="344"/>
      <c r="NGS48" s="344"/>
      <c r="NGT48" s="344"/>
      <c r="NGU48" s="344"/>
      <c r="NGV48" s="344"/>
      <c r="NGW48" s="344"/>
      <c r="NGX48" s="344"/>
      <c r="NGY48" s="344"/>
      <c r="NGZ48" s="344"/>
      <c r="NHA48" s="344"/>
      <c r="NHB48" s="344"/>
      <c r="NHC48" s="344"/>
      <c r="NHD48" s="344"/>
      <c r="NHE48" s="344"/>
      <c r="NHF48" s="344"/>
      <c r="NHG48" s="344"/>
      <c r="NHH48" s="344"/>
      <c r="NHI48" s="344"/>
      <c r="NHJ48" s="344"/>
      <c r="NHK48" s="344"/>
      <c r="NHL48" s="344"/>
      <c r="NHM48" s="344"/>
      <c r="NHN48" s="344"/>
      <c r="NHO48" s="344"/>
      <c r="NHP48" s="344"/>
      <c r="NHQ48" s="344"/>
      <c r="NHR48" s="344"/>
      <c r="NHS48" s="344"/>
      <c r="NHT48" s="344"/>
      <c r="NHU48" s="344"/>
      <c r="NHV48" s="344"/>
      <c r="NHW48" s="344"/>
      <c r="NHX48" s="344"/>
      <c r="NHY48" s="344"/>
      <c r="NHZ48" s="344"/>
      <c r="NIA48" s="344"/>
      <c r="NIB48" s="344"/>
      <c r="NIC48" s="344"/>
      <c r="NID48" s="344"/>
      <c r="NIE48" s="344"/>
      <c r="NIF48" s="344"/>
      <c r="NIG48" s="344"/>
      <c r="NIH48" s="344"/>
      <c r="NII48" s="344"/>
      <c r="NIJ48" s="344"/>
      <c r="NIK48" s="344"/>
      <c r="NIL48" s="344"/>
      <c r="NIM48" s="344"/>
      <c r="NIN48" s="344"/>
      <c r="NIO48" s="344"/>
      <c r="NIP48" s="344"/>
      <c r="NIQ48" s="344"/>
      <c r="NIR48" s="344"/>
      <c r="NIS48" s="344"/>
      <c r="NIT48" s="344"/>
      <c r="NIU48" s="344"/>
      <c r="NIV48" s="344"/>
      <c r="NIW48" s="344"/>
      <c r="NIX48" s="344"/>
      <c r="NIY48" s="344"/>
      <c r="NIZ48" s="344"/>
      <c r="NJA48" s="344"/>
      <c r="NJB48" s="344"/>
      <c r="NJC48" s="344"/>
      <c r="NJD48" s="344"/>
      <c r="NJE48" s="344"/>
      <c r="NJF48" s="344"/>
      <c r="NJG48" s="344"/>
      <c r="NJH48" s="344"/>
      <c r="NJI48" s="344"/>
      <c r="NJJ48" s="344"/>
      <c r="NJK48" s="344"/>
      <c r="NJL48" s="344"/>
      <c r="NJM48" s="344"/>
      <c r="NJN48" s="344"/>
      <c r="NJO48" s="344"/>
      <c r="NJP48" s="344"/>
      <c r="NJQ48" s="344"/>
      <c r="NJR48" s="344"/>
      <c r="NJS48" s="344"/>
      <c r="NJT48" s="344"/>
      <c r="NJU48" s="344"/>
      <c r="NJV48" s="344"/>
      <c r="NJW48" s="344"/>
      <c r="NJX48" s="344"/>
      <c r="NJY48" s="344"/>
      <c r="NJZ48" s="344"/>
      <c r="NKA48" s="344"/>
      <c r="NKB48" s="344"/>
      <c r="NKC48" s="344"/>
      <c r="NKD48" s="344"/>
      <c r="NKE48" s="344"/>
      <c r="NKF48" s="344"/>
      <c r="NKG48" s="344"/>
      <c r="NKH48" s="344"/>
      <c r="NKI48" s="344"/>
      <c r="NKJ48" s="344"/>
      <c r="NKK48" s="344"/>
      <c r="NKL48" s="344"/>
      <c r="NKM48" s="344"/>
      <c r="NKN48" s="344"/>
      <c r="NKO48" s="344"/>
      <c r="NKP48" s="344"/>
      <c r="NKQ48" s="344"/>
      <c r="NKR48" s="344"/>
      <c r="NKS48" s="344"/>
      <c r="NKT48" s="344"/>
      <c r="NKU48" s="344"/>
      <c r="NKV48" s="344"/>
      <c r="NKW48" s="344"/>
      <c r="NKX48" s="344"/>
      <c r="NKY48" s="344"/>
      <c r="NKZ48" s="344"/>
      <c r="NLA48" s="344"/>
      <c r="NLB48" s="344"/>
      <c r="NLC48" s="344"/>
      <c r="NLD48" s="344"/>
      <c r="NLE48" s="344"/>
      <c r="NLF48" s="344"/>
      <c r="NLG48" s="344"/>
      <c r="NLH48" s="344"/>
      <c r="NLI48" s="344"/>
      <c r="NLJ48" s="344"/>
      <c r="NLK48" s="344"/>
      <c r="NLL48" s="344"/>
      <c r="NLM48" s="344"/>
      <c r="NLN48" s="344"/>
      <c r="NLO48" s="344"/>
      <c r="NLP48" s="344"/>
      <c r="NLQ48" s="344"/>
      <c r="NLR48" s="344"/>
      <c r="NLS48" s="344"/>
      <c r="NLT48" s="344"/>
      <c r="NLU48" s="344"/>
      <c r="NLV48" s="344"/>
      <c r="NLW48" s="344"/>
      <c r="NLX48" s="344"/>
      <c r="NLY48" s="344"/>
      <c r="NLZ48" s="344"/>
      <c r="NMA48" s="344"/>
      <c r="NMB48" s="344"/>
      <c r="NMC48" s="344"/>
      <c r="NMD48" s="344"/>
      <c r="NME48" s="344"/>
      <c r="NMF48" s="344"/>
      <c r="NMG48" s="344"/>
      <c r="NMH48" s="344"/>
      <c r="NMI48" s="344"/>
      <c r="NMJ48" s="344"/>
      <c r="NMK48" s="344"/>
      <c r="NML48" s="344"/>
      <c r="NMM48" s="344"/>
      <c r="NMN48" s="344"/>
      <c r="NMO48" s="344"/>
      <c r="NMP48" s="344"/>
      <c r="NMQ48" s="344"/>
      <c r="NMR48" s="344"/>
      <c r="NMS48" s="344"/>
      <c r="NMT48" s="344"/>
      <c r="NMU48" s="344"/>
      <c r="NMV48" s="344"/>
      <c r="NMW48" s="344"/>
      <c r="NMX48" s="344"/>
      <c r="NMY48" s="344"/>
      <c r="NMZ48" s="344"/>
      <c r="NNA48" s="344"/>
      <c r="NNB48" s="344"/>
      <c r="NNC48" s="344"/>
      <c r="NND48" s="344"/>
      <c r="NNE48" s="344"/>
      <c r="NNF48" s="344"/>
      <c r="NNG48" s="344"/>
      <c r="NNH48" s="344"/>
      <c r="NNI48" s="344"/>
      <c r="NNJ48" s="344"/>
      <c r="NNK48" s="344"/>
      <c r="NNL48" s="344"/>
      <c r="NNM48" s="344"/>
      <c r="NNN48" s="344"/>
      <c r="NNO48" s="344"/>
      <c r="NNP48" s="344"/>
      <c r="NNQ48" s="344"/>
      <c r="NNR48" s="344"/>
      <c r="NNS48" s="344"/>
      <c r="NNT48" s="344"/>
      <c r="NNU48" s="344"/>
      <c r="NNV48" s="344"/>
      <c r="NNW48" s="344"/>
      <c r="NNX48" s="344"/>
      <c r="NNY48" s="344"/>
      <c r="NNZ48" s="344"/>
      <c r="NOA48" s="344"/>
      <c r="NOB48" s="344"/>
      <c r="NOC48" s="344"/>
      <c r="NOD48" s="344"/>
      <c r="NOE48" s="344"/>
      <c r="NOF48" s="344"/>
      <c r="NOG48" s="344"/>
      <c r="NOH48" s="344"/>
      <c r="NOI48" s="344"/>
      <c r="NOJ48" s="344"/>
      <c r="NOK48" s="344"/>
      <c r="NOL48" s="344"/>
      <c r="NOM48" s="344"/>
      <c r="NON48" s="344"/>
      <c r="NOO48" s="344"/>
      <c r="NOP48" s="344"/>
      <c r="NOQ48" s="344"/>
      <c r="NOR48" s="344"/>
      <c r="NOS48" s="344"/>
      <c r="NOT48" s="344"/>
      <c r="NOU48" s="344"/>
      <c r="NOV48" s="344"/>
      <c r="NOW48" s="344"/>
      <c r="NOX48" s="344"/>
      <c r="NOY48" s="344"/>
      <c r="NOZ48" s="344"/>
      <c r="NPA48" s="344"/>
      <c r="NPB48" s="344"/>
      <c r="NPC48" s="344"/>
      <c r="NPD48" s="344"/>
      <c r="NPE48" s="344"/>
      <c r="NPF48" s="344"/>
      <c r="NPG48" s="344"/>
      <c r="NPH48" s="344"/>
      <c r="NPI48" s="344"/>
      <c r="NPJ48" s="344"/>
      <c r="NPK48" s="344"/>
      <c r="NPL48" s="344"/>
      <c r="NPM48" s="344"/>
      <c r="NPN48" s="344"/>
      <c r="NPO48" s="344"/>
      <c r="NPP48" s="344"/>
      <c r="NPQ48" s="344"/>
      <c r="NPR48" s="344"/>
      <c r="NPS48" s="344"/>
      <c r="NPT48" s="344"/>
      <c r="NPU48" s="344"/>
      <c r="NPV48" s="344"/>
      <c r="NPW48" s="344"/>
      <c r="NPX48" s="344"/>
      <c r="NPY48" s="344"/>
      <c r="NPZ48" s="344"/>
      <c r="NQA48" s="344"/>
      <c r="NQB48" s="344"/>
      <c r="NQC48" s="344"/>
      <c r="NQD48" s="344"/>
      <c r="NQE48" s="344"/>
      <c r="NQF48" s="344"/>
      <c r="NQG48" s="344"/>
      <c r="NQH48" s="344"/>
      <c r="NQI48" s="344"/>
      <c r="NQJ48" s="344"/>
      <c r="NQK48" s="344"/>
      <c r="NQL48" s="344"/>
      <c r="NQM48" s="344"/>
      <c r="NQN48" s="344"/>
      <c r="NQO48" s="344"/>
      <c r="NQP48" s="344"/>
      <c r="NQQ48" s="344"/>
      <c r="NQR48" s="344"/>
      <c r="NQS48" s="344"/>
      <c r="NQT48" s="344"/>
      <c r="NQU48" s="344"/>
      <c r="NQV48" s="344"/>
      <c r="NQW48" s="344"/>
      <c r="NQX48" s="344"/>
      <c r="NQY48" s="344"/>
      <c r="NQZ48" s="344"/>
      <c r="NRA48" s="344"/>
      <c r="NRB48" s="344"/>
      <c r="NRC48" s="344"/>
      <c r="NRD48" s="344"/>
      <c r="NRE48" s="344"/>
      <c r="NRF48" s="344"/>
      <c r="NRG48" s="344"/>
      <c r="NRH48" s="344"/>
      <c r="NRI48" s="344"/>
      <c r="NRJ48" s="344"/>
      <c r="NRK48" s="344"/>
      <c r="NRL48" s="344"/>
      <c r="NRM48" s="344"/>
      <c r="NRN48" s="344"/>
      <c r="NRO48" s="344"/>
      <c r="NRP48" s="344"/>
      <c r="NRQ48" s="344"/>
      <c r="NRR48" s="344"/>
      <c r="NRS48" s="344"/>
      <c r="NRT48" s="344"/>
      <c r="NRU48" s="344"/>
      <c r="NRV48" s="344"/>
      <c r="NRW48" s="344"/>
      <c r="NRX48" s="344"/>
      <c r="NRY48" s="344"/>
      <c r="NRZ48" s="344"/>
      <c r="NSA48" s="344"/>
      <c r="NSB48" s="344"/>
      <c r="NSC48" s="344"/>
      <c r="NSD48" s="344"/>
      <c r="NSE48" s="344"/>
      <c r="NSF48" s="344"/>
      <c r="NSG48" s="344"/>
      <c r="NSH48" s="344"/>
      <c r="NSI48" s="344"/>
      <c r="NSJ48" s="344"/>
      <c r="NSK48" s="344"/>
      <c r="NSL48" s="344"/>
      <c r="NSM48" s="344"/>
      <c r="NSN48" s="344"/>
      <c r="NSO48" s="344"/>
      <c r="NSP48" s="344"/>
      <c r="NSQ48" s="344"/>
      <c r="NSR48" s="344"/>
      <c r="NSS48" s="344"/>
      <c r="NST48" s="344"/>
      <c r="NSU48" s="344"/>
      <c r="NSV48" s="344"/>
      <c r="NSW48" s="344"/>
      <c r="NSX48" s="344"/>
      <c r="NSY48" s="344"/>
      <c r="NSZ48" s="344"/>
      <c r="NTA48" s="344"/>
      <c r="NTB48" s="344"/>
      <c r="NTC48" s="344"/>
      <c r="NTD48" s="344"/>
      <c r="NTE48" s="344"/>
      <c r="NTF48" s="344"/>
      <c r="NTG48" s="344"/>
      <c r="NTH48" s="344"/>
      <c r="NTI48" s="344"/>
      <c r="NTJ48" s="344"/>
      <c r="NTK48" s="344"/>
      <c r="NTL48" s="344"/>
      <c r="NTM48" s="344"/>
      <c r="NTN48" s="344"/>
      <c r="NTO48" s="344"/>
      <c r="NTP48" s="344"/>
      <c r="NTQ48" s="344"/>
      <c r="NTR48" s="344"/>
      <c r="NTS48" s="344"/>
      <c r="NTT48" s="344"/>
      <c r="NTU48" s="344"/>
      <c r="NTV48" s="344"/>
      <c r="NTW48" s="344"/>
      <c r="NTX48" s="344"/>
      <c r="NTY48" s="344"/>
      <c r="NTZ48" s="344"/>
      <c r="NUA48" s="344"/>
      <c r="NUB48" s="344"/>
      <c r="NUC48" s="344"/>
      <c r="NUD48" s="344"/>
      <c r="NUE48" s="344"/>
      <c r="NUF48" s="344"/>
      <c r="NUG48" s="344"/>
      <c r="NUH48" s="344"/>
      <c r="NUI48" s="344"/>
      <c r="NUJ48" s="344"/>
      <c r="NUK48" s="344"/>
      <c r="NUL48" s="344"/>
      <c r="NUM48" s="344"/>
      <c r="NUN48" s="344"/>
      <c r="NUO48" s="344"/>
      <c r="NUP48" s="344"/>
      <c r="NUQ48" s="344"/>
      <c r="NUR48" s="344"/>
      <c r="NUS48" s="344"/>
      <c r="NUT48" s="344"/>
      <c r="NUU48" s="344"/>
      <c r="NUV48" s="344"/>
      <c r="NUW48" s="344"/>
      <c r="NUX48" s="344"/>
      <c r="NUY48" s="344"/>
      <c r="NUZ48" s="344"/>
      <c r="NVA48" s="344"/>
      <c r="NVB48" s="344"/>
      <c r="NVC48" s="344"/>
      <c r="NVD48" s="344"/>
      <c r="NVE48" s="344"/>
      <c r="NVF48" s="344"/>
      <c r="NVG48" s="344"/>
      <c r="NVH48" s="344"/>
      <c r="NVI48" s="344"/>
      <c r="NVJ48" s="344"/>
      <c r="NVK48" s="344"/>
      <c r="NVL48" s="344"/>
      <c r="NVM48" s="344"/>
      <c r="NVN48" s="344"/>
      <c r="NVO48" s="344"/>
      <c r="NVP48" s="344"/>
      <c r="NVQ48" s="344"/>
      <c r="NVR48" s="344"/>
      <c r="NVS48" s="344"/>
      <c r="NVT48" s="344"/>
      <c r="NVU48" s="344"/>
      <c r="NVV48" s="344"/>
      <c r="NVW48" s="344"/>
      <c r="NVX48" s="344"/>
      <c r="NVY48" s="344"/>
      <c r="NVZ48" s="344"/>
      <c r="NWA48" s="344"/>
      <c r="NWB48" s="344"/>
      <c r="NWC48" s="344"/>
      <c r="NWD48" s="344"/>
      <c r="NWE48" s="344"/>
      <c r="NWF48" s="344"/>
      <c r="NWG48" s="344"/>
      <c r="NWH48" s="344"/>
      <c r="NWI48" s="344"/>
      <c r="NWJ48" s="344"/>
      <c r="NWK48" s="344"/>
      <c r="NWL48" s="344"/>
      <c r="NWM48" s="344"/>
      <c r="NWN48" s="344"/>
      <c r="NWO48" s="344"/>
      <c r="NWP48" s="344"/>
      <c r="NWQ48" s="344"/>
      <c r="NWR48" s="344"/>
      <c r="NWS48" s="344"/>
      <c r="NWT48" s="344"/>
      <c r="NWU48" s="344"/>
      <c r="NWV48" s="344"/>
      <c r="NWW48" s="344"/>
      <c r="NWX48" s="344"/>
      <c r="NWY48" s="344"/>
      <c r="NWZ48" s="344"/>
      <c r="NXA48" s="344"/>
      <c r="NXB48" s="344"/>
      <c r="NXC48" s="344"/>
      <c r="NXD48" s="344"/>
      <c r="NXE48" s="344"/>
      <c r="NXF48" s="344"/>
      <c r="NXG48" s="344"/>
      <c r="NXH48" s="344"/>
      <c r="NXI48" s="344"/>
      <c r="NXJ48" s="344"/>
      <c r="NXK48" s="344"/>
      <c r="NXL48" s="344"/>
      <c r="NXM48" s="344"/>
      <c r="NXN48" s="344"/>
      <c r="NXO48" s="344"/>
      <c r="NXP48" s="344"/>
      <c r="NXQ48" s="344"/>
      <c r="NXR48" s="344"/>
      <c r="NXS48" s="344"/>
      <c r="NXT48" s="344"/>
      <c r="NXU48" s="344"/>
      <c r="NXV48" s="344"/>
      <c r="NXW48" s="344"/>
      <c r="NXX48" s="344"/>
      <c r="NXY48" s="344"/>
      <c r="NXZ48" s="344"/>
      <c r="NYA48" s="344"/>
      <c r="NYB48" s="344"/>
      <c r="NYC48" s="344"/>
      <c r="NYD48" s="344"/>
      <c r="NYE48" s="344"/>
      <c r="NYF48" s="344"/>
      <c r="NYG48" s="344"/>
      <c r="NYH48" s="344"/>
      <c r="NYI48" s="344"/>
      <c r="NYJ48" s="344"/>
      <c r="NYK48" s="344"/>
      <c r="NYL48" s="344"/>
      <c r="NYM48" s="344"/>
      <c r="NYN48" s="344"/>
      <c r="NYO48" s="344"/>
      <c r="NYP48" s="344"/>
      <c r="NYQ48" s="344"/>
      <c r="NYR48" s="344"/>
      <c r="NYS48" s="344"/>
      <c r="NYT48" s="344"/>
      <c r="NYU48" s="344"/>
      <c r="NYV48" s="344"/>
      <c r="NYW48" s="344"/>
      <c r="NYX48" s="344"/>
      <c r="NYY48" s="344"/>
      <c r="NYZ48" s="344"/>
      <c r="NZA48" s="344"/>
      <c r="NZB48" s="344"/>
      <c r="NZC48" s="344"/>
      <c r="NZD48" s="344"/>
      <c r="NZE48" s="344"/>
      <c r="NZF48" s="344"/>
      <c r="NZG48" s="344"/>
      <c r="NZH48" s="344"/>
      <c r="NZI48" s="344"/>
      <c r="NZJ48" s="344"/>
      <c r="NZK48" s="344"/>
      <c r="NZL48" s="344"/>
      <c r="NZM48" s="344"/>
      <c r="NZN48" s="344"/>
      <c r="NZO48" s="344"/>
      <c r="NZP48" s="344"/>
      <c r="NZQ48" s="344"/>
      <c r="NZR48" s="344"/>
      <c r="NZS48" s="344"/>
      <c r="NZT48" s="344"/>
      <c r="NZU48" s="344"/>
      <c r="NZV48" s="344"/>
      <c r="NZW48" s="344"/>
      <c r="NZX48" s="344"/>
      <c r="NZY48" s="344"/>
      <c r="NZZ48" s="344"/>
      <c r="OAA48" s="344"/>
      <c r="OAB48" s="344"/>
      <c r="OAC48" s="344"/>
      <c r="OAD48" s="344"/>
      <c r="OAE48" s="344"/>
      <c r="OAF48" s="344"/>
      <c r="OAG48" s="344"/>
      <c r="OAH48" s="344"/>
      <c r="OAI48" s="344"/>
      <c r="OAJ48" s="344"/>
      <c r="OAK48" s="344"/>
      <c r="OAL48" s="344"/>
      <c r="OAM48" s="344"/>
      <c r="OAN48" s="344"/>
      <c r="OAO48" s="344"/>
      <c r="OAP48" s="344"/>
      <c r="OAQ48" s="344"/>
      <c r="OAR48" s="344"/>
      <c r="OAS48" s="344"/>
      <c r="OAT48" s="344"/>
      <c r="OAU48" s="344"/>
      <c r="OAV48" s="344"/>
      <c r="OAW48" s="344"/>
      <c r="OAX48" s="344"/>
      <c r="OAY48" s="344"/>
      <c r="OAZ48" s="344"/>
      <c r="OBA48" s="344"/>
      <c r="OBB48" s="344"/>
      <c r="OBC48" s="344"/>
      <c r="OBD48" s="344"/>
      <c r="OBE48" s="344"/>
      <c r="OBF48" s="344"/>
      <c r="OBG48" s="344"/>
      <c r="OBH48" s="344"/>
      <c r="OBI48" s="344"/>
      <c r="OBJ48" s="344"/>
      <c r="OBK48" s="344"/>
      <c r="OBL48" s="344"/>
      <c r="OBM48" s="344"/>
      <c r="OBN48" s="344"/>
      <c r="OBO48" s="344"/>
      <c r="OBP48" s="344"/>
      <c r="OBQ48" s="344"/>
      <c r="OBR48" s="344"/>
      <c r="OBS48" s="344"/>
      <c r="OBT48" s="344"/>
      <c r="OBU48" s="344"/>
      <c r="OBV48" s="344"/>
      <c r="OBW48" s="344"/>
      <c r="OBX48" s="344"/>
      <c r="OBY48" s="344"/>
      <c r="OBZ48" s="344"/>
      <c r="OCA48" s="344"/>
      <c r="OCB48" s="344"/>
      <c r="OCC48" s="344"/>
      <c r="OCD48" s="344"/>
      <c r="OCE48" s="344"/>
      <c r="OCF48" s="344"/>
      <c r="OCG48" s="344"/>
      <c r="OCH48" s="344"/>
      <c r="OCI48" s="344"/>
      <c r="OCJ48" s="344"/>
      <c r="OCK48" s="344"/>
      <c r="OCL48" s="344"/>
      <c r="OCM48" s="344"/>
      <c r="OCN48" s="344"/>
      <c r="OCO48" s="344"/>
      <c r="OCP48" s="344"/>
      <c r="OCQ48" s="344"/>
      <c r="OCR48" s="344"/>
      <c r="OCS48" s="344"/>
      <c r="OCT48" s="344"/>
      <c r="OCU48" s="344"/>
      <c r="OCV48" s="344"/>
      <c r="OCW48" s="344"/>
      <c r="OCX48" s="344"/>
      <c r="OCY48" s="344"/>
      <c r="OCZ48" s="344"/>
      <c r="ODA48" s="344"/>
      <c r="ODB48" s="344"/>
      <c r="ODC48" s="344"/>
      <c r="ODD48" s="344"/>
      <c r="ODE48" s="344"/>
      <c r="ODF48" s="344"/>
      <c r="ODG48" s="344"/>
      <c r="ODH48" s="344"/>
      <c r="ODI48" s="344"/>
      <c r="ODJ48" s="344"/>
      <c r="ODK48" s="344"/>
      <c r="ODL48" s="344"/>
      <c r="ODM48" s="344"/>
      <c r="ODN48" s="344"/>
      <c r="ODO48" s="344"/>
      <c r="ODP48" s="344"/>
      <c r="ODQ48" s="344"/>
      <c r="ODR48" s="344"/>
      <c r="ODS48" s="344"/>
      <c r="ODT48" s="344"/>
      <c r="ODU48" s="344"/>
      <c r="ODV48" s="344"/>
      <c r="ODW48" s="344"/>
      <c r="ODX48" s="344"/>
      <c r="ODY48" s="344"/>
      <c r="ODZ48" s="344"/>
      <c r="OEA48" s="344"/>
      <c r="OEB48" s="344"/>
      <c r="OEC48" s="344"/>
      <c r="OED48" s="344"/>
      <c r="OEE48" s="344"/>
      <c r="OEF48" s="344"/>
      <c r="OEG48" s="344"/>
      <c r="OEH48" s="344"/>
      <c r="OEI48" s="344"/>
      <c r="OEJ48" s="344"/>
      <c r="OEK48" s="344"/>
      <c r="OEL48" s="344"/>
      <c r="OEM48" s="344"/>
      <c r="OEN48" s="344"/>
      <c r="OEO48" s="344"/>
      <c r="OEP48" s="344"/>
      <c r="OEQ48" s="344"/>
      <c r="OER48" s="344"/>
      <c r="OES48" s="344"/>
      <c r="OET48" s="344"/>
      <c r="OEU48" s="344"/>
      <c r="OEV48" s="344"/>
      <c r="OEW48" s="344"/>
      <c r="OEX48" s="344"/>
      <c r="OEY48" s="344"/>
      <c r="OEZ48" s="344"/>
      <c r="OFA48" s="344"/>
      <c r="OFB48" s="344"/>
      <c r="OFC48" s="344"/>
      <c r="OFD48" s="344"/>
      <c r="OFE48" s="344"/>
      <c r="OFF48" s="344"/>
      <c r="OFG48" s="344"/>
      <c r="OFH48" s="344"/>
      <c r="OFI48" s="344"/>
      <c r="OFJ48" s="344"/>
      <c r="OFK48" s="344"/>
      <c r="OFL48" s="344"/>
      <c r="OFM48" s="344"/>
      <c r="OFN48" s="344"/>
      <c r="OFO48" s="344"/>
      <c r="OFP48" s="344"/>
      <c r="OFQ48" s="344"/>
      <c r="OFR48" s="344"/>
      <c r="OFS48" s="344"/>
      <c r="OFT48" s="344"/>
      <c r="OFU48" s="344"/>
      <c r="OFV48" s="344"/>
      <c r="OFW48" s="344"/>
      <c r="OFX48" s="344"/>
      <c r="OFY48" s="344"/>
      <c r="OFZ48" s="344"/>
      <c r="OGA48" s="344"/>
      <c r="OGB48" s="344"/>
      <c r="OGC48" s="344"/>
      <c r="OGD48" s="344"/>
      <c r="OGE48" s="344"/>
      <c r="OGF48" s="344"/>
      <c r="OGG48" s="344"/>
      <c r="OGH48" s="344"/>
      <c r="OGI48" s="344"/>
      <c r="OGJ48" s="344"/>
      <c r="OGK48" s="344"/>
      <c r="OGL48" s="344"/>
      <c r="OGM48" s="344"/>
      <c r="OGN48" s="344"/>
      <c r="OGO48" s="344"/>
      <c r="OGP48" s="344"/>
      <c r="OGQ48" s="344"/>
      <c r="OGR48" s="344"/>
      <c r="OGS48" s="344"/>
      <c r="OGT48" s="344"/>
      <c r="OGU48" s="344"/>
      <c r="OGV48" s="344"/>
      <c r="OGW48" s="344"/>
      <c r="OGX48" s="344"/>
      <c r="OGY48" s="344"/>
      <c r="OGZ48" s="344"/>
      <c r="OHA48" s="344"/>
      <c r="OHB48" s="344"/>
      <c r="OHC48" s="344"/>
      <c r="OHD48" s="344"/>
      <c r="OHE48" s="344"/>
      <c r="OHF48" s="344"/>
      <c r="OHG48" s="344"/>
      <c r="OHH48" s="344"/>
      <c r="OHI48" s="344"/>
      <c r="OHJ48" s="344"/>
      <c r="OHK48" s="344"/>
      <c r="OHL48" s="344"/>
      <c r="OHM48" s="344"/>
      <c r="OHN48" s="344"/>
      <c r="OHO48" s="344"/>
      <c r="OHP48" s="344"/>
      <c r="OHQ48" s="344"/>
      <c r="OHR48" s="344"/>
      <c r="OHS48" s="344"/>
      <c r="OHT48" s="344"/>
      <c r="OHU48" s="344"/>
      <c r="OHV48" s="344"/>
      <c r="OHW48" s="344"/>
      <c r="OHX48" s="344"/>
      <c r="OHY48" s="344"/>
      <c r="OHZ48" s="344"/>
      <c r="OIA48" s="344"/>
      <c r="OIB48" s="344"/>
      <c r="OIC48" s="344"/>
      <c r="OID48" s="344"/>
      <c r="OIE48" s="344"/>
      <c r="OIF48" s="344"/>
      <c r="OIG48" s="344"/>
      <c r="OIH48" s="344"/>
      <c r="OII48" s="344"/>
      <c r="OIJ48" s="344"/>
      <c r="OIK48" s="344"/>
      <c r="OIL48" s="344"/>
      <c r="OIM48" s="344"/>
      <c r="OIN48" s="344"/>
      <c r="OIO48" s="344"/>
      <c r="OIP48" s="344"/>
      <c r="OIQ48" s="344"/>
      <c r="OIR48" s="344"/>
      <c r="OIS48" s="344"/>
      <c r="OIT48" s="344"/>
      <c r="OIU48" s="344"/>
      <c r="OIV48" s="344"/>
      <c r="OIW48" s="344"/>
      <c r="OIX48" s="344"/>
      <c r="OIY48" s="344"/>
      <c r="OIZ48" s="344"/>
      <c r="OJA48" s="344"/>
      <c r="OJB48" s="344"/>
      <c r="OJC48" s="344"/>
      <c r="OJD48" s="344"/>
      <c r="OJE48" s="344"/>
      <c r="OJF48" s="344"/>
      <c r="OJG48" s="344"/>
      <c r="OJH48" s="344"/>
      <c r="OJI48" s="344"/>
      <c r="OJJ48" s="344"/>
      <c r="OJK48" s="344"/>
      <c r="OJL48" s="344"/>
      <c r="OJM48" s="344"/>
      <c r="OJN48" s="344"/>
      <c r="OJO48" s="344"/>
      <c r="OJP48" s="344"/>
      <c r="OJQ48" s="344"/>
      <c r="OJR48" s="344"/>
      <c r="OJS48" s="344"/>
      <c r="OJT48" s="344"/>
      <c r="OJU48" s="344"/>
      <c r="OJV48" s="344"/>
      <c r="OJW48" s="344"/>
      <c r="OJX48" s="344"/>
      <c r="OJY48" s="344"/>
      <c r="OJZ48" s="344"/>
      <c r="OKA48" s="344"/>
      <c r="OKB48" s="344"/>
      <c r="OKC48" s="344"/>
      <c r="OKD48" s="344"/>
      <c r="OKE48" s="344"/>
      <c r="OKF48" s="344"/>
      <c r="OKG48" s="344"/>
      <c r="OKH48" s="344"/>
      <c r="OKI48" s="344"/>
      <c r="OKJ48" s="344"/>
      <c r="OKK48" s="344"/>
      <c r="OKL48" s="344"/>
      <c r="OKM48" s="344"/>
      <c r="OKN48" s="344"/>
      <c r="OKO48" s="344"/>
      <c r="OKP48" s="344"/>
      <c r="OKQ48" s="344"/>
      <c r="OKR48" s="344"/>
      <c r="OKS48" s="344"/>
      <c r="OKT48" s="344"/>
      <c r="OKU48" s="344"/>
      <c r="OKV48" s="344"/>
      <c r="OKW48" s="344"/>
      <c r="OKX48" s="344"/>
      <c r="OKY48" s="344"/>
      <c r="OKZ48" s="344"/>
      <c r="OLA48" s="344"/>
      <c r="OLB48" s="344"/>
      <c r="OLC48" s="344"/>
      <c r="OLD48" s="344"/>
      <c r="OLE48" s="344"/>
      <c r="OLF48" s="344"/>
      <c r="OLG48" s="344"/>
      <c r="OLH48" s="344"/>
      <c r="OLI48" s="344"/>
      <c r="OLJ48" s="344"/>
      <c r="OLK48" s="344"/>
      <c r="OLL48" s="344"/>
      <c r="OLM48" s="344"/>
      <c r="OLN48" s="344"/>
      <c r="OLO48" s="344"/>
      <c r="OLP48" s="344"/>
      <c r="OLQ48" s="344"/>
      <c r="OLR48" s="344"/>
      <c r="OLS48" s="344"/>
      <c r="OLT48" s="344"/>
      <c r="OLU48" s="344"/>
      <c r="OLV48" s="344"/>
      <c r="OLW48" s="344"/>
      <c r="OLX48" s="344"/>
      <c r="OLY48" s="344"/>
      <c r="OLZ48" s="344"/>
      <c r="OMA48" s="344"/>
      <c r="OMB48" s="344"/>
      <c r="OMC48" s="344"/>
      <c r="OMD48" s="344"/>
      <c r="OME48" s="344"/>
      <c r="OMF48" s="344"/>
      <c r="OMG48" s="344"/>
      <c r="OMH48" s="344"/>
      <c r="OMI48" s="344"/>
      <c r="OMJ48" s="344"/>
      <c r="OMK48" s="344"/>
      <c r="OML48" s="344"/>
      <c r="OMM48" s="344"/>
      <c r="OMN48" s="344"/>
      <c r="OMO48" s="344"/>
      <c r="OMP48" s="344"/>
      <c r="OMQ48" s="344"/>
      <c r="OMR48" s="344"/>
      <c r="OMS48" s="344"/>
      <c r="OMT48" s="344"/>
      <c r="OMU48" s="344"/>
      <c r="OMV48" s="344"/>
      <c r="OMW48" s="344"/>
      <c r="OMX48" s="344"/>
      <c r="OMY48" s="344"/>
      <c r="OMZ48" s="344"/>
      <c r="ONA48" s="344"/>
      <c r="ONB48" s="344"/>
      <c r="ONC48" s="344"/>
      <c r="OND48" s="344"/>
      <c r="ONE48" s="344"/>
      <c r="ONF48" s="344"/>
      <c r="ONG48" s="344"/>
      <c r="ONH48" s="344"/>
      <c r="ONI48" s="344"/>
      <c r="ONJ48" s="344"/>
      <c r="ONK48" s="344"/>
      <c r="ONL48" s="344"/>
      <c r="ONM48" s="344"/>
      <c r="ONN48" s="344"/>
      <c r="ONO48" s="344"/>
      <c r="ONP48" s="344"/>
      <c r="ONQ48" s="344"/>
      <c r="ONR48" s="344"/>
      <c r="ONS48" s="344"/>
      <c r="ONT48" s="344"/>
      <c r="ONU48" s="344"/>
      <c r="ONV48" s="344"/>
      <c r="ONW48" s="344"/>
      <c r="ONX48" s="344"/>
      <c r="ONY48" s="344"/>
      <c r="ONZ48" s="344"/>
      <c r="OOA48" s="344"/>
      <c r="OOB48" s="344"/>
      <c r="OOC48" s="344"/>
      <c r="OOD48" s="344"/>
      <c r="OOE48" s="344"/>
      <c r="OOF48" s="344"/>
      <c r="OOG48" s="344"/>
      <c r="OOH48" s="344"/>
      <c r="OOI48" s="344"/>
      <c r="OOJ48" s="344"/>
      <c r="OOK48" s="344"/>
      <c r="OOL48" s="344"/>
      <c r="OOM48" s="344"/>
      <c r="OON48" s="344"/>
      <c r="OOO48" s="344"/>
      <c r="OOP48" s="344"/>
      <c r="OOQ48" s="344"/>
      <c r="OOR48" s="344"/>
      <c r="OOS48" s="344"/>
      <c r="OOT48" s="344"/>
      <c r="OOU48" s="344"/>
      <c r="OOV48" s="344"/>
      <c r="OOW48" s="344"/>
      <c r="OOX48" s="344"/>
      <c r="OOY48" s="344"/>
      <c r="OOZ48" s="344"/>
      <c r="OPA48" s="344"/>
      <c r="OPB48" s="344"/>
      <c r="OPC48" s="344"/>
      <c r="OPD48" s="344"/>
      <c r="OPE48" s="344"/>
      <c r="OPF48" s="344"/>
      <c r="OPG48" s="344"/>
      <c r="OPH48" s="344"/>
      <c r="OPI48" s="344"/>
      <c r="OPJ48" s="344"/>
      <c r="OPK48" s="344"/>
      <c r="OPL48" s="344"/>
      <c r="OPM48" s="344"/>
      <c r="OPN48" s="344"/>
      <c r="OPO48" s="344"/>
      <c r="OPP48" s="344"/>
      <c r="OPQ48" s="344"/>
      <c r="OPR48" s="344"/>
      <c r="OPS48" s="344"/>
      <c r="OPT48" s="344"/>
      <c r="OPU48" s="344"/>
      <c r="OPV48" s="344"/>
      <c r="OPW48" s="344"/>
      <c r="OPX48" s="344"/>
      <c r="OPY48" s="344"/>
      <c r="OPZ48" s="344"/>
      <c r="OQA48" s="344"/>
      <c r="OQB48" s="344"/>
      <c r="OQC48" s="344"/>
      <c r="OQD48" s="344"/>
      <c r="OQE48" s="344"/>
      <c r="OQF48" s="344"/>
      <c r="OQG48" s="344"/>
      <c r="OQH48" s="344"/>
      <c r="OQI48" s="344"/>
      <c r="OQJ48" s="344"/>
      <c r="OQK48" s="344"/>
      <c r="OQL48" s="344"/>
      <c r="OQM48" s="344"/>
      <c r="OQN48" s="344"/>
      <c r="OQO48" s="344"/>
      <c r="OQP48" s="344"/>
      <c r="OQQ48" s="344"/>
      <c r="OQR48" s="344"/>
      <c r="OQS48" s="344"/>
      <c r="OQT48" s="344"/>
      <c r="OQU48" s="344"/>
      <c r="OQV48" s="344"/>
      <c r="OQW48" s="344"/>
      <c r="OQX48" s="344"/>
      <c r="OQY48" s="344"/>
      <c r="OQZ48" s="344"/>
      <c r="ORA48" s="344"/>
      <c r="ORB48" s="344"/>
      <c r="ORC48" s="344"/>
      <c r="ORD48" s="344"/>
      <c r="ORE48" s="344"/>
      <c r="ORF48" s="344"/>
      <c r="ORG48" s="344"/>
      <c r="ORH48" s="344"/>
      <c r="ORI48" s="344"/>
      <c r="ORJ48" s="344"/>
      <c r="ORK48" s="344"/>
      <c r="ORL48" s="344"/>
      <c r="ORM48" s="344"/>
      <c r="ORN48" s="344"/>
      <c r="ORO48" s="344"/>
      <c r="ORP48" s="344"/>
      <c r="ORQ48" s="344"/>
      <c r="ORR48" s="344"/>
      <c r="ORS48" s="344"/>
      <c r="ORT48" s="344"/>
      <c r="ORU48" s="344"/>
      <c r="ORV48" s="344"/>
      <c r="ORW48" s="344"/>
      <c r="ORX48" s="344"/>
      <c r="ORY48" s="344"/>
      <c r="ORZ48" s="344"/>
      <c r="OSA48" s="344"/>
      <c r="OSB48" s="344"/>
      <c r="OSC48" s="344"/>
      <c r="OSD48" s="344"/>
      <c r="OSE48" s="344"/>
      <c r="OSF48" s="344"/>
      <c r="OSG48" s="344"/>
      <c r="OSH48" s="344"/>
      <c r="OSI48" s="344"/>
      <c r="OSJ48" s="344"/>
      <c r="OSK48" s="344"/>
      <c r="OSL48" s="344"/>
      <c r="OSM48" s="344"/>
      <c r="OSN48" s="344"/>
      <c r="OSO48" s="344"/>
      <c r="OSP48" s="344"/>
      <c r="OSQ48" s="344"/>
      <c r="OSR48" s="344"/>
      <c r="OSS48" s="344"/>
      <c r="OST48" s="344"/>
      <c r="OSU48" s="344"/>
      <c r="OSV48" s="344"/>
      <c r="OSW48" s="344"/>
      <c r="OSX48" s="344"/>
      <c r="OSY48" s="344"/>
      <c r="OSZ48" s="344"/>
      <c r="OTA48" s="344"/>
      <c r="OTB48" s="344"/>
      <c r="OTC48" s="344"/>
      <c r="OTD48" s="344"/>
      <c r="OTE48" s="344"/>
      <c r="OTF48" s="344"/>
      <c r="OTG48" s="344"/>
      <c r="OTH48" s="344"/>
      <c r="OTI48" s="344"/>
      <c r="OTJ48" s="344"/>
      <c r="OTK48" s="344"/>
      <c r="OTL48" s="344"/>
      <c r="OTM48" s="344"/>
      <c r="OTN48" s="344"/>
      <c r="OTO48" s="344"/>
      <c r="OTP48" s="344"/>
      <c r="OTQ48" s="344"/>
      <c r="OTR48" s="344"/>
      <c r="OTS48" s="344"/>
      <c r="OTT48" s="344"/>
      <c r="OTU48" s="344"/>
      <c r="OTV48" s="344"/>
      <c r="OTW48" s="344"/>
      <c r="OTX48" s="344"/>
      <c r="OTY48" s="344"/>
      <c r="OTZ48" s="344"/>
      <c r="OUA48" s="344"/>
      <c r="OUB48" s="344"/>
      <c r="OUC48" s="344"/>
      <c r="OUD48" s="344"/>
      <c r="OUE48" s="344"/>
      <c r="OUF48" s="344"/>
      <c r="OUG48" s="344"/>
      <c r="OUH48" s="344"/>
      <c r="OUI48" s="344"/>
      <c r="OUJ48" s="344"/>
      <c r="OUK48" s="344"/>
      <c r="OUL48" s="344"/>
      <c r="OUM48" s="344"/>
      <c r="OUN48" s="344"/>
      <c r="OUO48" s="344"/>
      <c r="OUP48" s="344"/>
      <c r="OUQ48" s="344"/>
      <c r="OUR48" s="344"/>
      <c r="OUS48" s="344"/>
      <c r="OUT48" s="344"/>
      <c r="OUU48" s="344"/>
      <c r="OUV48" s="344"/>
      <c r="OUW48" s="344"/>
      <c r="OUX48" s="344"/>
      <c r="OUY48" s="344"/>
      <c r="OUZ48" s="344"/>
      <c r="OVA48" s="344"/>
      <c r="OVB48" s="344"/>
      <c r="OVC48" s="344"/>
      <c r="OVD48" s="344"/>
      <c r="OVE48" s="344"/>
      <c r="OVF48" s="344"/>
      <c r="OVG48" s="344"/>
      <c r="OVH48" s="344"/>
      <c r="OVI48" s="344"/>
      <c r="OVJ48" s="344"/>
      <c r="OVK48" s="344"/>
      <c r="OVL48" s="344"/>
      <c r="OVM48" s="344"/>
      <c r="OVN48" s="344"/>
      <c r="OVO48" s="344"/>
      <c r="OVP48" s="344"/>
      <c r="OVQ48" s="344"/>
      <c r="OVR48" s="344"/>
      <c r="OVS48" s="344"/>
      <c r="OVT48" s="344"/>
      <c r="OVU48" s="344"/>
      <c r="OVV48" s="344"/>
      <c r="OVW48" s="344"/>
      <c r="OVX48" s="344"/>
      <c r="OVY48" s="344"/>
      <c r="OVZ48" s="344"/>
      <c r="OWA48" s="344"/>
      <c r="OWB48" s="344"/>
      <c r="OWC48" s="344"/>
      <c r="OWD48" s="344"/>
      <c r="OWE48" s="344"/>
      <c r="OWF48" s="344"/>
      <c r="OWG48" s="344"/>
      <c r="OWH48" s="344"/>
      <c r="OWI48" s="344"/>
      <c r="OWJ48" s="344"/>
      <c r="OWK48" s="344"/>
      <c r="OWL48" s="344"/>
      <c r="OWM48" s="344"/>
      <c r="OWN48" s="344"/>
      <c r="OWO48" s="344"/>
      <c r="OWP48" s="344"/>
      <c r="OWQ48" s="344"/>
      <c r="OWR48" s="344"/>
      <c r="OWS48" s="344"/>
      <c r="OWT48" s="344"/>
      <c r="OWU48" s="344"/>
      <c r="OWV48" s="344"/>
      <c r="OWW48" s="344"/>
      <c r="OWX48" s="344"/>
      <c r="OWY48" s="344"/>
      <c r="OWZ48" s="344"/>
      <c r="OXA48" s="344"/>
      <c r="OXB48" s="344"/>
      <c r="OXC48" s="344"/>
      <c r="OXD48" s="344"/>
      <c r="OXE48" s="344"/>
      <c r="OXF48" s="344"/>
      <c r="OXG48" s="344"/>
      <c r="OXH48" s="344"/>
      <c r="OXI48" s="344"/>
      <c r="OXJ48" s="344"/>
      <c r="OXK48" s="344"/>
      <c r="OXL48" s="344"/>
      <c r="OXM48" s="344"/>
      <c r="OXN48" s="344"/>
      <c r="OXO48" s="344"/>
      <c r="OXP48" s="344"/>
      <c r="OXQ48" s="344"/>
      <c r="OXR48" s="344"/>
      <c r="OXS48" s="344"/>
      <c r="OXT48" s="344"/>
      <c r="OXU48" s="344"/>
      <c r="OXV48" s="344"/>
      <c r="OXW48" s="344"/>
      <c r="OXX48" s="344"/>
      <c r="OXY48" s="344"/>
      <c r="OXZ48" s="344"/>
      <c r="OYA48" s="344"/>
      <c r="OYB48" s="344"/>
      <c r="OYC48" s="344"/>
      <c r="OYD48" s="344"/>
      <c r="OYE48" s="344"/>
      <c r="OYF48" s="344"/>
      <c r="OYG48" s="344"/>
      <c r="OYH48" s="344"/>
      <c r="OYI48" s="344"/>
      <c r="OYJ48" s="344"/>
      <c r="OYK48" s="344"/>
      <c r="OYL48" s="344"/>
      <c r="OYM48" s="344"/>
      <c r="OYN48" s="344"/>
      <c r="OYO48" s="344"/>
      <c r="OYP48" s="344"/>
      <c r="OYQ48" s="344"/>
      <c r="OYR48" s="344"/>
      <c r="OYS48" s="344"/>
      <c r="OYT48" s="344"/>
      <c r="OYU48" s="344"/>
      <c r="OYV48" s="344"/>
      <c r="OYW48" s="344"/>
      <c r="OYX48" s="344"/>
      <c r="OYY48" s="344"/>
      <c r="OYZ48" s="344"/>
      <c r="OZA48" s="344"/>
      <c r="OZB48" s="344"/>
      <c r="OZC48" s="344"/>
      <c r="OZD48" s="344"/>
      <c r="OZE48" s="344"/>
      <c r="OZF48" s="344"/>
      <c r="OZG48" s="344"/>
      <c r="OZH48" s="344"/>
      <c r="OZI48" s="344"/>
      <c r="OZJ48" s="344"/>
      <c r="OZK48" s="344"/>
      <c r="OZL48" s="344"/>
      <c r="OZM48" s="344"/>
      <c r="OZN48" s="344"/>
      <c r="OZO48" s="344"/>
      <c r="OZP48" s="344"/>
      <c r="OZQ48" s="344"/>
      <c r="OZR48" s="344"/>
      <c r="OZS48" s="344"/>
      <c r="OZT48" s="344"/>
      <c r="OZU48" s="344"/>
      <c r="OZV48" s="344"/>
      <c r="OZW48" s="344"/>
      <c r="OZX48" s="344"/>
      <c r="OZY48" s="344"/>
      <c r="OZZ48" s="344"/>
      <c r="PAA48" s="344"/>
      <c r="PAB48" s="344"/>
      <c r="PAC48" s="344"/>
      <c r="PAD48" s="344"/>
      <c r="PAE48" s="344"/>
      <c r="PAF48" s="344"/>
      <c r="PAG48" s="344"/>
      <c r="PAH48" s="344"/>
      <c r="PAI48" s="344"/>
      <c r="PAJ48" s="344"/>
      <c r="PAK48" s="344"/>
      <c r="PAL48" s="344"/>
      <c r="PAM48" s="344"/>
      <c r="PAN48" s="344"/>
      <c r="PAO48" s="344"/>
      <c r="PAP48" s="344"/>
      <c r="PAQ48" s="344"/>
      <c r="PAR48" s="344"/>
      <c r="PAS48" s="344"/>
      <c r="PAT48" s="344"/>
      <c r="PAU48" s="344"/>
      <c r="PAV48" s="344"/>
      <c r="PAW48" s="344"/>
      <c r="PAX48" s="344"/>
      <c r="PAY48" s="344"/>
      <c r="PAZ48" s="344"/>
      <c r="PBA48" s="344"/>
      <c r="PBB48" s="344"/>
      <c r="PBC48" s="344"/>
      <c r="PBD48" s="344"/>
      <c r="PBE48" s="344"/>
      <c r="PBF48" s="344"/>
      <c r="PBG48" s="344"/>
      <c r="PBH48" s="344"/>
      <c r="PBI48" s="344"/>
      <c r="PBJ48" s="344"/>
      <c r="PBK48" s="344"/>
      <c r="PBL48" s="344"/>
      <c r="PBM48" s="344"/>
      <c r="PBN48" s="344"/>
      <c r="PBO48" s="344"/>
      <c r="PBP48" s="344"/>
      <c r="PBQ48" s="344"/>
      <c r="PBR48" s="344"/>
      <c r="PBS48" s="344"/>
      <c r="PBT48" s="344"/>
      <c r="PBU48" s="344"/>
      <c r="PBV48" s="344"/>
      <c r="PBW48" s="344"/>
      <c r="PBX48" s="344"/>
      <c r="PBY48" s="344"/>
      <c r="PBZ48" s="344"/>
      <c r="PCA48" s="344"/>
      <c r="PCB48" s="344"/>
      <c r="PCC48" s="344"/>
      <c r="PCD48" s="344"/>
      <c r="PCE48" s="344"/>
      <c r="PCF48" s="344"/>
      <c r="PCG48" s="344"/>
      <c r="PCH48" s="344"/>
      <c r="PCI48" s="344"/>
      <c r="PCJ48" s="344"/>
      <c r="PCK48" s="344"/>
      <c r="PCL48" s="344"/>
      <c r="PCM48" s="344"/>
      <c r="PCN48" s="344"/>
      <c r="PCO48" s="344"/>
      <c r="PCP48" s="344"/>
      <c r="PCQ48" s="344"/>
      <c r="PCR48" s="344"/>
      <c r="PCS48" s="344"/>
      <c r="PCT48" s="344"/>
      <c r="PCU48" s="344"/>
      <c r="PCV48" s="344"/>
      <c r="PCW48" s="344"/>
      <c r="PCX48" s="344"/>
      <c r="PCY48" s="344"/>
      <c r="PCZ48" s="344"/>
      <c r="PDA48" s="344"/>
      <c r="PDB48" s="344"/>
      <c r="PDC48" s="344"/>
      <c r="PDD48" s="344"/>
      <c r="PDE48" s="344"/>
      <c r="PDF48" s="344"/>
      <c r="PDG48" s="344"/>
      <c r="PDH48" s="344"/>
      <c r="PDI48" s="344"/>
      <c r="PDJ48" s="344"/>
      <c r="PDK48" s="344"/>
      <c r="PDL48" s="344"/>
      <c r="PDM48" s="344"/>
      <c r="PDN48" s="344"/>
      <c r="PDO48" s="344"/>
      <c r="PDP48" s="344"/>
      <c r="PDQ48" s="344"/>
      <c r="PDR48" s="344"/>
      <c r="PDS48" s="344"/>
      <c r="PDT48" s="344"/>
      <c r="PDU48" s="344"/>
      <c r="PDV48" s="344"/>
      <c r="PDW48" s="344"/>
      <c r="PDX48" s="344"/>
      <c r="PDY48" s="344"/>
      <c r="PDZ48" s="344"/>
      <c r="PEA48" s="344"/>
      <c r="PEB48" s="344"/>
      <c r="PEC48" s="344"/>
      <c r="PED48" s="344"/>
      <c r="PEE48" s="344"/>
      <c r="PEF48" s="344"/>
      <c r="PEG48" s="344"/>
      <c r="PEH48" s="344"/>
      <c r="PEI48" s="344"/>
      <c r="PEJ48" s="344"/>
      <c r="PEK48" s="344"/>
      <c r="PEL48" s="344"/>
      <c r="PEM48" s="344"/>
      <c r="PEN48" s="344"/>
      <c r="PEO48" s="344"/>
      <c r="PEP48" s="344"/>
      <c r="PEQ48" s="344"/>
      <c r="PER48" s="344"/>
      <c r="PES48" s="344"/>
      <c r="PET48" s="344"/>
      <c r="PEU48" s="344"/>
      <c r="PEV48" s="344"/>
      <c r="PEW48" s="344"/>
      <c r="PEX48" s="344"/>
      <c r="PEY48" s="344"/>
      <c r="PEZ48" s="344"/>
      <c r="PFA48" s="344"/>
      <c r="PFB48" s="344"/>
      <c r="PFC48" s="344"/>
      <c r="PFD48" s="344"/>
      <c r="PFE48" s="344"/>
      <c r="PFF48" s="344"/>
      <c r="PFG48" s="344"/>
      <c r="PFH48" s="344"/>
      <c r="PFI48" s="344"/>
      <c r="PFJ48" s="344"/>
      <c r="PFK48" s="344"/>
      <c r="PFL48" s="344"/>
      <c r="PFM48" s="344"/>
      <c r="PFN48" s="344"/>
      <c r="PFO48" s="344"/>
      <c r="PFP48" s="344"/>
      <c r="PFQ48" s="344"/>
      <c r="PFR48" s="344"/>
      <c r="PFS48" s="344"/>
      <c r="PFT48" s="344"/>
      <c r="PFU48" s="344"/>
      <c r="PFV48" s="344"/>
      <c r="PFW48" s="344"/>
      <c r="PFX48" s="344"/>
      <c r="PFY48" s="344"/>
      <c r="PFZ48" s="344"/>
      <c r="PGA48" s="344"/>
      <c r="PGB48" s="344"/>
      <c r="PGC48" s="344"/>
      <c r="PGD48" s="344"/>
      <c r="PGE48" s="344"/>
      <c r="PGF48" s="344"/>
      <c r="PGG48" s="344"/>
      <c r="PGH48" s="344"/>
      <c r="PGI48" s="344"/>
      <c r="PGJ48" s="344"/>
      <c r="PGK48" s="344"/>
      <c r="PGL48" s="344"/>
      <c r="PGM48" s="344"/>
      <c r="PGN48" s="344"/>
      <c r="PGO48" s="344"/>
      <c r="PGP48" s="344"/>
      <c r="PGQ48" s="344"/>
      <c r="PGR48" s="344"/>
      <c r="PGS48" s="344"/>
      <c r="PGT48" s="344"/>
      <c r="PGU48" s="344"/>
      <c r="PGV48" s="344"/>
      <c r="PGW48" s="344"/>
      <c r="PGX48" s="344"/>
      <c r="PGY48" s="344"/>
      <c r="PGZ48" s="344"/>
      <c r="PHA48" s="344"/>
      <c r="PHB48" s="344"/>
      <c r="PHC48" s="344"/>
      <c r="PHD48" s="344"/>
      <c r="PHE48" s="344"/>
      <c r="PHF48" s="344"/>
      <c r="PHG48" s="344"/>
      <c r="PHH48" s="344"/>
      <c r="PHI48" s="344"/>
      <c r="PHJ48" s="344"/>
      <c r="PHK48" s="344"/>
      <c r="PHL48" s="344"/>
      <c r="PHM48" s="344"/>
      <c r="PHN48" s="344"/>
      <c r="PHO48" s="344"/>
      <c r="PHP48" s="344"/>
      <c r="PHQ48" s="344"/>
      <c r="PHR48" s="344"/>
      <c r="PHS48" s="344"/>
      <c r="PHT48" s="344"/>
      <c r="PHU48" s="344"/>
      <c r="PHV48" s="344"/>
      <c r="PHW48" s="344"/>
      <c r="PHX48" s="344"/>
      <c r="PHY48" s="344"/>
      <c r="PHZ48" s="344"/>
      <c r="PIA48" s="344"/>
      <c r="PIB48" s="344"/>
      <c r="PIC48" s="344"/>
      <c r="PID48" s="344"/>
      <c r="PIE48" s="344"/>
      <c r="PIF48" s="344"/>
      <c r="PIG48" s="344"/>
      <c r="PIH48" s="344"/>
      <c r="PII48" s="344"/>
      <c r="PIJ48" s="344"/>
      <c r="PIK48" s="344"/>
      <c r="PIL48" s="344"/>
      <c r="PIM48" s="344"/>
      <c r="PIN48" s="344"/>
      <c r="PIO48" s="344"/>
      <c r="PIP48" s="344"/>
      <c r="PIQ48" s="344"/>
      <c r="PIR48" s="344"/>
      <c r="PIS48" s="344"/>
      <c r="PIT48" s="344"/>
      <c r="PIU48" s="344"/>
      <c r="PIV48" s="344"/>
      <c r="PIW48" s="344"/>
      <c r="PIX48" s="344"/>
      <c r="PIY48" s="344"/>
      <c r="PIZ48" s="344"/>
      <c r="PJA48" s="344"/>
      <c r="PJB48" s="344"/>
      <c r="PJC48" s="344"/>
      <c r="PJD48" s="344"/>
      <c r="PJE48" s="344"/>
      <c r="PJF48" s="344"/>
      <c r="PJG48" s="344"/>
      <c r="PJH48" s="344"/>
      <c r="PJI48" s="344"/>
      <c r="PJJ48" s="344"/>
      <c r="PJK48" s="344"/>
      <c r="PJL48" s="344"/>
      <c r="PJM48" s="344"/>
      <c r="PJN48" s="344"/>
      <c r="PJO48" s="344"/>
      <c r="PJP48" s="344"/>
      <c r="PJQ48" s="344"/>
      <c r="PJR48" s="344"/>
      <c r="PJS48" s="344"/>
      <c r="PJT48" s="344"/>
      <c r="PJU48" s="344"/>
      <c r="PJV48" s="344"/>
      <c r="PJW48" s="344"/>
      <c r="PJX48" s="344"/>
      <c r="PJY48" s="344"/>
      <c r="PJZ48" s="344"/>
      <c r="PKA48" s="344"/>
      <c r="PKB48" s="344"/>
      <c r="PKC48" s="344"/>
      <c r="PKD48" s="344"/>
      <c r="PKE48" s="344"/>
      <c r="PKF48" s="344"/>
      <c r="PKG48" s="344"/>
      <c r="PKH48" s="344"/>
      <c r="PKI48" s="344"/>
      <c r="PKJ48" s="344"/>
      <c r="PKK48" s="344"/>
      <c r="PKL48" s="344"/>
      <c r="PKM48" s="344"/>
      <c r="PKN48" s="344"/>
      <c r="PKO48" s="344"/>
      <c r="PKP48" s="344"/>
      <c r="PKQ48" s="344"/>
      <c r="PKR48" s="344"/>
      <c r="PKS48" s="344"/>
      <c r="PKT48" s="344"/>
      <c r="PKU48" s="344"/>
      <c r="PKV48" s="344"/>
      <c r="PKW48" s="344"/>
      <c r="PKX48" s="344"/>
      <c r="PKY48" s="344"/>
      <c r="PKZ48" s="344"/>
      <c r="PLA48" s="344"/>
      <c r="PLB48" s="344"/>
      <c r="PLC48" s="344"/>
      <c r="PLD48" s="344"/>
      <c r="PLE48" s="344"/>
      <c r="PLF48" s="344"/>
      <c r="PLG48" s="344"/>
      <c r="PLH48" s="344"/>
      <c r="PLI48" s="344"/>
      <c r="PLJ48" s="344"/>
      <c r="PLK48" s="344"/>
      <c r="PLL48" s="344"/>
      <c r="PLM48" s="344"/>
      <c r="PLN48" s="344"/>
      <c r="PLO48" s="344"/>
      <c r="PLP48" s="344"/>
      <c r="PLQ48" s="344"/>
      <c r="PLR48" s="344"/>
      <c r="PLS48" s="344"/>
      <c r="PLT48" s="344"/>
      <c r="PLU48" s="344"/>
      <c r="PLV48" s="344"/>
      <c r="PLW48" s="344"/>
      <c r="PLX48" s="344"/>
      <c r="PLY48" s="344"/>
      <c r="PLZ48" s="344"/>
      <c r="PMA48" s="344"/>
      <c r="PMB48" s="344"/>
      <c r="PMC48" s="344"/>
      <c r="PMD48" s="344"/>
      <c r="PME48" s="344"/>
      <c r="PMF48" s="344"/>
      <c r="PMG48" s="344"/>
      <c r="PMH48" s="344"/>
      <c r="PMI48" s="344"/>
      <c r="PMJ48" s="344"/>
      <c r="PMK48" s="344"/>
      <c r="PML48" s="344"/>
      <c r="PMM48" s="344"/>
      <c r="PMN48" s="344"/>
      <c r="PMO48" s="344"/>
      <c r="PMP48" s="344"/>
      <c r="PMQ48" s="344"/>
      <c r="PMR48" s="344"/>
      <c r="PMS48" s="344"/>
      <c r="PMT48" s="344"/>
      <c r="PMU48" s="344"/>
      <c r="PMV48" s="344"/>
      <c r="PMW48" s="344"/>
      <c r="PMX48" s="344"/>
      <c r="PMY48" s="344"/>
      <c r="PMZ48" s="344"/>
      <c r="PNA48" s="344"/>
      <c r="PNB48" s="344"/>
      <c r="PNC48" s="344"/>
      <c r="PND48" s="344"/>
      <c r="PNE48" s="344"/>
      <c r="PNF48" s="344"/>
      <c r="PNG48" s="344"/>
      <c r="PNH48" s="344"/>
      <c r="PNI48" s="344"/>
      <c r="PNJ48" s="344"/>
      <c r="PNK48" s="344"/>
      <c r="PNL48" s="344"/>
      <c r="PNM48" s="344"/>
      <c r="PNN48" s="344"/>
      <c r="PNO48" s="344"/>
      <c r="PNP48" s="344"/>
      <c r="PNQ48" s="344"/>
      <c r="PNR48" s="344"/>
      <c r="PNS48" s="344"/>
      <c r="PNT48" s="344"/>
      <c r="PNU48" s="344"/>
      <c r="PNV48" s="344"/>
      <c r="PNW48" s="344"/>
      <c r="PNX48" s="344"/>
      <c r="PNY48" s="344"/>
      <c r="PNZ48" s="344"/>
      <c r="POA48" s="344"/>
      <c r="POB48" s="344"/>
      <c r="POC48" s="344"/>
      <c r="POD48" s="344"/>
      <c r="POE48" s="344"/>
      <c r="POF48" s="344"/>
      <c r="POG48" s="344"/>
      <c r="POH48" s="344"/>
      <c r="POI48" s="344"/>
      <c r="POJ48" s="344"/>
      <c r="POK48" s="344"/>
      <c r="POL48" s="344"/>
      <c r="POM48" s="344"/>
      <c r="PON48" s="344"/>
      <c r="POO48" s="344"/>
      <c r="POP48" s="344"/>
      <c r="POQ48" s="344"/>
      <c r="POR48" s="344"/>
      <c r="POS48" s="344"/>
      <c r="POT48" s="344"/>
      <c r="POU48" s="344"/>
      <c r="POV48" s="344"/>
      <c r="POW48" s="344"/>
      <c r="POX48" s="344"/>
      <c r="POY48" s="344"/>
      <c r="POZ48" s="344"/>
      <c r="PPA48" s="344"/>
      <c r="PPB48" s="344"/>
      <c r="PPC48" s="344"/>
      <c r="PPD48" s="344"/>
      <c r="PPE48" s="344"/>
      <c r="PPF48" s="344"/>
      <c r="PPG48" s="344"/>
      <c r="PPH48" s="344"/>
      <c r="PPI48" s="344"/>
      <c r="PPJ48" s="344"/>
      <c r="PPK48" s="344"/>
      <c r="PPL48" s="344"/>
      <c r="PPM48" s="344"/>
      <c r="PPN48" s="344"/>
      <c r="PPO48" s="344"/>
      <c r="PPP48" s="344"/>
      <c r="PPQ48" s="344"/>
      <c r="PPR48" s="344"/>
      <c r="PPS48" s="344"/>
      <c r="PPT48" s="344"/>
      <c r="PPU48" s="344"/>
      <c r="PPV48" s="344"/>
      <c r="PPW48" s="344"/>
      <c r="PPX48" s="344"/>
      <c r="PPY48" s="344"/>
      <c r="PPZ48" s="344"/>
      <c r="PQA48" s="344"/>
      <c r="PQB48" s="344"/>
      <c r="PQC48" s="344"/>
      <c r="PQD48" s="344"/>
      <c r="PQE48" s="344"/>
      <c r="PQF48" s="344"/>
      <c r="PQG48" s="344"/>
      <c r="PQH48" s="344"/>
      <c r="PQI48" s="344"/>
      <c r="PQJ48" s="344"/>
      <c r="PQK48" s="344"/>
      <c r="PQL48" s="344"/>
      <c r="PQM48" s="344"/>
      <c r="PQN48" s="344"/>
      <c r="PQO48" s="344"/>
      <c r="PQP48" s="344"/>
      <c r="PQQ48" s="344"/>
      <c r="PQR48" s="344"/>
      <c r="PQS48" s="344"/>
      <c r="PQT48" s="344"/>
      <c r="PQU48" s="344"/>
      <c r="PQV48" s="344"/>
      <c r="PQW48" s="344"/>
      <c r="PQX48" s="344"/>
      <c r="PQY48" s="344"/>
      <c r="PQZ48" s="344"/>
      <c r="PRA48" s="344"/>
      <c r="PRB48" s="344"/>
      <c r="PRC48" s="344"/>
      <c r="PRD48" s="344"/>
      <c r="PRE48" s="344"/>
      <c r="PRF48" s="344"/>
      <c r="PRG48" s="344"/>
      <c r="PRH48" s="344"/>
      <c r="PRI48" s="344"/>
      <c r="PRJ48" s="344"/>
      <c r="PRK48" s="344"/>
      <c r="PRL48" s="344"/>
      <c r="PRM48" s="344"/>
      <c r="PRN48" s="344"/>
      <c r="PRO48" s="344"/>
      <c r="PRP48" s="344"/>
      <c r="PRQ48" s="344"/>
      <c r="PRR48" s="344"/>
      <c r="PRS48" s="344"/>
      <c r="PRT48" s="344"/>
      <c r="PRU48" s="344"/>
      <c r="PRV48" s="344"/>
      <c r="PRW48" s="344"/>
      <c r="PRX48" s="344"/>
      <c r="PRY48" s="344"/>
      <c r="PRZ48" s="344"/>
      <c r="PSA48" s="344"/>
      <c r="PSB48" s="344"/>
      <c r="PSC48" s="344"/>
      <c r="PSD48" s="344"/>
      <c r="PSE48" s="344"/>
      <c r="PSF48" s="344"/>
      <c r="PSG48" s="344"/>
      <c r="PSH48" s="344"/>
      <c r="PSI48" s="344"/>
      <c r="PSJ48" s="344"/>
      <c r="PSK48" s="344"/>
      <c r="PSL48" s="344"/>
      <c r="PSM48" s="344"/>
      <c r="PSN48" s="344"/>
      <c r="PSO48" s="344"/>
      <c r="PSP48" s="344"/>
      <c r="PSQ48" s="344"/>
      <c r="PSR48" s="344"/>
      <c r="PSS48" s="344"/>
      <c r="PST48" s="344"/>
      <c r="PSU48" s="344"/>
      <c r="PSV48" s="344"/>
      <c r="PSW48" s="344"/>
      <c r="PSX48" s="344"/>
      <c r="PSY48" s="344"/>
      <c r="PSZ48" s="344"/>
      <c r="PTA48" s="344"/>
      <c r="PTB48" s="344"/>
      <c r="PTC48" s="344"/>
      <c r="PTD48" s="344"/>
      <c r="PTE48" s="344"/>
      <c r="PTF48" s="344"/>
      <c r="PTG48" s="344"/>
      <c r="PTH48" s="344"/>
      <c r="PTI48" s="344"/>
      <c r="PTJ48" s="344"/>
      <c r="PTK48" s="344"/>
      <c r="PTL48" s="344"/>
      <c r="PTM48" s="344"/>
      <c r="PTN48" s="344"/>
      <c r="PTO48" s="344"/>
      <c r="PTP48" s="344"/>
      <c r="PTQ48" s="344"/>
      <c r="PTR48" s="344"/>
      <c r="PTS48" s="344"/>
      <c r="PTT48" s="344"/>
      <c r="PTU48" s="344"/>
      <c r="PTV48" s="344"/>
      <c r="PTW48" s="344"/>
      <c r="PTX48" s="344"/>
      <c r="PTY48" s="344"/>
      <c r="PTZ48" s="344"/>
      <c r="PUA48" s="344"/>
      <c r="PUB48" s="344"/>
      <c r="PUC48" s="344"/>
      <c r="PUD48" s="344"/>
      <c r="PUE48" s="344"/>
      <c r="PUF48" s="344"/>
      <c r="PUG48" s="344"/>
      <c r="PUH48" s="344"/>
      <c r="PUI48" s="344"/>
      <c r="PUJ48" s="344"/>
      <c r="PUK48" s="344"/>
      <c r="PUL48" s="344"/>
      <c r="PUM48" s="344"/>
      <c r="PUN48" s="344"/>
      <c r="PUO48" s="344"/>
      <c r="PUP48" s="344"/>
      <c r="PUQ48" s="344"/>
      <c r="PUR48" s="344"/>
      <c r="PUS48" s="344"/>
      <c r="PUT48" s="344"/>
      <c r="PUU48" s="344"/>
      <c r="PUV48" s="344"/>
      <c r="PUW48" s="344"/>
      <c r="PUX48" s="344"/>
      <c r="PUY48" s="344"/>
      <c r="PUZ48" s="344"/>
      <c r="PVA48" s="344"/>
      <c r="PVB48" s="344"/>
      <c r="PVC48" s="344"/>
      <c r="PVD48" s="344"/>
      <c r="PVE48" s="344"/>
      <c r="PVF48" s="344"/>
      <c r="PVG48" s="344"/>
      <c r="PVH48" s="344"/>
      <c r="PVI48" s="344"/>
      <c r="PVJ48" s="344"/>
      <c r="PVK48" s="344"/>
      <c r="PVL48" s="344"/>
      <c r="PVM48" s="344"/>
      <c r="PVN48" s="344"/>
      <c r="PVO48" s="344"/>
      <c r="PVP48" s="344"/>
      <c r="PVQ48" s="344"/>
      <c r="PVR48" s="344"/>
      <c r="PVS48" s="344"/>
      <c r="PVT48" s="344"/>
      <c r="PVU48" s="344"/>
      <c r="PVV48" s="344"/>
      <c r="PVW48" s="344"/>
      <c r="PVX48" s="344"/>
      <c r="PVY48" s="344"/>
      <c r="PVZ48" s="344"/>
      <c r="PWA48" s="344"/>
      <c r="PWB48" s="344"/>
      <c r="PWC48" s="344"/>
      <c r="PWD48" s="344"/>
      <c r="PWE48" s="344"/>
      <c r="PWF48" s="344"/>
      <c r="PWG48" s="344"/>
      <c r="PWH48" s="344"/>
      <c r="PWI48" s="344"/>
      <c r="PWJ48" s="344"/>
      <c r="PWK48" s="344"/>
      <c r="PWL48" s="344"/>
      <c r="PWM48" s="344"/>
      <c r="PWN48" s="344"/>
      <c r="PWO48" s="344"/>
      <c r="PWP48" s="344"/>
      <c r="PWQ48" s="344"/>
      <c r="PWR48" s="344"/>
      <c r="PWS48" s="344"/>
      <c r="PWT48" s="344"/>
      <c r="PWU48" s="344"/>
      <c r="PWV48" s="344"/>
      <c r="PWW48" s="344"/>
      <c r="PWX48" s="344"/>
      <c r="PWY48" s="344"/>
      <c r="PWZ48" s="344"/>
      <c r="PXA48" s="344"/>
      <c r="PXB48" s="344"/>
      <c r="PXC48" s="344"/>
      <c r="PXD48" s="344"/>
      <c r="PXE48" s="344"/>
      <c r="PXF48" s="344"/>
      <c r="PXG48" s="344"/>
      <c r="PXH48" s="344"/>
      <c r="PXI48" s="344"/>
      <c r="PXJ48" s="344"/>
      <c r="PXK48" s="344"/>
      <c r="PXL48" s="344"/>
      <c r="PXM48" s="344"/>
      <c r="PXN48" s="344"/>
      <c r="PXO48" s="344"/>
      <c r="PXP48" s="344"/>
      <c r="PXQ48" s="344"/>
      <c r="PXR48" s="344"/>
      <c r="PXS48" s="344"/>
      <c r="PXT48" s="344"/>
      <c r="PXU48" s="344"/>
      <c r="PXV48" s="344"/>
      <c r="PXW48" s="344"/>
      <c r="PXX48" s="344"/>
      <c r="PXY48" s="344"/>
      <c r="PXZ48" s="344"/>
      <c r="PYA48" s="344"/>
      <c r="PYB48" s="344"/>
      <c r="PYC48" s="344"/>
      <c r="PYD48" s="344"/>
      <c r="PYE48" s="344"/>
      <c r="PYF48" s="344"/>
      <c r="PYG48" s="344"/>
      <c r="PYH48" s="344"/>
      <c r="PYI48" s="344"/>
      <c r="PYJ48" s="344"/>
      <c r="PYK48" s="344"/>
      <c r="PYL48" s="344"/>
      <c r="PYM48" s="344"/>
      <c r="PYN48" s="344"/>
      <c r="PYO48" s="344"/>
      <c r="PYP48" s="344"/>
      <c r="PYQ48" s="344"/>
      <c r="PYR48" s="344"/>
      <c r="PYS48" s="344"/>
      <c r="PYT48" s="344"/>
      <c r="PYU48" s="344"/>
      <c r="PYV48" s="344"/>
      <c r="PYW48" s="344"/>
      <c r="PYX48" s="344"/>
      <c r="PYY48" s="344"/>
      <c r="PYZ48" s="344"/>
      <c r="PZA48" s="344"/>
      <c r="PZB48" s="344"/>
      <c r="PZC48" s="344"/>
      <c r="PZD48" s="344"/>
      <c r="PZE48" s="344"/>
      <c r="PZF48" s="344"/>
      <c r="PZG48" s="344"/>
      <c r="PZH48" s="344"/>
      <c r="PZI48" s="344"/>
      <c r="PZJ48" s="344"/>
      <c r="PZK48" s="344"/>
      <c r="PZL48" s="344"/>
      <c r="PZM48" s="344"/>
      <c r="PZN48" s="344"/>
      <c r="PZO48" s="344"/>
      <c r="PZP48" s="344"/>
      <c r="PZQ48" s="344"/>
      <c r="PZR48" s="344"/>
      <c r="PZS48" s="344"/>
      <c r="PZT48" s="344"/>
      <c r="PZU48" s="344"/>
      <c r="PZV48" s="344"/>
      <c r="PZW48" s="344"/>
      <c r="PZX48" s="344"/>
      <c r="PZY48" s="344"/>
      <c r="PZZ48" s="344"/>
      <c r="QAA48" s="344"/>
      <c r="QAB48" s="344"/>
      <c r="QAC48" s="344"/>
      <c r="QAD48" s="344"/>
      <c r="QAE48" s="344"/>
      <c r="QAF48" s="344"/>
      <c r="QAG48" s="344"/>
      <c r="QAH48" s="344"/>
      <c r="QAI48" s="344"/>
      <c r="QAJ48" s="344"/>
      <c r="QAK48" s="344"/>
      <c r="QAL48" s="344"/>
      <c r="QAM48" s="344"/>
      <c r="QAN48" s="344"/>
      <c r="QAO48" s="344"/>
      <c r="QAP48" s="344"/>
      <c r="QAQ48" s="344"/>
      <c r="QAR48" s="344"/>
      <c r="QAS48" s="344"/>
      <c r="QAT48" s="344"/>
      <c r="QAU48" s="344"/>
      <c r="QAV48" s="344"/>
      <c r="QAW48" s="344"/>
      <c r="QAX48" s="344"/>
      <c r="QAY48" s="344"/>
      <c r="QAZ48" s="344"/>
      <c r="QBA48" s="344"/>
      <c r="QBB48" s="344"/>
      <c r="QBC48" s="344"/>
      <c r="QBD48" s="344"/>
      <c r="QBE48" s="344"/>
      <c r="QBF48" s="344"/>
      <c r="QBG48" s="344"/>
      <c r="QBH48" s="344"/>
      <c r="QBI48" s="344"/>
      <c r="QBJ48" s="344"/>
      <c r="QBK48" s="344"/>
      <c r="QBL48" s="344"/>
      <c r="QBM48" s="344"/>
      <c r="QBN48" s="344"/>
      <c r="QBO48" s="344"/>
      <c r="QBP48" s="344"/>
      <c r="QBQ48" s="344"/>
      <c r="QBR48" s="344"/>
      <c r="QBS48" s="344"/>
      <c r="QBT48" s="344"/>
      <c r="QBU48" s="344"/>
      <c r="QBV48" s="344"/>
      <c r="QBW48" s="344"/>
      <c r="QBX48" s="344"/>
      <c r="QBY48" s="344"/>
      <c r="QBZ48" s="344"/>
      <c r="QCA48" s="344"/>
      <c r="QCB48" s="344"/>
      <c r="QCC48" s="344"/>
      <c r="QCD48" s="344"/>
      <c r="QCE48" s="344"/>
      <c r="QCF48" s="344"/>
      <c r="QCG48" s="344"/>
      <c r="QCH48" s="344"/>
      <c r="QCI48" s="344"/>
      <c r="QCJ48" s="344"/>
      <c r="QCK48" s="344"/>
      <c r="QCL48" s="344"/>
      <c r="QCM48" s="344"/>
      <c r="QCN48" s="344"/>
      <c r="QCO48" s="344"/>
      <c r="QCP48" s="344"/>
      <c r="QCQ48" s="344"/>
      <c r="QCR48" s="344"/>
      <c r="QCS48" s="344"/>
      <c r="QCT48" s="344"/>
      <c r="QCU48" s="344"/>
      <c r="QCV48" s="344"/>
      <c r="QCW48" s="344"/>
      <c r="QCX48" s="344"/>
      <c r="QCY48" s="344"/>
      <c r="QCZ48" s="344"/>
      <c r="QDA48" s="344"/>
      <c r="QDB48" s="344"/>
      <c r="QDC48" s="344"/>
      <c r="QDD48" s="344"/>
      <c r="QDE48" s="344"/>
      <c r="QDF48" s="344"/>
      <c r="QDG48" s="344"/>
      <c r="QDH48" s="344"/>
      <c r="QDI48" s="344"/>
      <c r="QDJ48" s="344"/>
      <c r="QDK48" s="344"/>
      <c r="QDL48" s="344"/>
      <c r="QDM48" s="344"/>
      <c r="QDN48" s="344"/>
      <c r="QDO48" s="344"/>
      <c r="QDP48" s="344"/>
      <c r="QDQ48" s="344"/>
      <c r="QDR48" s="344"/>
      <c r="QDS48" s="344"/>
      <c r="QDT48" s="344"/>
      <c r="QDU48" s="344"/>
      <c r="QDV48" s="344"/>
      <c r="QDW48" s="344"/>
      <c r="QDX48" s="344"/>
      <c r="QDY48" s="344"/>
      <c r="QDZ48" s="344"/>
      <c r="QEA48" s="344"/>
      <c r="QEB48" s="344"/>
      <c r="QEC48" s="344"/>
      <c r="QED48" s="344"/>
      <c r="QEE48" s="344"/>
      <c r="QEF48" s="344"/>
      <c r="QEG48" s="344"/>
      <c r="QEH48" s="344"/>
      <c r="QEI48" s="344"/>
      <c r="QEJ48" s="344"/>
      <c r="QEK48" s="344"/>
      <c r="QEL48" s="344"/>
      <c r="QEM48" s="344"/>
      <c r="QEN48" s="344"/>
      <c r="QEO48" s="344"/>
      <c r="QEP48" s="344"/>
      <c r="QEQ48" s="344"/>
      <c r="QER48" s="344"/>
      <c r="QES48" s="344"/>
      <c r="QET48" s="344"/>
      <c r="QEU48" s="344"/>
      <c r="QEV48" s="344"/>
      <c r="QEW48" s="344"/>
      <c r="QEX48" s="344"/>
      <c r="QEY48" s="344"/>
      <c r="QEZ48" s="344"/>
      <c r="QFA48" s="344"/>
      <c r="QFB48" s="344"/>
      <c r="QFC48" s="344"/>
      <c r="QFD48" s="344"/>
      <c r="QFE48" s="344"/>
      <c r="QFF48" s="344"/>
      <c r="QFG48" s="344"/>
      <c r="QFH48" s="344"/>
      <c r="QFI48" s="344"/>
      <c r="QFJ48" s="344"/>
      <c r="QFK48" s="344"/>
      <c r="QFL48" s="344"/>
      <c r="QFM48" s="344"/>
      <c r="QFN48" s="344"/>
      <c r="QFO48" s="344"/>
      <c r="QFP48" s="344"/>
      <c r="QFQ48" s="344"/>
      <c r="QFR48" s="344"/>
      <c r="QFS48" s="344"/>
      <c r="QFT48" s="344"/>
      <c r="QFU48" s="344"/>
      <c r="QFV48" s="344"/>
      <c r="QFW48" s="344"/>
      <c r="QFX48" s="344"/>
      <c r="QFY48" s="344"/>
      <c r="QFZ48" s="344"/>
      <c r="QGA48" s="344"/>
      <c r="QGB48" s="344"/>
      <c r="QGC48" s="344"/>
      <c r="QGD48" s="344"/>
      <c r="QGE48" s="344"/>
      <c r="QGF48" s="344"/>
      <c r="QGG48" s="344"/>
      <c r="QGH48" s="344"/>
      <c r="QGI48" s="344"/>
      <c r="QGJ48" s="344"/>
      <c r="QGK48" s="344"/>
      <c r="QGL48" s="344"/>
      <c r="QGM48" s="344"/>
      <c r="QGN48" s="344"/>
      <c r="QGO48" s="344"/>
      <c r="QGP48" s="344"/>
      <c r="QGQ48" s="344"/>
      <c r="QGR48" s="344"/>
      <c r="QGS48" s="344"/>
      <c r="QGT48" s="344"/>
      <c r="QGU48" s="344"/>
      <c r="QGV48" s="344"/>
      <c r="QGW48" s="344"/>
      <c r="QGX48" s="344"/>
      <c r="QGY48" s="344"/>
      <c r="QGZ48" s="344"/>
      <c r="QHA48" s="344"/>
      <c r="QHB48" s="344"/>
      <c r="QHC48" s="344"/>
      <c r="QHD48" s="344"/>
      <c r="QHE48" s="344"/>
      <c r="QHF48" s="344"/>
      <c r="QHG48" s="344"/>
      <c r="QHH48" s="344"/>
      <c r="QHI48" s="344"/>
      <c r="QHJ48" s="344"/>
      <c r="QHK48" s="344"/>
      <c r="QHL48" s="344"/>
      <c r="QHM48" s="344"/>
      <c r="QHN48" s="344"/>
      <c r="QHO48" s="344"/>
      <c r="QHP48" s="344"/>
      <c r="QHQ48" s="344"/>
      <c r="QHR48" s="344"/>
      <c r="QHS48" s="344"/>
      <c r="QHT48" s="344"/>
      <c r="QHU48" s="344"/>
      <c r="QHV48" s="344"/>
      <c r="QHW48" s="344"/>
      <c r="QHX48" s="344"/>
      <c r="QHY48" s="344"/>
      <c r="QHZ48" s="344"/>
      <c r="QIA48" s="344"/>
      <c r="QIB48" s="344"/>
      <c r="QIC48" s="344"/>
      <c r="QID48" s="344"/>
      <c r="QIE48" s="344"/>
      <c r="QIF48" s="344"/>
      <c r="QIG48" s="344"/>
      <c r="QIH48" s="344"/>
      <c r="QII48" s="344"/>
      <c r="QIJ48" s="344"/>
      <c r="QIK48" s="344"/>
      <c r="QIL48" s="344"/>
      <c r="QIM48" s="344"/>
      <c r="QIN48" s="344"/>
      <c r="QIO48" s="344"/>
      <c r="QIP48" s="344"/>
      <c r="QIQ48" s="344"/>
      <c r="QIR48" s="344"/>
      <c r="QIS48" s="344"/>
      <c r="QIT48" s="344"/>
      <c r="QIU48" s="344"/>
      <c r="QIV48" s="344"/>
      <c r="QIW48" s="344"/>
      <c r="QIX48" s="344"/>
      <c r="QIY48" s="344"/>
      <c r="QIZ48" s="344"/>
      <c r="QJA48" s="344"/>
      <c r="QJB48" s="344"/>
      <c r="QJC48" s="344"/>
      <c r="QJD48" s="344"/>
      <c r="QJE48" s="344"/>
      <c r="QJF48" s="344"/>
      <c r="QJG48" s="344"/>
      <c r="QJH48" s="344"/>
      <c r="QJI48" s="344"/>
      <c r="QJJ48" s="344"/>
      <c r="QJK48" s="344"/>
      <c r="QJL48" s="344"/>
      <c r="QJM48" s="344"/>
      <c r="QJN48" s="344"/>
      <c r="QJO48" s="344"/>
      <c r="QJP48" s="344"/>
      <c r="QJQ48" s="344"/>
      <c r="QJR48" s="344"/>
      <c r="QJS48" s="344"/>
      <c r="QJT48" s="344"/>
      <c r="QJU48" s="344"/>
      <c r="QJV48" s="344"/>
      <c r="QJW48" s="344"/>
      <c r="QJX48" s="344"/>
      <c r="QJY48" s="344"/>
      <c r="QJZ48" s="344"/>
      <c r="QKA48" s="344"/>
      <c r="QKB48" s="344"/>
      <c r="QKC48" s="344"/>
      <c r="QKD48" s="344"/>
      <c r="QKE48" s="344"/>
      <c r="QKF48" s="344"/>
      <c r="QKG48" s="344"/>
      <c r="QKH48" s="344"/>
      <c r="QKI48" s="344"/>
      <c r="QKJ48" s="344"/>
      <c r="QKK48" s="344"/>
      <c r="QKL48" s="344"/>
      <c r="QKM48" s="344"/>
      <c r="QKN48" s="344"/>
      <c r="QKO48" s="344"/>
      <c r="QKP48" s="344"/>
      <c r="QKQ48" s="344"/>
      <c r="QKR48" s="344"/>
      <c r="QKS48" s="344"/>
      <c r="QKT48" s="344"/>
      <c r="QKU48" s="344"/>
      <c r="QKV48" s="344"/>
      <c r="QKW48" s="344"/>
      <c r="QKX48" s="344"/>
      <c r="QKY48" s="344"/>
      <c r="QKZ48" s="344"/>
      <c r="QLA48" s="344"/>
      <c r="QLB48" s="344"/>
      <c r="QLC48" s="344"/>
      <c r="QLD48" s="344"/>
      <c r="QLE48" s="344"/>
      <c r="QLF48" s="344"/>
      <c r="QLG48" s="344"/>
      <c r="QLH48" s="344"/>
      <c r="QLI48" s="344"/>
      <c r="QLJ48" s="344"/>
      <c r="QLK48" s="344"/>
      <c r="QLL48" s="344"/>
      <c r="QLM48" s="344"/>
      <c r="QLN48" s="344"/>
      <c r="QLO48" s="344"/>
      <c r="QLP48" s="344"/>
      <c r="QLQ48" s="344"/>
      <c r="QLR48" s="344"/>
      <c r="QLS48" s="344"/>
      <c r="QLT48" s="344"/>
      <c r="QLU48" s="344"/>
      <c r="QLV48" s="344"/>
      <c r="QLW48" s="344"/>
      <c r="QLX48" s="344"/>
      <c r="QLY48" s="344"/>
      <c r="QLZ48" s="344"/>
      <c r="QMA48" s="344"/>
      <c r="QMB48" s="344"/>
      <c r="QMC48" s="344"/>
      <c r="QMD48" s="344"/>
      <c r="QME48" s="344"/>
      <c r="QMF48" s="344"/>
      <c r="QMG48" s="344"/>
      <c r="QMH48" s="344"/>
      <c r="QMI48" s="344"/>
      <c r="QMJ48" s="344"/>
      <c r="QMK48" s="344"/>
      <c r="QML48" s="344"/>
      <c r="QMM48" s="344"/>
      <c r="QMN48" s="344"/>
      <c r="QMO48" s="344"/>
      <c r="QMP48" s="344"/>
      <c r="QMQ48" s="344"/>
      <c r="QMR48" s="344"/>
      <c r="QMS48" s="344"/>
      <c r="QMT48" s="344"/>
      <c r="QMU48" s="344"/>
      <c r="QMV48" s="344"/>
      <c r="QMW48" s="344"/>
      <c r="QMX48" s="344"/>
      <c r="QMY48" s="344"/>
      <c r="QMZ48" s="344"/>
      <c r="QNA48" s="344"/>
      <c r="QNB48" s="344"/>
      <c r="QNC48" s="344"/>
      <c r="QND48" s="344"/>
      <c r="QNE48" s="344"/>
      <c r="QNF48" s="344"/>
      <c r="QNG48" s="344"/>
      <c r="QNH48" s="344"/>
      <c r="QNI48" s="344"/>
      <c r="QNJ48" s="344"/>
      <c r="QNK48" s="344"/>
      <c r="QNL48" s="344"/>
      <c r="QNM48" s="344"/>
      <c r="QNN48" s="344"/>
      <c r="QNO48" s="344"/>
      <c r="QNP48" s="344"/>
      <c r="QNQ48" s="344"/>
      <c r="QNR48" s="344"/>
      <c r="QNS48" s="344"/>
      <c r="QNT48" s="344"/>
      <c r="QNU48" s="344"/>
      <c r="QNV48" s="344"/>
      <c r="QNW48" s="344"/>
      <c r="QNX48" s="344"/>
      <c r="QNY48" s="344"/>
      <c r="QNZ48" s="344"/>
      <c r="QOA48" s="344"/>
      <c r="QOB48" s="344"/>
      <c r="QOC48" s="344"/>
      <c r="QOD48" s="344"/>
      <c r="QOE48" s="344"/>
      <c r="QOF48" s="344"/>
      <c r="QOG48" s="344"/>
      <c r="QOH48" s="344"/>
      <c r="QOI48" s="344"/>
      <c r="QOJ48" s="344"/>
      <c r="QOK48" s="344"/>
      <c r="QOL48" s="344"/>
      <c r="QOM48" s="344"/>
      <c r="QON48" s="344"/>
      <c r="QOO48" s="344"/>
      <c r="QOP48" s="344"/>
      <c r="QOQ48" s="344"/>
      <c r="QOR48" s="344"/>
      <c r="QOS48" s="344"/>
      <c r="QOT48" s="344"/>
      <c r="QOU48" s="344"/>
      <c r="QOV48" s="344"/>
      <c r="QOW48" s="344"/>
      <c r="QOX48" s="344"/>
      <c r="QOY48" s="344"/>
      <c r="QOZ48" s="344"/>
      <c r="QPA48" s="344"/>
      <c r="QPB48" s="344"/>
      <c r="QPC48" s="344"/>
      <c r="QPD48" s="344"/>
      <c r="QPE48" s="344"/>
      <c r="QPF48" s="344"/>
      <c r="QPG48" s="344"/>
      <c r="QPH48" s="344"/>
      <c r="QPI48" s="344"/>
      <c r="QPJ48" s="344"/>
      <c r="QPK48" s="344"/>
      <c r="QPL48" s="344"/>
      <c r="QPM48" s="344"/>
      <c r="QPN48" s="344"/>
      <c r="QPO48" s="344"/>
      <c r="QPP48" s="344"/>
      <c r="QPQ48" s="344"/>
      <c r="QPR48" s="344"/>
      <c r="QPS48" s="344"/>
      <c r="QPT48" s="344"/>
      <c r="QPU48" s="344"/>
      <c r="QPV48" s="344"/>
      <c r="QPW48" s="344"/>
      <c r="QPX48" s="344"/>
      <c r="QPY48" s="344"/>
      <c r="QPZ48" s="344"/>
      <c r="QQA48" s="344"/>
      <c r="QQB48" s="344"/>
      <c r="QQC48" s="344"/>
      <c r="QQD48" s="344"/>
      <c r="QQE48" s="344"/>
      <c r="QQF48" s="344"/>
      <c r="QQG48" s="344"/>
      <c r="QQH48" s="344"/>
      <c r="QQI48" s="344"/>
      <c r="QQJ48" s="344"/>
      <c r="QQK48" s="344"/>
      <c r="QQL48" s="344"/>
      <c r="QQM48" s="344"/>
      <c r="QQN48" s="344"/>
      <c r="QQO48" s="344"/>
      <c r="QQP48" s="344"/>
      <c r="QQQ48" s="344"/>
      <c r="QQR48" s="344"/>
      <c r="QQS48" s="344"/>
      <c r="QQT48" s="344"/>
      <c r="QQU48" s="344"/>
      <c r="QQV48" s="344"/>
      <c r="QQW48" s="344"/>
      <c r="QQX48" s="344"/>
      <c r="QQY48" s="344"/>
      <c r="QQZ48" s="344"/>
      <c r="QRA48" s="344"/>
      <c r="QRB48" s="344"/>
      <c r="QRC48" s="344"/>
      <c r="QRD48" s="344"/>
      <c r="QRE48" s="344"/>
      <c r="QRF48" s="344"/>
      <c r="QRG48" s="344"/>
      <c r="QRH48" s="344"/>
      <c r="QRI48" s="344"/>
      <c r="QRJ48" s="344"/>
      <c r="QRK48" s="344"/>
      <c r="QRL48" s="344"/>
      <c r="QRM48" s="344"/>
      <c r="QRN48" s="344"/>
      <c r="QRO48" s="344"/>
      <c r="QRP48" s="344"/>
      <c r="QRQ48" s="344"/>
      <c r="QRR48" s="344"/>
      <c r="QRS48" s="344"/>
      <c r="QRT48" s="344"/>
      <c r="QRU48" s="344"/>
      <c r="QRV48" s="344"/>
      <c r="QRW48" s="344"/>
      <c r="QRX48" s="344"/>
      <c r="QRY48" s="344"/>
      <c r="QRZ48" s="344"/>
      <c r="QSA48" s="344"/>
      <c r="QSB48" s="344"/>
      <c r="QSC48" s="344"/>
      <c r="QSD48" s="344"/>
      <c r="QSE48" s="344"/>
      <c r="QSF48" s="344"/>
      <c r="QSG48" s="344"/>
      <c r="QSH48" s="344"/>
      <c r="QSI48" s="344"/>
      <c r="QSJ48" s="344"/>
      <c r="QSK48" s="344"/>
      <c r="QSL48" s="344"/>
      <c r="QSM48" s="344"/>
      <c r="QSN48" s="344"/>
      <c r="QSO48" s="344"/>
      <c r="QSP48" s="344"/>
      <c r="QSQ48" s="344"/>
      <c r="QSR48" s="344"/>
      <c r="QSS48" s="344"/>
      <c r="QST48" s="344"/>
      <c r="QSU48" s="344"/>
      <c r="QSV48" s="344"/>
      <c r="QSW48" s="344"/>
      <c r="QSX48" s="344"/>
      <c r="QSY48" s="344"/>
      <c r="QSZ48" s="344"/>
      <c r="QTA48" s="344"/>
      <c r="QTB48" s="344"/>
      <c r="QTC48" s="344"/>
      <c r="QTD48" s="344"/>
      <c r="QTE48" s="344"/>
      <c r="QTF48" s="344"/>
      <c r="QTG48" s="344"/>
      <c r="QTH48" s="344"/>
      <c r="QTI48" s="344"/>
      <c r="QTJ48" s="344"/>
      <c r="QTK48" s="344"/>
      <c r="QTL48" s="344"/>
      <c r="QTM48" s="344"/>
      <c r="QTN48" s="344"/>
      <c r="QTO48" s="344"/>
      <c r="QTP48" s="344"/>
      <c r="QTQ48" s="344"/>
      <c r="QTR48" s="344"/>
      <c r="QTS48" s="344"/>
      <c r="QTT48" s="344"/>
      <c r="QTU48" s="344"/>
      <c r="QTV48" s="344"/>
      <c r="QTW48" s="344"/>
      <c r="QTX48" s="344"/>
      <c r="QTY48" s="344"/>
      <c r="QTZ48" s="344"/>
      <c r="QUA48" s="344"/>
      <c r="QUB48" s="344"/>
      <c r="QUC48" s="344"/>
      <c r="QUD48" s="344"/>
      <c r="QUE48" s="344"/>
      <c r="QUF48" s="344"/>
      <c r="QUG48" s="344"/>
      <c r="QUH48" s="344"/>
      <c r="QUI48" s="344"/>
      <c r="QUJ48" s="344"/>
      <c r="QUK48" s="344"/>
      <c r="QUL48" s="344"/>
      <c r="QUM48" s="344"/>
      <c r="QUN48" s="344"/>
      <c r="QUO48" s="344"/>
      <c r="QUP48" s="344"/>
      <c r="QUQ48" s="344"/>
      <c r="QUR48" s="344"/>
      <c r="QUS48" s="344"/>
      <c r="QUT48" s="344"/>
      <c r="QUU48" s="344"/>
      <c r="QUV48" s="344"/>
      <c r="QUW48" s="344"/>
      <c r="QUX48" s="344"/>
      <c r="QUY48" s="344"/>
      <c r="QUZ48" s="344"/>
      <c r="QVA48" s="344"/>
      <c r="QVB48" s="344"/>
      <c r="QVC48" s="344"/>
      <c r="QVD48" s="344"/>
      <c r="QVE48" s="344"/>
      <c r="QVF48" s="344"/>
      <c r="QVG48" s="344"/>
      <c r="QVH48" s="344"/>
      <c r="QVI48" s="344"/>
      <c r="QVJ48" s="344"/>
      <c r="QVK48" s="344"/>
      <c r="QVL48" s="344"/>
      <c r="QVM48" s="344"/>
      <c r="QVN48" s="344"/>
      <c r="QVO48" s="344"/>
      <c r="QVP48" s="344"/>
      <c r="QVQ48" s="344"/>
      <c r="QVR48" s="344"/>
      <c r="QVS48" s="344"/>
      <c r="QVT48" s="344"/>
      <c r="QVU48" s="344"/>
      <c r="QVV48" s="344"/>
      <c r="QVW48" s="344"/>
      <c r="QVX48" s="344"/>
      <c r="QVY48" s="344"/>
      <c r="QVZ48" s="344"/>
      <c r="QWA48" s="344"/>
      <c r="QWB48" s="344"/>
      <c r="QWC48" s="344"/>
      <c r="QWD48" s="344"/>
      <c r="QWE48" s="344"/>
      <c r="QWF48" s="344"/>
      <c r="QWG48" s="344"/>
      <c r="QWH48" s="344"/>
      <c r="QWI48" s="344"/>
      <c r="QWJ48" s="344"/>
      <c r="QWK48" s="344"/>
      <c r="QWL48" s="344"/>
      <c r="QWM48" s="344"/>
      <c r="QWN48" s="344"/>
      <c r="QWO48" s="344"/>
      <c r="QWP48" s="344"/>
      <c r="QWQ48" s="344"/>
      <c r="QWR48" s="344"/>
      <c r="QWS48" s="344"/>
      <c r="QWT48" s="344"/>
      <c r="QWU48" s="344"/>
      <c r="QWV48" s="344"/>
      <c r="QWW48" s="344"/>
      <c r="QWX48" s="344"/>
      <c r="QWY48" s="344"/>
      <c r="QWZ48" s="344"/>
      <c r="QXA48" s="344"/>
      <c r="QXB48" s="344"/>
      <c r="QXC48" s="344"/>
      <c r="QXD48" s="344"/>
      <c r="QXE48" s="344"/>
      <c r="QXF48" s="344"/>
      <c r="QXG48" s="344"/>
      <c r="QXH48" s="344"/>
      <c r="QXI48" s="344"/>
      <c r="QXJ48" s="344"/>
      <c r="QXK48" s="344"/>
      <c r="QXL48" s="344"/>
      <c r="QXM48" s="344"/>
      <c r="QXN48" s="344"/>
      <c r="QXO48" s="344"/>
      <c r="QXP48" s="344"/>
      <c r="QXQ48" s="344"/>
      <c r="QXR48" s="344"/>
      <c r="QXS48" s="344"/>
      <c r="QXT48" s="344"/>
      <c r="QXU48" s="344"/>
      <c r="QXV48" s="344"/>
      <c r="QXW48" s="344"/>
      <c r="QXX48" s="344"/>
      <c r="QXY48" s="344"/>
      <c r="QXZ48" s="344"/>
      <c r="QYA48" s="344"/>
      <c r="QYB48" s="344"/>
      <c r="QYC48" s="344"/>
      <c r="QYD48" s="344"/>
      <c r="QYE48" s="344"/>
      <c r="QYF48" s="344"/>
      <c r="QYG48" s="344"/>
      <c r="QYH48" s="344"/>
      <c r="QYI48" s="344"/>
      <c r="QYJ48" s="344"/>
      <c r="QYK48" s="344"/>
      <c r="QYL48" s="344"/>
      <c r="QYM48" s="344"/>
      <c r="QYN48" s="344"/>
      <c r="QYO48" s="344"/>
      <c r="QYP48" s="344"/>
      <c r="QYQ48" s="344"/>
      <c r="QYR48" s="344"/>
      <c r="QYS48" s="344"/>
      <c r="QYT48" s="344"/>
      <c r="QYU48" s="344"/>
      <c r="QYV48" s="344"/>
      <c r="QYW48" s="344"/>
      <c r="QYX48" s="344"/>
      <c r="QYY48" s="344"/>
      <c r="QYZ48" s="344"/>
      <c r="QZA48" s="344"/>
      <c r="QZB48" s="344"/>
      <c r="QZC48" s="344"/>
      <c r="QZD48" s="344"/>
      <c r="QZE48" s="344"/>
      <c r="QZF48" s="344"/>
      <c r="QZG48" s="344"/>
      <c r="QZH48" s="344"/>
      <c r="QZI48" s="344"/>
      <c r="QZJ48" s="344"/>
      <c r="QZK48" s="344"/>
      <c r="QZL48" s="344"/>
      <c r="QZM48" s="344"/>
      <c r="QZN48" s="344"/>
      <c r="QZO48" s="344"/>
      <c r="QZP48" s="344"/>
      <c r="QZQ48" s="344"/>
      <c r="QZR48" s="344"/>
      <c r="QZS48" s="344"/>
      <c r="QZT48" s="344"/>
      <c r="QZU48" s="344"/>
      <c r="QZV48" s="344"/>
      <c r="QZW48" s="344"/>
      <c r="QZX48" s="344"/>
      <c r="QZY48" s="344"/>
      <c r="QZZ48" s="344"/>
      <c r="RAA48" s="344"/>
      <c r="RAB48" s="344"/>
      <c r="RAC48" s="344"/>
      <c r="RAD48" s="344"/>
      <c r="RAE48" s="344"/>
      <c r="RAF48" s="344"/>
      <c r="RAG48" s="344"/>
      <c r="RAH48" s="344"/>
      <c r="RAI48" s="344"/>
      <c r="RAJ48" s="344"/>
      <c r="RAK48" s="344"/>
      <c r="RAL48" s="344"/>
      <c r="RAM48" s="344"/>
      <c r="RAN48" s="344"/>
      <c r="RAO48" s="344"/>
      <c r="RAP48" s="344"/>
      <c r="RAQ48" s="344"/>
      <c r="RAR48" s="344"/>
      <c r="RAS48" s="344"/>
      <c r="RAT48" s="344"/>
      <c r="RAU48" s="344"/>
      <c r="RAV48" s="344"/>
      <c r="RAW48" s="344"/>
      <c r="RAX48" s="344"/>
      <c r="RAY48" s="344"/>
      <c r="RAZ48" s="344"/>
      <c r="RBA48" s="344"/>
      <c r="RBB48" s="344"/>
      <c r="RBC48" s="344"/>
      <c r="RBD48" s="344"/>
      <c r="RBE48" s="344"/>
      <c r="RBF48" s="344"/>
      <c r="RBG48" s="344"/>
      <c r="RBH48" s="344"/>
      <c r="RBI48" s="344"/>
      <c r="RBJ48" s="344"/>
      <c r="RBK48" s="344"/>
      <c r="RBL48" s="344"/>
      <c r="RBM48" s="344"/>
      <c r="RBN48" s="344"/>
      <c r="RBO48" s="344"/>
      <c r="RBP48" s="344"/>
      <c r="RBQ48" s="344"/>
      <c r="RBR48" s="344"/>
      <c r="RBS48" s="344"/>
      <c r="RBT48" s="344"/>
      <c r="RBU48" s="344"/>
      <c r="RBV48" s="344"/>
      <c r="RBW48" s="344"/>
      <c r="RBX48" s="344"/>
      <c r="RBY48" s="344"/>
      <c r="RBZ48" s="344"/>
      <c r="RCA48" s="344"/>
      <c r="RCB48" s="344"/>
      <c r="RCC48" s="344"/>
      <c r="RCD48" s="344"/>
      <c r="RCE48" s="344"/>
      <c r="RCF48" s="344"/>
      <c r="RCG48" s="344"/>
      <c r="RCH48" s="344"/>
      <c r="RCI48" s="344"/>
      <c r="RCJ48" s="344"/>
      <c r="RCK48" s="344"/>
      <c r="RCL48" s="344"/>
      <c r="RCM48" s="344"/>
      <c r="RCN48" s="344"/>
      <c r="RCO48" s="344"/>
      <c r="RCP48" s="344"/>
      <c r="RCQ48" s="344"/>
      <c r="RCR48" s="344"/>
      <c r="RCS48" s="344"/>
      <c r="RCT48" s="344"/>
      <c r="RCU48" s="344"/>
      <c r="RCV48" s="344"/>
      <c r="RCW48" s="344"/>
      <c r="RCX48" s="344"/>
      <c r="RCY48" s="344"/>
      <c r="RCZ48" s="344"/>
      <c r="RDA48" s="344"/>
      <c r="RDB48" s="344"/>
      <c r="RDC48" s="344"/>
      <c r="RDD48" s="344"/>
      <c r="RDE48" s="344"/>
      <c r="RDF48" s="344"/>
      <c r="RDG48" s="344"/>
      <c r="RDH48" s="344"/>
      <c r="RDI48" s="344"/>
      <c r="RDJ48" s="344"/>
      <c r="RDK48" s="344"/>
      <c r="RDL48" s="344"/>
      <c r="RDM48" s="344"/>
      <c r="RDN48" s="344"/>
      <c r="RDO48" s="344"/>
      <c r="RDP48" s="344"/>
      <c r="RDQ48" s="344"/>
      <c r="RDR48" s="344"/>
      <c r="RDS48" s="344"/>
      <c r="RDT48" s="344"/>
      <c r="RDU48" s="344"/>
      <c r="RDV48" s="344"/>
      <c r="RDW48" s="344"/>
      <c r="RDX48" s="344"/>
      <c r="RDY48" s="344"/>
      <c r="RDZ48" s="344"/>
      <c r="REA48" s="344"/>
      <c r="REB48" s="344"/>
      <c r="REC48" s="344"/>
      <c r="RED48" s="344"/>
      <c r="REE48" s="344"/>
      <c r="REF48" s="344"/>
      <c r="REG48" s="344"/>
      <c r="REH48" s="344"/>
      <c r="REI48" s="344"/>
      <c r="REJ48" s="344"/>
      <c r="REK48" s="344"/>
      <c r="REL48" s="344"/>
      <c r="REM48" s="344"/>
      <c r="REN48" s="344"/>
      <c r="REO48" s="344"/>
      <c r="REP48" s="344"/>
      <c r="REQ48" s="344"/>
      <c r="RER48" s="344"/>
      <c r="RES48" s="344"/>
      <c r="RET48" s="344"/>
      <c r="REU48" s="344"/>
      <c r="REV48" s="344"/>
      <c r="REW48" s="344"/>
      <c r="REX48" s="344"/>
      <c r="REY48" s="344"/>
      <c r="REZ48" s="344"/>
      <c r="RFA48" s="344"/>
      <c r="RFB48" s="344"/>
      <c r="RFC48" s="344"/>
      <c r="RFD48" s="344"/>
      <c r="RFE48" s="344"/>
      <c r="RFF48" s="344"/>
      <c r="RFG48" s="344"/>
      <c r="RFH48" s="344"/>
      <c r="RFI48" s="344"/>
      <c r="RFJ48" s="344"/>
      <c r="RFK48" s="344"/>
      <c r="RFL48" s="344"/>
      <c r="RFM48" s="344"/>
      <c r="RFN48" s="344"/>
      <c r="RFO48" s="344"/>
      <c r="RFP48" s="344"/>
      <c r="RFQ48" s="344"/>
      <c r="RFR48" s="344"/>
      <c r="RFS48" s="344"/>
      <c r="RFT48" s="344"/>
      <c r="RFU48" s="344"/>
      <c r="RFV48" s="344"/>
      <c r="RFW48" s="344"/>
      <c r="RFX48" s="344"/>
      <c r="RFY48" s="344"/>
      <c r="RFZ48" s="344"/>
      <c r="RGA48" s="344"/>
      <c r="RGB48" s="344"/>
      <c r="RGC48" s="344"/>
      <c r="RGD48" s="344"/>
      <c r="RGE48" s="344"/>
      <c r="RGF48" s="344"/>
      <c r="RGG48" s="344"/>
      <c r="RGH48" s="344"/>
      <c r="RGI48" s="344"/>
      <c r="RGJ48" s="344"/>
      <c r="RGK48" s="344"/>
      <c r="RGL48" s="344"/>
      <c r="RGM48" s="344"/>
      <c r="RGN48" s="344"/>
      <c r="RGO48" s="344"/>
      <c r="RGP48" s="344"/>
      <c r="RGQ48" s="344"/>
      <c r="RGR48" s="344"/>
      <c r="RGS48" s="344"/>
      <c r="RGT48" s="344"/>
      <c r="RGU48" s="344"/>
      <c r="RGV48" s="344"/>
      <c r="RGW48" s="344"/>
      <c r="RGX48" s="344"/>
      <c r="RGY48" s="344"/>
      <c r="RGZ48" s="344"/>
      <c r="RHA48" s="344"/>
      <c r="RHB48" s="344"/>
      <c r="RHC48" s="344"/>
      <c r="RHD48" s="344"/>
      <c r="RHE48" s="344"/>
      <c r="RHF48" s="344"/>
      <c r="RHG48" s="344"/>
      <c r="RHH48" s="344"/>
      <c r="RHI48" s="344"/>
      <c r="RHJ48" s="344"/>
      <c r="RHK48" s="344"/>
      <c r="RHL48" s="344"/>
      <c r="RHM48" s="344"/>
      <c r="RHN48" s="344"/>
      <c r="RHO48" s="344"/>
      <c r="RHP48" s="344"/>
      <c r="RHQ48" s="344"/>
      <c r="RHR48" s="344"/>
      <c r="RHS48" s="344"/>
      <c r="RHT48" s="344"/>
      <c r="RHU48" s="344"/>
      <c r="RHV48" s="344"/>
      <c r="RHW48" s="344"/>
      <c r="RHX48" s="344"/>
      <c r="RHY48" s="344"/>
      <c r="RHZ48" s="344"/>
      <c r="RIA48" s="344"/>
      <c r="RIB48" s="344"/>
      <c r="RIC48" s="344"/>
      <c r="RID48" s="344"/>
      <c r="RIE48" s="344"/>
      <c r="RIF48" s="344"/>
      <c r="RIG48" s="344"/>
      <c r="RIH48" s="344"/>
      <c r="RII48" s="344"/>
      <c r="RIJ48" s="344"/>
      <c r="RIK48" s="344"/>
      <c r="RIL48" s="344"/>
      <c r="RIM48" s="344"/>
      <c r="RIN48" s="344"/>
      <c r="RIO48" s="344"/>
      <c r="RIP48" s="344"/>
      <c r="RIQ48" s="344"/>
      <c r="RIR48" s="344"/>
      <c r="RIS48" s="344"/>
      <c r="RIT48" s="344"/>
      <c r="RIU48" s="344"/>
      <c r="RIV48" s="344"/>
      <c r="RIW48" s="344"/>
      <c r="RIX48" s="344"/>
      <c r="RIY48" s="344"/>
      <c r="RIZ48" s="344"/>
      <c r="RJA48" s="344"/>
      <c r="RJB48" s="344"/>
      <c r="RJC48" s="344"/>
      <c r="RJD48" s="344"/>
      <c r="RJE48" s="344"/>
      <c r="RJF48" s="344"/>
      <c r="RJG48" s="344"/>
      <c r="RJH48" s="344"/>
      <c r="RJI48" s="344"/>
      <c r="RJJ48" s="344"/>
      <c r="RJK48" s="344"/>
      <c r="RJL48" s="344"/>
      <c r="RJM48" s="344"/>
      <c r="RJN48" s="344"/>
      <c r="RJO48" s="344"/>
      <c r="RJP48" s="344"/>
      <c r="RJQ48" s="344"/>
      <c r="RJR48" s="344"/>
      <c r="RJS48" s="344"/>
      <c r="RJT48" s="344"/>
      <c r="RJU48" s="344"/>
      <c r="RJV48" s="344"/>
      <c r="RJW48" s="344"/>
      <c r="RJX48" s="344"/>
      <c r="RJY48" s="344"/>
      <c r="RJZ48" s="344"/>
      <c r="RKA48" s="344"/>
      <c r="RKB48" s="344"/>
      <c r="RKC48" s="344"/>
      <c r="RKD48" s="344"/>
      <c r="RKE48" s="344"/>
      <c r="RKF48" s="344"/>
      <c r="RKG48" s="344"/>
      <c r="RKH48" s="344"/>
      <c r="RKI48" s="344"/>
      <c r="RKJ48" s="344"/>
      <c r="RKK48" s="344"/>
      <c r="RKL48" s="344"/>
      <c r="RKM48" s="344"/>
      <c r="RKN48" s="344"/>
      <c r="RKO48" s="344"/>
      <c r="RKP48" s="344"/>
      <c r="RKQ48" s="344"/>
      <c r="RKR48" s="344"/>
      <c r="RKS48" s="344"/>
      <c r="RKT48" s="344"/>
      <c r="RKU48" s="344"/>
      <c r="RKV48" s="344"/>
      <c r="RKW48" s="344"/>
      <c r="RKX48" s="344"/>
      <c r="RKY48" s="344"/>
      <c r="RKZ48" s="344"/>
      <c r="RLA48" s="344"/>
      <c r="RLB48" s="344"/>
      <c r="RLC48" s="344"/>
      <c r="RLD48" s="344"/>
      <c r="RLE48" s="344"/>
      <c r="RLF48" s="344"/>
      <c r="RLG48" s="344"/>
      <c r="RLH48" s="344"/>
      <c r="RLI48" s="344"/>
      <c r="RLJ48" s="344"/>
      <c r="RLK48" s="344"/>
      <c r="RLL48" s="344"/>
      <c r="RLM48" s="344"/>
      <c r="RLN48" s="344"/>
      <c r="RLO48" s="344"/>
      <c r="RLP48" s="344"/>
      <c r="RLQ48" s="344"/>
      <c r="RLR48" s="344"/>
      <c r="RLS48" s="344"/>
      <c r="RLT48" s="344"/>
      <c r="RLU48" s="344"/>
      <c r="RLV48" s="344"/>
      <c r="RLW48" s="344"/>
      <c r="RLX48" s="344"/>
      <c r="RLY48" s="344"/>
      <c r="RLZ48" s="344"/>
      <c r="RMA48" s="344"/>
      <c r="RMB48" s="344"/>
      <c r="RMC48" s="344"/>
      <c r="RMD48" s="344"/>
      <c r="RME48" s="344"/>
      <c r="RMF48" s="344"/>
      <c r="RMG48" s="344"/>
      <c r="RMH48" s="344"/>
      <c r="RMI48" s="344"/>
      <c r="RMJ48" s="344"/>
      <c r="RMK48" s="344"/>
      <c r="RML48" s="344"/>
      <c r="RMM48" s="344"/>
      <c r="RMN48" s="344"/>
      <c r="RMO48" s="344"/>
      <c r="RMP48" s="344"/>
      <c r="RMQ48" s="344"/>
      <c r="RMR48" s="344"/>
      <c r="RMS48" s="344"/>
      <c r="RMT48" s="344"/>
      <c r="RMU48" s="344"/>
      <c r="RMV48" s="344"/>
      <c r="RMW48" s="344"/>
      <c r="RMX48" s="344"/>
      <c r="RMY48" s="344"/>
      <c r="RMZ48" s="344"/>
      <c r="RNA48" s="344"/>
      <c r="RNB48" s="344"/>
      <c r="RNC48" s="344"/>
      <c r="RND48" s="344"/>
      <c r="RNE48" s="344"/>
      <c r="RNF48" s="344"/>
      <c r="RNG48" s="344"/>
      <c r="RNH48" s="344"/>
      <c r="RNI48" s="344"/>
      <c r="RNJ48" s="344"/>
      <c r="RNK48" s="344"/>
      <c r="RNL48" s="344"/>
      <c r="RNM48" s="344"/>
      <c r="RNN48" s="344"/>
      <c r="RNO48" s="344"/>
      <c r="RNP48" s="344"/>
      <c r="RNQ48" s="344"/>
      <c r="RNR48" s="344"/>
      <c r="RNS48" s="344"/>
      <c r="RNT48" s="344"/>
      <c r="RNU48" s="344"/>
      <c r="RNV48" s="344"/>
      <c r="RNW48" s="344"/>
      <c r="RNX48" s="344"/>
      <c r="RNY48" s="344"/>
      <c r="RNZ48" s="344"/>
      <c r="ROA48" s="344"/>
      <c r="ROB48" s="344"/>
      <c r="ROC48" s="344"/>
      <c r="ROD48" s="344"/>
      <c r="ROE48" s="344"/>
      <c r="ROF48" s="344"/>
      <c r="ROG48" s="344"/>
      <c r="ROH48" s="344"/>
      <c r="ROI48" s="344"/>
      <c r="ROJ48" s="344"/>
      <c r="ROK48" s="344"/>
      <c r="ROL48" s="344"/>
      <c r="ROM48" s="344"/>
      <c r="RON48" s="344"/>
      <c r="ROO48" s="344"/>
      <c r="ROP48" s="344"/>
      <c r="ROQ48" s="344"/>
      <c r="ROR48" s="344"/>
      <c r="ROS48" s="344"/>
      <c r="ROT48" s="344"/>
      <c r="ROU48" s="344"/>
      <c r="ROV48" s="344"/>
      <c r="ROW48" s="344"/>
      <c r="ROX48" s="344"/>
      <c r="ROY48" s="344"/>
      <c r="ROZ48" s="344"/>
      <c r="RPA48" s="344"/>
      <c r="RPB48" s="344"/>
      <c r="RPC48" s="344"/>
      <c r="RPD48" s="344"/>
      <c r="RPE48" s="344"/>
      <c r="RPF48" s="344"/>
      <c r="RPG48" s="344"/>
      <c r="RPH48" s="344"/>
      <c r="RPI48" s="344"/>
      <c r="RPJ48" s="344"/>
      <c r="RPK48" s="344"/>
      <c r="RPL48" s="344"/>
      <c r="RPM48" s="344"/>
      <c r="RPN48" s="344"/>
      <c r="RPO48" s="344"/>
      <c r="RPP48" s="344"/>
      <c r="RPQ48" s="344"/>
      <c r="RPR48" s="344"/>
      <c r="RPS48" s="344"/>
      <c r="RPT48" s="344"/>
      <c r="RPU48" s="344"/>
      <c r="RPV48" s="344"/>
      <c r="RPW48" s="344"/>
      <c r="RPX48" s="344"/>
      <c r="RPY48" s="344"/>
      <c r="RPZ48" s="344"/>
      <c r="RQA48" s="344"/>
      <c r="RQB48" s="344"/>
      <c r="RQC48" s="344"/>
      <c r="RQD48" s="344"/>
      <c r="RQE48" s="344"/>
      <c r="RQF48" s="344"/>
      <c r="RQG48" s="344"/>
      <c r="RQH48" s="344"/>
      <c r="RQI48" s="344"/>
      <c r="RQJ48" s="344"/>
      <c r="RQK48" s="344"/>
      <c r="RQL48" s="344"/>
      <c r="RQM48" s="344"/>
      <c r="RQN48" s="344"/>
      <c r="RQO48" s="344"/>
      <c r="RQP48" s="344"/>
      <c r="RQQ48" s="344"/>
      <c r="RQR48" s="344"/>
      <c r="RQS48" s="344"/>
      <c r="RQT48" s="344"/>
      <c r="RQU48" s="344"/>
      <c r="RQV48" s="344"/>
      <c r="RQW48" s="344"/>
      <c r="RQX48" s="344"/>
      <c r="RQY48" s="344"/>
      <c r="RQZ48" s="344"/>
      <c r="RRA48" s="344"/>
      <c r="RRB48" s="344"/>
      <c r="RRC48" s="344"/>
      <c r="RRD48" s="344"/>
      <c r="RRE48" s="344"/>
      <c r="RRF48" s="344"/>
      <c r="RRG48" s="344"/>
      <c r="RRH48" s="344"/>
      <c r="RRI48" s="344"/>
      <c r="RRJ48" s="344"/>
      <c r="RRK48" s="344"/>
      <c r="RRL48" s="344"/>
      <c r="RRM48" s="344"/>
      <c r="RRN48" s="344"/>
      <c r="RRO48" s="344"/>
      <c r="RRP48" s="344"/>
      <c r="RRQ48" s="344"/>
      <c r="RRR48" s="344"/>
      <c r="RRS48" s="344"/>
      <c r="RRT48" s="344"/>
      <c r="RRU48" s="344"/>
      <c r="RRV48" s="344"/>
      <c r="RRW48" s="344"/>
      <c r="RRX48" s="344"/>
      <c r="RRY48" s="344"/>
      <c r="RRZ48" s="344"/>
      <c r="RSA48" s="344"/>
      <c r="RSB48" s="344"/>
      <c r="RSC48" s="344"/>
      <c r="RSD48" s="344"/>
      <c r="RSE48" s="344"/>
      <c r="RSF48" s="344"/>
      <c r="RSG48" s="344"/>
      <c r="RSH48" s="344"/>
      <c r="RSI48" s="344"/>
      <c r="RSJ48" s="344"/>
      <c r="RSK48" s="344"/>
      <c r="RSL48" s="344"/>
      <c r="RSM48" s="344"/>
      <c r="RSN48" s="344"/>
      <c r="RSO48" s="344"/>
      <c r="RSP48" s="344"/>
      <c r="RSQ48" s="344"/>
      <c r="RSR48" s="344"/>
      <c r="RSS48" s="344"/>
      <c r="RST48" s="344"/>
      <c r="RSU48" s="344"/>
      <c r="RSV48" s="344"/>
      <c r="RSW48" s="344"/>
      <c r="RSX48" s="344"/>
      <c r="RSY48" s="344"/>
      <c r="RSZ48" s="344"/>
      <c r="RTA48" s="344"/>
      <c r="RTB48" s="344"/>
      <c r="RTC48" s="344"/>
      <c r="RTD48" s="344"/>
      <c r="RTE48" s="344"/>
      <c r="RTF48" s="344"/>
      <c r="RTG48" s="344"/>
      <c r="RTH48" s="344"/>
      <c r="RTI48" s="344"/>
      <c r="RTJ48" s="344"/>
      <c r="RTK48" s="344"/>
      <c r="RTL48" s="344"/>
      <c r="RTM48" s="344"/>
      <c r="RTN48" s="344"/>
      <c r="RTO48" s="344"/>
      <c r="RTP48" s="344"/>
      <c r="RTQ48" s="344"/>
      <c r="RTR48" s="344"/>
      <c r="RTS48" s="344"/>
      <c r="RTT48" s="344"/>
      <c r="RTU48" s="344"/>
      <c r="RTV48" s="344"/>
      <c r="RTW48" s="344"/>
      <c r="RTX48" s="344"/>
      <c r="RTY48" s="344"/>
      <c r="RTZ48" s="344"/>
      <c r="RUA48" s="344"/>
      <c r="RUB48" s="344"/>
      <c r="RUC48" s="344"/>
      <c r="RUD48" s="344"/>
      <c r="RUE48" s="344"/>
      <c r="RUF48" s="344"/>
      <c r="RUG48" s="344"/>
      <c r="RUH48" s="344"/>
      <c r="RUI48" s="344"/>
      <c r="RUJ48" s="344"/>
      <c r="RUK48" s="344"/>
      <c r="RUL48" s="344"/>
      <c r="RUM48" s="344"/>
      <c r="RUN48" s="344"/>
      <c r="RUO48" s="344"/>
      <c r="RUP48" s="344"/>
      <c r="RUQ48" s="344"/>
      <c r="RUR48" s="344"/>
      <c r="RUS48" s="344"/>
      <c r="RUT48" s="344"/>
      <c r="RUU48" s="344"/>
      <c r="RUV48" s="344"/>
      <c r="RUW48" s="344"/>
      <c r="RUX48" s="344"/>
      <c r="RUY48" s="344"/>
      <c r="RUZ48" s="344"/>
      <c r="RVA48" s="344"/>
      <c r="RVB48" s="344"/>
      <c r="RVC48" s="344"/>
      <c r="RVD48" s="344"/>
      <c r="RVE48" s="344"/>
      <c r="RVF48" s="344"/>
      <c r="RVG48" s="344"/>
      <c r="RVH48" s="344"/>
      <c r="RVI48" s="344"/>
      <c r="RVJ48" s="344"/>
      <c r="RVK48" s="344"/>
      <c r="RVL48" s="344"/>
      <c r="RVM48" s="344"/>
      <c r="RVN48" s="344"/>
      <c r="RVO48" s="344"/>
      <c r="RVP48" s="344"/>
      <c r="RVQ48" s="344"/>
      <c r="RVR48" s="344"/>
      <c r="RVS48" s="344"/>
      <c r="RVT48" s="344"/>
      <c r="RVU48" s="344"/>
      <c r="RVV48" s="344"/>
      <c r="RVW48" s="344"/>
      <c r="RVX48" s="344"/>
      <c r="RVY48" s="344"/>
      <c r="RVZ48" s="344"/>
      <c r="RWA48" s="344"/>
      <c r="RWB48" s="344"/>
      <c r="RWC48" s="344"/>
      <c r="RWD48" s="344"/>
      <c r="RWE48" s="344"/>
      <c r="RWF48" s="344"/>
      <c r="RWG48" s="344"/>
      <c r="RWH48" s="344"/>
      <c r="RWI48" s="344"/>
      <c r="RWJ48" s="344"/>
      <c r="RWK48" s="344"/>
      <c r="RWL48" s="344"/>
      <c r="RWM48" s="344"/>
      <c r="RWN48" s="344"/>
      <c r="RWO48" s="344"/>
      <c r="RWP48" s="344"/>
      <c r="RWQ48" s="344"/>
      <c r="RWR48" s="344"/>
      <c r="RWS48" s="344"/>
      <c r="RWT48" s="344"/>
      <c r="RWU48" s="344"/>
      <c r="RWV48" s="344"/>
      <c r="RWW48" s="344"/>
      <c r="RWX48" s="344"/>
      <c r="RWY48" s="344"/>
      <c r="RWZ48" s="344"/>
      <c r="RXA48" s="344"/>
      <c r="RXB48" s="344"/>
      <c r="RXC48" s="344"/>
      <c r="RXD48" s="344"/>
      <c r="RXE48" s="344"/>
      <c r="RXF48" s="344"/>
      <c r="RXG48" s="344"/>
      <c r="RXH48" s="344"/>
      <c r="RXI48" s="344"/>
      <c r="RXJ48" s="344"/>
      <c r="RXK48" s="344"/>
      <c r="RXL48" s="344"/>
      <c r="RXM48" s="344"/>
      <c r="RXN48" s="344"/>
      <c r="RXO48" s="344"/>
      <c r="RXP48" s="344"/>
      <c r="RXQ48" s="344"/>
      <c r="RXR48" s="344"/>
      <c r="RXS48" s="344"/>
      <c r="RXT48" s="344"/>
      <c r="RXU48" s="344"/>
      <c r="RXV48" s="344"/>
      <c r="RXW48" s="344"/>
      <c r="RXX48" s="344"/>
      <c r="RXY48" s="344"/>
      <c r="RXZ48" s="344"/>
      <c r="RYA48" s="344"/>
      <c r="RYB48" s="344"/>
      <c r="RYC48" s="344"/>
      <c r="RYD48" s="344"/>
      <c r="RYE48" s="344"/>
      <c r="RYF48" s="344"/>
      <c r="RYG48" s="344"/>
      <c r="RYH48" s="344"/>
      <c r="RYI48" s="344"/>
      <c r="RYJ48" s="344"/>
      <c r="RYK48" s="344"/>
      <c r="RYL48" s="344"/>
      <c r="RYM48" s="344"/>
      <c r="RYN48" s="344"/>
      <c r="RYO48" s="344"/>
      <c r="RYP48" s="344"/>
      <c r="RYQ48" s="344"/>
      <c r="RYR48" s="344"/>
      <c r="RYS48" s="344"/>
      <c r="RYT48" s="344"/>
      <c r="RYU48" s="344"/>
      <c r="RYV48" s="344"/>
      <c r="RYW48" s="344"/>
      <c r="RYX48" s="344"/>
      <c r="RYY48" s="344"/>
      <c r="RYZ48" s="344"/>
      <c r="RZA48" s="344"/>
      <c r="RZB48" s="344"/>
      <c r="RZC48" s="344"/>
      <c r="RZD48" s="344"/>
      <c r="RZE48" s="344"/>
      <c r="RZF48" s="344"/>
      <c r="RZG48" s="344"/>
      <c r="RZH48" s="344"/>
      <c r="RZI48" s="344"/>
      <c r="RZJ48" s="344"/>
      <c r="RZK48" s="344"/>
      <c r="RZL48" s="344"/>
      <c r="RZM48" s="344"/>
      <c r="RZN48" s="344"/>
      <c r="RZO48" s="344"/>
      <c r="RZP48" s="344"/>
      <c r="RZQ48" s="344"/>
      <c r="RZR48" s="344"/>
      <c r="RZS48" s="344"/>
      <c r="RZT48" s="344"/>
      <c r="RZU48" s="344"/>
      <c r="RZV48" s="344"/>
      <c r="RZW48" s="344"/>
      <c r="RZX48" s="344"/>
      <c r="RZY48" s="344"/>
      <c r="RZZ48" s="344"/>
      <c r="SAA48" s="344"/>
      <c r="SAB48" s="344"/>
      <c r="SAC48" s="344"/>
      <c r="SAD48" s="344"/>
      <c r="SAE48" s="344"/>
      <c r="SAF48" s="344"/>
      <c r="SAG48" s="344"/>
      <c r="SAH48" s="344"/>
      <c r="SAI48" s="344"/>
      <c r="SAJ48" s="344"/>
      <c r="SAK48" s="344"/>
      <c r="SAL48" s="344"/>
      <c r="SAM48" s="344"/>
      <c r="SAN48" s="344"/>
      <c r="SAO48" s="344"/>
      <c r="SAP48" s="344"/>
      <c r="SAQ48" s="344"/>
      <c r="SAR48" s="344"/>
      <c r="SAS48" s="344"/>
      <c r="SAT48" s="344"/>
      <c r="SAU48" s="344"/>
      <c r="SAV48" s="344"/>
      <c r="SAW48" s="344"/>
      <c r="SAX48" s="344"/>
      <c r="SAY48" s="344"/>
      <c r="SAZ48" s="344"/>
      <c r="SBA48" s="344"/>
      <c r="SBB48" s="344"/>
      <c r="SBC48" s="344"/>
      <c r="SBD48" s="344"/>
      <c r="SBE48" s="344"/>
      <c r="SBF48" s="344"/>
      <c r="SBG48" s="344"/>
      <c r="SBH48" s="344"/>
      <c r="SBI48" s="344"/>
      <c r="SBJ48" s="344"/>
      <c r="SBK48" s="344"/>
      <c r="SBL48" s="344"/>
      <c r="SBM48" s="344"/>
      <c r="SBN48" s="344"/>
      <c r="SBO48" s="344"/>
      <c r="SBP48" s="344"/>
      <c r="SBQ48" s="344"/>
      <c r="SBR48" s="344"/>
      <c r="SBS48" s="344"/>
      <c r="SBT48" s="344"/>
      <c r="SBU48" s="344"/>
      <c r="SBV48" s="344"/>
      <c r="SBW48" s="344"/>
      <c r="SBX48" s="344"/>
      <c r="SBY48" s="344"/>
      <c r="SBZ48" s="344"/>
      <c r="SCA48" s="344"/>
      <c r="SCB48" s="344"/>
      <c r="SCC48" s="344"/>
      <c r="SCD48" s="344"/>
      <c r="SCE48" s="344"/>
      <c r="SCF48" s="344"/>
      <c r="SCG48" s="344"/>
      <c r="SCH48" s="344"/>
      <c r="SCI48" s="344"/>
      <c r="SCJ48" s="344"/>
      <c r="SCK48" s="344"/>
      <c r="SCL48" s="344"/>
      <c r="SCM48" s="344"/>
      <c r="SCN48" s="344"/>
      <c r="SCO48" s="344"/>
      <c r="SCP48" s="344"/>
      <c r="SCQ48" s="344"/>
      <c r="SCR48" s="344"/>
      <c r="SCS48" s="344"/>
      <c r="SCT48" s="344"/>
      <c r="SCU48" s="344"/>
      <c r="SCV48" s="344"/>
      <c r="SCW48" s="344"/>
      <c r="SCX48" s="344"/>
      <c r="SCY48" s="344"/>
      <c r="SCZ48" s="344"/>
      <c r="SDA48" s="344"/>
      <c r="SDB48" s="344"/>
      <c r="SDC48" s="344"/>
      <c r="SDD48" s="344"/>
      <c r="SDE48" s="344"/>
      <c r="SDF48" s="344"/>
      <c r="SDG48" s="344"/>
      <c r="SDH48" s="344"/>
      <c r="SDI48" s="344"/>
      <c r="SDJ48" s="344"/>
      <c r="SDK48" s="344"/>
      <c r="SDL48" s="344"/>
      <c r="SDM48" s="344"/>
      <c r="SDN48" s="344"/>
      <c r="SDO48" s="344"/>
      <c r="SDP48" s="344"/>
      <c r="SDQ48" s="344"/>
      <c r="SDR48" s="344"/>
      <c r="SDS48" s="344"/>
      <c r="SDT48" s="344"/>
      <c r="SDU48" s="344"/>
      <c r="SDV48" s="344"/>
      <c r="SDW48" s="344"/>
      <c r="SDX48" s="344"/>
      <c r="SDY48" s="344"/>
      <c r="SDZ48" s="344"/>
      <c r="SEA48" s="344"/>
      <c r="SEB48" s="344"/>
      <c r="SEC48" s="344"/>
      <c r="SED48" s="344"/>
      <c r="SEE48" s="344"/>
      <c r="SEF48" s="344"/>
      <c r="SEG48" s="344"/>
      <c r="SEH48" s="344"/>
      <c r="SEI48" s="344"/>
      <c r="SEJ48" s="344"/>
      <c r="SEK48" s="344"/>
      <c r="SEL48" s="344"/>
      <c r="SEM48" s="344"/>
      <c r="SEN48" s="344"/>
      <c r="SEO48" s="344"/>
      <c r="SEP48" s="344"/>
      <c r="SEQ48" s="344"/>
      <c r="SER48" s="344"/>
      <c r="SES48" s="344"/>
      <c r="SET48" s="344"/>
      <c r="SEU48" s="344"/>
      <c r="SEV48" s="344"/>
      <c r="SEW48" s="344"/>
      <c r="SEX48" s="344"/>
      <c r="SEY48" s="344"/>
      <c r="SEZ48" s="344"/>
      <c r="SFA48" s="344"/>
      <c r="SFB48" s="344"/>
      <c r="SFC48" s="344"/>
      <c r="SFD48" s="344"/>
      <c r="SFE48" s="344"/>
      <c r="SFF48" s="344"/>
      <c r="SFG48" s="344"/>
      <c r="SFH48" s="344"/>
      <c r="SFI48" s="344"/>
      <c r="SFJ48" s="344"/>
      <c r="SFK48" s="344"/>
      <c r="SFL48" s="344"/>
      <c r="SFM48" s="344"/>
      <c r="SFN48" s="344"/>
      <c r="SFO48" s="344"/>
      <c r="SFP48" s="344"/>
      <c r="SFQ48" s="344"/>
      <c r="SFR48" s="344"/>
      <c r="SFS48" s="344"/>
      <c r="SFT48" s="344"/>
      <c r="SFU48" s="344"/>
      <c r="SFV48" s="344"/>
      <c r="SFW48" s="344"/>
      <c r="SFX48" s="344"/>
      <c r="SFY48" s="344"/>
      <c r="SFZ48" s="344"/>
      <c r="SGA48" s="344"/>
      <c r="SGB48" s="344"/>
      <c r="SGC48" s="344"/>
      <c r="SGD48" s="344"/>
      <c r="SGE48" s="344"/>
      <c r="SGF48" s="344"/>
      <c r="SGG48" s="344"/>
      <c r="SGH48" s="344"/>
      <c r="SGI48" s="344"/>
      <c r="SGJ48" s="344"/>
      <c r="SGK48" s="344"/>
      <c r="SGL48" s="344"/>
      <c r="SGM48" s="344"/>
      <c r="SGN48" s="344"/>
      <c r="SGO48" s="344"/>
      <c r="SGP48" s="344"/>
      <c r="SGQ48" s="344"/>
      <c r="SGR48" s="344"/>
      <c r="SGS48" s="344"/>
      <c r="SGT48" s="344"/>
      <c r="SGU48" s="344"/>
      <c r="SGV48" s="344"/>
      <c r="SGW48" s="344"/>
      <c r="SGX48" s="344"/>
      <c r="SGY48" s="344"/>
      <c r="SGZ48" s="344"/>
      <c r="SHA48" s="344"/>
      <c r="SHB48" s="344"/>
      <c r="SHC48" s="344"/>
      <c r="SHD48" s="344"/>
      <c r="SHE48" s="344"/>
      <c r="SHF48" s="344"/>
      <c r="SHG48" s="344"/>
      <c r="SHH48" s="344"/>
      <c r="SHI48" s="344"/>
      <c r="SHJ48" s="344"/>
      <c r="SHK48" s="344"/>
      <c r="SHL48" s="344"/>
      <c r="SHM48" s="344"/>
      <c r="SHN48" s="344"/>
      <c r="SHO48" s="344"/>
      <c r="SHP48" s="344"/>
      <c r="SHQ48" s="344"/>
      <c r="SHR48" s="344"/>
      <c r="SHS48" s="344"/>
      <c r="SHT48" s="344"/>
      <c r="SHU48" s="344"/>
      <c r="SHV48" s="344"/>
      <c r="SHW48" s="344"/>
      <c r="SHX48" s="344"/>
      <c r="SHY48" s="344"/>
      <c r="SHZ48" s="344"/>
      <c r="SIA48" s="344"/>
      <c r="SIB48" s="344"/>
      <c r="SIC48" s="344"/>
      <c r="SID48" s="344"/>
      <c r="SIE48" s="344"/>
      <c r="SIF48" s="344"/>
      <c r="SIG48" s="344"/>
      <c r="SIH48" s="344"/>
      <c r="SII48" s="344"/>
      <c r="SIJ48" s="344"/>
      <c r="SIK48" s="344"/>
      <c r="SIL48" s="344"/>
      <c r="SIM48" s="344"/>
      <c r="SIN48" s="344"/>
      <c r="SIO48" s="344"/>
      <c r="SIP48" s="344"/>
      <c r="SIQ48" s="344"/>
      <c r="SIR48" s="344"/>
      <c r="SIS48" s="344"/>
      <c r="SIT48" s="344"/>
      <c r="SIU48" s="344"/>
      <c r="SIV48" s="344"/>
      <c r="SIW48" s="344"/>
      <c r="SIX48" s="344"/>
      <c r="SIY48" s="344"/>
      <c r="SIZ48" s="344"/>
      <c r="SJA48" s="344"/>
      <c r="SJB48" s="344"/>
      <c r="SJC48" s="344"/>
      <c r="SJD48" s="344"/>
      <c r="SJE48" s="344"/>
      <c r="SJF48" s="344"/>
      <c r="SJG48" s="344"/>
      <c r="SJH48" s="344"/>
      <c r="SJI48" s="344"/>
      <c r="SJJ48" s="344"/>
      <c r="SJK48" s="344"/>
      <c r="SJL48" s="344"/>
      <c r="SJM48" s="344"/>
      <c r="SJN48" s="344"/>
      <c r="SJO48" s="344"/>
      <c r="SJP48" s="344"/>
      <c r="SJQ48" s="344"/>
      <c r="SJR48" s="344"/>
      <c r="SJS48" s="344"/>
      <c r="SJT48" s="344"/>
      <c r="SJU48" s="344"/>
      <c r="SJV48" s="344"/>
      <c r="SJW48" s="344"/>
      <c r="SJX48" s="344"/>
      <c r="SJY48" s="344"/>
      <c r="SJZ48" s="344"/>
      <c r="SKA48" s="344"/>
      <c r="SKB48" s="344"/>
      <c r="SKC48" s="344"/>
      <c r="SKD48" s="344"/>
      <c r="SKE48" s="344"/>
      <c r="SKF48" s="344"/>
      <c r="SKG48" s="344"/>
      <c r="SKH48" s="344"/>
      <c r="SKI48" s="344"/>
      <c r="SKJ48" s="344"/>
      <c r="SKK48" s="344"/>
      <c r="SKL48" s="344"/>
      <c r="SKM48" s="344"/>
      <c r="SKN48" s="344"/>
      <c r="SKO48" s="344"/>
      <c r="SKP48" s="344"/>
      <c r="SKQ48" s="344"/>
      <c r="SKR48" s="344"/>
      <c r="SKS48" s="344"/>
      <c r="SKT48" s="344"/>
      <c r="SKU48" s="344"/>
      <c r="SKV48" s="344"/>
      <c r="SKW48" s="344"/>
      <c r="SKX48" s="344"/>
      <c r="SKY48" s="344"/>
      <c r="SKZ48" s="344"/>
      <c r="SLA48" s="344"/>
      <c r="SLB48" s="344"/>
      <c r="SLC48" s="344"/>
      <c r="SLD48" s="344"/>
      <c r="SLE48" s="344"/>
      <c r="SLF48" s="344"/>
      <c r="SLG48" s="344"/>
      <c r="SLH48" s="344"/>
      <c r="SLI48" s="344"/>
      <c r="SLJ48" s="344"/>
      <c r="SLK48" s="344"/>
      <c r="SLL48" s="344"/>
      <c r="SLM48" s="344"/>
      <c r="SLN48" s="344"/>
      <c r="SLO48" s="344"/>
      <c r="SLP48" s="344"/>
      <c r="SLQ48" s="344"/>
      <c r="SLR48" s="344"/>
      <c r="SLS48" s="344"/>
      <c r="SLT48" s="344"/>
      <c r="SLU48" s="344"/>
      <c r="SLV48" s="344"/>
      <c r="SLW48" s="344"/>
      <c r="SLX48" s="344"/>
      <c r="SLY48" s="344"/>
      <c r="SLZ48" s="344"/>
      <c r="SMA48" s="344"/>
      <c r="SMB48" s="344"/>
      <c r="SMC48" s="344"/>
      <c r="SMD48" s="344"/>
      <c r="SME48" s="344"/>
      <c r="SMF48" s="344"/>
      <c r="SMG48" s="344"/>
      <c r="SMH48" s="344"/>
      <c r="SMI48" s="344"/>
      <c r="SMJ48" s="344"/>
      <c r="SMK48" s="344"/>
      <c r="SML48" s="344"/>
      <c r="SMM48" s="344"/>
      <c r="SMN48" s="344"/>
      <c r="SMO48" s="344"/>
      <c r="SMP48" s="344"/>
      <c r="SMQ48" s="344"/>
      <c r="SMR48" s="344"/>
      <c r="SMS48" s="344"/>
      <c r="SMT48" s="344"/>
      <c r="SMU48" s="344"/>
      <c r="SMV48" s="344"/>
      <c r="SMW48" s="344"/>
      <c r="SMX48" s="344"/>
      <c r="SMY48" s="344"/>
      <c r="SMZ48" s="344"/>
      <c r="SNA48" s="344"/>
      <c r="SNB48" s="344"/>
      <c r="SNC48" s="344"/>
      <c r="SND48" s="344"/>
      <c r="SNE48" s="344"/>
      <c r="SNF48" s="344"/>
      <c r="SNG48" s="344"/>
      <c r="SNH48" s="344"/>
      <c r="SNI48" s="344"/>
      <c r="SNJ48" s="344"/>
      <c r="SNK48" s="344"/>
      <c r="SNL48" s="344"/>
      <c r="SNM48" s="344"/>
      <c r="SNN48" s="344"/>
      <c r="SNO48" s="344"/>
      <c r="SNP48" s="344"/>
      <c r="SNQ48" s="344"/>
      <c r="SNR48" s="344"/>
      <c r="SNS48" s="344"/>
      <c r="SNT48" s="344"/>
      <c r="SNU48" s="344"/>
      <c r="SNV48" s="344"/>
      <c r="SNW48" s="344"/>
      <c r="SNX48" s="344"/>
      <c r="SNY48" s="344"/>
      <c r="SNZ48" s="344"/>
      <c r="SOA48" s="344"/>
      <c r="SOB48" s="344"/>
      <c r="SOC48" s="344"/>
      <c r="SOD48" s="344"/>
      <c r="SOE48" s="344"/>
      <c r="SOF48" s="344"/>
      <c r="SOG48" s="344"/>
      <c r="SOH48" s="344"/>
      <c r="SOI48" s="344"/>
      <c r="SOJ48" s="344"/>
      <c r="SOK48" s="344"/>
      <c r="SOL48" s="344"/>
      <c r="SOM48" s="344"/>
      <c r="SON48" s="344"/>
      <c r="SOO48" s="344"/>
      <c r="SOP48" s="344"/>
      <c r="SOQ48" s="344"/>
      <c r="SOR48" s="344"/>
      <c r="SOS48" s="344"/>
      <c r="SOT48" s="344"/>
      <c r="SOU48" s="344"/>
      <c r="SOV48" s="344"/>
      <c r="SOW48" s="344"/>
      <c r="SOX48" s="344"/>
      <c r="SOY48" s="344"/>
      <c r="SOZ48" s="344"/>
      <c r="SPA48" s="344"/>
      <c r="SPB48" s="344"/>
      <c r="SPC48" s="344"/>
      <c r="SPD48" s="344"/>
      <c r="SPE48" s="344"/>
      <c r="SPF48" s="344"/>
      <c r="SPG48" s="344"/>
      <c r="SPH48" s="344"/>
      <c r="SPI48" s="344"/>
      <c r="SPJ48" s="344"/>
      <c r="SPK48" s="344"/>
      <c r="SPL48" s="344"/>
      <c r="SPM48" s="344"/>
      <c r="SPN48" s="344"/>
      <c r="SPO48" s="344"/>
      <c r="SPP48" s="344"/>
      <c r="SPQ48" s="344"/>
      <c r="SPR48" s="344"/>
      <c r="SPS48" s="344"/>
      <c r="SPT48" s="344"/>
      <c r="SPU48" s="344"/>
      <c r="SPV48" s="344"/>
      <c r="SPW48" s="344"/>
      <c r="SPX48" s="344"/>
      <c r="SPY48" s="344"/>
      <c r="SPZ48" s="344"/>
      <c r="SQA48" s="344"/>
      <c r="SQB48" s="344"/>
      <c r="SQC48" s="344"/>
      <c r="SQD48" s="344"/>
      <c r="SQE48" s="344"/>
      <c r="SQF48" s="344"/>
      <c r="SQG48" s="344"/>
      <c r="SQH48" s="344"/>
      <c r="SQI48" s="344"/>
      <c r="SQJ48" s="344"/>
      <c r="SQK48" s="344"/>
      <c r="SQL48" s="344"/>
      <c r="SQM48" s="344"/>
      <c r="SQN48" s="344"/>
      <c r="SQO48" s="344"/>
      <c r="SQP48" s="344"/>
      <c r="SQQ48" s="344"/>
      <c r="SQR48" s="344"/>
      <c r="SQS48" s="344"/>
      <c r="SQT48" s="344"/>
      <c r="SQU48" s="344"/>
      <c r="SQV48" s="344"/>
      <c r="SQW48" s="344"/>
      <c r="SQX48" s="344"/>
      <c r="SQY48" s="344"/>
      <c r="SQZ48" s="344"/>
      <c r="SRA48" s="344"/>
      <c r="SRB48" s="344"/>
      <c r="SRC48" s="344"/>
      <c r="SRD48" s="344"/>
      <c r="SRE48" s="344"/>
      <c r="SRF48" s="344"/>
      <c r="SRG48" s="344"/>
      <c r="SRH48" s="344"/>
      <c r="SRI48" s="344"/>
      <c r="SRJ48" s="344"/>
      <c r="SRK48" s="344"/>
      <c r="SRL48" s="344"/>
      <c r="SRM48" s="344"/>
      <c r="SRN48" s="344"/>
      <c r="SRO48" s="344"/>
      <c r="SRP48" s="344"/>
      <c r="SRQ48" s="344"/>
      <c r="SRR48" s="344"/>
      <c r="SRS48" s="344"/>
      <c r="SRT48" s="344"/>
      <c r="SRU48" s="344"/>
      <c r="SRV48" s="344"/>
      <c r="SRW48" s="344"/>
      <c r="SRX48" s="344"/>
      <c r="SRY48" s="344"/>
      <c r="SRZ48" s="344"/>
      <c r="SSA48" s="344"/>
      <c r="SSB48" s="344"/>
      <c r="SSC48" s="344"/>
      <c r="SSD48" s="344"/>
      <c r="SSE48" s="344"/>
      <c r="SSF48" s="344"/>
      <c r="SSG48" s="344"/>
      <c r="SSH48" s="344"/>
      <c r="SSI48" s="344"/>
      <c r="SSJ48" s="344"/>
      <c r="SSK48" s="344"/>
      <c r="SSL48" s="344"/>
      <c r="SSM48" s="344"/>
      <c r="SSN48" s="344"/>
      <c r="SSO48" s="344"/>
      <c r="SSP48" s="344"/>
      <c r="SSQ48" s="344"/>
      <c r="SSR48" s="344"/>
      <c r="SSS48" s="344"/>
      <c r="SST48" s="344"/>
      <c r="SSU48" s="344"/>
      <c r="SSV48" s="344"/>
      <c r="SSW48" s="344"/>
      <c r="SSX48" s="344"/>
      <c r="SSY48" s="344"/>
      <c r="SSZ48" s="344"/>
      <c r="STA48" s="344"/>
      <c r="STB48" s="344"/>
      <c r="STC48" s="344"/>
      <c r="STD48" s="344"/>
      <c r="STE48" s="344"/>
      <c r="STF48" s="344"/>
      <c r="STG48" s="344"/>
      <c r="STH48" s="344"/>
      <c r="STI48" s="344"/>
      <c r="STJ48" s="344"/>
      <c r="STK48" s="344"/>
      <c r="STL48" s="344"/>
      <c r="STM48" s="344"/>
      <c r="STN48" s="344"/>
      <c r="STO48" s="344"/>
      <c r="STP48" s="344"/>
      <c r="STQ48" s="344"/>
      <c r="STR48" s="344"/>
      <c r="STS48" s="344"/>
      <c r="STT48" s="344"/>
      <c r="STU48" s="344"/>
      <c r="STV48" s="344"/>
      <c r="STW48" s="344"/>
      <c r="STX48" s="344"/>
      <c r="STY48" s="344"/>
      <c r="STZ48" s="344"/>
      <c r="SUA48" s="344"/>
      <c r="SUB48" s="344"/>
      <c r="SUC48" s="344"/>
      <c r="SUD48" s="344"/>
      <c r="SUE48" s="344"/>
      <c r="SUF48" s="344"/>
      <c r="SUG48" s="344"/>
      <c r="SUH48" s="344"/>
      <c r="SUI48" s="344"/>
      <c r="SUJ48" s="344"/>
      <c r="SUK48" s="344"/>
      <c r="SUL48" s="344"/>
      <c r="SUM48" s="344"/>
      <c r="SUN48" s="344"/>
      <c r="SUO48" s="344"/>
      <c r="SUP48" s="344"/>
      <c r="SUQ48" s="344"/>
      <c r="SUR48" s="344"/>
      <c r="SUS48" s="344"/>
      <c r="SUT48" s="344"/>
      <c r="SUU48" s="344"/>
      <c r="SUV48" s="344"/>
      <c r="SUW48" s="344"/>
      <c r="SUX48" s="344"/>
      <c r="SUY48" s="344"/>
      <c r="SUZ48" s="344"/>
      <c r="SVA48" s="344"/>
      <c r="SVB48" s="344"/>
      <c r="SVC48" s="344"/>
      <c r="SVD48" s="344"/>
      <c r="SVE48" s="344"/>
      <c r="SVF48" s="344"/>
      <c r="SVG48" s="344"/>
      <c r="SVH48" s="344"/>
      <c r="SVI48" s="344"/>
      <c r="SVJ48" s="344"/>
      <c r="SVK48" s="344"/>
      <c r="SVL48" s="344"/>
      <c r="SVM48" s="344"/>
      <c r="SVN48" s="344"/>
      <c r="SVO48" s="344"/>
      <c r="SVP48" s="344"/>
      <c r="SVQ48" s="344"/>
      <c r="SVR48" s="344"/>
      <c r="SVS48" s="344"/>
      <c r="SVT48" s="344"/>
      <c r="SVU48" s="344"/>
      <c r="SVV48" s="344"/>
      <c r="SVW48" s="344"/>
      <c r="SVX48" s="344"/>
      <c r="SVY48" s="344"/>
      <c r="SVZ48" s="344"/>
      <c r="SWA48" s="344"/>
      <c r="SWB48" s="344"/>
      <c r="SWC48" s="344"/>
      <c r="SWD48" s="344"/>
      <c r="SWE48" s="344"/>
      <c r="SWF48" s="344"/>
      <c r="SWG48" s="344"/>
      <c r="SWH48" s="344"/>
      <c r="SWI48" s="344"/>
      <c r="SWJ48" s="344"/>
      <c r="SWK48" s="344"/>
      <c r="SWL48" s="344"/>
      <c r="SWM48" s="344"/>
      <c r="SWN48" s="344"/>
      <c r="SWO48" s="344"/>
      <c r="SWP48" s="344"/>
      <c r="SWQ48" s="344"/>
      <c r="SWR48" s="344"/>
      <c r="SWS48" s="344"/>
      <c r="SWT48" s="344"/>
      <c r="SWU48" s="344"/>
      <c r="SWV48" s="344"/>
      <c r="SWW48" s="344"/>
      <c r="SWX48" s="344"/>
      <c r="SWY48" s="344"/>
      <c r="SWZ48" s="344"/>
      <c r="SXA48" s="344"/>
      <c r="SXB48" s="344"/>
      <c r="SXC48" s="344"/>
      <c r="SXD48" s="344"/>
      <c r="SXE48" s="344"/>
      <c r="SXF48" s="344"/>
      <c r="SXG48" s="344"/>
      <c r="SXH48" s="344"/>
      <c r="SXI48" s="344"/>
      <c r="SXJ48" s="344"/>
      <c r="SXK48" s="344"/>
      <c r="SXL48" s="344"/>
      <c r="SXM48" s="344"/>
      <c r="SXN48" s="344"/>
      <c r="SXO48" s="344"/>
      <c r="SXP48" s="344"/>
      <c r="SXQ48" s="344"/>
      <c r="SXR48" s="344"/>
      <c r="SXS48" s="344"/>
      <c r="SXT48" s="344"/>
      <c r="SXU48" s="344"/>
      <c r="SXV48" s="344"/>
      <c r="SXW48" s="344"/>
      <c r="SXX48" s="344"/>
      <c r="SXY48" s="344"/>
      <c r="SXZ48" s="344"/>
      <c r="SYA48" s="344"/>
      <c r="SYB48" s="344"/>
      <c r="SYC48" s="344"/>
      <c r="SYD48" s="344"/>
      <c r="SYE48" s="344"/>
      <c r="SYF48" s="344"/>
      <c r="SYG48" s="344"/>
      <c r="SYH48" s="344"/>
      <c r="SYI48" s="344"/>
      <c r="SYJ48" s="344"/>
      <c r="SYK48" s="344"/>
      <c r="SYL48" s="344"/>
      <c r="SYM48" s="344"/>
      <c r="SYN48" s="344"/>
      <c r="SYO48" s="344"/>
      <c r="SYP48" s="344"/>
      <c r="SYQ48" s="344"/>
      <c r="SYR48" s="344"/>
      <c r="SYS48" s="344"/>
      <c r="SYT48" s="344"/>
      <c r="SYU48" s="344"/>
      <c r="SYV48" s="344"/>
      <c r="SYW48" s="344"/>
      <c r="SYX48" s="344"/>
      <c r="SYY48" s="344"/>
      <c r="SYZ48" s="344"/>
      <c r="SZA48" s="344"/>
      <c r="SZB48" s="344"/>
      <c r="SZC48" s="344"/>
      <c r="SZD48" s="344"/>
      <c r="SZE48" s="344"/>
      <c r="SZF48" s="344"/>
      <c r="SZG48" s="344"/>
      <c r="SZH48" s="344"/>
      <c r="SZI48" s="344"/>
      <c r="SZJ48" s="344"/>
      <c r="SZK48" s="344"/>
      <c r="SZL48" s="344"/>
      <c r="SZM48" s="344"/>
      <c r="SZN48" s="344"/>
      <c r="SZO48" s="344"/>
      <c r="SZP48" s="344"/>
      <c r="SZQ48" s="344"/>
      <c r="SZR48" s="344"/>
      <c r="SZS48" s="344"/>
      <c r="SZT48" s="344"/>
      <c r="SZU48" s="344"/>
      <c r="SZV48" s="344"/>
      <c r="SZW48" s="344"/>
      <c r="SZX48" s="344"/>
      <c r="SZY48" s="344"/>
      <c r="SZZ48" s="344"/>
      <c r="TAA48" s="344"/>
      <c r="TAB48" s="344"/>
      <c r="TAC48" s="344"/>
      <c r="TAD48" s="344"/>
      <c r="TAE48" s="344"/>
      <c r="TAF48" s="344"/>
      <c r="TAG48" s="344"/>
      <c r="TAH48" s="344"/>
      <c r="TAI48" s="344"/>
      <c r="TAJ48" s="344"/>
      <c r="TAK48" s="344"/>
      <c r="TAL48" s="344"/>
      <c r="TAM48" s="344"/>
      <c r="TAN48" s="344"/>
      <c r="TAO48" s="344"/>
      <c r="TAP48" s="344"/>
      <c r="TAQ48" s="344"/>
      <c r="TAR48" s="344"/>
      <c r="TAS48" s="344"/>
      <c r="TAT48" s="344"/>
      <c r="TAU48" s="344"/>
      <c r="TAV48" s="344"/>
      <c r="TAW48" s="344"/>
      <c r="TAX48" s="344"/>
      <c r="TAY48" s="344"/>
      <c r="TAZ48" s="344"/>
      <c r="TBA48" s="344"/>
      <c r="TBB48" s="344"/>
      <c r="TBC48" s="344"/>
      <c r="TBD48" s="344"/>
      <c r="TBE48" s="344"/>
      <c r="TBF48" s="344"/>
      <c r="TBG48" s="344"/>
      <c r="TBH48" s="344"/>
      <c r="TBI48" s="344"/>
      <c r="TBJ48" s="344"/>
      <c r="TBK48" s="344"/>
      <c r="TBL48" s="344"/>
      <c r="TBM48" s="344"/>
      <c r="TBN48" s="344"/>
      <c r="TBO48" s="344"/>
      <c r="TBP48" s="344"/>
      <c r="TBQ48" s="344"/>
      <c r="TBR48" s="344"/>
      <c r="TBS48" s="344"/>
      <c r="TBT48" s="344"/>
      <c r="TBU48" s="344"/>
      <c r="TBV48" s="344"/>
      <c r="TBW48" s="344"/>
      <c r="TBX48" s="344"/>
      <c r="TBY48" s="344"/>
      <c r="TBZ48" s="344"/>
      <c r="TCA48" s="344"/>
      <c r="TCB48" s="344"/>
      <c r="TCC48" s="344"/>
      <c r="TCD48" s="344"/>
      <c r="TCE48" s="344"/>
      <c r="TCF48" s="344"/>
      <c r="TCG48" s="344"/>
      <c r="TCH48" s="344"/>
      <c r="TCI48" s="344"/>
      <c r="TCJ48" s="344"/>
      <c r="TCK48" s="344"/>
      <c r="TCL48" s="344"/>
      <c r="TCM48" s="344"/>
      <c r="TCN48" s="344"/>
      <c r="TCO48" s="344"/>
      <c r="TCP48" s="344"/>
      <c r="TCQ48" s="344"/>
      <c r="TCR48" s="344"/>
      <c r="TCS48" s="344"/>
      <c r="TCT48" s="344"/>
      <c r="TCU48" s="344"/>
      <c r="TCV48" s="344"/>
      <c r="TCW48" s="344"/>
      <c r="TCX48" s="344"/>
      <c r="TCY48" s="344"/>
      <c r="TCZ48" s="344"/>
      <c r="TDA48" s="344"/>
      <c r="TDB48" s="344"/>
      <c r="TDC48" s="344"/>
      <c r="TDD48" s="344"/>
      <c r="TDE48" s="344"/>
      <c r="TDF48" s="344"/>
      <c r="TDG48" s="344"/>
      <c r="TDH48" s="344"/>
      <c r="TDI48" s="344"/>
      <c r="TDJ48" s="344"/>
      <c r="TDK48" s="344"/>
      <c r="TDL48" s="344"/>
      <c r="TDM48" s="344"/>
      <c r="TDN48" s="344"/>
      <c r="TDO48" s="344"/>
      <c r="TDP48" s="344"/>
      <c r="TDQ48" s="344"/>
      <c r="TDR48" s="344"/>
      <c r="TDS48" s="344"/>
      <c r="TDT48" s="344"/>
      <c r="TDU48" s="344"/>
      <c r="TDV48" s="344"/>
      <c r="TDW48" s="344"/>
      <c r="TDX48" s="344"/>
      <c r="TDY48" s="344"/>
      <c r="TDZ48" s="344"/>
      <c r="TEA48" s="344"/>
      <c r="TEB48" s="344"/>
      <c r="TEC48" s="344"/>
      <c r="TED48" s="344"/>
      <c r="TEE48" s="344"/>
      <c r="TEF48" s="344"/>
      <c r="TEG48" s="344"/>
      <c r="TEH48" s="344"/>
      <c r="TEI48" s="344"/>
      <c r="TEJ48" s="344"/>
      <c r="TEK48" s="344"/>
      <c r="TEL48" s="344"/>
      <c r="TEM48" s="344"/>
      <c r="TEN48" s="344"/>
      <c r="TEO48" s="344"/>
      <c r="TEP48" s="344"/>
      <c r="TEQ48" s="344"/>
      <c r="TER48" s="344"/>
      <c r="TES48" s="344"/>
      <c r="TET48" s="344"/>
      <c r="TEU48" s="344"/>
      <c r="TEV48" s="344"/>
      <c r="TEW48" s="344"/>
      <c r="TEX48" s="344"/>
      <c r="TEY48" s="344"/>
      <c r="TEZ48" s="344"/>
      <c r="TFA48" s="344"/>
      <c r="TFB48" s="344"/>
      <c r="TFC48" s="344"/>
      <c r="TFD48" s="344"/>
      <c r="TFE48" s="344"/>
      <c r="TFF48" s="344"/>
      <c r="TFG48" s="344"/>
      <c r="TFH48" s="344"/>
      <c r="TFI48" s="344"/>
      <c r="TFJ48" s="344"/>
      <c r="TFK48" s="344"/>
      <c r="TFL48" s="344"/>
      <c r="TFM48" s="344"/>
      <c r="TFN48" s="344"/>
      <c r="TFO48" s="344"/>
      <c r="TFP48" s="344"/>
      <c r="TFQ48" s="344"/>
      <c r="TFR48" s="344"/>
      <c r="TFS48" s="344"/>
      <c r="TFT48" s="344"/>
      <c r="TFU48" s="344"/>
      <c r="TFV48" s="344"/>
      <c r="TFW48" s="344"/>
      <c r="TFX48" s="344"/>
      <c r="TFY48" s="344"/>
      <c r="TFZ48" s="344"/>
      <c r="TGA48" s="344"/>
      <c r="TGB48" s="344"/>
      <c r="TGC48" s="344"/>
      <c r="TGD48" s="344"/>
      <c r="TGE48" s="344"/>
      <c r="TGF48" s="344"/>
      <c r="TGG48" s="344"/>
      <c r="TGH48" s="344"/>
      <c r="TGI48" s="344"/>
      <c r="TGJ48" s="344"/>
      <c r="TGK48" s="344"/>
      <c r="TGL48" s="344"/>
      <c r="TGM48" s="344"/>
      <c r="TGN48" s="344"/>
      <c r="TGO48" s="344"/>
      <c r="TGP48" s="344"/>
      <c r="TGQ48" s="344"/>
      <c r="TGR48" s="344"/>
      <c r="TGS48" s="344"/>
      <c r="TGT48" s="344"/>
      <c r="TGU48" s="344"/>
      <c r="TGV48" s="344"/>
      <c r="TGW48" s="344"/>
      <c r="TGX48" s="344"/>
      <c r="TGY48" s="344"/>
      <c r="TGZ48" s="344"/>
      <c r="THA48" s="344"/>
      <c r="THB48" s="344"/>
      <c r="THC48" s="344"/>
      <c r="THD48" s="344"/>
      <c r="THE48" s="344"/>
      <c r="THF48" s="344"/>
      <c r="THG48" s="344"/>
      <c r="THH48" s="344"/>
      <c r="THI48" s="344"/>
      <c r="THJ48" s="344"/>
      <c r="THK48" s="344"/>
      <c r="THL48" s="344"/>
      <c r="THM48" s="344"/>
      <c r="THN48" s="344"/>
      <c r="THO48" s="344"/>
      <c r="THP48" s="344"/>
      <c r="THQ48" s="344"/>
      <c r="THR48" s="344"/>
      <c r="THS48" s="344"/>
      <c r="THT48" s="344"/>
      <c r="THU48" s="344"/>
      <c r="THV48" s="344"/>
      <c r="THW48" s="344"/>
      <c r="THX48" s="344"/>
      <c r="THY48" s="344"/>
      <c r="THZ48" s="344"/>
      <c r="TIA48" s="344"/>
      <c r="TIB48" s="344"/>
      <c r="TIC48" s="344"/>
      <c r="TID48" s="344"/>
      <c r="TIE48" s="344"/>
      <c r="TIF48" s="344"/>
      <c r="TIG48" s="344"/>
      <c r="TIH48" s="344"/>
      <c r="TII48" s="344"/>
      <c r="TIJ48" s="344"/>
      <c r="TIK48" s="344"/>
      <c r="TIL48" s="344"/>
      <c r="TIM48" s="344"/>
      <c r="TIN48" s="344"/>
      <c r="TIO48" s="344"/>
      <c r="TIP48" s="344"/>
      <c r="TIQ48" s="344"/>
      <c r="TIR48" s="344"/>
      <c r="TIS48" s="344"/>
      <c r="TIT48" s="344"/>
      <c r="TIU48" s="344"/>
      <c r="TIV48" s="344"/>
      <c r="TIW48" s="344"/>
      <c r="TIX48" s="344"/>
      <c r="TIY48" s="344"/>
      <c r="TIZ48" s="344"/>
      <c r="TJA48" s="344"/>
      <c r="TJB48" s="344"/>
      <c r="TJC48" s="344"/>
      <c r="TJD48" s="344"/>
      <c r="TJE48" s="344"/>
      <c r="TJF48" s="344"/>
      <c r="TJG48" s="344"/>
      <c r="TJH48" s="344"/>
      <c r="TJI48" s="344"/>
      <c r="TJJ48" s="344"/>
      <c r="TJK48" s="344"/>
      <c r="TJL48" s="344"/>
      <c r="TJM48" s="344"/>
      <c r="TJN48" s="344"/>
      <c r="TJO48" s="344"/>
      <c r="TJP48" s="344"/>
      <c r="TJQ48" s="344"/>
      <c r="TJR48" s="344"/>
      <c r="TJS48" s="344"/>
      <c r="TJT48" s="344"/>
      <c r="TJU48" s="344"/>
      <c r="TJV48" s="344"/>
      <c r="TJW48" s="344"/>
      <c r="TJX48" s="344"/>
      <c r="TJY48" s="344"/>
      <c r="TJZ48" s="344"/>
      <c r="TKA48" s="344"/>
      <c r="TKB48" s="344"/>
      <c r="TKC48" s="344"/>
      <c r="TKD48" s="344"/>
      <c r="TKE48" s="344"/>
      <c r="TKF48" s="344"/>
      <c r="TKG48" s="344"/>
      <c r="TKH48" s="344"/>
      <c r="TKI48" s="344"/>
      <c r="TKJ48" s="344"/>
      <c r="TKK48" s="344"/>
      <c r="TKL48" s="344"/>
      <c r="TKM48" s="344"/>
      <c r="TKN48" s="344"/>
      <c r="TKO48" s="344"/>
      <c r="TKP48" s="344"/>
      <c r="TKQ48" s="344"/>
      <c r="TKR48" s="344"/>
      <c r="TKS48" s="344"/>
      <c r="TKT48" s="344"/>
      <c r="TKU48" s="344"/>
      <c r="TKV48" s="344"/>
      <c r="TKW48" s="344"/>
      <c r="TKX48" s="344"/>
      <c r="TKY48" s="344"/>
      <c r="TKZ48" s="344"/>
      <c r="TLA48" s="344"/>
      <c r="TLB48" s="344"/>
      <c r="TLC48" s="344"/>
      <c r="TLD48" s="344"/>
      <c r="TLE48" s="344"/>
      <c r="TLF48" s="344"/>
      <c r="TLG48" s="344"/>
      <c r="TLH48" s="344"/>
      <c r="TLI48" s="344"/>
      <c r="TLJ48" s="344"/>
      <c r="TLK48" s="344"/>
      <c r="TLL48" s="344"/>
      <c r="TLM48" s="344"/>
      <c r="TLN48" s="344"/>
      <c r="TLO48" s="344"/>
      <c r="TLP48" s="344"/>
      <c r="TLQ48" s="344"/>
      <c r="TLR48" s="344"/>
      <c r="TLS48" s="344"/>
      <c r="TLT48" s="344"/>
      <c r="TLU48" s="344"/>
      <c r="TLV48" s="344"/>
      <c r="TLW48" s="344"/>
      <c r="TLX48" s="344"/>
      <c r="TLY48" s="344"/>
      <c r="TLZ48" s="344"/>
      <c r="TMA48" s="344"/>
      <c r="TMB48" s="344"/>
      <c r="TMC48" s="344"/>
      <c r="TMD48" s="344"/>
      <c r="TME48" s="344"/>
      <c r="TMF48" s="344"/>
      <c r="TMG48" s="344"/>
      <c r="TMH48" s="344"/>
      <c r="TMI48" s="344"/>
      <c r="TMJ48" s="344"/>
      <c r="TMK48" s="344"/>
      <c r="TML48" s="344"/>
      <c r="TMM48" s="344"/>
      <c r="TMN48" s="344"/>
      <c r="TMO48" s="344"/>
      <c r="TMP48" s="344"/>
      <c r="TMQ48" s="344"/>
      <c r="TMR48" s="344"/>
      <c r="TMS48" s="344"/>
      <c r="TMT48" s="344"/>
      <c r="TMU48" s="344"/>
      <c r="TMV48" s="344"/>
      <c r="TMW48" s="344"/>
      <c r="TMX48" s="344"/>
      <c r="TMY48" s="344"/>
      <c r="TMZ48" s="344"/>
      <c r="TNA48" s="344"/>
      <c r="TNB48" s="344"/>
      <c r="TNC48" s="344"/>
      <c r="TND48" s="344"/>
      <c r="TNE48" s="344"/>
      <c r="TNF48" s="344"/>
      <c r="TNG48" s="344"/>
      <c r="TNH48" s="344"/>
      <c r="TNI48" s="344"/>
      <c r="TNJ48" s="344"/>
      <c r="TNK48" s="344"/>
      <c r="TNL48" s="344"/>
      <c r="TNM48" s="344"/>
      <c r="TNN48" s="344"/>
      <c r="TNO48" s="344"/>
      <c r="TNP48" s="344"/>
      <c r="TNQ48" s="344"/>
      <c r="TNR48" s="344"/>
      <c r="TNS48" s="344"/>
      <c r="TNT48" s="344"/>
      <c r="TNU48" s="344"/>
      <c r="TNV48" s="344"/>
      <c r="TNW48" s="344"/>
      <c r="TNX48" s="344"/>
      <c r="TNY48" s="344"/>
      <c r="TNZ48" s="344"/>
      <c r="TOA48" s="344"/>
      <c r="TOB48" s="344"/>
      <c r="TOC48" s="344"/>
      <c r="TOD48" s="344"/>
      <c r="TOE48" s="344"/>
      <c r="TOF48" s="344"/>
      <c r="TOG48" s="344"/>
      <c r="TOH48" s="344"/>
      <c r="TOI48" s="344"/>
      <c r="TOJ48" s="344"/>
      <c r="TOK48" s="344"/>
      <c r="TOL48" s="344"/>
      <c r="TOM48" s="344"/>
      <c r="TON48" s="344"/>
      <c r="TOO48" s="344"/>
      <c r="TOP48" s="344"/>
      <c r="TOQ48" s="344"/>
      <c r="TOR48" s="344"/>
      <c r="TOS48" s="344"/>
      <c r="TOT48" s="344"/>
      <c r="TOU48" s="344"/>
      <c r="TOV48" s="344"/>
      <c r="TOW48" s="344"/>
      <c r="TOX48" s="344"/>
      <c r="TOY48" s="344"/>
      <c r="TOZ48" s="344"/>
      <c r="TPA48" s="344"/>
      <c r="TPB48" s="344"/>
      <c r="TPC48" s="344"/>
      <c r="TPD48" s="344"/>
      <c r="TPE48" s="344"/>
      <c r="TPF48" s="344"/>
      <c r="TPG48" s="344"/>
      <c r="TPH48" s="344"/>
      <c r="TPI48" s="344"/>
      <c r="TPJ48" s="344"/>
      <c r="TPK48" s="344"/>
      <c r="TPL48" s="344"/>
      <c r="TPM48" s="344"/>
      <c r="TPN48" s="344"/>
      <c r="TPO48" s="344"/>
      <c r="TPP48" s="344"/>
      <c r="TPQ48" s="344"/>
      <c r="TPR48" s="344"/>
      <c r="TPS48" s="344"/>
      <c r="TPT48" s="344"/>
      <c r="TPU48" s="344"/>
      <c r="TPV48" s="344"/>
      <c r="TPW48" s="344"/>
      <c r="TPX48" s="344"/>
      <c r="TPY48" s="344"/>
      <c r="TPZ48" s="344"/>
      <c r="TQA48" s="344"/>
      <c r="TQB48" s="344"/>
      <c r="TQC48" s="344"/>
      <c r="TQD48" s="344"/>
      <c r="TQE48" s="344"/>
      <c r="TQF48" s="344"/>
      <c r="TQG48" s="344"/>
      <c r="TQH48" s="344"/>
      <c r="TQI48" s="344"/>
      <c r="TQJ48" s="344"/>
      <c r="TQK48" s="344"/>
      <c r="TQL48" s="344"/>
      <c r="TQM48" s="344"/>
      <c r="TQN48" s="344"/>
      <c r="TQO48" s="344"/>
      <c r="TQP48" s="344"/>
      <c r="TQQ48" s="344"/>
      <c r="TQR48" s="344"/>
      <c r="TQS48" s="344"/>
      <c r="TQT48" s="344"/>
      <c r="TQU48" s="344"/>
      <c r="TQV48" s="344"/>
      <c r="TQW48" s="344"/>
      <c r="TQX48" s="344"/>
      <c r="TQY48" s="344"/>
      <c r="TQZ48" s="344"/>
      <c r="TRA48" s="344"/>
      <c r="TRB48" s="344"/>
      <c r="TRC48" s="344"/>
      <c r="TRD48" s="344"/>
      <c r="TRE48" s="344"/>
      <c r="TRF48" s="344"/>
      <c r="TRG48" s="344"/>
      <c r="TRH48" s="344"/>
      <c r="TRI48" s="344"/>
      <c r="TRJ48" s="344"/>
      <c r="TRK48" s="344"/>
      <c r="TRL48" s="344"/>
      <c r="TRM48" s="344"/>
      <c r="TRN48" s="344"/>
      <c r="TRO48" s="344"/>
      <c r="TRP48" s="344"/>
      <c r="TRQ48" s="344"/>
      <c r="TRR48" s="344"/>
      <c r="TRS48" s="344"/>
      <c r="TRT48" s="344"/>
      <c r="TRU48" s="344"/>
      <c r="TRV48" s="344"/>
      <c r="TRW48" s="344"/>
      <c r="TRX48" s="344"/>
      <c r="TRY48" s="344"/>
      <c r="TRZ48" s="344"/>
      <c r="TSA48" s="344"/>
      <c r="TSB48" s="344"/>
      <c r="TSC48" s="344"/>
      <c r="TSD48" s="344"/>
      <c r="TSE48" s="344"/>
      <c r="TSF48" s="344"/>
      <c r="TSG48" s="344"/>
      <c r="TSH48" s="344"/>
      <c r="TSI48" s="344"/>
      <c r="TSJ48" s="344"/>
      <c r="TSK48" s="344"/>
      <c r="TSL48" s="344"/>
      <c r="TSM48" s="344"/>
      <c r="TSN48" s="344"/>
      <c r="TSO48" s="344"/>
      <c r="TSP48" s="344"/>
      <c r="TSQ48" s="344"/>
      <c r="TSR48" s="344"/>
      <c r="TSS48" s="344"/>
      <c r="TST48" s="344"/>
      <c r="TSU48" s="344"/>
      <c r="TSV48" s="344"/>
      <c r="TSW48" s="344"/>
      <c r="TSX48" s="344"/>
      <c r="TSY48" s="344"/>
      <c r="TSZ48" s="344"/>
      <c r="TTA48" s="344"/>
      <c r="TTB48" s="344"/>
      <c r="TTC48" s="344"/>
      <c r="TTD48" s="344"/>
      <c r="TTE48" s="344"/>
      <c r="TTF48" s="344"/>
      <c r="TTG48" s="344"/>
      <c r="TTH48" s="344"/>
      <c r="TTI48" s="344"/>
      <c r="TTJ48" s="344"/>
      <c r="TTK48" s="344"/>
      <c r="TTL48" s="344"/>
      <c r="TTM48" s="344"/>
      <c r="TTN48" s="344"/>
      <c r="TTO48" s="344"/>
      <c r="TTP48" s="344"/>
      <c r="TTQ48" s="344"/>
      <c r="TTR48" s="344"/>
      <c r="TTS48" s="344"/>
      <c r="TTT48" s="344"/>
      <c r="TTU48" s="344"/>
      <c r="TTV48" s="344"/>
      <c r="TTW48" s="344"/>
      <c r="TTX48" s="344"/>
      <c r="TTY48" s="344"/>
      <c r="TTZ48" s="344"/>
      <c r="TUA48" s="344"/>
      <c r="TUB48" s="344"/>
      <c r="TUC48" s="344"/>
      <c r="TUD48" s="344"/>
      <c r="TUE48" s="344"/>
      <c r="TUF48" s="344"/>
      <c r="TUG48" s="344"/>
      <c r="TUH48" s="344"/>
      <c r="TUI48" s="344"/>
      <c r="TUJ48" s="344"/>
      <c r="TUK48" s="344"/>
      <c r="TUL48" s="344"/>
      <c r="TUM48" s="344"/>
      <c r="TUN48" s="344"/>
      <c r="TUO48" s="344"/>
      <c r="TUP48" s="344"/>
      <c r="TUQ48" s="344"/>
      <c r="TUR48" s="344"/>
      <c r="TUS48" s="344"/>
      <c r="TUT48" s="344"/>
      <c r="TUU48" s="344"/>
      <c r="TUV48" s="344"/>
      <c r="TUW48" s="344"/>
      <c r="TUX48" s="344"/>
      <c r="TUY48" s="344"/>
      <c r="TUZ48" s="344"/>
      <c r="TVA48" s="344"/>
      <c r="TVB48" s="344"/>
      <c r="TVC48" s="344"/>
      <c r="TVD48" s="344"/>
      <c r="TVE48" s="344"/>
      <c r="TVF48" s="344"/>
      <c r="TVG48" s="344"/>
      <c r="TVH48" s="344"/>
      <c r="TVI48" s="344"/>
      <c r="TVJ48" s="344"/>
      <c r="TVK48" s="344"/>
      <c r="TVL48" s="344"/>
      <c r="TVM48" s="344"/>
      <c r="TVN48" s="344"/>
      <c r="TVO48" s="344"/>
      <c r="TVP48" s="344"/>
      <c r="TVQ48" s="344"/>
      <c r="TVR48" s="344"/>
      <c r="TVS48" s="344"/>
      <c r="TVT48" s="344"/>
      <c r="TVU48" s="344"/>
      <c r="TVV48" s="344"/>
      <c r="TVW48" s="344"/>
      <c r="TVX48" s="344"/>
      <c r="TVY48" s="344"/>
      <c r="TVZ48" s="344"/>
      <c r="TWA48" s="344"/>
      <c r="TWB48" s="344"/>
      <c r="TWC48" s="344"/>
      <c r="TWD48" s="344"/>
      <c r="TWE48" s="344"/>
      <c r="TWF48" s="344"/>
      <c r="TWG48" s="344"/>
      <c r="TWH48" s="344"/>
      <c r="TWI48" s="344"/>
      <c r="TWJ48" s="344"/>
      <c r="TWK48" s="344"/>
      <c r="TWL48" s="344"/>
      <c r="TWM48" s="344"/>
      <c r="TWN48" s="344"/>
      <c r="TWO48" s="344"/>
      <c r="TWP48" s="344"/>
      <c r="TWQ48" s="344"/>
      <c r="TWR48" s="344"/>
      <c r="TWS48" s="344"/>
      <c r="TWT48" s="344"/>
      <c r="TWU48" s="344"/>
      <c r="TWV48" s="344"/>
      <c r="TWW48" s="344"/>
      <c r="TWX48" s="344"/>
      <c r="TWY48" s="344"/>
      <c r="TWZ48" s="344"/>
      <c r="TXA48" s="344"/>
      <c r="TXB48" s="344"/>
      <c r="TXC48" s="344"/>
      <c r="TXD48" s="344"/>
      <c r="TXE48" s="344"/>
      <c r="TXF48" s="344"/>
      <c r="TXG48" s="344"/>
      <c r="TXH48" s="344"/>
      <c r="TXI48" s="344"/>
      <c r="TXJ48" s="344"/>
      <c r="TXK48" s="344"/>
      <c r="TXL48" s="344"/>
      <c r="TXM48" s="344"/>
      <c r="TXN48" s="344"/>
      <c r="TXO48" s="344"/>
      <c r="TXP48" s="344"/>
      <c r="TXQ48" s="344"/>
      <c r="TXR48" s="344"/>
      <c r="TXS48" s="344"/>
      <c r="TXT48" s="344"/>
      <c r="TXU48" s="344"/>
      <c r="TXV48" s="344"/>
      <c r="TXW48" s="344"/>
      <c r="TXX48" s="344"/>
      <c r="TXY48" s="344"/>
      <c r="TXZ48" s="344"/>
      <c r="TYA48" s="344"/>
      <c r="TYB48" s="344"/>
      <c r="TYC48" s="344"/>
      <c r="TYD48" s="344"/>
      <c r="TYE48" s="344"/>
      <c r="TYF48" s="344"/>
      <c r="TYG48" s="344"/>
      <c r="TYH48" s="344"/>
      <c r="TYI48" s="344"/>
      <c r="TYJ48" s="344"/>
      <c r="TYK48" s="344"/>
      <c r="TYL48" s="344"/>
      <c r="TYM48" s="344"/>
      <c r="TYN48" s="344"/>
      <c r="TYO48" s="344"/>
      <c r="TYP48" s="344"/>
      <c r="TYQ48" s="344"/>
      <c r="TYR48" s="344"/>
      <c r="TYS48" s="344"/>
      <c r="TYT48" s="344"/>
      <c r="TYU48" s="344"/>
      <c r="TYV48" s="344"/>
      <c r="TYW48" s="344"/>
      <c r="TYX48" s="344"/>
      <c r="TYY48" s="344"/>
      <c r="TYZ48" s="344"/>
      <c r="TZA48" s="344"/>
      <c r="TZB48" s="344"/>
      <c r="TZC48" s="344"/>
      <c r="TZD48" s="344"/>
      <c r="TZE48" s="344"/>
      <c r="TZF48" s="344"/>
      <c r="TZG48" s="344"/>
      <c r="TZH48" s="344"/>
      <c r="TZI48" s="344"/>
      <c r="TZJ48" s="344"/>
      <c r="TZK48" s="344"/>
      <c r="TZL48" s="344"/>
      <c r="TZM48" s="344"/>
      <c r="TZN48" s="344"/>
      <c r="TZO48" s="344"/>
      <c r="TZP48" s="344"/>
      <c r="TZQ48" s="344"/>
      <c r="TZR48" s="344"/>
      <c r="TZS48" s="344"/>
      <c r="TZT48" s="344"/>
      <c r="TZU48" s="344"/>
      <c r="TZV48" s="344"/>
      <c r="TZW48" s="344"/>
      <c r="TZX48" s="344"/>
      <c r="TZY48" s="344"/>
      <c r="TZZ48" s="344"/>
      <c r="UAA48" s="344"/>
      <c r="UAB48" s="344"/>
      <c r="UAC48" s="344"/>
      <c r="UAD48" s="344"/>
      <c r="UAE48" s="344"/>
      <c r="UAF48" s="344"/>
      <c r="UAG48" s="344"/>
      <c r="UAH48" s="344"/>
      <c r="UAI48" s="344"/>
      <c r="UAJ48" s="344"/>
      <c r="UAK48" s="344"/>
      <c r="UAL48" s="344"/>
      <c r="UAM48" s="344"/>
      <c r="UAN48" s="344"/>
      <c r="UAO48" s="344"/>
      <c r="UAP48" s="344"/>
      <c r="UAQ48" s="344"/>
      <c r="UAR48" s="344"/>
      <c r="UAS48" s="344"/>
      <c r="UAT48" s="344"/>
      <c r="UAU48" s="344"/>
      <c r="UAV48" s="344"/>
      <c r="UAW48" s="344"/>
      <c r="UAX48" s="344"/>
      <c r="UAY48" s="344"/>
      <c r="UAZ48" s="344"/>
      <c r="UBA48" s="344"/>
      <c r="UBB48" s="344"/>
      <c r="UBC48" s="344"/>
      <c r="UBD48" s="344"/>
      <c r="UBE48" s="344"/>
      <c r="UBF48" s="344"/>
      <c r="UBG48" s="344"/>
      <c r="UBH48" s="344"/>
      <c r="UBI48" s="344"/>
      <c r="UBJ48" s="344"/>
      <c r="UBK48" s="344"/>
      <c r="UBL48" s="344"/>
      <c r="UBM48" s="344"/>
      <c r="UBN48" s="344"/>
      <c r="UBO48" s="344"/>
      <c r="UBP48" s="344"/>
      <c r="UBQ48" s="344"/>
      <c r="UBR48" s="344"/>
      <c r="UBS48" s="344"/>
      <c r="UBT48" s="344"/>
      <c r="UBU48" s="344"/>
      <c r="UBV48" s="344"/>
      <c r="UBW48" s="344"/>
      <c r="UBX48" s="344"/>
      <c r="UBY48" s="344"/>
      <c r="UBZ48" s="344"/>
      <c r="UCA48" s="344"/>
      <c r="UCB48" s="344"/>
      <c r="UCC48" s="344"/>
      <c r="UCD48" s="344"/>
      <c r="UCE48" s="344"/>
      <c r="UCF48" s="344"/>
      <c r="UCG48" s="344"/>
      <c r="UCH48" s="344"/>
      <c r="UCI48" s="344"/>
      <c r="UCJ48" s="344"/>
      <c r="UCK48" s="344"/>
      <c r="UCL48" s="344"/>
      <c r="UCM48" s="344"/>
      <c r="UCN48" s="344"/>
      <c r="UCO48" s="344"/>
      <c r="UCP48" s="344"/>
      <c r="UCQ48" s="344"/>
      <c r="UCR48" s="344"/>
      <c r="UCS48" s="344"/>
      <c r="UCT48" s="344"/>
      <c r="UCU48" s="344"/>
      <c r="UCV48" s="344"/>
      <c r="UCW48" s="344"/>
      <c r="UCX48" s="344"/>
      <c r="UCY48" s="344"/>
      <c r="UCZ48" s="344"/>
      <c r="UDA48" s="344"/>
      <c r="UDB48" s="344"/>
      <c r="UDC48" s="344"/>
      <c r="UDD48" s="344"/>
      <c r="UDE48" s="344"/>
      <c r="UDF48" s="344"/>
      <c r="UDG48" s="344"/>
      <c r="UDH48" s="344"/>
      <c r="UDI48" s="344"/>
      <c r="UDJ48" s="344"/>
      <c r="UDK48" s="344"/>
      <c r="UDL48" s="344"/>
      <c r="UDM48" s="344"/>
      <c r="UDN48" s="344"/>
      <c r="UDO48" s="344"/>
      <c r="UDP48" s="344"/>
      <c r="UDQ48" s="344"/>
      <c r="UDR48" s="344"/>
      <c r="UDS48" s="344"/>
      <c r="UDT48" s="344"/>
      <c r="UDU48" s="344"/>
      <c r="UDV48" s="344"/>
      <c r="UDW48" s="344"/>
      <c r="UDX48" s="344"/>
      <c r="UDY48" s="344"/>
      <c r="UDZ48" s="344"/>
      <c r="UEA48" s="344"/>
      <c r="UEB48" s="344"/>
      <c r="UEC48" s="344"/>
      <c r="UED48" s="344"/>
      <c r="UEE48" s="344"/>
      <c r="UEF48" s="344"/>
      <c r="UEG48" s="344"/>
      <c r="UEH48" s="344"/>
      <c r="UEI48" s="344"/>
      <c r="UEJ48" s="344"/>
      <c r="UEK48" s="344"/>
      <c r="UEL48" s="344"/>
      <c r="UEM48" s="344"/>
      <c r="UEN48" s="344"/>
      <c r="UEO48" s="344"/>
      <c r="UEP48" s="344"/>
      <c r="UEQ48" s="344"/>
      <c r="UER48" s="344"/>
      <c r="UES48" s="344"/>
      <c r="UET48" s="344"/>
      <c r="UEU48" s="344"/>
      <c r="UEV48" s="344"/>
      <c r="UEW48" s="344"/>
      <c r="UEX48" s="344"/>
      <c r="UEY48" s="344"/>
      <c r="UEZ48" s="344"/>
      <c r="UFA48" s="344"/>
      <c r="UFB48" s="344"/>
      <c r="UFC48" s="344"/>
      <c r="UFD48" s="344"/>
      <c r="UFE48" s="344"/>
      <c r="UFF48" s="344"/>
      <c r="UFG48" s="344"/>
      <c r="UFH48" s="344"/>
      <c r="UFI48" s="344"/>
      <c r="UFJ48" s="344"/>
      <c r="UFK48" s="344"/>
      <c r="UFL48" s="344"/>
      <c r="UFM48" s="344"/>
      <c r="UFN48" s="344"/>
      <c r="UFO48" s="344"/>
      <c r="UFP48" s="344"/>
      <c r="UFQ48" s="344"/>
      <c r="UFR48" s="344"/>
      <c r="UFS48" s="344"/>
      <c r="UFT48" s="344"/>
      <c r="UFU48" s="344"/>
      <c r="UFV48" s="344"/>
      <c r="UFW48" s="344"/>
      <c r="UFX48" s="344"/>
      <c r="UFY48" s="344"/>
      <c r="UFZ48" s="344"/>
      <c r="UGA48" s="344"/>
      <c r="UGB48" s="344"/>
      <c r="UGC48" s="344"/>
      <c r="UGD48" s="344"/>
      <c r="UGE48" s="344"/>
      <c r="UGF48" s="344"/>
      <c r="UGG48" s="344"/>
      <c r="UGH48" s="344"/>
      <c r="UGI48" s="344"/>
      <c r="UGJ48" s="344"/>
      <c r="UGK48" s="344"/>
      <c r="UGL48" s="344"/>
      <c r="UGM48" s="344"/>
      <c r="UGN48" s="344"/>
      <c r="UGO48" s="344"/>
      <c r="UGP48" s="344"/>
      <c r="UGQ48" s="344"/>
      <c r="UGR48" s="344"/>
      <c r="UGS48" s="344"/>
      <c r="UGT48" s="344"/>
      <c r="UGU48" s="344"/>
      <c r="UGV48" s="344"/>
      <c r="UGW48" s="344"/>
      <c r="UGX48" s="344"/>
      <c r="UGY48" s="344"/>
      <c r="UGZ48" s="344"/>
      <c r="UHA48" s="344"/>
      <c r="UHB48" s="344"/>
      <c r="UHC48" s="344"/>
      <c r="UHD48" s="344"/>
      <c r="UHE48" s="344"/>
      <c r="UHF48" s="344"/>
      <c r="UHG48" s="344"/>
      <c r="UHH48" s="344"/>
      <c r="UHI48" s="344"/>
      <c r="UHJ48" s="344"/>
      <c r="UHK48" s="344"/>
      <c r="UHL48" s="344"/>
      <c r="UHM48" s="344"/>
      <c r="UHN48" s="344"/>
      <c r="UHO48" s="344"/>
      <c r="UHP48" s="344"/>
      <c r="UHQ48" s="344"/>
      <c r="UHR48" s="344"/>
      <c r="UHS48" s="344"/>
      <c r="UHT48" s="344"/>
      <c r="UHU48" s="344"/>
      <c r="UHV48" s="344"/>
      <c r="UHW48" s="344"/>
      <c r="UHX48" s="344"/>
      <c r="UHY48" s="344"/>
      <c r="UHZ48" s="344"/>
      <c r="UIA48" s="344"/>
      <c r="UIB48" s="344"/>
      <c r="UIC48" s="344"/>
      <c r="UID48" s="344"/>
      <c r="UIE48" s="344"/>
      <c r="UIF48" s="344"/>
      <c r="UIG48" s="344"/>
      <c r="UIH48" s="344"/>
      <c r="UII48" s="344"/>
      <c r="UIJ48" s="344"/>
      <c r="UIK48" s="344"/>
      <c r="UIL48" s="344"/>
      <c r="UIM48" s="344"/>
      <c r="UIN48" s="344"/>
      <c r="UIO48" s="344"/>
      <c r="UIP48" s="344"/>
      <c r="UIQ48" s="344"/>
      <c r="UIR48" s="344"/>
      <c r="UIS48" s="344"/>
      <c r="UIT48" s="344"/>
      <c r="UIU48" s="344"/>
      <c r="UIV48" s="344"/>
      <c r="UIW48" s="344"/>
      <c r="UIX48" s="344"/>
      <c r="UIY48" s="344"/>
      <c r="UIZ48" s="344"/>
      <c r="UJA48" s="344"/>
      <c r="UJB48" s="344"/>
      <c r="UJC48" s="344"/>
      <c r="UJD48" s="344"/>
      <c r="UJE48" s="344"/>
      <c r="UJF48" s="344"/>
      <c r="UJG48" s="344"/>
      <c r="UJH48" s="344"/>
      <c r="UJI48" s="344"/>
      <c r="UJJ48" s="344"/>
      <c r="UJK48" s="344"/>
      <c r="UJL48" s="344"/>
      <c r="UJM48" s="344"/>
      <c r="UJN48" s="344"/>
      <c r="UJO48" s="344"/>
      <c r="UJP48" s="344"/>
      <c r="UJQ48" s="344"/>
      <c r="UJR48" s="344"/>
      <c r="UJS48" s="344"/>
      <c r="UJT48" s="344"/>
      <c r="UJU48" s="344"/>
      <c r="UJV48" s="344"/>
      <c r="UJW48" s="344"/>
      <c r="UJX48" s="344"/>
      <c r="UJY48" s="344"/>
      <c r="UJZ48" s="344"/>
      <c r="UKA48" s="344"/>
      <c r="UKB48" s="344"/>
      <c r="UKC48" s="344"/>
      <c r="UKD48" s="344"/>
      <c r="UKE48" s="344"/>
      <c r="UKF48" s="344"/>
      <c r="UKG48" s="344"/>
      <c r="UKH48" s="344"/>
      <c r="UKI48" s="344"/>
      <c r="UKJ48" s="344"/>
      <c r="UKK48" s="344"/>
      <c r="UKL48" s="344"/>
      <c r="UKM48" s="344"/>
      <c r="UKN48" s="344"/>
      <c r="UKO48" s="344"/>
      <c r="UKP48" s="344"/>
      <c r="UKQ48" s="344"/>
      <c r="UKR48" s="344"/>
      <c r="UKS48" s="344"/>
      <c r="UKT48" s="344"/>
      <c r="UKU48" s="344"/>
      <c r="UKV48" s="344"/>
      <c r="UKW48" s="344"/>
      <c r="UKX48" s="344"/>
      <c r="UKY48" s="344"/>
      <c r="UKZ48" s="344"/>
      <c r="ULA48" s="344"/>
      <c r="ULB48" s="344"/>
      <c r="ULC48" s="344"/>
      <c r="ULD48" s="344"/>
      <c r="ULE48" s="344"/>
      <c r="ULF48" s="344"/>
      <c r="ULG48" s="344"/>
      <c r="ULH48" s="344"/>
      <c r="ULI48" s="344"/>
      <c r="ULJ48" s="344"/>
      <c r="ULK48" s="344"/>
      <c r="ULL48" s="344"/>
      <c r="ULM48" s="344"/>
      <c r="ULN48" s="344"/>
      <c r="ULO48" s="344"/>
      <c r="ULP48" s="344"/>
      <c r="ULQ48" s="344"/>
      <c r="ULR48" s="344"/>
      <c r="ULS48" s="344"/>
      <c r="ULT48" s="344"/>
      <c r="ULU48" s="344"/>
      <c r="ULV48" s="344"/>
      <c r="ULW48" s="344"/>
      <c r="ULX48" s="344"/>
      <c r="ULY48" s="344"/>
      <c r="ULZ48" s="344"/>
      <c r="UMA48" s="344"/>
      <c r="UMB48" s="344"/>
      <c r="UMC48" s="344"/>
      <c r="UMD48" s="344"/>
      <c r="UME48" s="344"/>
      <c r="UMF48" s="344"/>
      <c r="UMG48" s="344"/>
      <c r="UMH48" s="344"/>
      <c r="UMI48" s="344"/>
      <c r="UMJ48" s="344"/>
      <c r="UMK48" s="344"/>
      <c r="UML48" s="344"/>
      <c r="UMM48" s="344"/>
      <c r="UMN48" s="344"/>
      <c r="UMO48" s="344"/>
      <c r="UMP48" s="344"/>
      <c r="UMQ48" s="344"/>
      <c r="UMR48" s="344"/>
      <c r="UMS48" s="344"/>
      <c r="UMT48" s="344"/>
      <c r="UMU48" s="344"/>
      <c r="UMV48" s="344"/>
      <c r="UMW48" s="344"/>
      <c r="UMX48" s="344"/>
      <c r="UMY48" s="344"/>
      <c r="UMZ48" s="344"/>
      <c r="UNA48" s="344"/>
      <c r="UNB48" s="344"/>
      <c r="UNC48" s="344"/>
      <c r="UND48" s="344"/>
      <c r="UNE48" s="344"/>
      <c r="UNF48" s="344"/>
      <c r="UNG48" s="344"/>
      <c r="UNH48" s="344"/>
      <c r="UNI48" s="344"/>
      <c r="UNJ48" s="344"/>
      <c r="UNK48" s="344"/>
      <c r="UNL48" s="344"/>
      <c r="UNM48" s="344"/>
      <c r="UNN48" s="344"/>
      <c r="UNO48" s="344"/>
      <c r="UNP48" s="344"/>
      <c r="UNQ48" s="344"/>
      <c r="UNR48" s="344"/>
      <c r="UNS48" s="344"/>
      <c r="UNT48" s="344"/>
      <c r="UNU48" s="344"/>
      <c r="UNV48" s="344"/>
      <c r="UNW48" s="344"/>
      <c r="UNX48" s="344"/>
      <c r="UNY48" s="344"/>
      <c r="UNZ48" s="344"/>
      <c r="UOA48" s="344"/>
      <c r="UOB48" s="344"/>
      <c r="UOC48" s="344"/>
      <c r="UOD48" s="344"/>
      <c r="UOE48" s="344"/>
      <c r="UOF48" s="344"/>
      <c r="UOG48" s="344"/>
      <c r="UOH48" s="344"/>
      <c r="UOI48" s="344"/>
      <c r="UOJ48" s="344"/>
      <c r="UOK48" s="344"/>
      <c r="UOL48" s="344"/>
      <c r="UOM48" s="344"/>
      <c r="UON48" s="344"/>
      <c r="UOO48" s="344"/>
      <c r="UOP48" s="344"/>
      <c r="UOQ48" s="344"/>
      <c r="UOR48" s="344"/>
      <c r="UOS48" s="344"/>
      <c r="UOT48" s="344"/>
      <c r="UOU48" s="344"/>
      <c r="UOV48" s="344"/>
      <c r="UOW48" s="344"/>
      <c r="UOX48" s="344"/>
      <c r="UOY48" s="344"/>
      <c r="UOZ48" s="344"/>
      <c r="UPA48" s="344"/>
      <c r="UPB48" s="344"/>
      <c r="UPC48" s="344"/>
      <c r="UPD48" s="344"/>
      <c r="UPE48" s="344"/>
      <c r="UPF48" s="344"/>
      <c r="UPG48" s="344"/>
      <c r="UPH48" s="344"/>
      <c r="UPI48" s="344"/>
      <c r="UPJ48" s="344"/>
      <c r="UPK48" s="344"/>
      <c r="UPL48" s="344"/>
      <c r="UPM48" s="344"/>
      <c r="UPN48" s="344"/>
      <c r="UPO48" s="344"/>
      <c r="UPP48" s="344"/>
      <c r="UPQ48" s="344"/>
      <c r="UPR48" s="344"/>
      <c r="UPS48" s="344"/>
      <c r="UPT48" s="344"/>
      <c r="UPU48" s="344"/>
      <c r="UPV48" s="344"/>
      <c r="UPW48" s="344"/>
      <c r="UPX48" s="344"/>
      <c r="UPY48" s="344"/>
      <c r="UPZ48" s="344"/>
      <c r="UQA48" s="344"/>
      <c r="UQB48" s="344"/>
      <c r="UQC48" s="344"/>
      <c r="UQD48" s="344"/>
      <c r="UQE48" s="344"/>
      <c r="UQF48" s="344"/>
      <c r="UQG48" s="344"/>
      <c r="UQH48" s="344"/>
      <c r="UQI48" s="344"/>
      <c r="UQJ48" s="344"/>
      <c r="UQK48" s="344"/>
      <c r="UQL48" s="344"/>
      <c r="UQM48" s="344"/>
      <c r="UQN48" s="344"/>
      <c r="UQO48" s="344"/>
      <c r="UQP48" s="344"/>
      <c r="UQQ48" s="344"/>
      <c r="UQR48" s="344"/>
      <c r="UQS48" s="344"/>
      <c r="UQT48" s="344"/>
      <c r="UQU48" s="344"/>
      <c r="UQV48" s="344"/>
      <c r="UQW48" s="344"/>
      <c r="UQX48" s="344"/>
      <c r="UQY48" s="344"/>
      <c r="UQZ48" s="344"/>
      <c r="URA48" s="344"/>
      <c r="URB48" s="344"/>
      <c r="URC48" s="344"/>
      <c r="URD48" s="344"/>
      <c r="URE48" s="344"/>
      <c r="URF48" s="344"/>
      <c r="URG48" s="344"/>
      <c r="URH48" s="344"/>
      <c r="URI48" s="344"/>
      <c r="URJ48" s="344"/>
      <c r="URK48" s="344"/>
      <c r="URL48" s="344"/>
      <c r="URM48" s="344"/>
      <c r="URN48" s="344"/>
      <c r="URO48" s="344"/>
      <c r="URP48" s="344"/>
      <c r="URQ48" s="344"/>
      <c r="URR48" s="344"/>
      <c r="URS48" s="344"/>
      <c r="URT48" s="344"/>
      <c r="URU48" s="344"/>
      <c r="URV48" s="344"/>
      <c r="URW48" s="344"/>
      <c r="URX48" s="344"/>
      <c r="URY48" s="344"/>
      <c r="URZ48" s="344"/>
      <c r="USA48" s="344"/>
      <c r="USB48" s="344"/>
      <c r="USC48" s="344"/>
      <c r="USD48" s="344"/>
      <c r="USE48" s="344"/>
      <c r="USF48" s="344"/>
      <c r="USG48" s="344"/>
      <c r="USH48" s="344"/>
      <c r="USI48" s="344"/>
      <c r="USJ48" s="344"/>
      <c r="USK48" s="344"/>
      <c r="USL48" s="344"/>
      <c r="USM48" s="344"/>
      <c r="USN48" s="344"/>
      <c r="USO48" s="344"/>
      <c r="USP48" s="344"/>
      <c r="USQ48" s="344"/>
      <c r="USR48" s="344"/>
      <c r="USS48" s="344"/>
      <c r="UST48" s="344"/>
      <c r="USU48" s="344"/>
      <c r="USV48" s="344"/>
      <c r="USW48" s="344"/>
      <c r="USX48" s="344"/>
      <c r="USY48" s="344"/>
      <c r="USZ48" s="344"/>
      <c r="UTA48" s="344"/>
      <c r="UTB48" s="344"/>
      <c r="UTC48" s="344"/>
      <c r="UTD48" s="344"/>
      <c r="UTE48" s="344"/>
      <c r="UTF48" s="344"/>
      <c r="UTG48" s="344"/>
      <c r="UTH48" s="344"/>
      <c r="UTI48" s="344"/>
      <c r="UTJ48" s="344"/>
      <c r="UTK48" s="344"/>
      <c r="UTL48" s="344"/>
      <c r="UTM48" s="344"/>
      <c r="UTN48" s="344"/>
      <c r="UTO48" s="344"/>
      <c r="UTP48" s="344"/>
      <c r="UTQ48" s="344"/>
      <c r="UTR48" s="344"/>
      <c r="UTS48" s="344"/>
      <c r="UTT48" s="344"/>
      <c r="UTU48" s="344"/>
      <c r="UTV48" s="344"/>
      <c r="UTW48" s="344"/>
      <c r="UTX48" s="344"/>
      <c r="UTY48" s="344"/>
      <c r="UTZ48" s="344"/>
      <c r="UUA48" s="344"/>
      <c r="UUB48" s="344"/>
      <c r="UUC48" s="344"/>
      <c r="UUD48" s="344"/>
      <c r="UUE48" s="344"/>
      <c r="UUF48" s="344"/>
      <c r="UUG48" s="344"/>
      <c r="UUH48" s="344"/>
      <c r="UUI48" s="344"/>
      <c r="UUJ48" s="344"/>
      <c r="UUK48" s="344"/>
      <c r="UUL48" s="344"/>
      <c r="UUM48" s="344"/>
      <c r="UUN48" s="344"/>
      <c r="UUO48" s="344"/>
      <c r="UUP48" s="344"/>
      <c r="UUQ48" s="344"/>
      <c r="UUR48" s="344"/>
      <c r="UUS48" s="344"/>
      <c r="UUT48" s="344"/>
      <c r="UUU48" s="344"/>
      <c r="UUV48" s="344"/>
      <c r="UUW48" s="344"/>
      <c r="UUX48" s="344"/>
      <c r="UUY48" s="344"/>
      <c r="UUZ48" s="344"/>
      <c r="UVA48" s="344"/>
      <c r="UVB48" s="344"/>
      <c r="UVC48" s="344"/>
      <c r="UVD48" s="344"/>
      <c r="UVE48" s="344"/>
      <c r="UVF48" s="344"/>
      <c r="UVG48" s="344"/>
      <c r="UVH48" s="344"/>
      <c r="UVI48" s="344"/>
      <c r="UVJ48" s="344"/>
      <c r="UVK48" s="344"/>
      <c r="UVL48" s="344"/>
      <c r="UVM48" s="344"/>
      <c r="UVN48" s="344"/>
      <c r="UVO48" s="344"/>
      <c r="UVP48" s="344"/>
      <c r="UVQ48" s="344"/>
      <c r="UVR48" s="344"/>
      <c r="UVS48" s="344"/>
      <c r="UVT48" s="344"/>
      <c r="UVU48" s="344"/>
      <c r="UVV48" s="344"/>
      <c r="UVW48" s="344"/>
      <c r="UVX48" s="344"/>
      <c r="UVY48" s="344"/>
      <c r="UVZ48" s="344"/>
      <c r="UWA48" s="344"/>
      <c r="UWB48" s="344"/>
      <c r="UWC48" s="344"/>
      <c r="UWD48" s="344"/>
      <c r="UWE48" s="344"/>
      <c r="UWF48" s="344"/>
      <c r="UWG48" s="344"/>
      <c r="UWH48" s="344"/>
      <c r="UWI48" s="344"/>
      <c r="UWJ48" s="344"/>
      <c r="UWK48" s="344"/>
      <c r="UWL48" s="344"/>
      <c r="UWM48" s="344"/>
      <c r="UWN48" s="344"/>
      <c r="UWO48" s="344"/>
      <c r="UWP48" s="344"/>
      <c r="UWQ48" s="344"/>
      <c r="UWR48" s="344"/>
      <c r="UWS48" s="344"/>
      <c r="UWT48" s="344"/>
      <c r="UWU48" s="344"/>
      <c r="UWV48" s="344"/>
      <c r="UWW48" s="344"/>
      <c r="UWX48" s="344"/>
      <c r="UWY48" s="344"/>
      <c r="UWZ48" s="344"/>
      <c r="UXA48" s="344"/>
      <c r="UXB48" s="344"/>
      <c r="UXC48" s="344"/>
      <c r="UXD48" s="344"/>
      <c r="UXE48" s="344"/>
      <c r="UXF48" s="344"/>
      <c r="UXG48" s="344"/>
      <c r="UXH48" s="344"/>
      <c r="UXI48" s="344"/>
      <c r="UXJ48" s="344"/>
      <c r="UXK48" s="344"/>
      <c r="UXL48" s="344"/>
      <c r="UXM48" s="344"/>
      <c r="UXN48" s="344"/>
      <c r="UXO48" s="344"/>
      <c r="UXP48" s="344"/>
      <c r="UXQ48" s="344"/>
      <c r="UXR48" s="344"/>
      <c r="UXS48" s="344"/>
      <c r="UXT48" s="344"/>
      <c r="UXU48" s="344"/>
      <c r="UXV48" s="344"/>
      <c r="UXW48" s="344"/>
      <c r="UXX48" s="344"/>
      <c r="UXY48" s="344"/>
      <c r="UXZ48" s="344"/>
      <c r="UYA48" s="344"/>
      <c r="UYB48" s="344"/>
      <c r="UYC48" s="344"/>
      <c r="UYD48" s="344"/>
      <c r="UYE48" s="344"/>
      <c r="UYF48" s="344"/>
      <c r="UYG48" s="344"/>
      <c r="UYH48" s="344"/>
      <c r="UYI48" s="344"/>
      <c r="UYJ48" s="344"/>
      <c r="UYK48" s="344"/>
      <c r="UYL48" s="344"/>
      <c r="UYM48" s="344"/>
      <c r="UYN48" s="344"/>
      <c r="UYO48" s="344"/>
      <c r="UYP48" s="344"/>
      <c r="UYQ48" s="344"/>
      <c r="UYR48" s="344"/>
      <c r="UYS48" s="344"/>
      <c r="UYT48" s="344"/>
      <c r="UYU48" s="344"/>
      <c r="UYV48" s="344"/>
      <c r="UYW48" s="344"/>
      <c r="UYX48" s="344"/>
      <c r="UYY48" s="344"/>
      <c r="UYZ48" s="344"/>
      <c r="UZA48" s="344"/>
      <c r="UZB48" s="344"/>
      <c r="UZC48" s="344"/>
      <c r="UZD48" s="344"/>
      <c r="UZE48" s="344"/>
      <c r="UZF48" s="344"/>
      <c r="UZG48" s="344"/>
      <c r="UZH48" s="344"/>
      <c r="UZI48" s="344"/>
      <c r="UZJ48" s="344"/>
      <c r="UZK48" s="344"/>
      <c r="UZL48" s="344"/>
      <c r="UZM48" s="344"/>
      <c r="UZN48" s="344"/>
      <c r="UZO48" s="344"/>
      <c r="UZP48" s="344"/>
      <c r="UZQ48" s="344"/>
      <c r="UZR48" s="344"/>
      <c r="UZS48" s="344"/>
      <c r="UZT48" s="344"/>
      <c r="UZU48" s="344"/>
      <c r="UZV48" s="344"/>
      <c r="UZW48" s="344"/>
      <c r="UZX48" s="344"/>
      <c r="UZY48" s="344"/>
      <c r="UZZ48" s="344"/>
      <c r="VAA48" s="344"/>
      <c r="VAB48" s="344"/>
      <c r="VAC48" s="344"/>
      <c r="VAD48" s="344"/>
      <c r="VAE48" s="344"/>
      <c r="VAF48" s="344"/>
      <c r="VAG48" s="344"/>
      <c r="VAH48" s="344"/>
      <c r="VAI48" s="344"/>
      <c r="VAJ48" s="344"/>
      <c r="VAK48" s="344"/>
      <c r="VAL48" s="344"/>
      <c r="VAM48" s="344"/>
      <c r="VAN48" s="344"/>
      <c r="VAO48" s="344"/>
      <c r="VAP48" s="344"/>
      <c r="VAQ48" s="344"/>
      <c r="VAR48" s="344"/>
      <c r="VAS48" s="344"/>
      <c r="VAT48" s="344"/>
      <c r="VAU48" s="344"/>
      <c r="VAV48" s="344"/>
      <c r="VAW48" s="344"/>
      <c r="VAX48" s="344"/>
      <c r="VAY48" s="344"/>
      <c r="VAZ48" s="344"/>
      <c r="VBA48" s="344"/>
      <c r="VBB48" s="344"/>
      <c r="VBC48" s="344"/>
      <c r="VBD48" s="344"/>
      <c r="VBE48" s="344"/>
      <c r="VBF48" s="344"/>
      <c r="VBG48" s="344"/>
      <c r="VBH48" s="344"/>
      <c r="VBI48" s="344"/>
      <c r="VBJ48" s="344"/>
      <c r="VBK48" s="344"/>
      <c r="VBL48" s="344"/>
      <c r="VBM48" s="344"/>
      <c r="VBN48" s="344"/>
      <c r="VBO48" s="344"/>
      <c r="VBP48" s="344"/>
      <c r="VBQ48" s="344"/>
      <c r="VBR48" s="344"/>
      <c r="VBS48" s="344"/>
      <c r="VBT48" s="344"/>
      <c r="VBU48" s="344"/>
      <c r="VBV48" s="344"/>
      <c r="VBW48" s="344"/>
      <c r="VBX48" s="344"/>
      <c r="VBY48" s="344"/>
      <c r="VBZ48" s="344"/>
      <c r="VCA48" s="344"/>
      <c r="VCB48" s="344"/>
      <c r="VCC48" s="344"/>
      <c r="VCD48" s="344"/>
      <c r="VCE48" s="344"/>
      <c r="VCF48" s="344"/>
      <c r="VCG48" s="344"/>
      <c r="VCH48" s="344"/>
      <c r="VCI48" s="344"/>
      <c r="VCJ48" s="344"/>
      <c r="VCK48" s="344"/>
      <c r="VCL48" s="344"/>
      <c r="VCM48" s="344"/>
      <c r="VCN48" s="344"/>
      <c r="VCO48" s="344"/>
      <c r="VCP48" s="344"/>
      <c r="VCQ48" s="344"/>
      <c r="VCR48" s="344"/>
      <c r="VCS48" s="344"/>
      <c r="VCT48" s="344"/>
      <c r="VCU48" s="344"/>
      <c r="VCV48" s="344"/>
      <c r="VCW48" s="344"/>
      <c r="VCX48" s="344"/>
      <c r="VCY48" s="344"/>
      <c r="VCZ48" s="344"/>
      <c r="VDA48" s="344"/>
      <c r="VDB48" s="344"/>
      <c r="VDC48" s="344"/>
      <c r="VDD48" s="344"/>
      <c r="VDE48" s="344"/>
      <c r="VDF48" s="344"/>
      <c r="VDG48" s="344"/>
      <c r="VDH48" s="344"/>
      <c r="VDI48" s="344"/>
      <c r="VDJ48" s="344"/>
      <c r="VDK48" s="344"/>
      <c r="VDL48" s="344"/>
      <c r="VDM48" s="344"/>
      <c r="VDN48" s="344"/>
      <c r="VDO48" s="344"/>
      <c r="VDP48" s="344"/>
      <c r="VDQ48" s="344"/>
      <c r="VDR48" s="344"/>
      <c r="VDS48" s="344"/>
      <c r="VDT48" s="344"/>
      <c r="VDU48" s="344"/>
      <c r="VDV48" s="344"/>
      <c r="VDW48" s="344"/>
      <c r="VDX48" s="344"/>
      <c r="VDY48" s="344"/>
      <c r="VDZ48" s="344"/>
      <c r="VEA48" s="344"/>
      <c r="VEB48" s="344"/>
      <c r="VEC48" s="344"/>
      <c r="VED48" s="344"/>
      <c r="VEE48" s="344"/>
      <c r="VEF48" s="344"/>
      <c r="VEG48" s="344"/>
      <c r="VEH48" s="344"/>
      <c r="VEI48" s="344"/>
      <c r="VEJ48" s="344"/>
      <c r="VEK48" s="344"/>
      <c r="VEL48" s="344"/>
      <c r="VEM48" s="344"/>
      <c r="VEN48" s="344"/>
      <c r="VEO48" s="344"/>
      <c r="VEP48" s="344"/>
      <c r="VEQ48" s="344"/>
      <c r="VER48" s="344"/>
      <c r="VES48" s="344"/>
      <c r="VET48" s="344"/>
      <c r="VEU48" s="344"/>
      <c r="VEV48" s="344"/>
      <c r="VEW48" s="344"/>
      <c r="VEX48" s="344"/>
      <c r="VEY48" s="344"/>
      <c r="VEZ48" s="344"/>
      <c r="VFA48" s="344"/>
      <c r="VFB48" s="344"/>
      <c r="VFC48" s="344"/>
      <c r="VFD48" s="344"/>
      <c r="VFE48" s="344"/>
      <c r="VFF48" s="344"/>
      <c r="VFG48" s="344"/>
      <c r="VFH48" s="344"/>
      <c r="VFI48" s="344"/>
      <c r="VFJ48" s="344"/>
      <c r="VFK48" s="344"/>
      <c r="VFL48" s="344"/>
      <c r="VFM48" s="344"/>
      <c r="VFN48" s="344"/>
      <c r="VFO48" s="344"/>
      <c r="VFP48" s="344"/>
      <c r="VFQ48" s="344"/>
      <c r="VFR48" s="344"/>
      <c r="VFS48" s="344"/>
      <c r="VFT48" s="344"/>
      <c r="VFU48" s="344"/>
      <c r="VFV48" s="344"/>
      <c r="VFW48" s="344"/>
      <c r="VFX48" s="344"/>
      <c r="VFY48" s="344"/>
      <c r="VFZ48" s="344"/>
      <c r="VGA48" s="344"/>
      <c r="VGB48" s="344"/>
      <c r="VGC48" s="344"/>
      <c r="VGD48" s="344"/>
      <c r="VGE48" s="344"/>
      <c r="VGF48" s="344"/>
      <c r="VGG48" s="344"/>
      <c r="VGH48" s="344"/>
      <c r="VGI48" s="344"/>
      <c r="VGJ48" s="344"/>
      <c r="VGK48" s="344"/>
      <c r="VGL48" s="344"/>
      <c r="VGM48" s="344"/>
      <c r="VGN48" s="344"/>
      <c r="VGO48" s="344"/>
      <c r="VGP48" s="344"/>
      <c r="VGQ48" s="344"/>
      <c r="VGR48" s="344"/>
      <c r="VGS48" s="344"/>
      <c r="VGT48" s="344"/>
      <c r="VGU48" s="344"/>
      <c r="VGV48" s="344"/>
      <c r="VGW48" s="344"/>
      <c r="VGX48" s="344"/>
      <c r="VGY48" s="344"/>
      <c r="VGZ48" s="344"/>
      <c r="VHA48" s="344"/>
      <c r="VHB48" s="344"/>
      <c r="VHC48" s="344"/>
      <c r="VHD48" s="344"/>
      <c r="VHE48" s="344"/>
      <c r="VHF48" s="344"/>
      <c r="VHG48" s="344"/>
      <c r="VHH48" s="344"/>
      <c r="VHI48" s="344"/>
      <c r="VHJ48" s="344"/>
      <c r="VHK48" s="344"/>
      <c r="VHL48" s="344"/>
      <c r="VHM48" s="344"/>
      <c r="VHN48" s="344"/>
      <c r="VHO48" s="344"/>
      <c r="VHP48" s="344"/>
      <c r="VHQ48" s="344"/>
      <c r="VHR48" s="344"/>
      <c r="VHS48" s="344"/>
      <c r="VHT48" s="344"/>
      <c r="VHU48" s="344"/>
      <c r="VHV48" s="344"/>
      <c r="VHW48" s="344"/>
      <c r="VHX48" s="344"/>
      <c r="VHY48" s="344"/>
      <c r="VHZ48" s="344"/>
      <c r="VIA48" s="344"/>
      <c r="VIB48" s="344"/>
      <c r="VIC48" s="344"/>
      <c r="VID48" s="344"/>
      <c r="VIE48" s="344"/>
      <c r="VIF48" s="344"/>
      <c r="VIG48" s="344"/>
      <c r="VIH48" s="344"/>
      <c r="VII48" s="344"/>
      <c r="VIJ48" s="344"/>
      <c r="VIK48" s="344"/>
      <c r="VIL48" s="344"/>
      <c r="VIM48" s="344"/>
      <c r="VIN48" s="344"/>
      <c r="VIO48" s="344"/>
      <c r="VIP48" s="344"/>
      <c r="VIQ48" s="344"/>
      <c r="VIR48" s="344"/>
      <c r="VIS48" s="344"/>
      <c r="VIT48" s="344"/>
      <c r="VIU48" s="344"/>
      <c r="VIV48" s="344"/>
      <c r="VIW48" s="344"/>
      <c r="VIX48" s="344"/>
      <c r="VIY48" s="344"/>
      <c r="VIZ48" s="344"/>
      <c r="VJA48" s="344"/>
      <c r="VJB48" s="344"/>
      <c r="VJC48" s="344"/>
      <c r="VJD48" s="344"/>
      <c r="VJE48" s="344"/>
      <c r="VJF48" s="344"/>
      <c r="VJG48" s="344"/>
      <c r="VJH48" s="344"/>
      <c r="VJI48" s="344"/>
      <c r="VJJ48" s="344"/>
      <c r="VJK48" s="344"/>
      <c r="VJL48" s="344"/>
      <c r="VJM48" s="344"/>
      <c r="VJN48" s="344"/>
      <c r="VJO48" s="344"/>
      <c r="VJP48" s="344"/>
      <c r="VJQ48" s="344"/>
      <c r="VJR48" s="344"/>
      <c r="VJS48" s="344"/>
      <c r="VJT48" s="344"/>
      <c r="VJU48" s="344"/>
      <c r="VJV48" s="344"/>
      <c r="VJW48" s="344"/>
      <c r="VJX48" s="344"/>
      <c r="VJY48" s="344"/>
      <c r="VJZ48" s="344"/>
      <c r="VKA48" s="344"/>
      <c r="VKB48" s="344"/>
      <c r="VKC48" s="344"/>
      <c r="VKD48" s="344"/>
      <c r="VKE48" s="344"/>
      <c r="VKF48" s="344"/>
      <c r="VKG48" s="344"/>
      <c r="VKH48" s="344"/>
      <c r="VKI48" s="344"/>
      <c r="VKJ48" s="344"/>
      <c r="VKK48" s="344"/>
      <c r="VKL48" s="344"/>
      <c r="VKM48" s="344"/>
      <c r="VKN48" s="344"/>
      <c r="VKO48" s="344"/>
      <c r="VKP48" s="344"/>
      <c r="VKQ48" s="344"/>
      <c r="VKR48" s="344"/>
      <c r="VKS48" s="344"/>
      <c r="VKT48" s="344"/>
      <c r="VKU48" s="344"/>
      <c r="VKV48" s="344"/>
      <c r="VKW48" s="344"/>
      <c r="VKX48" s="344"/>
      <c r="VKY48" s="344"/>
      <c r="VKZ48" s="344"/>
      <c r="VLA48" s="344"/>
      <c r="VLB48" s="344"/>
      <c r="VLC48" s="344"/>
      <c r="VLD48" s="344"/>
      <c r="VLE48" s="344"/>
      <c r="VLF48" s="344"/>
      <c r="VLG48" s="344"/>
      <c r="VLH48" s="344"/>
      <c r="VLI48" s="344"/>
      <c r="VLJ48" s="344"/>
      <c r="VLK48" s="344"/>
      <c r="VLL48" s="344"/>
      <c r="VLM48" s="344"/>
      <c r="VLN48" s="344"/>
      <c r="VLO48" s="344"/>
      <c r="VLP48" s="344"/>
      <c r="VLQ48" s="344"/>
      <c r="VLR48" s="344"/>
      <c r="VLS48" s="344"/>
      <c r="VLT48" s="344"/>
      <c r="VLU48" s="344"/>
      <c r="VLV48" s="344"/>
      <c r="VLW48" s="344"/>
      <c r="VLX48" s="344"/>
      <c r="VLY48" s="344"/>
      <c r="VLZ48" s="344"/>
      <c r="VMA48" s="344"/>
      <c r="VMB48" s="344"/>
      <c r="VMC48" s="344"/>
      <c r="VMD48" s="344"/>
      <c r="VME48" s="344"/>
      <c r="VMF48" s="344"/>
      <c r="VMG48" s="344"/>
      <c r="VMH48" s="344"/>
      <c r="VMI48" s="344"/>
      <c r="VMJ48" s="344"/>
      <c r="VMK48" s="344"/>
      <c r="VML48" s="344"/>
      <c r="VMM48" s="344"/>
      <c r="VMN48" s="344"/>
      <c r="VMO48" s="344"/>
      <c r="VMP48" s="344"/>
      <c r="VMQ48" s="344"/>
      <c r="VMR48" s="344"/>
      <c r="VMS48" s="344"/>
      <c r="VMT48" s="344"/>
      <c r="VMU48" s="344"/>
      <c r="VMV48" s="344"/>
      <c r="VMW48" s="344"/>
      <c r="VMX48" s="344"/>
      <c r="VMY48" s="344"/>
      <c r="VMZ48" s="344"/>
      <c r="VNA48" s="344"/>
      <c r="VNB48" s="344"/>
      <c r="VNC48" s="344"/>
      <c r="VND48" s="344"/>
      <c r="VNE48" s="344"/>
      <c r="VNF48" s="344"/>
      <c r="VNG48" s="344"/>
      <c r="VNH48" s="344"/>
      <c r="VNI48" s="344"/>
      <c r="VNJ48" s="344"/>
      <c r="VNK48" s="344"/>
      <c r="VNL48" s="344"/>
      <c r="VNM48" s="344"/>
      <c r="VNN48" s="344"/>
      <c r="VNO48" s="344"/>
      <c r="VNP48" s="344"/>
      <c r="VNQ48" s="344"/>
      <c r="VNR48" s="344"/>
      <c r="VNS48" s="344"/>
      <c r="VNT48" s="344"/>
      <c r="VNU48" s="344"/>
      <c r="VNV48" s="344"/>
      <c r="VNW48" s="344"/>
      <c r="VNX48" s="344"/>
      <c r="VNY48" s="344"/>
      <c r="VNZ48" s="344"/>
      <c r="VOA48" s="344"/>
      <c r="VOB48" s="344"/>
      <c r="VOC48" s="344"/>
      <c r="VOD48" s="344"/>
      <c r="VOE48" s="344"/>
      <c r="VOF48" s="344"/>
      <c r="VOG48" s="344"/>
      <c r="VOH48" s="344"/>
      <c r="VOI48" s="344"/>
      <c r="VOJ48" s="344"/>
      <c r="VOK48" s="344"/>
      <c r="VOL48" s="344"/>
      <c r="VOM48" s="344"/>
      <c r="VON48" s="344"/>
      <c r="VOO48" s="344"/>
      <c r="VOP48" s="344"/>
      <c r="VOQ48" s="344"/>
      <c r="VOR48" s="344"/>
      <c r="VOS48" s="344"/>
      <c r="VOT48" s="344"/>
      <c r="VOU48" s="344"/>
      <c r="VOV48" s="344"/>
      <c r="VOW48" s="344"/>
      <c r="VOX48" s="344"/>
      <c r="VOY48" s="344"/>
      <c r="VOZ48" s="344"/>
      <c r="VPA48" s="344"/>
      <c r="VPB48" s="344"/>
      <c r="VPC48" s="344"/>
      <c r="VPD48" s="344"/>
      <c r="VPE48" s="344"/>
      <c r="VPF48" s="344"/>
      <c r="VPG48" s="344"/>
      <c r="VPH48" s="344"/>
      <c r="VPI48" s="344"/>
      <c r="VPJ48" s="344"/>
      <c r="VPK48" s="344"/>
      <c r="VPL48" s="344"/>
      <c r="VPM48" s="344"/>
      <c r="VPN48" s="344"/>
      <c r="VPO48" s="344"/>
      <c r="VPP48" s="344"/>
      <c r="VPQ48" s="344"/>
      <c r="VPR48" s="344"/>
      <c r="VPS48" s="344"/>
      <c r="VPT48" s="344"/>
      <c r="VPU48" s="344"/>
      <c r="VPV48" s="344"/>
      <c r="VPW48" s="344"/>
      <c r="VPX48" s="344"/>
      <c r="VPY48" s="344"/>
      <c r="VPZ48" s="344"/>
      <c r="VQA48" s="344"/>
      <c r="VQB48" s="344"/>
      <c r="VQC48" s="344"/>
      <c r="VQD48" s="344"/>
      <c r="VQE48" s="344"/>
      <c r="VQF48" s="344"/>
      <c r="VQG48" s="344"/>
      <c r="VQH48" s="344"/>
      <c r="VQI48" s="344"/>
      <c r="VQJ48" s="344"/>
      <c r="VQK48" s="344"/>
      <c r="VQL48" s="344"/>
      <c r="VQM48" s="344"/>
      <c r="VQN48" s="344"/>
      <c r="VQO48" s="344"/>
      <c r="VQP48" s="344"/>
      <c r="VQQ48" s="344"/>
      <c r="VQR48" s="344"/>
      <c r="VQS48" s="344"/>
      <c r="VQT48" s="344"/>
      <c r="VQU48" s="344"/>
      <c r="VQV48" s="344"/>
      <c r="VQW48" s="344"/>
      <c r="VQX48" s="344"/>
      <c r="VQY48" s="344"/>
      <c r="VQZ48" s="344"/>
      <c r="VRA48" s="344"/>
      <c r="VRB48" s="344"/>
      <c r="VRC48" s="344"/>
      <c r="VRD48" s="344"/>
      <c r="VRE48" s="344"/>
      <c r="VRF48" s="344"/>
      <c r="VRG48" s="344"/>
      <c r="VRH48" s="344"/>
      <c r="VRI48" s="344"/>
      <c r="VRJ48" s="344"/>
      <c r="VRK48" s="344"/>
      <c r="VRL48" s="344"/>
      <c r="VRM48" s="344"/>
      <c r="VRN48" s="344"/>
      <c r="VRO48" s="344"/>
      <c r="VRP48" s="344"/>
      <c r="VRQ48" s="344"/>
      <c r="VRR48" s="344"/>
      <c r="VRS48" s="344"/>
      <c r="VRT48" s="344"/>
      <c r="VRU48" s="344"/>
      <c r="VRV48" s="344"/>
      <c r="VRW48" s="344"/>
      <c r="VRX48" s="344"/>
      <c r="VRY48" s="344"/>
      <c r="VRZ48" s="344"/>
      <c r="VSA48" s="344"/>
      <c r="VSB48" s="344"/>
      <c r="VSC48" s="344"/>
      <c r="VSD48" s="344"/>
      <c r="VSE48" s="344"/>
      <c r="VSF48" s="344"/>
      <c r="VSG48" s="344"/>
      <c r="VSH48" s="344"/>
      <c r="VSI48" s="344"/>
      <c r="VSJ48" s="344"/>
      <c r="VSK48" s="344"/>
      <c r="VSL48" s="344"/>
      <c r="VSM48" s="344"/>
      <c r="VSN48" s="344"/>
      <c r="VSO48" s="344"/>
      <c r="VSP48" s="344"/>
      <c r="VSQ48" s="344"/>
      <c r="VSR48" s="344"/>
      <c r="VSS48" s="344"/>
      <c r="VST48" s="344"/>
      <c r="VSU48" s="344"/>
      <c r="VSV48" s="344"/>
      <c r="VSW48" s="344"/>
      <c r="VSX48" s="344"/>
      <c r="VSY48" s="344"/>
      <c r="VSZ48" s="344"/>
      <c r="VTA48" s="344"/>
      <c r="VTB48" s="344"/>
      <c r="VTC48" s="344"/>
      <c r="VTD48" s="344"/>
      <c r="VTE48" s="344"/>
      <c r="VTF48" s="344"/>
      <c r="VTG48" s="344"/>
      <c r="VTH48" s="344"/>
      <c r="VTI48" s="344"/>
      <c r="VTJ48" s="344"/>
      <c r="VTK48" s="344"/>
      <c r="VTL48" s="344"/>
      <c r="VTM48" s="344"/>
      <c r="VTN48" s="344"/>
      <c r="VTO48" s="344"/>
      <c r="VTP48" s="344"/>
      <c r="VTQ48" s="344"/>
      <c r="VTR48" s="344"/>
      <c r="VTS48" s="344"/>
      <c r="VTT48" s="344"/>
      <c r="VTU48" s="344"/>
      <c r="VTV48" s="344"/>
      <c r="VTW48" s="344"/>
      <c r="VTX48" s="344"/>
      <c r="VTY48" s="344"/>
      <c r="VTZ48" s="344"/>
      <c r="VUA48" s="344"/>
      <c r="VUB48" s="344"/>
      <c r="VUC48" s="344"/>
      <c r="VUD48" s="344"/>
      <c r="VUE48" s="344"/>
      <c r="VUF48" s="344"/>
      <c r="VUG48" s="344"/>
      <c r="VUH48" s="344"/>
      <c r="VUI48" s="344"/>
      <c r="VUJ48" s="344"/>
      <c r="VUK48" s="344"/>
      <c r="VUL48" s="344"/>
      <c r="VUM48" s="344"/>
      <c r="VUN48" s="344"/>
      <c r="VUO48" s="344"/>
      <c r="VUP48" s="344"/>
      <c r="VUQ48" s="344"/>
      <c r="VUR48" s="344"/>
      <c r="VUS48" s="344"/>
      <c r="VUT48" s="344"/>
      <c r="VUU48" s="344"/>
      <c r="VUV48" s="344"/>
      <c r="VUW48" s="344"/>
      <c r="VUX48" s="344"/>
      <c r="VUY48" s="344"/>
      <c r="VUZ48" s="344"/>
      <c r="VVA48" s="344"/>
      <c r="VVB48" s="344"/>
      <c r="VVC48" s="344"/>
      <c r="VVD48" s="344"/>
      <c r="VVE48" s="344"/>
      <c r="VVF48" s="344"/>
      <c r="VVG48" s="344"/>
      <c r="VVH48" s="344"/>
      <c r="VVI48" s="344"/>
      <c r="VVJ48" s="344"/>
      <c r="VVK48" s="344"/>
      <c r="VVL48" s="344"/>
      <c r="VVM48" s="344"/>
      <c r="VVN48" s="344"/>
      <c r="VVO48" s="344"/>
      <c r="VVP48" s="344"/>
      <c r="VVQ48" s="344"/>
      <c r="VVR48" s="344"/>
      <c r="VVS48" s="344"/>
      <c r="VVT48" s="344"/>
      <c r="VVU48" s="344"/>
      <c r="VVV48" s="344"/>
      <c r="VVW48" s="344"/>
      <c r="VVX48" s="344"/>
      <c r="VVY48" s="344"/>
      <c r="VVZ48" s="344"/>
      <c r="VWA48" s="344"/>
      <c r="VWB48" s="344"/>
      <c r="VWC48" s="344"/>
      <c r="VWD48" s="344"/>
      <c r="VWE48" s="344"/>
      <c r="VWF48" s="344"/>
      <c r="VWG48" s="344"/>
      <c r="VWH48" s="344"/>
      <c r="VWI48" s="344"/>
      <c r="VWJ48" s="344"/>
      <c r="VWK48" s="344"/>
      <c r="VWL48" s="344"/>
      <c r="VWM48" s="344"/>
      <c r="VWN48" s="344"/>
      <c r="VWO48" s="344"/>
      <c r="VWP48" s="344"/>
      <c r="VWQ48" s="344"/>
      <c r="VWR48" s="344"/>
      <c r="VWS48" s="344"/>
      <c r="VWT48" s="344"/>
      <c r="VWU48" s="344"/>
      <c r="VWV48" s="344"/>
      <c r="VWW48" s="344"/>
      <c r="VWX48" s="344"/>
      <c r="VWY48" s="344"/>
      <c r="VWZ48" s="344"/>
      <c r="VXA48" s="344"/>
      <c r="VXB48" s="344"/>
      <c r="VXC48" s="344"/>
      <c r="VXD48" s="344"/>
      <c r="VXE48" s="344"/>
      <c r="VXF48" s="344"/>
      <c r="VXG48" s="344"/>
      <c r="VXH48" s="344"/>
      <c r="VXI48" s="344"/>
      <c r="VXJ48" s="344"/>
      <c r="VXK48" s="344"/>
      <c r="VXL48" s="344"/>
      <c r="VXM48" s="344"/>
      <c r="VXN48" s="344"/>
      <c r="VXO48" s="344"/>
      <c r="VXP48" s="344"/>
      <c r="VXQ48" s="344"/>
      <c r="VXR48" s="344"/>
      <c r="VXS48" s="344"/>
      <c r="VXT48" s="344"/>
      <c r="VXU48" s="344"/>
      <c r="VXV48" s="344"/>
      <c r="VXW48" s="344"/>
      <c r="VXX48" s="344"/>
      <c r="VXY48" s="344"/>
      <c r="VXZ48" s="344"/>
      <c r="VYA48" s="344"/>
      <c r="VYB48" s="344"/>
      <c r="VYC48" s="344"/>
      <c r="VYD48" s="344"/>
      <c r="VYE48" s="344"/>
      <c r="VYF48" s="344"/>
      <c r="VYG48" s="344"/>
      <c r="VYH48" s="344"/>
      <c r="VYI48" s="344"/>
      <c r="VYJ48" s="344"/>
      <c r="VYK48" s="344"/>
      <c r="VYL48" s="344"/>
      <c r="VYM48" s="344"/>
      <c r="VYN48" s="344"/>
      <c r="VYO48" s="344"/>
      <c r="VYP48" s="344"/>
      <c r="VYQ48" s="344"/>
      <c r="VYR48" s="344"/>
      <c r="VYS48" s="344"/>
      <c r="VYT48" s="344"/>
      <c r="VYU48" s="344"/>
      <c r="VYV48" s="344"/>
      <c r="VYW48" s="344"/>
      <c r="VYX48" s="344"/>
      <c r="VYY48" s="344"/>
      <c r="VYZ48" s="344"/>
      <c r="VZA48" s="344"/>
      <c r="VZB48" s="344"/>
      <c r="VZC48" s="344"/>
      <c r="VZD48" s="344"/>
      <c r="VZE48" s="344"/>
      <c r="VZF48" s="344"/>
      <c r="VZG48" s="344"/>
      <c r="VZH48" s="344"/>
      <c r="VZI48" s="344"/>
      <c r="VZJ48" s="344"/>
      <c r="VZK48" s="344"/>
      <c r="VZL48" s="344"/>
      <c r="VZM48" s="344"/>
      <c r="VZN48" s="344"/>
      <c r="VZO48" s="344"/>
      <c r="VZP48" s="344"/>
      <c r="VZQ48" s="344"/>
      <c r="VZR48" s="344"/>
      <c r="VZS48" s="344"/>
      <c r="VZT48" s="344"/>
      <c r="VZU48" s="344"/>
      <c r="VZV48" s="344"/>
      <c r="VZW48" s="344"/>
      <c r="VZX48" s="344"/>
      <c r="VZY48" s="344"/>
      <c r="VZZ48" s="344"/>
      <c r="WAA48" s="344"/>
      <c r="WAB48" s="344"/>
      <c r="WAC48" s="344"/>
      <c r="WAD48" s="344"/>
      <c r="WAE48" s="344"/>
      <c r="WAF48" s="344"/>
      <c r="WAG48" s="344"/>
      <c r="WAH48" s="344"/>
      <c r="WAI48" s="344"/>
      <c r="WAJ48" s="344"/>
      <c r="WAK48" s="344"/>
      <c r="WAL48" s="344"/>
      <c r="WAM48" s="344"/>
      <c r="WAN48" s="344"/>
      <c r="WAO48" s="344"/>
      <c r="WAP48" s="344"/>
      <c r="WAQ48" s="344"/>
      <c r="WAR48" s="344"/>
      <c r="WAS48" s="344"/>
      <c r="WAT48" s="344"/>
      <c r="WAU48" s="344"/>
      <c r="WAV48" s="344"/>
      <c r="WAW48" s="344"/>
      <c r="WAX48" s="344"/>
      <c r="WAY48" s="344"/>
      <c r="WAZ48" s="344"/>
      <c r="WBA48" s="344"/>
      <c r="WBB48" s="344"/>
      <c r="WBC48" s="344"/>
      <c r="WBD48" s="344"/>
      <c r="WBE48" s="344"/>
      <c r="WBF48" s="344"/>
      <c r="WBG48" s="344"/>
      <c r="WBH48" s="344"/>
      <c r="WBI48" s="344"/>
      <c r="WBJ48" s="344"/>
      <c r="WBK48" s="344"/>
      <c r="WBL48" s="344"/>
      <c r="WBM48" s="344"/>
      <c r="WBN48" s="344"/>
      <c r="WBO48" s="344"/>
      <c r="WBP48" s="344"/>
      <c r="WBQ48" s="344"/>
      <c r="WBR48" s="344"/>
      <c r="WBS48" s="344"/>
      <c r="WBT48" s="344"/>
      <c r="WBU48" s="344"/>
      <c r="WBV48" s="344"/>
      <c r="WBW48" s="344"/>
      <c r="WBX48" s="344"/>
      <c r="WBY48" s="344"/>
      <c r="WBZ48" s="344"/>
      <c r="WCA48" s="344"/>
      <c r="WCB48" s="344"/>
      <c r="WCC48" s="344"/>
      <c r="WCD48" s="344"/>
      <c r="WCE48" s="344"/>
      <c r="WCF48" s="344"/>
      <c r="WCG48" s="344"/>
      <c r="WCH48" s="344"/>
      <c r="WCI48" s="344"/>
      <c r="WCJ48" s="344"/>
      <c r="WCK48" s="344"/>
      <c r="WCL48" s="344"/>
      <c r="WCM48" s="344"/>
      <c r="WCN48" s="344"/>
      <c r="WCO48" s="344"/>
      <c r="WCP48" s="344"/>
      <c r="WCQ48" s="344"/>
      <c r="WCR48" s="344"/>
      <c r="WCS48" s="344"/>
      <c r="WCT48" s="344"/>
      <c r="WCU48" s="344"/>
      <c r="WCV48" s="344"/>
      <c r="WCW48" s="344"/>
      <c r="WCX48" s="344"/>
      <c r="WCY48" s="344"/>
      <c r="WCZ48" s="344"/>
      <c r="WDA48" s="344"/>
      <c r="WDB48" s="344"/>
      <c r="WDC48" s="344"/>
      <c r="WDD48" s="344"/>
      <c r="WDE48" s="344"/>
      <c r="WDF48" s="344"/>
      <c r="WDG48" s="344"/>
      <c r="WDH48" s="344"/>
      <c r="WDI48" s="344"/>
      <c r="WDJ48" s="344"/>
      <c r="WDK48" s="344"/>
      <c r="WDL48" s="344"/>
      <c r="WDM48" s="344"/>
      <c r="WDN48" s="344"/>
      <c r="WDO48" s="344"/>
      <c r="WDP48" s="344"/>
      <c r="WDQ48" s="344"/>
      <c r="WDR48" s="344"/>
      <c r="WDS48" s="344"/>
      <c r="WDT48" s="344"/>
      <c r="WDU48" s="344"/>
      <c r="WDV48" s="344"/>
      <c r="WDW48" s="344"/>
      <c r="WDX48" s="344"/>
      <c r="WDY48" s="344"/>
      <c r="WDZ48" s="344"/>
      <c r="WEA48" s="344"/>
      <c r="WEB48" s="344"/>
      <c r="WEC48" s="344"/>
      <c r="WED48" s="344"/>
      <c r="WEE48" s="344"/>
      <c r="WEF48" s="344"/>
      <c r="WEG48" s="344"/>
      <c r="WEH48" s="344"/>
      <c r="WEI48" s="344"/>
      <c r="WEJ48" s="344"/>
      <c r="WEK48" s="344"/>
      <c r="WEL48" s="344"/>
      <c r="WEM48" s="344"/>
      <c r="WEN48" s="344"/>
      <c r="WEO48" s="344"/>
      <c r="WEP48" s="344"/>
      <c r="WEQ48" s="344"/>
      <c r="WER48" s="344"/>
      <c r="WES48" s="344"/>
      <c r="WET48" s="344"/>
      <c r="WEU48" s="344"/>
      <c r="WEV48" s="344"/>
      <c r="WEW48" s="344"/>
      <c r="WEX48" s="344"/>
      <c r="WEY48" s="344"/>
      <c r="WEZ48" s="344"/>
      <c r="WFA48" s="344"/>
      <c r="WFB48" s="344"/>
      <c r="WFC48" s="344"/>
      <c r="WFD48" s="344"/>
      <c r="WFE48" s="344"/>
      <c r="WFF48" s="344"/>
      <c r="WFG48" s="344"/>
      <c r="WFH48" s="344"/>
      <c r="WFI48" s="344"/>
      <c r="WFJ48" s="344"/>
      <c r="WFK48" s="344"/>
      <c r="WFL48" s="344"/>
      <c r="WFM48" s="344"/>
      <c r="WFN48" s="344"/>
      <c r="WFO48" s="344"/>
      <c r="WFP48" s="344"/>
      <c r="WFQ48" s="344"/>
      <c r="WFR48" s="344"/>
      <c r="WFS48" s="344"/>
      <c r="WFT48" s="344"/>
      <c r="WFU48" s="344"/>
      <c r="WFV48" s="344"/>
      <c r="WFW48" s="344"/>
      <c r="WFX48" s="344"/>
      <c r="WFY48" s="344"/>
      <c r="WFZ48" s="344"/>
      <c r="WGA48" s="344"/>
      <c r="WGB48" s="344"/>
      <c r="WGC48" s="344"/>
      <c r="WGD48" s="344"/>
      <c r="WGE48" s="344"/>
      <c r="WGF48" s="344"/>
      <c r="WGG48" s="344"/>
      <c r="WGH48" s="344"/>
      <c r="WGI48" s="344"/>
      <c r="WGJ48" s="344"/>
      <c r="WGK48" s="344"/>
      <c r="WGL48" s="344"/>
      <c r="WGM48" s="344"/>
      <c r="WGN48" s="344"/>
      <c r="WGO48" s="344"/>
      <c r="WGP48" s="344"/>
      <c r="WGQ48" s="344"/>
      <c r="WGR48" s="344"/>
      <c r="WGS48" s="344"/>
      <c r="WGT48" s="344"/>
      <c r="WGU48" s="344"/>
      <c r="WGV48" s="344"/>
      <c r="WGW48" s="344"/>
      <c r="WGX48" s="344"/>
      <c r="WGY48" s="344"/>
      <c r="WGZ48" s="344"/>
      <c r="WHA48" s="344"/>
      <c r="WHB48" s="344"/>
      <c r="WHC48" s="344"/>
      <c r="WHD48" s="344"/>
      <c r="WHE48" s="344"/>
      <c r="WHF48" s="344"/>
      <c r="WHG48" s="344"/>
      <c r="WHH48" s="344"/>
      <c r="WHI48" s="344"/>
      <c r="WHJ48" s="344"/>
      <c r="WHK48" s="344"/>
      <c r="WHL48" s="344"/>
      <c r="WHM48" s="344"/>
      <c r="WHN48" s="344"/>
      <c r="WHO48" s="344"/>
      <c r="WHP48" s="344"/>
      <c r="WHQ48" s="344"/>
      <c r="WHR48" s="344"/>
      <c r="WHS48" s="344"/>
      <c r="WHT48" s="344"/>
      <c r="WHU48" s="344"/>
      <c r="WHV48" s="344"/>
      <c r="WHW48" s="344"/>
      <c r="WHX48" s="344"/>
      <c r="WHY48" s="344"/>
      <c r="WHZ48" s="344"/>
      <c r="WIA48" s="344"/>
      <c r="WIB48" s="344"/>
      <c r="WIC48" s="344"/>
      <c r="WID48" s="344"/>
      <c r="WIE48" s="344"/>
      <c r="WIF48" s="344"/>
      <c r="WIG48" s="344"/>
      <c r="WIH48" s="344"/>
      <c r="WII48" s="344"/>
      <c r="WIJ48" s="344"/>
      <c r="WIK48" s="344"/>
      <c r="WIL48" s="344"/>
      <c r="WIM48" s="344"/>
      <c r="WIN48" s="344"/>
      <c r="WIO48" s="344"/>
      <c r="WIP48" s="344"/>
      <c r="WIQ48" s="344"/>
      <c r="WIR48" s="344"/>
      <c r="WIS48" s="344"/>
      <c r="WIT48" s="344"/>
      <c r="WIU48" s="344"/>
      <c r="WIV48" s="344"/>
      <c r="WIW48" s="344"/>
      <c r="WIX48" s="344"/>
      <c r="WIY48" s="344"/>
      <c r="WIZ48" s="344"/>
      <c r="WJA48" s="344"/>
      <c r="WJB48" s="344"/>
      <c r="WJC48" s="344"/>
      <c r="WJD48" s="344"/>
      <c r="WJE48" s="344"/>
      <c r="WJF48" s="344"/>
      <c r="WJG48" s="344"/>
      <c r="WJH48" s="344"/>
      <c r="WJI48" s="344"/>
      <c r="WJJ48" s="344"/>
      <c r="WJK48" s="344"/>
      <c r="WJL48" s="344"/>
      <c r="WJM48" s="344"/>
      <c r="WJN48" s="344"/>
      <c r="WJO48" s="344"/>
      <c r="WJP48" s="344"/>
      <c r="WJQ48" s="344"/>
      <c r="WJR48" s="344"/>
      <c r="WJS48" s="344"/>
      <c r="WJT48" s="344"/>
      <c r="WJU48" s="344"/>
      <c r="WJV48" s="344"/>
      <c r="WJW48" s="344"/>
      <c r="WJX48" s="344"/>
      <c r="WJY48" s="344"/>
      <c r="WJZ48" s="344"/>
      <c r="WKA48" s="344"/>
      <c r="WKB48" s="344"/>
      <c r="WKC48" s="344"/>
      <c r="WKD48" s="344"/>
      <c r="WKE48" s="344"/>
      <c r="WKF48" s="344"/>
      <c r="WKG48" s="344"/>
      <c r="WKH48" s="344"/>
      <c r="WKI48" s="344"/>
      <c r="WKJ48" s="344"/>
      <c r="WKK48" s="344"/>
      <c r="WKL48" s="344"/>
      <c r="WKM48" s="344"/>
      <c r="WKN48" s="344"/>
      <c r="WKO48" s="344"/>
      <c r="WKP48" s="344"/>
      <c r="WKQ48" s="344"/>
      <c r="WKR48" s="344"/>
      <c r="WKS48" s="344"/>
      <c r="WKT48" s="344"/>
      <c r="WKU48" s="344"/>
      <c r="WKV48" s="344"/>
      <c r="WKW48" s="344"/>
      <c r="WKX48" s="344"/>
      <c r="WKY48" s="344"/>
      <c r="WKZ48" s="344"/>
      <c r="WLA48" s="344"/>
      <c r="WLB48" s="344"/>
      <c r="WLC48" s="344"/>
      <c r="WLD48" s="344"/>
      <c r="WLE48" s="344"/>
      <c r="WLF48" s="344"/>
      <c r="WLG48" s="344"/>
      <c r="WLH48" s="344"/>
      <c r="WLI48" s="344"/>
      <c r="WLJ48" s="344"/>
      <c r="WLK48" s="344"/>
      <c r="WLL48" s="344"/>
      <c r="WLM48" s="344"/>
      <c r="WLN48" s="344"/>
      <c r="WLO48" s="344"/>
      <c r="WLP48" s="344"/>
      <c r="WLQ48" s="344"/>
      <c r="WLR48" s="344"/>
      <c r="WLS48" s="344"/>
      <c r="WLT48" s="344"/>
      <c r="WLU48" s="344"/>
      <c r="WLV48" s="344"/>
      <c r="WLW48" s="344"/>
      <c r="WLX48" s="344"/>
      <c r="WLY48" s="344"/>
      <c r="WLZ48" s="344"/>
      <c r="WMA48" s="344"/>
      <c r="WMB48" s="344"/>
      <c r="WMC48" s="344"/>
      <c r="WMD48" s="344"/>
      <c r="WME48" s="344"/>
      <c r="WMF48" s="344"/>
      <c r="WMG48" s="344"/>
      <c r="WMH48" s="344"/>
      <c r="WMI48" s="344"/>
      <c r="WMJ48" s="344"/>
      <c r="WMK48" s="344"/>
      <c r="WML48" s="344"/>
      <c r="WMM48" s="344"/>
      <c r="WMN48" s="344"/>
      <c r="WMO48" s="344"/>
      <c r="WMP48" s="344"/>
      <c r="WMQ48" s="344"/>
      <c r="WMR48" s="344"/>
      <c r="WMS48" s="344"/>
      <c r="WMT48" s="344"/>
      <c r="WMU48" s="344"/>
      <c r="WMV48" s="344"/>
      <c r="WMW48" s="344"/>
      <c r="WMX48" s="344"/>
      <c r="WMY48" s="344"/>
      <c r="WMZ48" s="344"/>
      <c r="WNA48" s="344"/>
      <c r="WNB48" s="344"/>
      <c r="WNC48" s="344"/>
      <c r="WND48" s="344"/>
      <c r="WNE48" s="344"/>
      <c r="WNF48" s="344"/>
      <c r="WNG48" s="344"/>
      <c r="WNH48" s="344"/>
      <c r="WNI48" s="344"/>
      <c r="WNJ48" s="344"/>
      <c r="WNK48" s="344"/>
      <c r="WNL48" s="344"/>
      <c r="WNM48" s="344"/>
      <c r="WNN48" s="344"/>
      <c r="WNO48" s="344"/>
      <c r="WNP48" s="344"/>
      <c r="WNQ48" s="344"/>
      <c r="WNR48" s="344"/>
      <c r="WNS48" s="344"/>
      <c r="WNT48" s="344"/>
      <c r="WNU48" s="344"/>
      <c r="WNV48" s="344"/>
      <c r="WNW48" s="344"/>
      <c r="WNX48" s="344"/>
      <c r="WNY48" s="344"/>
      <c r="WNZ48" s="344"/>
      <c r="WOA48" s="344"/>
      <c r="WOB48" s="344"/>
      <c r="WOC48" s="344"/>
      <c r="WOD48" s="344"/>
      <c r="WOE48" s="344"/>
      <c r="WOF48" s="344"/>
      <c r="WOG48" s="344"/>
      <c r="WOH48" s="344"/>
      <c r="WOI48" s="344"/>
      <c r="WOJ48" s="344"/>
      <c r="WOK48" s="344"/>
      <c r="WOL48" s="344"/>
      <c r="WOM48" s="344"/>
      <c r="WON48" s="344"/>
      <c r="WOO48" s="344"/>
      <c r="WOP48" s="344"/>
      <c r="WOQ48" s="344"/>
      <c r="WOR48" s="344"/>
      <c r="WOS48" s="344"/>
      <c r="WOT48" s="344"/>
      <c r="WOU48" s="344"/>
      <c r="WOV48" s="344"/>
      <c r="WOW48" s="344"/>
      <c r="WOX48" s="344"/>
      <c r="WOY48" s="344"/>
      <c r="WOZ48" s="344"/>
      <c r="WPA48" s="344"/>
      <c r="WPB48" s="344"/>
      <c r="WPC48" s="344"/>
      <c r="WPD48" s="344"/>
      <c r="WPE48" s="344"/>
      <c r="WPF48" s="344"/>
      <c r="WPG48" s="344"/>
      <c r="WPH48" s="344"/>
      <c r="WPI48" s="344"/>
      <c r="WPJ48" s="344"/>
      <c r="WPK48" s="344"/>
      <c r="WPL48" s="344"/>
      <c r="WPM48" s="344"/>
      <c r="WPN48" s="344"/>
      <c r="WPO48" s="344"/>
      <c r="WPP48" s="344"/>
      <c r="WPQ48" s="344"/>
      <c r="WPR48" s="344"/>
      <c r="WPS48" s="344"/>
      <c r="WPT48" s="344"/>
      <c r="WPU48" s="344"/>
      <c r="WPV48" s="344"/>
      <c r="WPW48" s="344"/>
      <c r="WPX48" s="344"/>
      <c r="WPY48" s="344"/>
      <c r="WPZ48" s="344"/>
      <c r="WQA48" s="344"/>
      <c r="WQB48" s="344"/>
      <c r="WQC48" s="344"/>
      <c r="WQD48" s="344"/>
      <c r="WQE48" s="344"/>
      <c r="WQF48" s="344"/>
      <c r="WQG48" s="344"/>
      <c r="WQH48" s="344"/>
      <c r="WQI48" s="344"/>
      <c r="WQJ48" s="344"/>
      <c r="WQK48" s="344"/>
      <c r="WQL48" s="344"/>
      <c r="WQM48" s="344"/>
      <c r="WQN48" s="344"/>
      <c r="WQO48" s="344"/>
      <c r="WQP48" s="344"/>
      <c r="WQQ48" s="344"/>
      <c r="WQR48" s="344"/>
      <c r="WQS48" s="344"/>
      <c r="WQT48" s="344"/>
      <c r="WQU48" s="344"/>
      <c r="WQV48" s="344"/>
      <c r="WQW48" s="344"/>
      <c r="WQX48" s="344"/>
      <c r="WQY48" s="344"/>
      <c r="WQZ48" s="344"/>
      <c r="WRA48" s="344"/>
      <c r="WRB48" s="344"/>
      <c r="WRC48" s="344"/>
      <c r="WRD48" s="344"/>
      <c r="WRE48" s="344"/>
      <c r="WRF48" s="344"/>
      <c r="WRG48" s="344"/>
      <c r="WRH48" s="344"/>
      <c r="WRI48" s="344"/>
      <c r="WRJ48" s="344"/>
      <c r="WRK48" s="344"/>
      <c r="WRL48" s="344"/>
      <c r="WRM48" s="344"/>
      <c r="WRN48" s="344"/>
      <c r="WRO48" s="344"/>
      <c r="WRP48" s="344"/>
      <c r="WRQ48" s="344"/>
      <c r="WRR48" s="344"/>
      <c r="WRS48" s="344"/>
      <c r="WRT48" s="344"/>
      <c r="WRU48" s="344"/>
      <c r="WRV48" s="344"/>
      <c r="WRW48" s="344"/>
      <c r="WRX48" s="344"/>
      <c r="WRY48" s="344"/>
      <c r="WRZ48" s="344"/>
      <c r="WSA48" s="344"/>
      <c r="WSB48" s="344"/>
      <c r="WSC48" s="344"/>
      <c r="WSD48" s="344"/>
      <c r="WSE48" s="344"/>
      <c r="WSF48" s="344"/>
      <c r="WSG48" s="344"/>
      <c r="WSH48" s="344"/>
      <c r="WSI48" s="344"/>
      <c r="WSJ48" s="344"/>
      <c r="WSK48" s="344"/>
      <c r="WSL48" s="344"/>
      <c r="WSM48" s="344"/>
      <c r="WSN48" s="344"/>
      <c r="WSO48" s="344"/>
      <c r="WSP48" s="344"/>
      <c r="WSQ48" s="344"/>
      <c r="WSR48" s="344"/>
      <c r="WSS48" s="344"/>
      <c r="WST48" s="344"/>
      <c r="WSU48" s="344"/>
      <c r="WSV48" s="344"/>
      <c r="WSW48" s="344"/>
      <c r="WSX48" s="344"/>
      <c r="WSY48" s="344"/>
      <c r="WSZ48" s="344"/>
      <c r="WTA48" s="344"/>
      <c r="WTB48" s="344"/>
      <c r="WTC48" s="344"/>
      <c r="WTD48" s="344"/>
      <c r="WTE48" s="344"/>
      <c r="WTF48" s="344"/>
      <c r="WTG48" s="344"/>
      <c r="WTH48" s="344"/>
      <c r="WTI48" s="344"/>
      <c r="WTJ48" s="344"/>
      <c r="WTK48" s="344"/>
      <c r="WTL48" s="344"/>
      <c r="WTM48" s="344"/>
      <c r="WTN48" s="344"/>
      <c r="WTO48" s="344"/>
      <c r="WTP48" s="344"/>
      <c r="WTQ48" s="344"/>
      <c r="WTR48" s="344"/>
      <c r="WTS48" s="344"/>
      <c r="WTT48" s="344"/>
      <c r="WTU48" s="344"/>
      <c r="WTV48" s="344"/>
      <c r="WTW48" s="344"/>
      <c r="WTX48" s="344"/>
      <c r="WTY48" s="344"/>
      <c r="WTZ48" s="344"/>
      <c r="WUA48" s="344"/>
      <c r="WUB48" s="344"/>
      <c r="WUC48" s="344"/>
      <c r="WUD48" s="344"/>
      <c r="WUE48" s="344"/>
      <c r="WUF48" s="344"/>
      <c r="WUG48" s="344"/>
      <c r="WUH48" s="344"/>
      <c r="WUI48" s="344"/>
      <c r="WUJ48" s="344"/>
      <c r="WUK48" s="344"/>
      <c r="WUL48" s="344"/>
      <c r="WUM48" s="344"/>
      <c r="WUN48" s="344"/>
      <c r="WUO48" s="344"/>
      <c r="WUP48" s="344"/>
      <c r="WUQ48" s="344"/>
      <c r="WUR48" s="344"/>
      <c r="WUS48" s="344"/>
      <c r="WUT48" s="344"/>
      <c r="WUU48" s="344"/>
      <c r="WUV48" s="344"/>
      <c r="WUW48" s="344"/>
      <c r="WUX48" s="344"/>
      <c r="WUY48" s="344"/>
      <c r="WUZ48" s="344"/>
      <c r="WVA48" s="344"/>
      <c r="WVB48" s="344"/>
      <c r="WVC48" s="344"/>
      <c r="WVD48" s="344"/>
      <c r="WVE48" s="344"/>
      <c r="WVF48" s="344"/>
      <c r="WVG48" s="344"/>
      <c r="WVH48" s="344"/>
      <c r="WVI48" s="344"/>
      <c r="WVJ48" s="344"/>
      <c r="WVK48" s="344"/>
      <c r="WVL48" s="344"/>
      <c r="WVM48" s="344"/>
      <c r="WVN48" s="344"/>
      <c r="WVO48" s="344"/>
      <c r="WVP48" s="344"/>
      <c r="WVQ48" s="344"/>
      <c r="WVR48" s="344"/>
      <c r="WVS48" s="344"/>
      <c r="WVT48" s="344"/>
      <c r="WVU48" s="344"/>
      <c r="WVV48" s="344"/>
      <c r="WVW48" s="344"/>
      <c r="WVX48" s="344"/>
      <c r="WVY48" s="344"/>
      <c r="WVZ48" s="344"/>
      <c r="WWA48" s="344"/>
      <c r="WWB48" s="344"/>
      <c r="WWC48" s="344"/>
      <c r="WWD48" s="344"/>
      <c r="WWE48" s="344"/>
      <c r="WWF48" s="344"/>
      <c r="WWG48" s="344"/>
      <c r="WWH48" s="344"/>
      <c r="WWI48" s="344"/>
      <c r="WWJ48" s="344"/>
      <c r="WWK48" s="344"/>
      <c r="WWL48" s="344"/>
      <c r="WWM48" s="344"/>
      <c r="WWN48" s="344"/>
      <c r="WWO48" s="344"/>
      <c r="WWP48" s="344"/>
      <c r="WWQ48" s="344"/>
      <c r="WWR48" s="344"/>
      <c r="WWS48" s="344"/>
      <c r="WWT48" s="344"/>
      <c r="WWU48" s="344"/>
      <c r="WWV48" s="344"/>
      <c r="WWW48" s="344"/>
      <c r="WWX48" s="344"/>
      <c r="WWY48" s="344"/>
      <c r="WWZ48" s="344"/>
      <c r="WXA48" s="344"/>
      <c r="WXB48" s="344"/>
      <c r="WXC48" s="344"/>
      <c r="WXD48" s="344"/>
      <c r="WXE48" s="344"/>
      <c r="WXF48" s="344"/>
      <c r="WXG48" s="344"/>
      <c r="WXH48" s="344"/>
      <c r="WXI48" s="344"/>
      <c r="WXJ48" s="344"/>
      <c r="WXK48" s="344"/>
      <c r="WXL48" s="344"/>
      <c r="WXM48" s="344"/>
      <c r="WXN48" s="344"/>
      <c r="WXO48" s="344"/>
      <c r="WXP48" s="344"/>
      <c r="WXQ48" s="344"/>
      <c r="WXR48" s="344"/>
      <c r="WXS48" s="344"/>
      <c r="WXT48" s="344"/>
      <c r="WXU48" s="344"/>
      <c r="WXV48" s="344"/>
      <c r="WXW48" s="344"/>
      <c r="WXX48" s="344"/>
      <c r="WXY48" s="344"/>
      <c r="WXZ48" s="344"/>
      <c r="WYA48" s="344"/>
      <c r="WYB48" s="344"/>
      <c r="WYC48" s="344"/>
      <c r="WYD48" s="344"/>
      <c r="WYE48" s="344"/>
      <c r="WYF48" s="344"/>
      <c r="WYG48" s="344"/>
      <c r="WYH48" s="344"/>
      <c r="WYI48" s="344"/>
      <c r="WYJ48" s="344"/>
      <c r="WYK48" s="344"/>
      <c r="WYL48" s="344"/>
      <c r="WYM48" s="344"/>
      <c r="WYN48" s="344"/>
      <c r="WYO48" s="344"/>
      <c r="WYP48" s="344"/>
      <c r="WYQ48" s="344"/>
      <c r="WYR48" s="344"/>
      <c r="WYS48" s="344"/>
      <c r="WYT48" s="344"/>
      <c r="WYU48" s="344"/>
      <c r="WYV48" s="344"/>
      <c r="WYW48" s="344"/>
      <c r="WYX48" s="344"/>
      <c r="WYY48" s="344"/>
      <c r="WYZ48" s="344"/>
      <c r="WZA48" s="344"/>
      <c r="WZB48" s="344"/>
      <c r="WZC48" s="344"/>
      <c r="WZD48" s="344"/>
      <c r="WZE48" s="344"/>
      <c r="WZF48" s="344"/>
      <c r="WZG48" s="344"/>
      <c r="WZH48" s="344"/>
      <c r="WZI48" s="344"/>
      <c r="WZJ48" s="344"/>
      <c r="WZK48" s="344"/>
      <c r="WZL48" s="344"/>
      <c r="WZM48" s="344"/>
      <c r="WZN48" s="344"/>
      <c r="WZO48" s="344"/>
      <c r="WZP48" s="344"/>
      <c r="WZQ48" s="344"/>
      <c r="WZR48" s="344"/>
      <c r="WZS48" s="344"/>
      <c r="WZT48" s="344"/>
      <c r="WZU48" s="344"/>
      <c r="WZV48" s="344"/>
      <c r="WZW48" s="344"/>
      <c r="WZX48" s="344"/>
      <c r="WZY48" s="344"/>
      <c r="WZZ48" s="344"/>
      <c r="XAA48" s="344"/>
      <c r="XAB48" s="344"/>
      <c r="XAC48" s="344"/>
      <c r="XAD48" s="344"/>
      <c r="XAE48" s="344"/>
      <c r="XAF48" s="344"/>
      <c r="XAG48" s="344"/>
      <c r="XAH48" s="344"/>
      <c r="XAI48" s="344"/>
      <c r="XAJ48" s="344"/>
      <c r="XAK48" s="344"/>
      <c r="XAL48" s="344"/>
      <c r="XAM48" s="344"/>
      <c r="XAN48" s="344"/>
      <c r="XAO48" s="344"/>
      <c r="XAP48" s="344"/>
      <c r="XAQ48" s="344"/>
      <c r="XAR48" s="344"/>
      <c r="XAS48" s="344"/>
      <c r="XAT48" s="344"/>
      <c r="XAU48" s="344"/>
      <c r="XAV48" s="344"/>
      <c r="XAW48" s="344"/>
      <c r="XAX48" s="344"/>
      <c r="XAY48" s="344"/>
      <c r="XAZ48" s="344"/>
      <c r="XBA48" s="344"/>
      <c r="XBB48" s="344"/>
      <c r="XBC48" s="344"/>
      <c r="XBD48" s="344"/>
      <c r="XBE48" s="344"/>
      <c r="XBF48" s="344"/>
      <c r="XBG48" s="344"/>
      <c r="XBH48" s="344"/>
      <c r="XBI48" s="344"/>
      <c r="XBJ48" s="344"/>
      <c r="XBK48" s="344"/>
      <c r="XBL48" s="344"/>
      <c r="XBM48" s="344"/>
      <c r="XBN48" s="344"/>
      <c r="XBO48" s="344"/>
      <c r="XBP48" s="344"/>
      <c r="XBQ48" s="344"/>
      <c r="XBR48" s="344"/>
      <c r="XBS48" s="344"/>
      <c r="XBT48" s="344"/>
      <c r="XBU48" s="344"/>
      <c r="XBV48" s="344"/>
      <c r="XBW48" s="344"/>
      <c r="XBX48" s="344"/>
      <c r="XBY48" s="344"/>
      <c r="XBZ48" s="344"/>
      <c r="XCA48" s="344"/>
      <c r="XCB48" s="344"/>
      <c r="XCC48" s="344"/>
      <c r="XCD48" s="344"/>
      <c r="XCE48" s="344"/>
      <c r="XCF48" s="344"/>
      <c r="XCG48" s="344"/>
      <c r="XCH48" s="344"/>
      <c r="XCI48" s="344"/>
      <c r="XCJ48" s="344"/>
      <c r="XCK48" s="344"/>
      <c r="XCL48" s="344"/>
      <c r="XCM48" s="344"/>
      <c r="XCN48" s="344"/>
      <c r="XCO48" s="344"/>
      <c r="XCP48" s="344"/>
      <c r="XCQ48" s="344"/>
      <c r="XCR48" s="344"/>
      <c r="XCS48" s="344"/>
      <c r="XCT48" s="344"/>
      <c r="XCU48" s="344"/>
      <c r="XCV48" s="344"/>
      <c r="XCW48" s="344"/>
      <c r="XCX48" s="344"/>
      <c r="XCY48" s="344"/>
      <c r="XCZ48" s="344"/>
      <c r="XDA48" s="344"/>
      <c r="XDB48" s="344"/>
      <c r="XDC48" s="344"/>
      <c r="XDD48" s="344"/>
      <c r="XDE48" s="344"/>
      <c r="XDF48" s="344"/>
      <c r="XDG48" s="344"/>
      <c r="XDH48" s="344"/>
      <c r="XDI48" s="344"/>
      <c r="XDJ48" s="344"/>
      <c r="XDK48" s="344"/>
      <c r="XDL48" s="344"/>
      <c r="XDM48" s="344"/>
      <c r="XDN48" s="344"/>
      <c r="XDO48" s="344"/>
      <c r="XDP48" s="344"/>
      <c r="XDQ48" s="344"/>
      <c r="XDR48" s="344"/>
      <c r="XDS48" s="344"/>
      <c r="XDT48" s="344"/>
      <c r="XDU48" s="344"/>
      <c r="XDV48" s="344"/>
      <c r="XDW48" s="344"/>
      <c r="XDX48" s="344"/>
      <c r="XDY48" s="344"/>
      <c r="XDZ48" s="344"/>
      <c r="XEA48" s="344"/>
      <c r="XEB48" s="344"/>
      <c r="XEC48" s="344"/>
      <c r="XED48" s="344"/>
      <c r="XEE48" s="344"/>
      <c r="XEF48" s="344"/>
      <c r="XEG48" s="344"/>
      <c r="XEH48" s="344"/>
      <c r="XEI48" s="344"/>
      <c r="XEJ48" s="344"/>
      <c r="XEK48" s="344"/>
      <c r="XEL48" s="344"/>
      <c r="XEM48" s="344"/>
      <c r="XEN48" s="344"/>
      <c r="XEO48" s="344"/>
      <c r="XEP48" s="344"/>
      <c r="XEQ48" s="344"/>
      <c r="XER48" s="344"/>
      <c r="XES48" s="344"/>
      <c r="XET48" s="344"/>
      <c r="XEU48" s="344"/>
      <c r="XEV48" s="344"/>
      <c r="XEW48" s="344"/>
      <c r="XEX48" s="344"/>
      <c r="XEY48" s="344"/>
      <c r="XEZ48" s="344"/>
      <c r="XFA48" s="344"/>
    </row>
    <row r="49" s="338" customFormat="1" ht="29.25" customHeight="1" spans="1:1024 1025:16381">
      <c r="A49" s="344"/>
      <c r="B49" s="382">
        <v>39</v>
      </c>
      <c r="C49" s="380" t="e">
        <f>_xlfn.XLOOKUP(D49,商品汇总表!$B:$B,商品汇总表!$A:$A,"")</f>
        <v>#N/A</v>
      </c>
      <c r="D49" s="362" t="e" cm="1">
        <f t="array" ref="D49">LOOKUP(1,0/(('5.21出货明细'!AR:AR=$D$52)*('5.21出货明细'!A:A=B49)),'5.21出货明细'!E:E)</f>
        <v>#N/A</v>
      </c>
      <c r="E49" s="358" t="e">
        <f>_xlfn.XLOOKUP(D49,商品汇总表!$B:$B,商品汇总表!$D:$D,"")</f>
        <v>#N/A</v>
      </c>
      <c r="F49" s="363" t="e" cm="1">
        <f t="array" ref="F49">_xlfn.LET(_xlpm.数组,B49&amp;D49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49" s="373"/>
      <c r="H49" s="364"/>
      <c r="I49" s="365"/>
      <c r="J49" s="366"/>
      <c r="K49" s="367"/>
      <c r="L49" s="368"/>
      <c r="M49" s="369" t="s">
        <v>2953</v>
      </c>
      <c r="N49" s="370"/>
      <c r="O49" s="370"/>
      <c r="P49" s="383"/>
      <c r="Q49" s="372"/>
      <c r="R49" s="372"/>
      <c r="S49" s="372"/>
      <c r="T49" s="372"/>
      <c r="U49" s="344"/>
      <c r="V49" s="344"/>
      <c r="W49" s="344"/>
      <c r="X49" s="344"/>
      <c r="Y49" s="344"/>
      <c r="Z49" s="344"/>
      <c r="AA49" s="344"/>
      <c r="AB49" s="344"/>
      <c r="AC49" s="344"/>
      <c r="AD49" s="344"/>
      <c r="AE49" s="344"/>
      <c r="AF49" s="344"/>
      <c r="AG49" s="344"/>
      <c r="AH49" s="344"/>
      <c r="AI49" s="344"/>
      <c r="AJ49" s="344"/>
      <c r="AK49" s="344"/>
      <c r="AL49" s="344"/>
      <c r="AM49" s="344"/>
      <c r="AN49" s="344"/>
      <c r="AO49" s="344"/>
      <c r="AP49" s="344"/>
      <c r="AQ49" s="344"/>
      <c r="AR49" s="344"/>
      <c r="AS49" s="344"/>
      <c r="AT49" s="344"/>
      <c r="AU49" s="344"/>
      <c r="AV49" s="344"/>
      <c r="AW49" s="344"/>
      <c r="AX49" s="344"/>
      <c r="AY49" s="344"/>
      <c r="AZ49" s="344"/>
      <c r="BA49" s="344"/>
      <c r="BB49" s="344"/>
      <c r="BC49" s="344"/>
      <c r="BD49" s="344"/>
      <c r="BE49" s="344"/>
      <c r="BF49" s="344"/>
      <c r="BG49" s="344"/>
      <c r="BH49" s="344"/>
      <c r="BI49" s="344"/>
      <c r="BJ49" s="344"/>
      <c r="BK49" s="344"/>
      <c r="BL49" s="344"/>
      <c r="BM49" s="344"/>
      <c r="BN49" s="344"/>
      <c r="BO49" s="344"/>
      <c r="BP49" s="344"/>
      <c r="BQ49" s="344"/>
      <c r="BR49" s="344"/>
      <c r="BS49" s="344"/>
      <c r="BT49" s="344"/>
      <c r="BU49" s="344"/>
      <c r="BV49" s="344"/>
      <c r="BW49" s="344"/>
      <c r="BX49" s="344"/>
      <c r="BY49" s="344"/>
      <c r="BZ49" s="344"/>
      <c r="CA49" s="344"/>
      <c r="CB49" s="344"/>
      <c r="CC49" s="344"/>
      <c r="CD49" s="344"/>
      <c r="CE49" s="344"/>
      <c r="CF49" s="344"/>
      <c r="CG49" s="344"/>
      <c r="CH49" s="344"/>
      <c r="CI49" s="344"/>
      <c r="CJ49" s="344"/>
      <c r="CK49" s="344"/>
      <c r="CL49" s="344"/>
      <c r="CM49" s="344"/>
      <c r="CN49" s="344"/>
      <c r="CO49" s="344"/>
      <c r="CP49" s="344"/>
      <c r="CQ49" s="344"/>
      <c r="CR49" s="344"/>
      <c r="CS49" s="344"/>
      <c r="CT49" s="344"/>
      <c r="CU49" s="344"/>
      <c r="CV49" s="344"/>
      <c r="CW49" s="344"/>
      <c r="CX49" s="344"/>
      <c r="CY49" s="344"/>
      <c r="CZ49" s="344"/>
      <c r="DA49" s="344"/>
      <c r="DB49" s="344"/>
      <c r="DC49" s="344"/>
      <c r="DD49" s="344"/>
      <c r="DE49" s="344"/>
      <c r="DF49" s="344"/>
      <c r="DG49" s="344"/>
      <c r="DH49" s="344"/>
      <c r="DI49" s="344"/>
      <c r="DJ49" s="344"/>
      <c r="DK49" s="344"/>
      <c r="DL49" s="344"/>
      <c r="DM49" s="344"/>
      <c r="DN49" s="344"/>
      <c r="DO49" s="344"/>
      <c r="DP49" s="344"/>
      <c r="DQ49" s="344"/>
      <c r="DR49" s="344"/>
      <c r="DS49" s="344"/>
      <c r="DT49" s="344"/>
      <c r="DU49" s="344"/>
      <c r="DV49" s="344"/>
      <c r="DW49" s="344"/>
      <c r="DX49" s="344"/>
      <c r="DY49" s="344"/>
      <c r="DZ49" s="344"/>
      <c r="EA49" s="344"/>
      <c r="EB49" s="344"/>
      <c r="EC49" s="344"/>
      <c r="ED49" s="344"/>
      <c r="EE49" s="344"/>
      <c r="EF49" s="344"/>
      <c r="EG49" s="344"/>
      <c r="EH49" s="344"/>
      <c r="EI49" s="344"/>
      <c r="EJ49" s="344"/>
      <c r="EK49" s="344"/>
      <c r="EL49" s="344"/>
      <c r="EM49" s="344"/>
      <c r="EN49" s="344"/>
      <c r="EO49" s="344"/>
      <c r="EP49" s="344"/>
      <c r="EQ49" s="344"/>
      <c r="ER49" s="344"/>
      <c r="ES49" s="344"/>
      <c r="ET49" s="344"/>
      <c r="EU49" s="344"/>
      <c r="EV49" s="344"/>
      <c r="EW49" s="344"/>
      <c r="EX49" s="344"/>
      <c r="EY49" s="344"/>
      <c r="EZ49" s="344"/>
      <c r="FA49" s="344"/>
      <c r="FB49" s="344"/>
      <c r="FC49" s="344"/>
      <c r="FD49" s="344"/>
      <c r="FE49" s="344"/>
      <c r="FF49" s="344"/>
      <c r="FG49" s="344"/>
      <c r="FH49" s="344"/>
      <c r="FI49" s="344"/>
      <c r="FJ49" s="344"/>
      <c r="FK49" s="344"/>
      <c r="FL49" s="344"/>
      <c r="FM49" s="344"/>
      <c r="FN49" s="344"/>
      <c r="FO49" s="344"/>
      <c r="FP49" s="344"/>
      <c r="FQ49" s="344"/>
      <c r="FR49" s="344"/>
      <c r="FS49" s="344"/>
      <c r="FT49" s="344"/>
      <c r="FU49" s="344"/>
      <c r="FV49" s="344"/>
      <c r="FW49" s="344"/>
      <c r="FX49" s="344"/>
      <c r="FY49" s="344"/>
      <c r="FZ49" s="344"/>
      <c r="GA49" s="344"/>
      <c r="GB49" s="344"/>
      <c r="GC49" s="344"/>
      <c r="GD49" s="344"/>
      <c r="GE49" s="344"/>
      <c r="GF49" s="344"/>
      <c r="GG49" s="344"/>
      <c r="GH49" s="344"/>
      <c r="GI49" s="344"/>
      <c r="GJ49" s="344"/>
      <c r="GK49" s="344"/>
      <c r="GL49" s="344"/>
      <c r="GM49" s="344"/>
      <c r="GN49" s="344"/>
      <c r="GO49" s="344"/>
      <c r="GP49" s="344"/>
      <c r="GQ49" s="344"/>
      <c r="GR49" s="344"/>
      <c r="GS49" s="344"/>
      <c r="GT49" s="344"/>
      <c r="GU49" s="344"/>
      <c r="GV49" s="344"/>
      <c r="GW49" s="344"/>
      <c r="GX49" s="344"/>
      <c r="GY49" s="344"/>
      <c r="GZ49" s="344"/>
      <c r="HA49" s="344"/>
      <c r="HB49" s="344"/>
      <c r="HC49" s="344"/>
      <c r="HD49" s="344"/>
      <c r="HE49" s="344"/>
      <c r="HF49" s="344"/>
      <c r="HG49" s="344"/>
      <c r="HH49" s="344"/>
      <c r="HI49" s="344"/>
      <c r="HJ49" s="344"/>
      <c r="HK49" s="344"/>
      <c r="HL49" s="344"/>
      <c r="HM49" s="344"/>
      <c r="HN49" s="344"/>
      <c r="HO49" s="344"/>
      <c r="HP49" s="344"/>
      <c r="HQ49" s="344"/>
      <c r="HR49" s="344"/>
      <c r="HS49" s="344"/>
      <c r="HT49" s="344"/>
      <c r="HU49" s="344"/>
      <c r="HV49" s="344"/>
      <c r="HW49" s="344"/>
      <c r="HX49" s="344"/>
      <c r="HY49" s="344"/>
      <c r="HZ49" s="344"/>
      <c r="IA49" s="344"/>
      <c r="IB49" s="344"/>
      <c r="IC49" s="344"/>
      <c r="ID49" s="344"/>
      <c r="IE49" s="344"/>
      <c r="IF49" s="344"/>
      <c r="IG49" s="344"/>
      <c r="IH49" s="344"/>
      <c r="II49" s="344"/>
      <c r="IJ49" s="344"/>
      <c r="IK49" s="344"/>
      <c r="IL49" s="344"/>
      <c r="IM49" s="344"/>
      <c r="IN49" s="344"/>
      <c r="IO49" s="344"/>
      <c r="IP49" s="344"/>
      <c r="IQ49" s="344"/>
      <c r="IR49" s="344"/>
      <c r="IS49" s="344"/>
      <c r="IT49" s="344"/>
      <c r="IU49" s="344"/>
      <c r="IV49" s="344"/>
      <c r="IW49" s="344"/>
      <c r="IX49" s="344"/>
      <c r="IY49" s="344"/>
      <c r="IZ49" s="344"/>
      <c r="JA49" s="344"/>
      <c r="JB49" s="344"/>
      <c r="JC49" s="344"/>
      <c r="JD49" s="344"/>
      <c r="JE49" s="344"/>
      <c r="JF49" s="344"/>
      <c r="JG49" s="344"/>
      <c r="JH49" s="344"/>
      <c r="JI49" s="344"/>
      <c r="JJ49" s="344"/>
      <c r="JK49" s="344"/>
      <c r="JL49" s="344"/>
      <c r="JM49" s="344"/>
      <c r="JN49" s="344"/>
      <c r="JO49" s="344"/>
      <c r="JP49" s="344"/>
      <c r="JQ49" s="344"/>
      <c r="JR49" s="344"/>
      <c r="JS49" s="344"/>
      <c r="JT49" s="344"/>
      <c r="JU49" s="344"/>
      <c r="JV49" s="344"/>
      <c r="JW49" s="344"/>
      <c r="JX49" s="344"/>
      <c r="JY49" s="344"/>
      <c r="JZ49" s="344"/>
      <c r="KA49" s="344"/>
      <c r="KB49" s="344"/>
      <c r="KC49" s="344"/>
      <c r="KD49" s="344"/>
      <c r="KE49" s="344"/>
      <c r="KF49" s="344"/>
      <c r="KG49" s="344"/>
      <c r="KH49" s="344"/>
      <c r="KI49" s="344"/>
      <c r="KJ49" s="344"/>
      <c r="KK49" s="344"/>
      <c r="KL49" s="344"/>
      <c r="KM49" s="344"/>
      <c r="KN49" s="344"/>
      <c r="KO49" s="344"/>
      <c r="KP49" s="344"/>
      <c r="KQ49" s="344"/>
      <c r="KR49" s="344"/>
      <c r="KS49" s="344"/>
      <c r="KT49" s="344"/>
      <c r="KU49" s="344"/>
      <c r="KV49" s="344"/>
      <c r="KW49" s="344"/>
      <c r="KX49" s="344"/>
      <c r="KY49" s="344"/>
      <c r="KZ49" s="344"/>
      <c r="LA49" s="344"/>
      <c r="LB49" s="344"/>
      <c r="LC49" s="344"/>
      <c r="LD49" s="344"/>
      <c r="LE49" s="344"/>
      <c r="LF49" s="344"/>
      <c r="LG49" s="344"/>
      <c r="LH49" s="344"/>
      <c r="LI49" s="344"/>
      <c r="LJ49" s="344"/>
      <c r="LK49" s="344"/>
      <c r="LL49" s="344"/>
      <c r="LM49" s="344"/>
      <c r="LN49" s="344"/>
      <c r="LO49" s="344"/>
      <c r="LP49" s="344"/>
      <c r="LQ49" s="344"/>
      <c r="LR49" s="344"/>
      <c r="LS49" s="344"/>
      <c r="LT49" s="344"/>
      <c r="LU49" s="344"/>
      <c r="LV49" s="344"/>
      <c r="LW49" s="344"/>
      <c r="LX49" s="344"/>
      <c r="LY49" s="344"/>
      <c r="LZ49" s="344"/>
      <c r="MA49" s="344"/>
      <c r="MB49" s="344"/>
      <c r="MC49" s="344"/>
      <c r="MD49" s="344"/>
      <c r="ME49" s="344"/>
      <c r="MF49" s="344"/>
      <c r="MG49" s="344"/>
      <c r="MH49" s="344"/>
      <c r="MI49" s="344"/>
      <c r="MJ49" s="344"/>
      <c r="MK49" s="344"/>
      <c r="ML49" s="344"/>
      <c r="MM49" s="344"/>
      <c r="MN49" s="344"/>
      <c r="MO49" s="344"/>
      <c r="MP49" s="344"/>
      <c r="MQ49" s="344"/>
      <c r="MR49" s="344"/>
      <c r="MS49" s="344"/>
      <c r="MT49" s="344"/>
      <c r="MU49" s="344"/>
      <c r="MV49" s="344"/>
      <c r="MW49" s="344"/>
      <c r="MX49" s="344"/>
      <c r="MY49" s="344"/>
      <c r="MZ49" s="344"/>
      <c r="NA49" s="344"/>
      <c r="NB49" s="344"/>
      <c r="NC49" s="344"/>
      <c r="ND49" s="344"/>
      <c r="NE49" s="344"/>
      <c r="NF49" s="344"/>
      <c r="NG49" s="344"/>
      <c r="NH49" s="344"/>
      <c r="NI49" s="344"/>
      <c r="NJ49" s="344"/>
      <c r="NK49" s="344"/>
      <c r="NL49" s="344"/>
      <c r="NM49" s="344"/>
      <c r="NN49" s="344"/>
      <c r="NO49" s="344"/>
      <c r="NP49" s="344"/>
      <c r="NQ49" s="344"/>
      <c r="NR49" s="344"/>
      <c r="NS49" s="344"/>
      <c r="NT49" s="344"/>
      <c r="NU49" s="344"/>
      <c r="NV49" s="344"/>
      <c r="NW49" s="344"/>
      <c r="NX49" s="344"/>
      <c r="NY49" s="344"/>
      <c r="NZ49" s="344"/>
      <c r="OA49" s="344"/>
      <c r="OB49" s="344"/>
      <c r="OC49" s="344"/>
      <c r="OD49" s="344"/>
      <c r="OE49" s="344"/>
      <c r="OF49" s="344"/>
      <c r="OG49" s="344"/>
      <c r="OH49" s="344"/>
      <c r="OI49" s="344"/>
      <c r="OJ49" s="344"/>
      <c r="OK49" s="344"/>
      <c r="OL49" s="344"/>
      <c r="OM49" s="344"/>
      <c r="ON49" s="344"/>
      <c r="OO49" s="344"/>
      <c r="OP49" s="344"/>
      <c r="OQ49" s="344"/>
      <c r="OR49" s="344"/>
      <c r="OS49" s="344"/>
      <c r="OT49" s="344"/>
      <c r="OU49" s="344"/>
      <c r="OV49" s="344"/>
      <c r="OW49" s="344"/>
      <c r="OX49" s="344"/>
      <c r="OY49" s="344"/>
      <c r="OZ49" s="344"/>
      <c r="PA49" s="344"/>
      <c r="PB49" s="344"/>
      <c r="PC49" s="344"/>
      <c r="PD49" s="344"/>
      <c r="PE49" s="344"/>
      <c r="PF49" s="344"/>
      <c r="PG49" s="344"/>
      <c r="PH49" s="344"/>
      <c r="PI49" s="344"/>
      <c r="PJ49" s="344"/>
      <c r="PK49" s="344"/>
      <c r="PL49" s="344"/>
      <c r="PM49" s="344"/>
      <c r="PN49" s="344"/>
      <c r="PO49" s="344"/>
      <c r="PP49" s="344"/>
      <c r="PQ49" s="344"/>
      <c r="PR49" s="344"/>
      <c r="PS49" s="344"/>
      <c r="PT49" s="344"/>
      <c r="PU49" s="344"/>
      <c r="PV49" s="344"/>
      <c r="PW49" s="344"/>
      <c r="PX49" s="344"/>
      <c r="PY49" s="344"/>
      <c r="PZ49" s="344"/>
      <c r="QA49" s="344"/>
      <c r="QB49" s="344"/>
      <c r="QC49" s="344"/>
      <c r="QD49" s="344"/>
      <c r="QE49" s="344"/>
      <c r="QF49" s="344"/>
      <c r="QG49" s="344"/>
      <c r="QH49" s="344"/>
      <c r="QI49" s="344"/>
      <c r="QJ49" s="344"/>
      <c r="QK49" s="344"/>
      <c r="QL49" s="344"/>
      <c r="QM49" s="344"/>
      <c r="QN49" s="344"/>
      <c r="QO49" s="344"/>
      <c r="QP49" s="344"/>
      <c r="QQ49" s="344"/>
      <c r="QR49" s="344"/>
      <c r="QS49" s="344"/>
      <c r="QT49" s="344"/>
      <c r="QU49" s="344"/>
      <c r="QV49" s="344"/>
      <c r="QW49" s="344"/>
      <c r="QX49" s="344"/>
      <c r="QY49" s="344"/>
      <c r="QZ49" s="344"/>
      <c r="RA49" s="344"/>
      <c r="RB49" s="344"/>
      <c r="RC49" s="344"/>
      <c r="RD49" s="344"/>
      <c r="RE49" s="344"/>
      <c r="RF49" s="344"/>
      <c r="RG49" s="344"/>
      <c r="RH49" s="344"/>
      <c r="RI49" s="344"/>
      <c r="RJ49" s="344"/>
      <c r="RK49" s="344"/>
      <c r="RL49" s="344"/>
      <c r="RM49" s="344"/>
      <c r="RN49" s="344"/>
      <c r="RO49" s="344"/>
      <c r="RP49" s="344"/>
      <c r="RQ49" s="344"/>
      <c r="RR49" s="344"/>
      <c r="RS49" s="344"/>
      <c r="RT49" s="344"/>
      <c r="RU49" s="344"/>
      <c r="RV49" s="344"/>
      <c r="RW49" s="344"/>
      <c r="RX49" s="344"/>
      <c r="RY49" s="344"/>
      <c r="RZ49" s="344"/>
      <c r="SA49" s="344"/>
      <c r="SB49" s="344"/>
      <c r="SC49" s="344"/>
      <c r="SD49" s="344"/>
      <c r="SE49" s="344"/>
      <c r="SF49" s="344"/>
      <c r="SG49" s="344"/>
      <c r="SH49" s="344"/>
      <c r="SI49" s="344"/>
      <c r="SJ49" s="344"/>
      <c r="SK49" s="344"/>
      <c r="SL49" s="344"/>
      <c r="SM49" s="344"/>
      <c r="SN49" s="344"/>
      <c r="SO49" s="344"/>
      <c r="SP49" s="344"/>
      <c r="SQ49" s="344"/>
      <c r="SR49" s="344"/>
      <c r="SS49" s="344"/>
      <c r="ST49" s="344"/>
      <c r="SU49" s="344"/>
      <c r="SV49" s="344"/>
      <c r="SW49" s="344"/>
      <c r="SX49" s="344"/>
      <c r="SY49" s="344"/>
      <c r="SZ49" s="344"/>
      <c r="TA49" s="344"/>
      <c r="TB49" s="344"/>
      <c r="TC49" s="344"/>
      <c r="TD49" s="344"/>
      <c r="TE49" s="344"/>
      <c r="TF49" s="344"/>
      <c r="TG49" s="344"/>
      <c r="TH49" s="344"/>
      <c r="TI49" s="344"/>
      <c r="TJ49" s="344"/>
      <c r="TK49" s="344"/>
      <c r="TL49" s="344"/>
      <c r="TM49" s="344"/>
      <c r="TN49" s="344"/>
      <c r="TO49" s="344"/>
      <c r="TP49" s="344"/>
      <c r="TQ49" s="344"/>
      <c r="TR49" s="344"/>
      <c r="TS49" s="344"/>
      <c r="TT49" s="344"/>
      <c r="TU49" s="344"/>
      <c r="TV49" s="344"/>
      <c r="TW49" s="344"/>
      <c r="TX49" s="344"/>
      <c r="TY49" s="344"/>
      <c r="TZ49" s="344"/>
      <c r="UA49" s="344"/>
      <c r="UB49" s="344"/>
      <c r="UC49" s="344"/>
      <c r="UD49" s="344"/>
      <c r="UE49" s="344"/>
      <c r="UF49" s="344"/>
      <c r="UG49" s="344"/>
      <c r="UH49" s="344"/>
      <c r="UI49" s="344"/>
      <c r="UJ49" s="344"/>
      <c r="UK49" s="344"/>
      <c r="UL49" s="344"/>
      <c r="UM49" s="344"/>
      <c r="UN49" s="344"/>
      <c r="UO49" s="344"/>
      <c r="UP49" s="344"/>
      <c r="UQ49" s="344"/>
      <c r="UR49" s="344"/>
      <c r="US49" s="344"/>
      <c r="UT49" s="344"/>
      <c r="UU49" s="344"/>
      <c r="UV49" s="344"/>
      <c r="UW49" s="344"/>
      <c r="UX49" s="344"/>
      <c r="UY49" s="344"/>
      <c r="UZ49" s="344"/>
      <c r="VA49" s="344"/>
      <c r="VB49" s="344"/>
      <c r="VC49" s="344"/>
      <c r="VD49" s="344"/>
      <c r="VE49" s="344"/>
      <c r="VF49" s="344"/>
      <c r="VG49" s="344"/>
      <c r="VH49" s="344"/>
      <c r="VI49" s="344"/>
      <c r="VJ49" s="344"/>
      <c r="VK49" s="344"/>
      <c r="VL49" s="344"/>
      <c r="VM49" s="344"/>
      <c r="VN49" s="344"/>
      <c r="VO49" s="344"/>
      <c r="VP49" s="344"/>
      <c r="VQ49" s="344"/>
      <c r="VR49" s="344"/>
      <c r="VS49" s="344"/>
      <c r="VT49" s="344"/>
      <c r="VU49" s="344"/>
      <c r="VV49" s="344"/>
      <c r="VW49" s="344"/>
      <c r="VX49" s="344"/>
      <c r="VY49" s="344"/>
      <c r="VZ49" s="344"/>
      <c r="WA49" s="344"/>
      <c r="WB49" s="344"/>
      <c r="WC49" s="344"/>
      <c r="WD49" s="344"/>
      <c r="WE49" s="344"/>
      <c r="WF49" s="344"/>
      <c r="WG49" s="344"/>
      <c r="WH49" s="344"/>
      <c r="WI49" s="344"/>
      <c r="WJ49" s="344"/>
      <c r="WK49" s="344"/>
      <c r="WL49" s="344"/>
      <c r="WM49" s="344"/>
      <c r="WN49" s="344"/>
      <c r="WO49" s="344"/>
      <c r="WP49" s="344"/>
      <c r="WQ49" s="344"/>
      <c r="WR49" s="344"/>
      <c r="WS49" s="344"/>
      <c r="WT49" s="344"/>
      <c r="WU49" s="344"/>
      <c r="WV49" s="344"/>
      <c r="WW49" s="344"/>
      <c r="WX49" s="344"/>
      <c r="WY49" s="344"/>
      <c r="WZ49" s="344"/>
      <c r="XA49" s="344"/>
      <c r="XB49" s="344"/>
      <c r="XC49" s="344"/>
      <c r="XD49" s="344"/>
      <c r="XE49" s="344"/>
      <c r="XF49" s="344"/>
      <c r="XG49" s="344"/>
      <c r="XH49" s="344"/>
      <c r="XI49" s="344"/>
      <c r="XJ49" s="344"/>
      <c r="XK49" s="344"/>
      <c r="XL49" s="344"/>
      <c r="XM49" s="344"/>
      <c r="XN49" s="344"/>
      <c r="XO49" s="344"/>
      <c r="XP49" s="344"/>
      <c r="XQ49" s="344"/>
      <c r="XR49" s="344"/>
      <c r="XS49" s="344"/>
      <c r="XT49" s="344"/>
      <c r="XU49" s="344"/>
      <c r="XV49" s="344"/>
      <c r="XW49" s="344"/>
      <c r="XX49" s="344"/>
      <c r="XY49" s="344"/>
      <c r="XZ49" s="344"/>
      <c r="YA49" s="344"/>
      <c r="YB49" s="344"/>
      <c r="YC49" s="344"/>
      <c r="YD49" s="344"/>
      <c r="YE49" s="344"/>
      <c r="YF49" s="344"/>
      <c r="YG49" s="344"/>
      <c r="YH49" s="344"/>
      <c r="YI49" s="344"/>
      <c r="YJ49" s="344"/>
      <c r="YK49" s="344"/>
      <c r="YL49" s="344"/>
      <c r="YM49" s="344"/>
      <c r="YN49" s="344"/>
      <c r="YO49" s="344"/>
      <c r="YP49" s="344"/>
      <c r="YQ49" s="344"/>
      <c r="YR49" s="344"/>
      <c r="YS49" s="344"/>
      <c r="YT49" s="344"/>
      <c r="YU49" s="344"/>
      <c r="YV49" s="344"/>
      <c r="YW49" s="344"/>
      <c r="YX49" s="344"/>
      <c r="YY49" s="344"/>
      <c r="YZ49" s="344"/>
      <c r="ZA49" s="344"/>
      <c r="ZB49" s="344"/>
      <c r="ZC49" s="344"/>
      <c r="ZD49" s="344"/>
      <c r="ZE49" s="344"/>
      <c r="ZF49" s="344"/>
      <c r="ZG49" s="344"/>
      <c r="ZH49" s="344"/>
      <c r="ZI49" s="344"/>
      <c r="ZJ49" s="344"/>
      <c r="ZK49" s="344"/>
      <c r="ZL49" s="344"/>
      <c r="ZM49" s="344"/>
      <c r="ZN49" s="344"/>
      <c r="ZO49" s="344"/>
      <c r="ZP49" s="344"/>
      <c r="ZQ49" s="344"/>
      <c r="ZR49" s="344"/>
      <c r="ZS49" s="344"/>
      <c r="ZT49" s="344"/>
      <c r="ZU49" s="344"/>
      <c r="ZV49" s="344"/>
      <c r="ZW49" s="344"/>
      <c r="ZX49" s="344"/>
      <c r="ZY49" s="344"/>
      <c r="ZZ49" s="344"/>
      <c r="AAA49" s="344"/>
      <c r="AAB49" s="344"/>
      <c r="AAC49" s="344"/>
      <c r="AAD49" s="344"/>
      <c r="AAE49" s="344"/>
      <c r="AAF49" s="344"/>
      <c r="AAG49" s="344"/>
      <c r="AAH49" s="344"/>
      <c r="AAI49" s="344"/>
      <c r="AAJ49" s="344"/>
      <c r="AAK49" s="344"/>
      <c r="AAL49" s="344"/>
      <c r="AAM49" s="344"/>
      <c r="AAN49" s="344"/>
      <c r="AAO49" s="344"/>
      <c r="AAP49" s="344"/>
      <c r="AAQ49" s="344"/>
      <c r="AAR49" s="344"/>
      <c r="AAS49" s="344"/>
      <c r="AAT49" s="344"/>
      <c r="AAU49" s="344"/>
      <c r="AAV49" s="344"/>
      <c r="AAW49" s="344"/>
      <c r="AAX49" s="344"/>
      <c r="AAY49" s="344"/>
      <c r="AAZ49" s="344"/>
      <c r="ABA49" s="344"/>
      <c r="ABB49" s="344"/>
      <c r="ABC49" s="344"/>
      <c r="ABD49" s="344"/>
      <c r="ABE49" s="344"/>
      <c r="ABF49" s="344"/>
      <c r="ABG49" s="344"/>
      <c r="ABH49" s="344"/>
      <c r="ABI49" s="344"/>
      <c r="ABJ49" s="344"/>
      <c r="ABK49" s="344"/>
      <c r="ABL49" s="344"/>
      <c r="ABM49" s="344"/>
      <c r="ABN49" s="344"/>
      <c r="ABO49" s="344"/>
      <c r="ABP49" s="344"/>
      <c r="ABQ49" s="344"/>
      <c r="ABR49" s="344"/>
      <c r="ABS49" s="344"/>
      <c r="ABT49" s="344"/>
      <c r="ABU49" s="344"/>
      <c r="ABV49" s="344"/>
      <c r="ABW49" s="344"/>
      <c r="ABX49" s="344"/>
      <c r="ABY49" s="344"/>
      <c r="ABZ49" s="344"/>
      <c r="ACA49" s="344"/>
      <c r="ACB49" s="344"/>
      <c r="ACC49" s="344"/>
      <c r="ACD49" s="344"/>
      <c r="ACE49" s="344"/>
      <c r="ACF49" s="344"/>
      <c r="ACG49" s="344"/>
      <c r="ACH49" s="344"/>
      <c r="ACI49" s="344"/>
      <c r="ACJ49" s="344"/>
      <c r="ACK49" s="344"/>
      <c r="ACL49" s="344"/>
      <c r="ACM49" s="344"/>
      <c r="ACN49" s="344"/>
      <c r="ACO49" s="344"/>
      <c r="ACP49" s="344"/>
      <c r="ACQ49" s="344"/>
      <c r="ACR49" s="344"/>
      <c r="ACS49" s="344"/>
      <c r="ACT49" s="344"/>
      <c r="ACU49" s="344"/>
      <c r="ACV49" s="344"/>
      <c r="ACW49" s="344"/>
      <c r="ACX49" s="344"/>
      <c r="ACY49" s="344"/>
      <c r="ACZ49" s="344"/>
      <c r="ADA49" s="344"/>
      <c r="ADB49" s="344"/>
      <c r="ADC49" s="344"/>
      <c r="ADD49" s="344"/>
      <c r="ADE49" s="344"/>
      <c r="ADF49" s="344"/>
      <c r="ADG49" s="344"/>
      <c r="ADH49" s="344"/>
      <c r="ADI49" s="344"/>
      <c r="ADJ49" s="344"/>
      <c r="ADK49" s="344"/>
      <c r="ADL49" s="344"/>
      <c r="ADM49" s="344"/>
      <c r="ADN49" s="344"/>
      <c r="ADO49" s="344"/>
      <c r="ADP49" s="344"/>
      <c r="ADQ49" s="344"/>
      <c r="ADR49" s="344"/>
      <c r="ADS49" s="344"/>
      <c r="ADT49" s="344"/>
      <c r="ADU49" s="344"/>
      <c r="ADV49" s="344"/>
      <c r="ADW49" s="344"/>
      <c r="ADX49" s="344"/>
      <c r="ADY49" s="344"/>
      <c r="ADZ49" s="344"/>
      <c r="AEA49" s="344"/>
      <c r="AEB49" s="344"/>
      <c r="AEC49" s="344"/>
      <c r="AED49" s="344"/>
      <c r="AEE49" s="344"/>
      <c r="AEF49" s="344"/>
      <c r="AEG49" s="344"/>
      <c r="AEH49" s="344"/>
      <c r="AEI49" s="344"/>
      <c r="AEJ49" s="344"/>
      <c r="AEK49" s="344"/>
      <c r="AEL49" s="344"/>
      <c r="AEM49" s="344"/>
      <c r="AEN49" s="344"/>
      <c r="AEO49" s="344"/>
      <c r="AEP49" s="344"/>
      <c r="AEQ49" s="344"/>
      <c r="AER49" s="344"/>
      <c r="AES49" s="344"/>
      <c r="AET49" s="344"/>
      <c r="AEU49" s="344"/>
      <c r="AEV49" s="344"/>
      <c r="AEW49" s="344"/>
      <c r="AEX49" s="344"/>
      <c r="AEY49" s="344"/>
      <c r="AEZ49" s="344"/>
      <c r="AFA49" s="344"/>
      <c r="AFB49" s="344"/>
      <c r="AFC49" s="344"/>
      <c r="AFD49" s="344"/>
      <c r="AFE49" s="344"/>
      <c r="AFF49" s="344"/>
      <c r="AFG49" s="344"/>
      <c r="AFH49" s="344"/>
      <c r="AFI49" s="344"/>
      <c r="AFJ49" s="344"/>
      <c r="AFK49" s="344"/>
      <c r="AFL49" s="344"/>
      <c r="AFM49" s="344"/>
      <c r="AFN49" s="344"/>
      <c r="AFO49" s="344"/>
      <c r="AFP49" s="344"/>
      <c r="AFQ49" s="344"/>
      <c r="AFR49" s="344"/>
      <c r="AFS49" s="344"/>
      <c r="AFT49" s="344"/>
      <c r="AFU49" s="344"/>
      <c r="AFV49" s="344"/>
      <c r="AFW49" s="344"/>
      <c r="AFX49" s="344"/>
      <c r="AFY49" s="344"/>
      <c r="AFZ49" s="344"/>
      <c r="AGA49" s="344"/>
      <c r="AGB49" s="344"/>
      <c r="AGC49" s="344"/>
      <c r="AGD49" s="344"/>
      <c r="AGE49" s="344"/>
      <c r="AGF49" s="344"/>
      <c r="AGG49" s="344"/>
      <c r="AGH49" s="344"/>
      <c r="AGI49" s="344"/>
      <c r="AGJ49" s="344"/>
      <c r="AGK49" s="344"/>
      <c r="AGL49" s="344"/>
      <c r="AGM49" s="344"/>
      <c r="AGN49" s="344"/>
      <c r="AGO49" s="344"/>
      <c r="AGP49" s="344"/>
      <c r="AGQ49" s="344"/>
      <c r="AGR49" s="344"/>
      <c r="AGS49" s="344"/>
      <c r="AGT49" s="344"/>
      <c r="AGU49" s="344"/>
      <c r="AGV49" s="344"/>
      <c r="AGW49" s="344"/>
      <c r="AGX49" s="344"/>
      <c r="AGY49" s="344"/>
      <c r="AGZ49" s="344"/>
      <c r="AHA49" s="344"/>
      <c r="AHB49" s="344"/>
      <c r="AHC49" s="344"/>
      <c r="AHD49" s="344"/>
      <c r="AHE49" s="344"/>
      <c r="AHF49" s="344"/>
      <c r="AHG49" s="344"/>
      <c r="AHH49" s="344"/>
      <c r="AHI49" s="344"/>
      <c r="AHJ49" s="344"/>
      <c r="AHK49" s="344"/>
      <c r="AHL49" s="344"/>
      <c r="AHM49" s="344"/>
      <c r="AHN49" s="344"/>
      <c r="AHO49" s="344"/>
      <c r="AHP49" s="344"/>
      <c r="AHQ49" s="344"/>
      <c r="AHR49" s="344"/>
      <c r="AHS49" s="344"/>
      <c r="AHT49" s="344"/>
      <c r="AHU49" s="344"/>
      <c r="AHV49" s="344"/>
      <c r="AHW49" s="344"/>
      <c r="AHX49" s="344"/>
      <c r="AHY49" s="344"/>
      <c r="AHZ49" s="344"/>
      <c r="AIA49" s="344"/>
      <c r="AIB49" s="344"/>
      <c r="AIC49" s="344"/>
      <c r="AID49" s="344"/>
      <c r="AIE49" s="344"/>
      <c r="AIF49" s="344"/>
      <c r="AIG49" s="344"/>
      <c r="AIH49" s="344"/>
      <c r="AII49" s="344"/>
      <c r="AIJ49" s="344"/>
      <c r="AIK49" s="344"/>
      <c r="AIL49" s="344"/>
      <c r="AIM49" s="344"/>
      <c r="AIN49" s="344"/>
      <c r="AIO49" s="344"/>
      <c r="AIP49" s="344"/>
      <c r="AIQ49" s="344"/>
      <c r="AIR49" s="344"/>
      <c r="AIS49" s="344"/>
      <c r="AIT49" s="344"/>
      <c r="AIU49" s="344"/>
      <c r="AIV49" s="344"/>
      <c r="AIW49" s="344"/>
      <c r="AIX49" s="344"/>
      <c r="AIY49" s="344"/>
      <c r="AIZ49" s="344"/>
      <c r="AJA49" s="344"/>
      <c r="AJB49" s="344"/>
      <c r="AJC49" s="344"/>
      <c r="AJD49" s="344"/>
      <c r="AJE49" s="344"/>
      <c r="AJF49" s="344"/>
      <c r="AJG49" s="344"/>
      <c r="AJH49" s="344"/>
      <c r="AJI49" s="344"/>
      <c r="AJJ49" s="344"/>
      <c r="AJK49" s="344"/>
      <c r="AJL49" s="344"/>
      <c r="AJM49" s="344"/>
      <c r="AJN49" s="344"/>
      <c r="AJO49" s="344"/>
      <c r="AJP49" s="344"/>
      <c r="AJQ49" s="344"/>
      <c r="AJR49" s="344"/>
      <c r="AJS49" s="344"/>
      <c r="AJT49" s="344"/>
      <c r="AJU49" s="344"/>
      <c r="AJV49" s="344"/>
      <c r="AJW49" s="344"/>
      <c r="AJX49" s="344"/>
      <c r="AJY49" s="344"/>
      <c r="AJZ49" s="344"/>
      <c r="AKA49" s="344"/>
      <c r="AKB49" s="344"/>
      <c r="AKC49" s="344"/>
      <c r="AKD49" s="344"/>
      <c r="AKE49" s="344"/>
      <c r="AKF49" s="344"/>
      <c r="AKG49" s="344"/>
      <c r="AKH49" s="344"/>
      <c r="AKI49" s="344"/>
      <c r="AKJ49" s="344"/>
      <c r="AKK49" s="344"/>
      <c r="AKL49" s="344"/>
      <c r="AKM49" s="344"/>
      <c r="AKN49" s="344"/>
      <c r="AKO49" s="344"/>
      <c r="AKP49" s="344"/>
      <c r="AKQ49" s="344"/>
      <c r="AKR49" s="344"/>
      <c r="AKS49" s="344"/>
      <c r="AKT49" s="344"/>
      <c r="AKU49" s="344"/>
      <c r="AKV49" s="344"/>
      <c r="AKW49" s="344"/>
      <c r="AKX49" s="344"/>
      <c r="AKY49" s="344"/>
      <c r="AKZ49" s="344"/>
      <c r="ALA49" s="344"/>
      <c r="ALB49" s="344"/>
      <c r="ALC49" s="344"/>
      <c r="ALD49" s="344"/>
      <c r="ALE49" s="344"/>
      <c r="ALF49" s="344"/>
      <c r="ALG49" s="344"/>
      <c r="ALH49" s="344"/>
      <c r="ALI49" s="344"/>
      <c r="ALJ49" s="344"/>
      <c r="ALK49" s="344"/>
      <c r="ALL49" s="344"/>
      <c r="ALM49" s="344"/>
      <c r="ALN49" s="344"/>
      <c r="ALO49" s="344"/>
      <c r="ALP49" s="344"/>
      <c r="ALQ49" s="344"/>
      <c r="ALR49" s="344"/>
      <c r="ALS49" s="344"/>
      <c r="ALT49" s="344"/>
      <c r="ALU49" s="344"/>
      <c r="ALV49" s="344"/>
      <c r="ALW49" s="344"/>
      <c r="ALX49" s="344"/>
      <c r="ALY49" s="344"/>
      <c r="ALZ49" s="344"/>
      <c r="AMA49" s="344"/>
      <c r="AMB49" s="344"/>
      <c r="AMC49" s="344"/>
      <c r="AMD49" s="344"/>
      <c r="AME49" s="344"/>
      <c r="AMF49" s="344"/>
      <c r="AMG49" s="344"/>
      <c r="AMH49" s="344"/>
      <c r="AMI49" s="344"/>
      <c r="AMJ49" s="344"/>
      <c r="AMK49" s="344"/>
      <c r="AML49" s="344"/>
      <c r="AMM49" s="344"/>
      <c r="AMN49" s="344"/>
      <c r="AMO49" s="344"/>
      <c r="AMP49" s="344"/>
      <c r="AMQ49" s="344"/>
      <c r="AMR49" s="344"/>
      <c r="AMS49" s="344"/>
      <c r="AMT49" s="344"/>
      <c r="AMU49" s="344"/>
      <c r="AMV49" s="344"/>
      <c r="AMW49" s="344"/>
      <c r="AMX49" s="344"/>
      <c r="AMY49" s="344"/>
      <c r="AMZ49" s="344"/>
      <c r="ANA49" s="344"/>
      <c r="ANB49" s="344"/>
      <c r="ANC49" s="344"/>
      <c r="AND49" s="344"/>
      <c r="ANE49" s="344"/>
      <c r="ANF49" s="344"/>
      <c r="ANG49" s="344"/>
      <c r="ANH49" s="344"/>
      <c r="ANI49" s="344"/>
      <c r="ANJ49" s="344"/>
      <c r="ANK49" s="344"/>
      <c r="ANL49" s="344"/>
      <c r="ANM49" s="344"/>
      <c r="ANN49" s="344"/>
      <c r="ANO49" s="344"/>
      <c r="ANP49" s="344"/>
      <c r="ANQ49" s="344"/>
      <c r="ANR49" s="344"/>
      <c r="ANS49" s="344"/>
      <c r="ANT49" s="344"/>
      <c r="ANU49" s="344"/>
      <c r="ANV49" s="344"/>
      <c r="ANW49" s="344"/>
      <c r="ANX49" s="344"/>
      <c r="ANY49" s="344"/>
      <c r="ANZ49" s="344"/>
      <c r="AOA49" s="344"/>
      <c r="AOB49" s="344"/>
      <c r="AOC49" s="344"/>
      <c r="AOD49" s="344"/>
      <c r="AOE49" s="344"/>
      <c r="AOF49" s="344"/>
      <c r="AOG49" s="344"/>
      <c r="AOH49" s="344"/>
      <c r="AOI49" s="344"/>
      <c r="AOJ49" s="344"/>
      <c r="AOK49" s="344"/>
      <c r="AOL49" s="344"/>
      <c r="AOM49" s="344"/>
      <c r="AON49" s="344"/>
      <c r="AOO49" s="344"/>
      <c r="AOP49" s="344"/>
      <c r="AOQ49" s="344"/>
      <c r="AOR49" s="344"/>
      <c r="AOS49" s="344"/>
      <c r="AOT49" s="344"/>
      <c r="AOU49" s="344"/>
      <c r="AOV49" s="344"/>
      <c r="AOW49" s="344"/>
      <c r="AOX49" s="344"/>
      <c r="AOY49" s="344"/>
      <c r="AOZ49" s="344"/>
      <c r="APA49" s="344"/>
      <c r="APB49" s="344"/>
      <c r="APC49" s="344"/>
      <c r="APD49" s="344"/>
      <c r="APE49" s="344"/>
      <c r="APF49" s="344"/>
      <c r="APG49" s="344"/>
      <c r="APH49" s="344"/>
      <c r="API49" s="344"/>
      <c r="APJ49" s="344"/>
      <c r="APK49" s="344"/>
      <c r="APL49" s="344"/>
      <c r="APM49" s="344"/>
      <c r="APN49" s="344"/>
      <c r="APO49" s="344"/>
      <c r="APP49" s="344"/>
      <c r="APQ49" s="344"/>
      <c r="APR49" s="344"/>
      <c r="APS49" s="344"/>
      <c r="APT49" s="344"/>
      <c r="APU49" s="344"/>
      <c r="APV49" s="344"/>
      <c r="APW49" s="344"/>
      <c r="APX49" s="344"/>
      <c r="APY49" s="344"/>
      <c r="APZ49" s="344"/>
      <c r="AQA49" s="344"/>
      <c r="AQB49" s="344"/>
      <c r="AQC49" s="344"/>
      <c r="AQD49" s="344"/>
      <c r="AQE49" s="344"/>
      <c r="AQF49" s="344"/>
      <c r="AQG49" s="344"/>
      <c r="AQH49" s="344"/>
      <c r="AQI49" s="344"/>
      <c r="AQJ49" s="344"/>
      <c r="AQK49" s="344"/>
      <c r="AQL49" s="344"/>
      <c r="AQM49" s="344"/>
      <c r="AQN49" s="344"/>
      <c r="AQO49" s="344"/>
      <c r="AQP49" s="344"/>
      <c r="AQQ49" s="344"/>
      <c r="AQR49" s="344"/>
      <c r="AQS49" s="344"/>
      <c r="AQT49" s="344"/>
      <c r="AQU49" s="344"/>
      <c r="AQV49" s="344"/>
      <c r="AQW49" s="344"/>
      <c r="AQX49" s="344"/>
      <c r="AQY49" s="344"/>
      <c r="AQZ49" s="344"/>
      <c r="ARA49" s="344"/>
      <c r="ARB49" s="344"/>
      <c r="ARC49" s="344"/>
      <c r="ARD49" s="344"/>
      <c r="ARE49" s="344"/>
      <c r="ARF49" s="344"/>
      <c r="ARG49" s="344"/>
      <c r="ARH49" s="344"/>
      <c r="ARI49" s="344"/>
      <c r="ARJ49" s="344"/>
      <c r="ARK49" s="344"/>
      <c r="ARL49" s="344"/>
      <c r="ARM49" s="344"/>
      <c r="ARN49" s="344"/>
      <c r="ARO49" s="344"/>
      <c r="ARP49" s="344"/>
      <c r="ARQ49" s="344"/>
      <c r="ARR49" s="344"/>
      <c r="ARS49" s="344"/>
      <c r="ART49" s="344"/>
      <c r="ARU49" s="344"/>
      <c r="ARV49" s="344"/>
      <c r="ARW49" s="344"/>
      <c r="ARX49" s="344"/>
      <c r="ARY49" s="344"/>
      <c r="ARZ49" s="344"/>
      <c r="ASA49" s="344"/>
      <c r="ASB49" s="344"/>
      <c r="ASC49" s="344"/>
      <c r="ASD49" s="344"/>
      <c r="ASE49" s="344"/>
      <c r="ASF49" s="344"/>
      <c r="ASG49" s="344"/>
      <c r="ASH49" s="344"/>
      <c r="ASI49" s="344"/>
      <c r="ASJ49" s="344"/>
      <c r="ASK49" s="344"/>
      <c r="ASL49" s="344"/>
      <c r="ASM49" s="344"/>
      <c r="ASN49" s="344"/>
      <c r="ASO49" s="344"/>
      <c r="ASP49" s="344"/>
      <c r="ASQ49" s="344"/>
      <c r="ASR49" s="344"/>
      <c r="ASS49" s="344"/>
      <c r="AST49" s="344"/>
      <c r="ASU49" s="344"/>
      <c r="ASV49" s="344"/>
      <c r="ASW49" s="344"/>
      <c r="ASX49" s="344"/>
      <c r="ASY49" s="344"/>
      <c r="ASZ49" s="344"/>
      <c r="ATA49" s="344"/>
      <c r="ATB49" s="344"/>
      <c r="ATC49" s="344"/>
      <c r="ATD49" s="344"/>
      <c r="ATE49" s="344"/>
      <c r="ATF49" s="344"/>
      <c r="ATG49" s="344"/>
      <c r="ATH49" s="344"/>
      <c r="ATI49" s="344"/>
      <c r="ATJ49" s="344"/>
      <c r="ATK49" s="344"/>
      <c r="ATL49" s="344"/>
      <c r="ATM49" s="344"/>
      <c r="ATN49" s="344"/>
      <c r="ATO49" s="344"/>
      <c r="ATP49" s="344"/>
      <c r="ATQ49" s="344"/>
      <c r="ATR49" s="344"/>
      <c r="ATS49" s="344"/>
      <c r="ATT49" s="344"/>
      <c r="ATU49" s="344"/>
      <c r="ATV49" s="344"/>
      <c r="ATW49" s="344"/>
      <c r="ATX49" s="344"/>
      <c r="ATY49" s="344"/>
      <c r="ATZ49" s="344"/>
      <c r="AUA49" s="344"/>
      <c r="AUB49" s="344"/>
      <c r="AUC49" s="344"/>
      <c r="AUD49" s="344"/>
      <c r="AUE49" s="344"/>
      <c r="AUF49" s="344"/>
      <c r="AUG49" s="344"/>
      <c r="AUH49" s="344"/>
      <c r="AUI49" s="344"/>
      <c r="AUJ49" s="344"/>
      <c r="AUK49" s="344"/>
      <c r="AUL49" s="344"/>
      <c r="AUM49" s="344"/>
      <c r="AUN49" s="344"/>
      <c r="AUO49" s="344"/>
      <c r="AUP49" s="344"/>
      <c r="AUQ49" s="344"/>
      <c r="AUR49" s="344"/>
      <c r="AUS49" s="344"/>
      <c r="AUT49" s="344"/>
      <c r="AUU49" s="344"/>
      <c r="AUV49" s="344"/>
      <c r="AUW49" s="344"/>
      <c r="AUX49" s="344"/>
      <c r="AUY49" s="344"/>
      <c r="AUZ49" s="344"/>
      <c r="AVA49" s="344"/>
      <c r="AVB49" s="344"/>
      <c r="AVC49" s="344"/>
      <c r="AVD49" s="344"/>
      <c r="AVE49" s="344"/>
      <c r="AVF49" s="344"/>
      <c r="AVG49" s="344"/>
      <c r="AVH49" s="344"/>
      <c r="AVI49" s="344"/>
      <c r="AVJ49" s="344"/>
      <c r="AVK49" s="344"/>
      <c r="AVL49" s="344"/>
      <c r="AVM49" s="344"/>
      <c r="AVN49" s="344"/>
      <c r="AVO49" s="344"/>
      <c r="AVP49" s="344"/>
      <c r="AVQ49" s="344"/>
      <c r="AVR49" s="344"/>
      <c r="AVS49" s="344"/>
      <c r="AVT49" s="344"/>
      <c r="AVU49" s="344"/>
      <c r="AVV49" s="344"/>
      <c r="AVW49" s="344"/>
      <c r="AVX49" s="344"/>
      <c r="AVY49" s="344"/>
      <c r="AVZ49" s="344"/>
      <c r="AWA49" s="344"/>
      <c r="AWB49" s="344"/>
      <c r="AWC49" s="344"/>
      <c r="AWD49" s="344"/>
      <c r="AWE49" s="344"/>
      <c r="AWF49" s="344"/>
      <c r="AWG49" s="344"/>
      <c r="AWH49" s="344"/>
      <c r="AWI49" s="344"/>
      <c r="AWJ49" s="344"/>
      <c r="AWK49" s="344"/>
      <c r="AWL49" s="344"/>
      <c r="AWM49" s="344"/>
      <c r="AWN49" s="344"/>
      <c r="AWO49" s="344"/>
      <c r="AWP49" s="344"/>
      <c r="AWQ49" s="344"/>
      <c r="AWR49" s="344"/>
      <c r="AWS49" s="344"/>
      <c r="AWT49" s="344"/>
      <c r="AWU49" s="344"/>
      <c r="AWV49" s="344"/>
      <c r="AWW49" s="344"/>
      <c r="AWX49" s="344"/>
      <c r="AWY49" s="344"/>
      <c r="AWZ49" s="344"/>
      <c r="AXA49" s="344"/>
      <c r="AXB49" s="344"/>
      <c r="AXC49" s="344"/>
      <c r="AXD49" s="344"/>
      <c r="AXE49" s="344"/>
      <c r="AXF49" s="344"/>
      <c r="AXG49" s="344"/>
      <c r="AXH49" s="344"/>
      <c r="AXI49" s="344"/>
      <c r="AXJ49" s="344"/>
      <c r="AXK49" s="344"/>
      <c r="AXL49" s="344"/>
      <c r="AXM49" s="344"/>
      <c r="AXN49" s="344"/>
      <c r="AXO49" s="344"/>
      <c r="AXP49" s="344"/>
      <c r="AXQ49" s="344"/>
      <c r="AXR49" s="344"/>
      <c r="AXS49" s="344"/>
      <c r="AXT49" s="344"/>
      <c r="AXU49" s="344"/>
      <c r="AXV49" s="344"/>
      <c r="AXW49" s="344"/>
      <c r="AXX49" s="344"/>
      <c r="AXY49" s="344"/>
      <c r="AXZ49" s="344"/>
      <c r="AYA49" s="344"/>
      <c r="AYB49" s="344"/>
      <c r="AYC49" s="344"/>
      <c r="AYD49" s="344"/>
      <c r="AYE49" s="344"/>
      <c r="AYF49" s="344"/>
      <c r="AYG49" s="344"/>
      <c r="AYH49" s="344"/>
      <c r="AYI49" s="344"/>
      <c r="AYJ49" s="344"/>
      <c r="AYK49" s="344"/>
      <c r="AYL49" s="344"/>
      <c r="AYM49" s="344"/>
      <c r="AYN49" s="344"/>
      <c r="AYO49" s="344"/>
      <c r="AYP49" s="344"/>
      <c r="AYQ49" s="344"/>
      <c r="AYR49" s="344"/>
      <c r="AYS49" s="344"/>
      <c r="AYT49" s="344"/>
      <c r="AYU49" s="344"/>
      <c r="AYV49" s="344"/>
      <c r="AYW49" s="344"/>
      <c r="AYX49" s="344"/>
      <c r="AYY49" s="344"/>
      <c r="AYZ49" s="344"/>
      <c r="AZA49" s="344"/>
      <c r="AZB49" s="344"/>
      <c r="AZC49" s="344"/>
      <c r="AZD49" s="344"/>
      <c r="AZE49" s="344"/>
      <c r="AZF49" s="344"/>
      <c r="AZG49" s="344"/>
      <c r="AZH49" s="344"/>
      <c r="AZI49" s="344"/>
      <c r="AZJ49" s="344"/>
      <c r="AZK49" s="344"/>
      <c r="AZL49" s="344"/>
      <c r="AZM49" s="344"/>
      <c r="AZN49" s="344"/>
      <c r="AZO49" s="344"/>
      <c r="AZP49" s="344"/>
      <c r="AZQ49" s="344"/>
      <c r="AZR49" s="344"/>
      <c r="AZS49" s="344"/>
      <c r="AZT49" s="344"/>
      <c r="AZU49" s="344"/>
      <c r="AZV49" s="344"/>
      <c r="AZW49" s="344"/>
      <c r="AZX49" s="344"/>
      <c r="AZY49" s="344"/>
      <c r="AZZ49" s="344"/>
      <c r="BAA49" s="344"/>
      <c r="BAB49" s="344"/>
      <c r="BAC49" s="344"/>
      <c r="BAD49" s="344"/>
      <c r="BAE49" s="344"/>
      <c r="BAF49" s="344"/>
      <c r="BAG49" s="344"/>
      <c r="BAH49" s="344"/>
      <c r="BAI49" s="344"/>
      <c r="BAJ49" s="344"/>
      <c r="BAK49" s="344"/>
      <c r="BAL49" s="344"/>
      <c r="BAM49" s="344"/>
      <c r="BAN49" s="344"/>
      <c r="BAO49" s="344"/>
      <c r="BAP49" s="344"/>
      <c r="BAQ49" s="344"/>
      <c r="BAR49" s="344"/>
      <c r="BAS49" s="344"/>
      <c r="BAT49" s="344"/>
      <c r="BAU49" s="344"/>
      <c r="BAV49" s="344"/>
      <c r="BAW49" s="344"/>
      <c r="BAX49" s="344"/>
      <c r="BAY49" s="344"/>
      <c r="BAZ49" s="344"/>
      <c r="BBA49" s="344"/>
      <c r="BBB49" s="344"/>
      <c r="BBC49" s="344"/>
      <c r="BBD49" s="344"/>
      <c r="BBE49" s="344"/>
      <c r="BBF49" s="344"/>
      <c r="BBG49" s="344"/>
      <c r="BBH49" s="344"/>
      <c r="BBI49" s="344"/>
      <c r="BBJ49" s="344"/>
      <c r="BBK49" s="344"/>
      <c r="BBL49" s="344"/>
      <c r="BBM49" s="344"/>
      <c r="BBN49" s="344"/>
      <c r="BBO49" s="344"/>
      <c r="BBP49" s="344"/>
      <c r="BBQ49" s="344"/>
      <c r="BBR49" s="344"/>
      <c r="BBS49" s="344"/>
      <c r="BBT49" s="344"/>
      <c r="BBU49" s="344"/>
      <c r="BBV49" s="344"/>
      <c r="BBW49" s="344"/>
      <c r="BBX49" s="344"/>
      <c r="BBY49" s="344"/>
      <c r="BBZ49" s="344"/>
      <c r="BCA49" s="344"/>
      <c r="BCB49" s="344"/>
      <c r="BCC49" s="344"/>
      <c r="BCD49" s="344"/>
      <c r="BCE49" s="344"/>
      <c r="BCF49" s="344"/>
      <c r="BCG49" s="344"/>
      <c r="BCH49" s="344"/>
      <c r="BCI49" s="344"/>
      <c r="BCJ49" s="344"/>
      <c r="BCK49" s="344"/>
      <c r="BCL49" s="344"/>
      <c r="BCM49" s="344"/>
      <c r="BCN49" s="344"/>
      <c r="BCO49" s="344"/>
      <c r="BCP49" s="344"/>
      <c r="BCQ49" s="344"/>
      <c r="BCR49" s="344"/>
      <c r="BCS49" s="344"/>
      <c r="BCT49" s="344"/>
      <c r="BCU49" s="344"/>
      <c r="BCV49" s="344"/>
      <c r="BCW49" s="344"/>
      <c r="BCX49" s="344"/>
      <c r="BCY49" s="344"/>
      <c r="BCZ49" s="344"/>
      <c r="BDA49" s="344"/>
      <c r="BDB49" s="344"/>
      <c r="BDC49" s="344"/>
      <c r="BDD49" s="344"/>
      <c r="BDE49" s="344"/>
      <c r="BDF49" s="344"/>
      <c r="BDG49" s="344"/>
      <c r="BDH49" s="344"/>
      <c r="BDI49" s="344"/>
      <c r="BDJ49" s="344"/>
      <c r="BDK49" s="344"/>
      <c r="BDL49" s="344"/>
      <c r="BDM49" s="344"/>
      <c r="BDN49" s="344"/>
      <c r="BDO49" s="344"/>
      <c r="BDP49" s="344"/>
      <c r="BDQ49" s="344"/>
      <c r="BDR49" s="344"/>
      <c r="BDS49" s="344"/>
      <c r="BDT49" s="344"/>
      <c r="BDU49" s="344"/>
      <c r="BDV49" s="344"/>
      <c r="BDW49" s="344"/>
      <c r="BDX49" s="344"/>
      <c r="BDY49" s="344"/>
      <c r="BDZ49" s="344"/>
      <c r="BEA49" s="344"/>
      <c r="BEB49" s="344"/>
      <c r="BEC49" s="344"/>
      <c r="BED49" s="344"/>
      <c r="BEE49" s="344"/>
      <c r="BEF49" s="344"/>
      <c r="BEG49" s="344"/>
      <c r="BEH49" s="344"/>
      <c r="BEI49" s="344"/>
      <c r="BEJ49" s="344"/>
      <c r="BEK49" s="344"/>
      <c r="BEL49" s="344"/>
      <c r="BEM49" s="344"/>
      <c r="BEN49" s="344"/>
      <c r="BEO49" s="344"/>
      <c r="BEP49" s="344"/>
      <c r="BEQ49" s="344"/>
      <c r="BER49" s="344"/>
      <c r="BES49" s="344"/>
      <c r="BET49" s="344"/>
      <c r="BEU49" s="344"/>
      <c r="BEV49" s="344"/>
      <c r="BEW49" s="344"/>
      <c r="BEX49" s="344"/>
      <c r="BEY49" s="344"/>
      <c r="BEZ49" s="344"/>
      <c r="BFA49" s="344"/>
      <c r="BFB49" s="344"/>
      <c r="BFC49" s="344"/>
      <c r="BFD49" s="344"/>
      <c r="BFE49" s="344"/>
      <c r="BFF49" s="344"/>
      <c r="BFG49" s="344"/>
      <c r="BFH49" s="344"/>
      <c r="BFI49" s="344"/>
      <c r="BFJ49" s="344"/>
      <c r="BFK49" s="344"/>
      <c r="BFL49" s="344"/>
      <c r="BFM49" s="344"/>
      <c r="BFN49" s="344"/>
      <c r="BFO49" s="344"/>
      <c r="BFP49" s="344"/>
      <c r="BFQ49" s="344"/>
      <c r="BFR49" s="344"/>
      <c r="BFS49" s="344"/>
      <c r="BFT49" s="344"/>
      <c r="BFU49" s="344"/>
      <c r="BFV49" s="344"/>
      <c r="BFW49" s="344"/>
      <c r="BFX49" s="344"/>
      <c r="BFY49" s="344"/>
      <c r="BFZ49" s="344"/>
      <c r="BGA49" s="344"/>
      <c r="BGB49" s="344"/>
      <c r="BGC49" s="344"/>
      <c r="BGD49" s="344"/>
      <c r="BGE49" s="344"/>
      <c r="BGF49" s="344"/>
      <c r="BGG49" s="344"/>
      <c r="BGH49" s="344"/>
      <c r="BGI49" s="344"/>
      <c r="BGJ49" s="344"/>
      <c r="BGK49" s="344"/>
      <c r="BGL49" s="344"/>
      <c r="BGM49" s="344"/>
      <c r="BGN49" s="344"/>
      <c r="BGO49" s="344"/>
      <c r="BGP49" s="344"/>
      <c r="BGQ49" s="344"/>
      <c r="BGR49" s="344"/>
      <c r="BGS49" s="344"/>
      <c r="BGT49" s="344"/>
      <c r="BGU49" s="344"/>
      <c r="BGV49" s="344"/>
      <c r="BGW49" s="344"/>
      <c r="BGX49" s="344"/>
      <c r="BGY49" s="344"/>
      <c r="BGZ49" s="344"/>
      <c r="BHA49" s="344"/>
      <c r="BHB49" s="344"/>
      <c r="BHC49" s="344"/>
      <c r="BHD49" s="344"/>
      <c r="BHE49" s="344"/>
      <c r="BHF49" s="344"/>
      <c r="BHG49" s="344"/>
      <c r="BHH49" s="344"/>
      <c r="BHI49" s="344"/>
      <c r="BHJ49" s="344"/>
      <c r="BHK49" s="344"/>
      <c r="BHL49" s="344"/>
      <c r="BHM49" s="344"/>
      <c r="BHN49" s="344"/>
      <c r="BHO49" s="344"/>
      <c r="BHP49" s="344"/>
      <c r="BHQ49" s="344"/>
      <c r="BHR49" s="344"/>
      <c r="BHS49" s="344"/>
      <c r="BHT49" s="344"/>
      <c r="BHU49" s="344"/>
      <c r="BHV49" s="344"/>
      <c r="BHW49" s="344"/>
      <c r="BHX49" s="344"/>
      <c r="BHY49" s="344"/>
      <c r="BHZ49" s="344"/>
      <c r="BIA49" s="344"/>
      <c r="BIB49" s="344"/>
      <c r="BIC49" s="344"/>
      <c r="BID49" s="344"/>
      <c r="BIE49" s="344"/>
      <c r="BIF49" s="344"/>
      <c r="BIG49" s="344"/>
      <c r="BIH49" s="344"/>
      <c r="BII49" s="344"/>
      <c r="BIJ49" s="344"/>
      <c r="BIK49" s="344"/>
      <c r="BIL49" s="344"/>
      <c r="BIM49" s="344"/>
      <c r="BIN49" s="344"/>
      <c r="BIO49" s="344"/>
      <c r="BIP49" s="344"/>
      <c r="BIQ49" s="344"/>
      <c r="BIR49" s="344"/>
      <c r="BIS49" s="344"/>
      <c r="BIT49" s="344"/>
      <c r="BIU49" s="344"/>
      <c r="BIV49" s="344"/>
      <c r="BIW49" s="344"/>
      <c r="BIX49" s="344"/>
      <c r="BIY49" s="344"/>
      <c r="BIZ49" s="344"/>
      <c r="BJA49" s="344"/>
      <c r="BJB49" s="344"/>
      <c r="BJC49" s="344"/>
      <c r="BJD49" s="344"/>
      <c r="BJE49" s="344"/>
      <c r="BJF49" s="344"/>
      <c r="BJG49" s="344"/>
      <c r="BJH49" s="344"/>
      <c r="BJI49" s="344"/>
      <c r="BJJ49" s="344"/>
      <c r="BJK49" s="344"/>
      <c r="BJL49" s="344"/>
      <c r="BJM49" s="344"/>
      <c r="BJN49" s="344"/>
      <c r="BJO49" s="344"/>
      <c r="BJP49" s="344"/>
      <c r="BJQ49" s="344"/>
      <c r="BJR49" s="344"/>
      <c r="BJS49" s="344"/>
      <c r="BJT49" s="344"/>
      <c r="BJU49" s="344"/>
      <c r="BJV49" s="344"/>
      <c r="BJW49" s="344"/>
      <c r="BJX49" s="344"/>
      <c r="BJY49" s="344"/>
      <c r="BJZ49" s="344"/>
      <c r="BKA49" s="344"/>
      <c r="BKB49" s="344"/>
      <c r="BKC49" s="344"/>
      <c r="BKD49" s="344"/>
      <c r="BKE49" s="344"/>
      <c r="BKF49" s="344"/>
      <c r="BKG49" s="344"/>
      <c r="BKH49" s="344"/>
      <c r="BKI49" s="344"/>
      <c r="BKJ49" s="344"/>
      <c r="BKK49" s="344"/>
      <c r="BKL49" s="344"/>
      <c r="BKM49" s="344"/>
      <c r="BKN49" s="344"/>
      <c r="BKO49" s="344"/>
      <c r="BKP49" s="344"/>
      <c r="BKQ49" s="344"/>
      <c r="BKR49" s="344"/>
      <c r="BKS49" s="344"/>
      <c r="BKT49" s="344"/>
      <c r="BKU49" s="344"/>
      <c r="BKV49" s="344"/>
      <c r="BKW49" s="344"/>
      <c r="BKX49" s="344"/>
      <c r="BKY49" s="344"/>
      <c r="BKZ49" s="344"/>
      <c r="BLA49" s="344"/>
      <c r="BLB49" s="344"/>
      <c r="BLC49" s="344"/>
      <c r="BLD49" s="344"/>
      <c r="BLE49" s="344"/>
      <c r="BLF49" s="344"/>
      <c r="BLG49" s="344"/>
      <c r="BLH49" s="344"/>
      <c r="BLI49" s="344"/>
      <c r="BLJ49" s="344"/>
      <c r="BLK49" s="344"/>
      <c r="BLL49" s="344"/>
      <c r="BLM49" s="344"/>
      <c r="BLN49" s="344"/>
      <c r="BLO49" s="344"/>
      <c r="BLP49" s="344"/>
      <c r="BLQ49" s="344"/>
      <c r="BLR49" s="344"/>
      <c r="BLS49" s="344"/>
      <c r="BLT49" s="344"/>
      <c r="BLU49" s="344"/>
      <c r="BLV49" s="344"/>
      <c r="BLW49" s="344"/>
      <c r="BLX49" s="344"/>
      <c r="BLY49" s="344"/>
      <c r="BLZ49" s="344"/>
      <c r="BMA49" s="344"/>
      <c r="BMB49" s="344"/>
      <c r="BMC49" s="344"/>
      <c r="BMD49" s="344"/>
      <c r="BME49" s="344"/>
      <c r="BMF49" s="344"/>
      <c r="BMG49" s="344"/>
      <c r="BMH49" s="344"/>
      <c r="BMI49" s="344"/>
      <c r="BMJ49" s="344"/>
      <c r="BMK49" s="344"/>
      <c r="BML49" s="344"/>
      <c r="BMM49" s="344"/>
      <c r="BMN49" s="344"/>
      <c r="BMO49" s="344"/>
      <c r="BMP49" s="344"/>
      <c r="BMQ49" s="344"/>
      <c r="BMR49" s="344"/>
      <c r="BMS49" s="344"/>
      <c r="BMT49" s="344"/>
      <c r="BMU49" s="344"/>
      <c r="BMV49" s="344"/>
      <c r="BMW49" s="344"/>
      <c r="BMX49" s="344"/>
      <c r="BMY49" s="344"/>
      <c r="BMZ49" s="344"/>
      <c r="BNA49" s="344"/>
      <c r="BNB49" s="344"/>
      <c r="BNC49" s="344"/>
      <c r="BND49" s="344"/>
      <c r="BNE49" s="344"/>
      <c r="BNF49" s="344"/>
      <c r="BNG49" s="344"/>
      <c r="BNH49" s="344"/>
      <c r="BNI49" s="344"/>
      <c r="BNJ49" s="344"/>
      <c r="BNK49" s="344"/>
      <c r="BNL49" s="344"/>
      <c r="BNM49" s="344"/>
      <c r="BNN49" s="344"/>
      <c r="BNO49" s="344"/>
      <c r="BNP49" s="344"/>
      <c r="BNQ49" s="344"/>
      <c r="BNR49" s="344"/>
      <c r="BNS49" s="344"/>
      <c r="BNT49" s="344"/>
      <c r="BNU49" s="344"/>
      <c r="BNV49" s="344"/>
      <c r="BNW49" s="344"/>
      <c r="BNX49" s="344"/>
      <c r="BNY49" s="344"/>
      <c r="BNZ49" s="344"/>
      <c r="BOA49" s="344"/>
      <c r="BOB49" s="344"/>
      <c r="BOC49" s="344"/>
      <c r="BOD49" s="344"/>
      <c r="BOE49" s="344"/>
      <c r="BOF49" s="344"/>
      <c r="BOG49" s="344"/>
      <c r="BOH49" s="344"/>
      <c r="BOI49" s="344"/>
      <c r="BOJ49" s="344"/>
      <c r="BOK49" s="344"/>
      <c r="BOL49" s="344"/>
      <c r="BOM49" s="344"/>
      <c r="BON49" s="344"/>
      <c r="BOO49" s="344"/>
      <c r="BOP49" s="344"/>
      <c r="BOQ49" s="344"/>
      <c r="BOR49" s="344"/>
      <c r="BOS49" s="344"/>
      <c r="BOT49" s="344"/>
      <c r="BOU49" s="344"/>
      <c r="BOV49" s="344"/>
      <c r="BOW49" s="344"/>
      <c r="BOX49" s="344"/>
      <c r="BOY49" s="344"/>
      <c r="BOZ49" s="344"/>
      <c r="BPA49" s="344"/>
      <c r="BPB49" s="344"/>
      <c r="BPC49" s="344"/>
      <c r="BPD49" s="344"/>
      <c r="BPE49" s="344"/>
      <c r="BPF49" s="344"/>
      <c r="BPG49" s="344"/>
      <c r="BPH49" s="344"/>
      <c r="BPI49" s="344"/>
      <c r="BPJ49" s="344"/>
      <c r="BPK49" s="344"/>
      <c r="BPL49" s="344"/>
      <c r="BPM49" s="344"/>
      <c r="BPN49" s="344"/>
      <c r="BPO49" s="344"/>
      <c r="BPP49" s="344"/>
      <c r="BPQ49" s="344"/>
      <c r="BPR49" s="344"/>
      <c r="BPS49" s="344"/>
      <c r="BPT49" s="344"/>
      <c r="BPU49" s="344"/>
      <c r="BPV49" s="344"/>
      <c r="BPW49" s="344"/>
      <c r="BPX49" s="344"/>
      <c r="BPY49" s="344"/>
      <c r="BPZ49" s="344"/>
      <c r="BQA49" s="344"/>
      <c r="BQB49" s="344"/>
      <c r="BQC49" s="344"/>
      <c r="BQD49" s="344"/>
      <c r="BQE49" s="344"/>
      <c r="BQF49" s="344"/>
      <c r="BQG49" s="344"/>
      <c r="BQH49" s="344"/>
      <c r="BQI49" s="344"/>
      <c r="BQJ49" s="344"/>
      <c r="BQK49" s="344"/>
      <c r="BQL49" s="344"/>
      <c r="BQM49" s="344"/>
      <c r="BQN49" s="344"/>
      <c r="BQO49" s="344"/>
      <c r="BQP49" s="344"/>
      <c r="BQQ49" s="344"/>
      <c r="BQR49" s="344"/>
      <c r="BQS49" s="344"/>
      <c r="BQT49" s="344"/>
      <c r="BQU49" s="344"/>
      <c r="BQV49" s="344"/>
      <c r="BQW49" s="344"/>
      <c r="BQX49" s="344"/>
      <c r="BQY49" s="344"/>
      <c r="BQZ49" s="344"/>
      <c r="BRA49" s="344"/>
      <c r="BRB49" s="344"/>
      <c r="BRC49" s="344"/>
      <c r="BRD49" s="344"/>
      <c r="BRE49" s="344"/>
      <c r="BRF49" s="344"/>
      <c r="BRG49" s="344"/>
      <c r="BRH49" s="344"/>
      <c r="BRI49" s="344"/>
      <c r="BRJ49" s="344"/>
      <c r="BRK49" s="344"/>
      <c r="BRL49" s="344"/>
      <c r="BRM49" s="344"/>
      <c r="BRN49" s="344"/>
      <c r="BRO49" s="344"/>
      <c r="BRP49" s="344"/>
      <c r="BRQ49" s="344"/>
      <c r="BRR49" s="344"/>
      <c r="BRS49" s="344"/>
      <c r="BRT49" s="344"/>
      <c r="BRU49" s="344"/>
      <c r="BRV49" s="344"/>
      <c r="BRW49" s="344"/>
      <c r="BRX49" s="344"/>
      <c r="BRY49" s="344"/>
      <c r="BRZ49" s="344"/>
      <c r="BSA49" s="344"/>
      <c r="BSB49" s="344"/>
      <c r="BSC49" s="344"/>
      <c r="BSD49" s="344"/>
      <c r="BSE49" s="344"/>
      <c r="BSF49" s="344"/>
      <c r="BSG49" s="344"/>
      <c r="BSH49" s="344"/>
      <c r="BSI49" s="344"/>
      <c r="BSJ49" s="344"/>
      <c r="BSK49" s="344"/>
      <c r="BSL49" s="344"/>
      <c r="BSM49" s="344"/>
      <c r="BSN49" s="344"/>
      <c r="BSO49" s="344"/>
      <c r="BSP49" s="344"/>
      <c r="BSQ49" s="344"/>
      <c r="BSR49" s="344"/>
      <c r="BSS49" s="344"/>
      <c r="BST49" s="344"/>
      <c r="BSU49" s="344"/>
      <c r="BSV49" s="344"/>
      <c r="BSW49" s="344"/>
      <c r="BSX49" s="344"/>
      <c r="BSY49" s="344"/>
      <c r="BSZ49" s="344"/>
      <c r="BTA49" s="344"/>
      <c r="BTB49" s="344"/>
      <c r="BTC49" s="344"/>
      <c r="BTD49" s="344"/>
      <c r="BTE49" s="344"/>
      <c r="BTF49" s="344"/>
      <c r="BTG49" s="344"/>
      <c r="BTH49" s="344"/>
      <c r="BTI49" s="344"/>
      <c r="BTJ49" s="344"/>
      <c r="BTK49" s="344"/>
      <c r="BTL49" s="344"/>
      <c r="BTM49" s="344"/>
      <c r="BTN49" s="344"/>
      <c r="BTO49" s="344"/>
      <c r="BTP49" s="344"/>
      <c r="BTQ49" s="344"/>
      <c r="BTR49" s="344"/>
      <c r="BTS49" s="344"/>
      <c r="BTT49" s="344"/>
      <c r="BTU49" s="344"/>
      <c r="BTV49" s="344"/>
      <c r="BTW49" s="344"/>
      <c r="BTX49" s="344"/>
      <c r="BTY49" s="344"/>
      <c r="BTZ49" s="344"/>
      <c r="BUA49" s="344"/>
      <c r="BUB49" s="344"/>
      <c r="BUC49" s="344"/>
      <c r="BUD49" s="344"/>
      <c r="BUE49" s="344"/>
      <c r="BUF49" s="344"/>
      <c r="BUG49" s="344"/>
      <c r="BUH49" s="344"/>
      <c r="BUI49" s="344"/>
      <c r="BUJ49" s="344"/>
      <c r="BUK49" s="344"/>
      <c r="BUL49" s="344"/>
      <c r="BUM49" s="344"/>
      <c r="BUN49" s="344"/>
      <c r="BUO49" s="344"/>
      <c r="BUP49" s="344"/>
      <c r="BUQ49" s="344"/>
      <c r="BUR49" s="344"/>
      <c r="BUS49" s="344"/>
      <c r="BUT49" s="344"/>
      <c r="BUU49" s="344"/>
      <c r="BUV49" s="344"/>
      <c r="BUW49" s="344"/>
      <c r="BUX49" s="344"/>
      <c r="BUY49" s="344"/>
      <c r="BUZ49" s="344"/>
      <c r="BVA49" s="344"/>
      <c r="BVB49" s="344"/>
      <c r="BVC49" s="344"/>
      <c r="BVD49" s="344"/>
      <c r="BVE49" s="344"/>
      <c r="BVF49" s="344"/>
      <c r="BVG49" s="344"/>
      <c r="BVH49" s="344"/>
      <c r="BVI49" s="344"/>
      <c r="BVJ49" s="344"/>
      <c r="BVK49" s="344"/>
      <c r="BVL49" s="344"/>
      <c r="BVM49" s="344"/>
      <c r="BVN49" s="344"/>
      <c r="BVO49" s="344"/>
      <c r="BVP49" s="344"/>
      <c r="BVQ49" s="344"/>
      <c r="BVR49" s="344"/>
      <c r="BVS49" s="344"/>
      <c r="BVT49" s="344"/>
      <c r="BVU49" s="344"/>
      <c r="BVV49" s="344"/>
      <c r="BVW49" s="344"/>
      <c r="BVX49" s="344"/>
      <c r="BVY49" s="344"/>
      <c r="BVZ49" s="344"/>
      <c r="BWA49" s="344"/>
      <c r="BWB49" s="344"/>
      <c r="BWC49" s="344"/>
      <c r="BWD49" s="344"/>
      <c r="BWE49" s="344"/>
      <c r="BWF49" s="344"/>
      <c r="BWG49" s="344"/>
      <c r="BWH49" s="344"/>
      <c r="BWI49" s="344"/>
      <c r="BWJ49" s="344"/>
      <c r="BWK49" s="344"/>
      <c r="BWL49" s="344"/>
      <c r="BWM49" s="344"/>
      <c r="BWN49" s="344"/>
      <c r="BWO49" s="344"/>
      <c r="BWP49" s="344"/>
      <c r="BWQ49" s="344"/>
      <c r="BWR49" s="344"/>
      <c r="BWS49" s="344"/>
      <c r="BWT49" s="344"/>
      <c r="BWU49" s="344"/>
      <c r="BWV49" s="344"/>
      <c r="BWW49" s="344"/>
      <c r="BWX49" s="344"/>
      <c r="BWY49" s="344"/>
      <c r="BWZ49" s="344"/>
      <c r="BXA49" s="344"/>
      <c r="BXB49" s="344"/>
      <c r="BXC49" s="344"/>
      <c r="BXD49" s="344"/>
      <c r="BXE49" s="344"/>
      <c r="BXF49" s="344"/>
      <c r="BXG49" s="344"/>
      <c r="BXH49" s="344"/>
      <c r="BXI49" s="344"/>
      <c r="BXJ49" s="344"/>
      <c r="BXK49" s="344"/>
      <c r="BXL49" s="344"/>
      <c r="BXM49" s="344"/>
      <c r="BXN49" s="344"/>
      <c r="BXO49" s="344"/>
      <c r="BXP49" s="344"/>
      <c r="BXQ49" s="344"/>
      <c r="BXR49" s="344"/>
      <c r="BXS49" s="344"/>
      <c r="BXT49" s="344"/>
      <c r="BXU49" s="344"/>
      <c r="BXV49" s="344"/>
      <c r="BXW49" s="344"/>
      <c r="BXX49" s="344"/>
      <c r="BXY49" s="344"/>
      <c r="BXZ49" s="344"/>
      <c r="BYA49" s="344"/>
      <c r="BYB49" s="344"/>
      <c r="BYC49" s="344"/>
      <c r="BYD49" s="344"/>
      <c r="BYE49" s="344"/>
      <c r="BYF49" s="344"/>
      <c r="BYG49" s="344"/>
      <c r="BYH49" s="344"/>
      <c r="BYI49" s="344"/>
      <c r="BYJ49" s="344"/>
      <c r="BYK49" s="344"/>
      <c r="BYL49" s="344"/>
      <c r="BYM49" s="344"/>
      <c r="BYN49" s="344"/>
      <c r="BYO49" s="344"/>
      <c r="BYP49" s="344"/>
      <c r="BYQ49" s="344"/>
      <c r="BYR49" s="344"/>
      <c r="BYS49" s="344"/>
      <c r="BYT49" s="344"/>
      <c r="BYU49" s="344"/>
      <c r="BYV49" s="344"/>
      <c r="BYW49" s="344"/>
      <c r="BYX49" s="344"/>
      <c r="BYY49" s="344"/>
      <c r="BYZ49" s="344"/>
      <c r="BZA49" s="344"/>
      <c r="BZB49" s="344"/>
      <c r="BZC49" s="344"/>
      <c r="BZD49" s="344"/>
      <c r="BZE49" s="344"/>
      <c r="BZF49" s="344"/>
      <c r="BZG49" s="344"/>
      <c r="BZH49" s="344"/>
      <c r="BZI49" s="344"/>
      <c r="BZJ49" s="344"/>
      <c r="BZK49" s="344"/>
      <c r="BZL49" s="344"/>
      <c r="BZM49" s="344"/>
      <c r="BZN49" s="344"/>
      <c r="BZO49" s="344"/>
      <c r="BZP49" s="344"/>
      <c r="BZQ49" s="344"/>
      <c r="BZR49" s="344"/>
      <c r="BZS49" s="344"/>
      <c r="BZT49" s="344"/>
      <c r="BZU49" s="344"/>
      <c r="BZV49" s="344"/>
      <c r="BZW49" s="344"/>
      <c r="BZX49" s="344"/>
      <c r="BZY49" s="344"/>
      <c r="BZZ49" s="344"/>
      <c r="CAA49" s="344"/>
      <c r="CAB49" s="344"/>
      <c r="CAC49" s="344"/>
      <c r="CAD49" s="344"/>
      <c r="CAE49" s="344"/>
      <c r="CAF49" s="344"/>
      <c r="CAG49" s="344"/>
      <c r="CAH49" s="344"/>
      <c r="CAI49" s="344"/>
      <c r="CAJ49" s="344"/>
      <c r="CAK49" s="344"/>
      <c r="CAL49" s="344"/>
      <c r="CAM49" s="344"/>
      <c r="CAN49" s="344"/>
      <c r="CAO49" s="344"/>
      <c r="CAP49" s="344"/>
      <c r="CAQ49" s="344"/>
      <c r="CAR49" s="344"/>
      <c r="CAS49" s="344"/>
      <c r="CAT49" s="344"/>
      <c r="CAU49" s="344"/>
      <c r="CAV49" s="344"/>
      <c r="CAW49" s="344"/>
      <c r="CAX49" s="344"/>
      <c r="CAY49" s="344"/>
      <c r="CAZ49" s="344"/>
      <c r="CBA49" s="344"/>
      <c r="CBB49" s="344"/>
      <c r="CBC49" s="344"/>
      <c r="CBD49" s="344"/>
      <c r="CBE49" s="344"/>
      <c r="CBF49" s="344"/>
      <c r="CBG49" s="344"/>
      <c r="CBH49" s="344"/>
      <c r="CBI49" s="344"/>
      <c r="CBJ49" s="344"/>
      <c r="CBK49" s="344"/>
      <c r="CBL49" s="344"/>
      <c r="CBM49" s="344"/>
      <c r="CBN49" s="344"/>
      <c r="CBO49" s="344"/>
      <c r="CBP49" s="344"/>
      <c r="CBQ49" s="344"/>
      <c r="CBR49" s="344"/>
      <c r="CBS49" s="344"/>
      <c r="CBT49" s="344"/>
      <c r="CBU49" s="344"/>
      <c r="CBV49" s="344"/>
      <c r="CBW49" s="344"/>
      <c r="CBX49" s="344"/>
      <c r="CBY49" s="344"/>
      <c r="CBZ49" s="344"/>
      <c r="CCA49" s="344"/>
      <c r="CCB49" s="344"/>
      <c r="CCC49" s="344"/>
      <c r="CCD49" s="344"/>
      <c r="CCE49" s="344"/>
      <c r="CCF49" s="344"/>
      <c r="CCG49" s="344"/>
      <c r="CCH49" s="344"/>
      <c r="CCI49" s="344"/>
      <c r="CCJ49" s="344"/>
      <c r="CCK49" s="344"/>
      <c r="CCL49" s="344"/>
      <c r="CCM49" s="344"/>
      <c r="CCN49" s="344"/>
      <c r="CCO49" s="344"/>
      <c r="CCP49" s="344"/>
      <c r="CCQ49" s="344"/>
      <c r="CCR49" s="344"/>
      <c r="CCS49" s="344"/>
      <c r="CCT49" s="344"/>
      <c r="CCU49" s="344"/>
      <c r="CCV49" s="344"/>
      <c r="CCW49" s="344"/>
      <c r="CCX49" s="344"/>
      <c r="CCY49" s="344"/>
      <c r="CCZ49" s="344"/>
      <c r="CDA49" s="344"/>
      <c r="CDB49" s="344"/>
      <c r="CDC49" s="344"/>
      <c r="CDD49" s="344"/>
      <c r="CDE49" s="344"/>
      <c r="CDF49" s="344"/>
      <c r="CDG49" s="344"/>
      <c r="CDH49" s="344"/>
      <c r="CDI49" s="344"/>
      <c r="CDJ49" s="344"/>
      <c r="CDK49" s="344"/>
      <c r="CDL49" s="344"/>
      <c r="CDM49" s="344"/>
      <c r="CDN49" s="344"/>
      <c r="CDO49" s="344"/>
      <c r="CDP49" s="344"/>
      <c r="CDQ49" s="344"/>
      <c r="CDR49" s="344"/>
      <c r="CDS49" s="344"/>
      <c r="CDT49" s="344"/>
      <c r="CDU49" s="344"/>
      <c r="CDV49" s="344"/>
      <c r="CDW49" s="344"/>
      <c r="CDX49" s="344"/>
      <c r="CDY49" s="344"/>
      <c r="CDZ49" s="344"/>
      <c r="CEA49" s="344"/>
      <c r="CEB49" s="344"/>
      <c r="CEC49" s="344"/>
      <c r="CED49" s="344"/>
      <c r="CEE49" s="344"/>
      <c r="CEF49" s="344"/>
      <c r="CEG49" s="344"/>
      <c r="CEH49" s="344"/>
      <c r="CEI49" s="344"/>
      <c r="CEJ49" s="344"/>
      <c r="CEK49" s="344"/>
      <c r="CEL49" s="344"/>
      <c r="CEM49" s="344"/>
      <c r="CEN49" s="344"/>
      <c r="CEO49" s="344"/>
      <c r="CEP49" s="344"/>
      <c r="CEQ49" s="344"/>
      <c r="CER49" s="344"/>
      <c r="CES49" s="344"/>
      <c r="CET49" s="344"/>
      <c r="CEU49" s="344"/>
      <c r="CEV49" s="344"/>
      <c r="CEW49" s="344"/>
      <c r="CEX49" s="344"/>
      <c r="CEY49" s="344"/>
      <c r="CEZ49" s="344"/>
      <c r="CFA49" s="344"/>
      <c r="CFB49" s="344"/>
      <c r="CFC49" s="344"/>
      <c r="CFD49" s="344"/>
      <c r="CFE49" s="344"/>
      <c r="CFF49" s="344"/>
      <c r="CFG49" s="344"/>
      <c r="CFH49" s="344"/>
      <c r="CFI49" s="344"/>
      <c r="CFJ49" s="344"/>
      <c r="CFK49" s="344"/>
      <c r="CFL49" s="344"/>
      <c r="CFM49" s="344"/>
      <c r="CFN49" s="344"/>
      <c r="CFO49" s="344"/>
      <c r="CFP49" s="344"/>
      <c r="CFQ49" s="344"/>
      <c r="CFR49" s="344"/>
      <c r="CFS49" s="344"/>
      <c r="CFT49" s="344"/>
      <c r="CFU49" s="344"/>
      <c r="CFV49" s="344"/>
      <c r="CFW49" s="344"/>
      <c r="CFX49" s="344"/>
      <c r="CFY49" s="344"/>
      <c r="CFZ49" s="344"/>
      <c r="CGA49" s="344"/>
      <c r="CGB49" s="344"/>
      <c r="CGC49" s="344"/>
      <c r="CGD49" s="344"/>
      <c r="CGE49" s="344"/>
      <c r="CGF49" s="344"/>
      <c r="CGG49" s="344"/>
      <c r="CGH49" s="344"/>
      <c r="CGI49" s="344"/>
      <c r="CGJ49" s="344"/>
      <c r="CGK49" s="344"/>
      <c r="CGL49" s="344"/>
      <c r="CGM49" s="344"/>
      <c r="CGN49" s="344"/>
      <c r="CGO49" s="344"/>
      <c r="CGP49" s="344"/>
      <c r="CGQ49" s="344"/>
      <c r="CGR49" s="344"/>
      <c r="CGS49" s="344"/>
      <c r="CGT49" s="344"/>
      <c r="CGU49" s="344"/>
      <c r="CGV49" s="344"/>
      <c r="CGW49" s="344"/>
      <c r="CGX49" s="344"/>
      <c r="CGY49" s="344"/>
      <c r="CGZ49" s="344"/>
      <c r="CHA49" s="344"/>
      <c r="CHB49" s="344"/>
      <c r="CHC49" s="344"/>
      <c r="CHD49" s="344"/>
      <c r="CHE49" s="344"/>
      <c r="CHF49" s="344"/>
      <c r="CHG49" s="344"/>
      <c r="CHH49" s="344"/>
      <c r="CHI49" s="344"/>
      <c r="CHJ49" s="344"/>
      <c r="CHK49" s="344"/>
      <c r="CHL49" s="344"/>
      <c r="CHM49" s="344"/>
      <c r="CHN49" s="344"/>
      <c r="CHO49" s="344"/>
      <c r="CHP49" s="344"/>
      <c r="CHQ49" s="344"/>
      <c r="CHR49" s="344"/>
      <c r="CHS49" s="344"/>
      <c r="CHT49" s="344"/>
      <c r="CHU49" s="344"/>
      <c r="CHV49" s="344"/>
      <c r="CHW49" s="344"/>
      <c r="CHX49" s="344"/>
      <c r="CHY49" s="344"/>
      <c r="CHZ49" s="344"/>
      <c r="CIA49" s="344"/>
      <c r="CIB49" s="344"/>
      <c r="CIC49" s="344"/>
      <c r="CID49" s="344"/>
      <c r="CIE49" s="344"/>
      <c r="CIF49" s="344"/>
      <c r="CIG49" s="344"/>
      <c r="CIH49" s="344"/>
      <c r="CII49" s="344"/>
      <c r="CIJ49" s="344"/>
      <c r="CIK49" s="344"/>
      <c r="CIL49" s="344"/>
      <c r="CIM49" s="344"/>
      <c r="CIN49" s="344"/>
      <c r="CIO49" s="344"/>
      <c r="CIP49" s="344"/>
      <c r="CIQ49" s="344"/>
      <c r="CIR49" s="344"/>
      <c r="CIS49" s="344"/>
      <c r="CIT49" s="344"/>
      <c r="CIU49" s="344"/>
      <c r="CIV49" s="344"/>
      <c r="CIW49" s="344"/>
      <c r="CIX49" s="344"/>
      <c r="CIY49" s="344"/>
      <c r="CIZ49" s="344"/>
      <c r="CJA49" s="344"/>
      <c r="CJB49" s="344"/>
      <c r="CJC49" s="344"/>
      <c r="CJD49" s="344"/>
      <c r="CJE49" s="344"/>
      <c r="CJF49" s="344"/>
      <c r="CJG49" s="344"/>
      <c r="CJH49" s="344"/>
      <c r="CJI49" s="344"/>
      <c r="CJJ49" s="344"/>
      <c r="CJK49" s="344"/>
      <c r="CJL49" s="344"/>
      <c r="CJM49" s="344"/>
      <c r="CJN49" s="344"/>
      <c r="CJO49" s="344"/>
      <c r="CJP49" s="344"/>
      <c r="CJQ49" s="344"/>
      <c r="CJR49" s="344"/>
      <c r="CJS49" s="344"/>
      <c r="CJT49" s="344"/>
      <c r="CJU49" s="344"/>
      <c r="CJV49" s="344"/>
      <c r="CJW49" s="344"/>
      <c r="CJX49" s="344"/>
      <c r="CJY49" s="344"/>
      <c r="CJZ49" s="344"/>
      <c r="CKA49" s="344"/>
      <c r="CKB49" s="344"/>
      <c r="CKC49" s="344"/>
      <c r="CKD49" s="344"/>
      <c r="CKE49" s="344"/>
      <c r="CKF49" s="344"/>
      <c r="CKG49" s="344"/>
      <c r="CKH49" s="344"/>
      <c r="CKI49" s="344"/>
      <c r="CKJ49" s="344"/>
      <c r="CKK49" s="344"/>
      <c r="CKL49" s="344"/>
      <c r="CKM49" s="344"/>
      <c r="CKN49" s="344"/>
      <c r="CKO49" s="344"/>
      <c r="CKP49" s="344"/>
      <c r="CKQ49" s="344"/>
      <c r="CKR49" s="344"/>
      <c r="CKS49" s="344"/>
      <c r="CKT49" s="344"/>
      <c r="CKU49" s="344"/>
      <c r="CKV49" s="344"/>
      <c r="CKW49" s="344"/>
      <c r="CKX49" s="344"/>
      <c r="CKY49" s="344"/>
      <c r="CKZ49" s="344"/>
      <c r="CLA49" s="344"/>
      <c r="CLB49" s="344"/>
      <c r="CLC49" s="344"/>
      <c r="CLD49" s="344"/>
      <c r="CLE49" s="344"/>
      <c r="CLF49" s="344"/>
      <c r="CLG49" s="344"/>
      <c r="CLH49" s="344"/>
      <c r="CLI49" s="344"/>
      <c r="CLJ49" s="344"/>
      <c r="CLK49" s="344"/>
      <c r="CLL49" s="344"/>
      <c r="CLM49" s="344"/>
      <c r="CLN49" s="344"/>
      <c r="CLO49" s="344"/>
      <c r="CLP49" s="344"/>
      <c r="CLQ49" s="344"/>
      <c r="CLR49" s="344"/>
      <c r="CLS49" s="344"/>
      <c r="CLT49" s="344"/>
      <c r="CLU49" s="344"/>
      <c r="CLV49" s="344"/>
      <c r="CLW49" s="344"/>
      <c r="CLX49" s="344"/>
      <c r="CLY49" s="344"/>
      <c r="CLZ49" s="344"/>
      <c r="CMA49" s="344"/>
      <c r="CMB49" s="344"/>
      <c r="CMC49" s="344"/>
      <c r="CMD49" s="344"/>
      <c r="CME49" s="344"/>
      <c r="CMF49" s="344"/>
      <c r="CMG49" s="344"/>
      <c r="CMH49" s="344"/>
      <c r="CMI49" s="344"/>
      <c r="CMJ49" s="344"/>
      <c r="CMK49" s="344"/>
      <c r="CML49" s="344"/>
      <c r="CMM49" s="344"/>
      <c r="CMN49" s="344"/>
      <c r="CMO49" s="344"/>
      <c r="CMP49" s="344"/>
      <c r="CMQ49" s="344"/>
      <c r="CMR49" s="344"/>
      <c r="CMS49" s="344"/>
      <c r="CMT49" s="344"/>
      <c r="CMU49" s="344"/>
      <c r="CMV49" s="344"/>
      <c r="CMW49" s="344"/>
      <c r="CMX49" s="344"/>
      <c r="CMY49" s="344"/>
      <c r="CMZ49" s="344"/>
      <c r="CNA49" s="344"/>
      <c r="CNB49" s="344"/>
      <c r="CNC49" s="344"/>
      <c r="CND49" s="344"/>
      <c r="CNE49" s="344"/>
      <c r="CNF49" s="344"/>
      <c r="CNG49" s="344"/>
      <c r="CNH49" s="344"/>
      <c r="CNI49" s="344"/>
      <c r="CNJ49" s="344"/>
      <c r="CNK49" s="344"/>
      <c r="CNL49" s="344"/>
      <c r="CNM49" s="344"/>
      <c r="CNN49" s="344"/>
      <c r="CNO49" s="344"/>
      <c r="CNP49" s="344"/>
      <c r="CNQ49" s="344"/>
      <c r="CNR49" s="344"/>
      <c r="CNS49" s="344"/>
      <c r="CNT49" s="344"/>
      <c r="CNU49" s="344"/>
      <c r="CNV49" s="344"/>
      <c r="CNW49" s="344"/>
      <c r="CNX49" s="344"/>
      <c r="CNY49" s="344"/>
      <c r="CNZ49" s="344"/>
      <c r="COA49" s="344"/>
      <c r="COB49" s="344"/>
      <c r="COC49" s="344"/>
      <c r="COD49" s="344"/>
      <c r="COE49" s="344"/>
      <c r="COF49" s="344"/>
      <c r="COG49" s="344"/>
      <c r="COH49" s="344"/>
      <c r="COI49" s="344"/>
      <c r="COJ49" s="344"/>
      <c r="COK49" s="344"/>
      <c r="COL49" s="344"/>
      <c r="COM49" s="344"/>
      <c r="CON49" s="344"/>
      <c r="COO49" s="344"/>
      <c r="COP49" s="344"/>
      <c r="COQ49" s="344"/>
      <c r="COR49" s="344"/>
      <c r="COS49" s="344"/>
      <c r="COT49" s="344"/>
      <c r="COU49" s="344"/>
      <c r="COV49" s="344"/>
      <c r="COW49" s="344"/>
      <c r="COX49" s="344"/>
      <c r="COY49" s="344"/>
      <c r="COZ49" s="344"/>
      <c r="CPA49" s="344"/>
      <c r="CPB49" s="344"/>
      <c r="CPC49" s="344"/>
      <c r="CPD49" s="344"/>
      <c r="CPE49" s="344"/>
      <c r="CPF49" s="344"/>
      <c r="CPG49" s="344"/>
      <c r="CPH49" s="344"/>
      <c r="CPI49" s="344"/>
      <c r="CPJ49" s="344"/>
      <c r="CPK49" s="344"/>
      <c r="CPL49" s="344"/>
      <c r="CPM49" s="344"/>
      <c r="CPN49" s="344"/>
      <c r="CPO49" s="344"/>
      <c r="CPP49" s="344"/>
      <c r="CPQ49" s="344"/>
      <c r="CPR49" s="344"/>
      <c r="CPS49" s="344"/>
      <c r="CPT49" s="344"/>
      <c r="CPU49" s="344"/>
      <c r="CPV49" s="344"/>
      <c r="CPW49" s="344"/>
      <c r="CPX49" s="344"/>
      <c r="CPY49" s="344"/>
      <c r="CPZ49" s="344"/>
      <c r="CQA49" s="344"/>
      <c r="CQB49" s="344"/>
      <c r="CQC49" s="344"/>
      <c r="CQD49" s="344"/>
      <c r="CQE49" s="344"/>
      <c r="CQF49" s="344"/>
      <c r="CQG49" s="344"/>
      <c r="CQH49" s="344"/>
      <c r="CQI49" s="344"/>
      <c r="CQJ49" s="344"/>
      <c r="CQK49" s="344"/>
      <c r="CQL49" s="344"/>
      <c r="CQM49" s="344"/>
      <c r="CQN49" s="344"/>
      <c r="CQO49" s="344"/>
      <c r="CQP49" s="344"/>
      <c r="CQQ49" s="344"/>
      <c r="CQR49" s="344"/>
      <c r="CQS49" s="344"/>
      <c r="CQT49" s="344"/>
      <c r="CQU49" s="344"/>
      <c r="CQV49" s="344"/>
      <c r="CQW49" s="344"/>
      <c r="CQX49" s="344"/>
      <c r="CQY49" s="344"/>
      <c r="CQZ49" s="344"/>
      <c r="CRA49" s="344"/>
      <c r="CRB49" s="344"/>
      <c r="CRC49" s="344"/>
      <c r="CRD49" s="344"/>
      <c r="CRE49" s="344"/>
      <c r="CRF49" s="344"/>
      <c r="CRG49" s="344"/>
      <c r="CRH49" s="344"/>
      <c r="CRI49" s="344"/>
      <c r="CRJ49" s="344"/>
      <c r="CRK49" s="344"/>
      <c r="CRL49" s="344"/>
      <c r="CRM49" s="344"/>
      <c r="CRN49" s="344"/>
      <c r="CRO49" s="344"/>
      <c r="CRP49" s="344"/>
      <c r="CRQ49" s="344"/>
      <c r="CRR49" s="344"/>
      <c r="CRS49" s="344"/>
      <c r="CRT49" s="344"/>
      <c r="CRU49" s="344"/>
      <c r="CRV49" s="344"/>
      <c r="CRW49" s="344"/>
      <c r="CRX49" s="344"/>
      <c r="CRY49" s="344"/>
      <c r="CRZ49" s="344"/>
      <c r="CSA49" s="344"/>
      <c r="CSB49" s="344"/>
      <c r="CSC49" s="344"/>
      <c r="CSD49" s="344"/>
      <c r="CSE49" s="344"/>
      <c r="CSF49" s="344"/>
      <c r="CSG49" s="344"/>
      <c r="CSH49" s="344"/>
      <c r="CSI49" s="344"/>
      <c r="CSJ49" s="344"/>
      <c r="CSK49" s="344"/>
      <c r="CSL49" s="344"/>
      <c r="CSM49" s="344"/>
      <c r="CSN49" s="344"/>
      <c r="CSO49" s="344"/>
      <c r="CSP49" s="344"/>
      <c r="CSQ49" s="344"/>
      <c r="CSR49" s="344"/>
      <c r="CSS49" s="344"/>
      <c r="CST49" s="344"/>
      <c r="CSU49" s="344"/>
      <c r="CSV49" s="344"/>
      <c r="CSW49" s="344"/>
      <c r="CSX49" s="344"/>
      <c r="CSY49" s="344"/>
      <c r="CSZ49" s="344"/>
      <c r="CTA49" s="344"/>
      <c r="CTB49" s="344"/>
      <c r="CTC49" s="344"/>
      <c r="CTD49" s="344"/>
      <c r="CTE49" s="344"/>
      <c r="CTF49" s="344"/>
      <c r="CTG49" s="344"/>
      <c r="CTH49" s="344"/>
      <c r="CTI49" s="344"/>
      <c r="CTJ49" s="344"/>
      <c r="CTK49" s="344"/>
      <c r="CTL49" s="344"/>
      <c r="CTM49" s="344"/>
      <c r="CTN49" s="344"/>
      <c r="CTO49" s="344"/>
      <c r="CTP49" s="344"/>
      <c r="CTQ49" s="344"/>
      <c r="CTR49" s="344"/>
      <c r="CTS49" s="344"/>
      <c r="CTT49" s="344"/>
      <c r="CTU49" s="344"/>
      <c r="CTV49" s="344"/>
      <c r="CTW49" s="344"/>
      <c r="CTX49" s="344"/>
      <c r="CTY49" s="344"/>
      <c r="CTZ49" s="344"/>
      <c r="CUA49" s="344"/>
      <c r="CUB49" s="344"/>
      <c r="CUC49" s="344"/>
      <c r="CUD49" s="344"/>
      <c r="CUE49" s="344"/>
      <c r="CUF49" s="344"/>
      <c r="CUG49" s="344"/>
      <c r="CUH49" s="344"/>
      <c r="CUI49" s="344"/>
      <c r="CUJ49" s="344"/>
      <c r="CUK49" s="344"/>
      <c r="CUL49" s="344"/>
      <c r="CUM49" s="344"/>
      <c r="CUN49" s="344"/>
      <c r="CUO49" s="344"/>
      <c r="CUP49" s="344"/>
      <c r="CUQ49" s="344"/>
      <c r="CUR49" s="344"/>
      <c r="CUS49" s="344"/>
      <c r="CUT49" s="344"/>
      <c r="CUU49" s="344"/>
      <c r="CUV49" s="344"/>
      <c r="CUW49" s="344"/>
      <c r="CUX49" s="344"/>
      <c r="CUY49" s="344"/>
      <c r="CUZ49" s="344"/>
      <c r="CVA49" s="344"/>
      <c r="CVB49" s="344"/>
      <c r="CVC49" s="344"/>
      <c r="CVD49" s="344"/>
      <c r="CVE49" s="344"/>
      <c r="CVF49" s="344"/>
      <c r="CVG49" s="344"/>
      <c r="CVH49" s="344"/>
      <c r="CVI49" s="344"/>
      <c r="CVJ49" s="344"/>
      <c r="CVK49" s="344"/>
      <c r="CVL49" s="344"/>
      <c r="CVM49" s="344"/>
      <c r="CVN49" s="344"/>
      <c r="CVO49" s="344"/>
      <c r="CVP49" s="344"/>
      <c r="CVQ49" s="344"/>
      <c r="CVR49" s="344"/>
      <c r="CVS49" s="344"/>
      <c r="CVT49" s="344"/>
      <c r="CVU49" s="344"/>
      <c r="CVV49" s="344"/>
      <c r="CVW49" s="344"/>
      <c r="CVX49" s="344"/>
      <c r="CVY49" s="344"/>
      <c r="CVZ49" s="344"/>
      <c r="CWA49" s="344"/>
      <c r="CWB49" s="344"/>
      <c r="CWC49" s="344"/>
      <c r="CWD49" s="344"/>
      <c r="CWE49" s="344"/>
      <c r="CWF49" s="344"/>
      <c r="CWG49" s="344"/>
      <c r="CWH49" s="344"/>
      <c r="CWI49" s="344"/>
      <c r="CWJ49" s="344"/>
      <c r="CWK49" s="344"/>
      <c r="CWL49" s="344"/>
      <c r="CWM49" s="344"/>
      <c r="CWN49" s="344"/>
      <c r="CWO49" s="344"/>
      <c r="CWP49" s="344"/>
      <c r="CWQ49" s="344"/>
      <c r="CWR49" s="344"/>
      <c r="CWS49" s="344"/>
      <c r="CWT49" s="344"/>
      <c r="CWU49" s="344"/>
      <c r="CWV49" s="344"/>
      <c r="CWW49" s="344"/>
      <c r="CWX49" s="344"/>
      <c r="CWY49" s="344"/>
      <c r="CWZ49" s="344"/>
      <c r="CXA49" s="344"/>
      <c r="CXB49" s="344"/>
      <c r="CXC49" s="344"/>
      <c r="CXD49" s="344"/>
      <c r="CXE49" s="344"/>
      <c r="CXF49" s="344"/>
      <c r="CXG49" s="344"/>
      <c r="CXH49" s="344"/>
      <c r="CXI49" s="344"/>
      <c r="CXJ49" s="344"/>
      <c r="CXK49" s="344"/>
      <c r="CXL49" s="344"/>
      <c r="CXM49" s="344"/>
      <c r="CXN49" s="344"/>
      <c r="CXO49" s="344"/>
      <c r="CXP49" s="344"/>
      <c r="CXQ49" s="344"/>
      <c r="CXR49" s="344"/>
      <c r="CXS49" s="344"/>
      <c r="CXT49" s="344"/>
      <c r="CXU49" s="344"/>
      <c r="CXV49" s="344"/>
      <c r="CXW49" s="344"/>
      <c r="CXX49" s="344"/>
      <c r="CXY49" s="344"/>
      <c r="CXZ49" s="344"/>
      <c r="CYA49" s="344"/>
      <c r="CYB49" s="344"/>
      <c r="CYC49" s="344"/>
      <c r="CYD49" s="344"/>
      <c r="CYE49" s="344"/>
      <c r="CYF49" s="344"/>
      <c r="CYG49" s="344"/>
      <c r="CYH49" s="344"/>
      <c r="CYI49" s="344"/>
      <c r="CYJ49" s="344"/>
      <c r="CYK49" s="344"/>
      <c r="CYL49" s="344"/>
      <c r="CYM49" s="344"/>
      <c r="CYN49" s="344"/>
      <c r="CYO49" s="344"/>
      <c r="CYP49" s="344"/>
      <c r="CYQ49" s="344"/>
      <c r="CYR49" s="344"/>
      <c r="CYS49" s="344"/>
      <c r="CYT49" s="344"/>
      <c r="CYU49" s="344"/>
      <c r="CYV49" s="344"/>
      <c r="CYW49" s="344"/>
      <c r="CYX49" s="344"/>
      <c r="CYY49" s="344"/>
      <c r="CYZ49" s="344"/>
      <c r="CZA49" s="344"/>
      <c r="CZB49" s="344"/>
      <c r="CZC49" s="344"/>
      <c r="CZD49" s="344"/>
      <c r="CZE49" s="344"/>
      <c r="CZF49" s="344"/>
      <c r="CZG49" s="344"/>
      <c r="CZH49" s="344"/>
      <c r="CZI49" s="344"/>
      <c r="CZJ49" s="344"/>
      <c r="CZK49" s="344"/>
      <c r="CZL49" s="344"/>
      <c r="CZM49" s="344"/>
      <c r="CZN49" s="344"/>
      <c r="CZO49" s="344"/>
      <c r="CZP49" s="344"/>
      <c r="CZQ49" s="344"/>
      <c r="CZR49" s="344"/>
      <c r="CZS49" s="344"/>
      <c r="CZT49" s="344"/>
      <c r="CZU49" s="344"/>
      <c r="CZV49" s="344"/>
      <c r="CZW49" s="344"/>
      <c r="CZX49" s="344"/>
      <c r="CZY49" s="344"/>
      <c r="CZZ49" s="344"/>
      <c r="DAA49" s="344"/>
      <c r="DAB49" s="344"/>
      <c r="DAC49" s="344"/>
      <c r="DAD49" s="344"/>
      <c r="DAE49" s="344"/>
      <c r="DAF49" s="344"/>
      <c r="DAG49" s="344"/>
      <c r="DAH49" s="344"/>
      <c r="DAI49" s="344"/>
      <c r="DAJ49" s="344"/>
      <c r="DAK49" s="344"/>
      <c r="DAL49" s="344"/>
      <c r="DAM49" s="344"/>
      <c r="DAN49" s="344"/>
      <c r="DAO49" s="344"/>
      <c r="DAP49" s="344"/>
      <c r="DAQ49" s="344"/>
      <c r="DAR49" s="344"/>
      <c r="DAS49" s="344"/>
      <c r="DAT49" s="344"/>
      <c r="DAU49" s="344"/>
      <c r="DAV49" s="344"/>
      <c r="DAW49" s="344"/>
      <c r="DAX49" s="344"/>
      <c r="DAY49" s="344"/>
      <c r="DAZ49" s="344"/>
      <c r="DBA49" s="344"/>
      <c r="DBB49" s="344"/>
      <c r="DBC49" s="344"/>
      <c r="DBD49" s="344"/>
      <c r="DBE49" s="344"/>
      <c r="DBF49" s="344"/>
      <c r="DBG49" s="344"/>
      <c r="DBH49" s="344"/>
      <c r="DBI49" s="344"/>
      <c r="DBJ49" s="344"/>
      <c r="DBK49" s="344"/>
      <c r="DBL49" s="344"/>
      <c r="DBM49" s="344"/>
      <c r="DBN49" s="344"/>
      <c r="DBO49" s="344"/>
      <c r="DBP49" s="344"/>
      <c r="DBQ49" s="344"/>
      <c r="DBR49" s="344"/>
      <c r="DBS49" s="344"/>
      <c r="DBT49" s="344"/>
      <c r="DBU49" s="344"/>
      <c r="DBV49" s="344"/>
      <c r="DBW49" s="344"/>
      <c r="DBX49" s="344"/>
      <c r="DBY49" s="344"/>
      <c r="DBZ49" s="344"/>
      <c r="DCA49" s="344"/>
      <c r="DCB49" s="344"/>
      <c r="DCC49" s="344"/>
      <c r="DCD49" s="344"/>
      <c r="DCE49" s="344"/>
      <c r="DCF49" s="344"/>
      <c r="DCG49" s="344"/>
      <c r="DCH49" s="344"/>
      <c r="DCI49" s="344"/>
      <c r="DCJ49" s="344"/>
      <c r="DCK49" s="344"/>
      <c r="DCL49" s="344"/>
      <c r="DCM49" s="344"/>
      <c r="DCN49" s="344"/>
      <c r="DCO49" s="344"/>
      <c r="DCP49" s="344"/>
      <c r="DCQ49" s="344"/>
      <c r="DCR49" s="344"/>
      <c r="DCS49" s="344"/>
      <c r="DCT49" s="344"/>
      <c r="DCU49" s="344"/>
      <c r="DCV49" s="344"/>
      <c r="DCW49" s="344"/>
      <c r="DCX49" s="344"/>
      <c r="DCY49" s="344"/>
      <c r="DCZ49" s="344"/>
      <c r="DDA49" s="344"/>
      <c r="DDB49" s="344"/>
      <c r="DDC49" s="344"/>
      <c r="DDD49" s="344"/>
      <c r="DDE49" s="344"/>
      <c r="DDF49" s="344"/>
      <c r="DDG49" s="344"/>
      <c r="DDH49" s="344"/>
      <c r="DDI49" s="344"/>
      <c r="DDJ49" s="344"/>
      <c r="DDK49" s="344"/>
      <c r="DDL49" s="344"/>
      <c r="DDM49" s="344"/>
      <c r="DDN49" s="344"/>
      <c r="DDO49" s="344"/>
      <c r="DDP49" s="344"/>
      <c r="DDQ49" s="344"/>
      <c r="DDR49" s="344"/>
      <c r="DDS49" s="344"/>
      <c r="DDT49" s="344"/>
      <c r="DDU49" s="344"/>
      <c r="DDV49" s="344"/>
      <c r="DDW49" s="344"/>
      <c r="DDX49" s="344"/>
      <c r="DDY49" s="344"/>
      <c r="DDZ49" s="344"/>
      <c r="DEA49" s="344"/>
      <c r="DEB49" s="344"/>
      <c r="DEC49" s="344"/>
      <c r="DED49" s="344"/>
      <c r="DEE49" s="344"/>
      <c r="DEF49" s="344"/>
      <c r="DEG49" s="344"/>
      <c r="DEH49" s="344"/>
      <c r="DEI49" s="344"/>
      <c r="DEJ49" s="344"/>
      <c r="DEK49" s="344"/>
      <c r="DEL49" s="344"/>
      <c r="DEM49" s="344"/>
      <c r="DEN49" s="344"/>
      <c r="DEO49" s="344"/>
      <c r="DEP49" s="344"/>
      <c r="DEQ49" s="344"/>
      <c r="DER49" s="344"/>
      <c r="DES49" s="344"/>
      <c r="DET49" s="344"/>
      <c r="DEU49" s="344"/>
      <c r="DEV49" s="344"/>
      <c r="DEW49" s="344"/>
      <c r="DEX49" s="344"/>
      <c r="DEY49" s="344"/>
      <c r="DEZ49" s="344"/>
      <c r="DFA49" s="344"/>
      <c r="DFB49" s="344"/>
      <c r="DFC49" s="344"/>
      <c r="DFD49" s="344"/>
      <c r="DFE49" s="344"/>
      <c r="DFF49" s="344"/>
      <c r="DFG49" s="344"/>
      <c r="DFH49" s="344"/>
      <c r="DFI49" s="344"/>
      <c r="DFJ49" s="344"/>
      <c r="DFK49" s="344"/>
      <c r="DFL49" s="344"/>
      <c r="DFM49" s="344"/>
      <c r="DFN49" s="344"/>
      <c r="DFO49" s="344"/>
      <c r="DFP49" s="344"/>
      <c r="DFQ49" s="344"/>
      <c r="DFR49" s="344"/>
      <c r="DFS49" s="344"/>
      <c r="DFT49" s="344"/>
      <c r="DFU49" s="344"/>
      <c r="DFV49" s="344"/>
      <c r="DFW49" s="344"/>
      <c r="DFX49" s="344"/>
      <c r="DFY49" s="344"/>
      <c r="DFZ49" s="344"/>
      <c r="DGA49" s="344"/>
      <c r="DGB49" s="344"/>
      <c r="DGC49" s="344"/>
      <c r="DGD49" s="344"/>
      <c r="DGE49" s="344"/>
      <c r="DGF49" s="344"/>
      <c r="DGG49" s="344"/>
      <c r="DGH49" s="344"/>
      <c r="DGI49" s="344"/>
      <c r="DGJ49" s="344"/>
      <c r="DGK49" s="344"/>
      <c r="DGL49" s="344"/>
      <c r="DGM49" s="344"/>
      <c r="DGN49" s="344"/>
      <c r="DGO49" s="344"/>
      <c r="DGP49" s="344"/>
      <c r="DGQ49" s="344"/>
      <c r="DGR49" s="344"/>
      <c r="DGS49" s="344"/>
      <c r="DGT49" s="344"/>
      <c r="DGU49" s="344"/>
      <c r="DGV49" s="344"/>
      <c r="DGW49" s="344"/>
      <c r="DGX49" s="344"/>
      <c r="DGY49" s="344"/>
      <c r="DGZ49" s="344"/>
      <c r="DHA49" s="344"/>
      <c r="DHB49" s="344"/>
      <c r="DHC49" s="344"/>
      <c r="DHD49" s="344"/>
      <c r="DHE49" s="344"/>
      <c r="DHF49" s="344"/>
      <c r="DHG49" s="344"/>
      <c r="DHH49" s="344"/>
      <c r="DHI49" s="344"/>
      <c r="DHJ49" s="344"/>
      <c r="DHK49" s="344"/>
      <c r="DHL49" s="344"/>
      <c r="DHM49" s="344"/>
      <c r="DHN49" s="344"/>
      <c r="DHO49" s="344"/>
      <c r="DHP49" s="344"/>
      <c r="DHQ49" s="344"/>
      <c r="DHR49" s="344"/>
      <c r="DHS49" s="344"/>
      <c r="DHT49" s="344"/>
      <c r="DHU49" s="344"/>
      <c r="DHV49" s="344"/>
      <c r="DHW49" s="344"/>
      <c r="DHX49" s="344"/>
      <c r="DHY49" s="344"/>
      <c r="DHZ49" s="344"/>
      <c r="DIA49" s="344"/>
      <c r="DIB49" s="344"/>
      <c r="DIC49" s="344"/>
      <c r="DID49" s="344"/>
      <c r="DIE49" s="344"/>
      <c r="DIF49" s="344"/>
      <c r="DIG49" s="344"/>
      <c r="DIH49" s="344"/>
      <c r="DII49" s="344"/>
      <c r="DIJ49" s="344"/>
      <c r="DIK49" s="344"/>
      <c r="DIL49" s="344"/>
      <c r="DIM49" s="344"/>
      <c r="DIN49" s="344"/>
      <c r="DIO49" s="344"/>
      <c r="DIP49" s="344"/>
      <c r="DIQ49" s="344"/>
      <c r="DIR49" s="344"/>
      <c r="DIS49" s="344"/>
      <c r="DIT49" s="344"/>
      <c r="DIU49" s="344"/>
      <c r="DIV49" s="344"/>
      <c r="DIW49" s="344"/>
      <c r="DIX49" s="344"/>
      <c r="DIY49" s="344"/>
      <c r="DIZ49" s="344"/>
      <c r="DJA49" s="344"/>
      <c r="DJB49" s="344"/>
      <c r="DJC49" s="344"/>
      <c r="DJD49" s="344"/>
      <c r="DJE49" s="344"/>
      <c r="DJF49" s="344"/>
      <c r="DJG49" s="344"/>
      <c r="DJH49" s="344"/>
      <c r="DJI49" s="344"/>
      <c r="DJJ49" s="344"/>
      <c r="DJK49" s="344"/>
      <c r="DJL49" s="344"/>
      <c r="DJM49" s="344"/>
      <c r="DJN49" s="344"/>
      <c r="DJO49" s="344"/>
      <c r="DJP49" s="344"/>
      <c r="DJQ49" s="344"/>
      <c r="DJR49" s="344"/>
      <c r="DJS49" s="344"/>
      <c r="DJT49" s="344"/>
      <c r="DJU49" s="344"/>
      <c r="DJV49" s="344"/>
      <c r="DJW49" s="344"/>
      <c r="DJX49" s="344"/>
      <c r="DJY49" s="344"/>
      <c r="DJZ49" s="344"/>
      <c r="DKA49" s="344"/>
      <c r="DKB49" s="344"/>
      <c r="DKC49" s="344"/>
      <c r="DKD49" s="344"/>
      <c r="DKE49" s="344"/>
      <c r="DKF49" s="344"/>
      <c r="DKG49" s="344"/>
      <c r="DKH49" s="344"/>
      <c r="DKI49" s="344"/>
      <c r="DKJ49" s="344"/>
      <c r="DKK49" s="344"/>
      <c r="DKL49" s="344"/>
      <c r="DKM49" s="344"/>
      <c r="DKN49" s="344"/>
      <c r="DKO49" s="344"/>
      <c r="DKP49" s="344"/>
      <c r="DKQ49" s="344"/>
      <c r="DKR49" s="344"/>
      <c r="DKS49" s="344"/>
      <c r="DKT49" s="344"/>
      <c r="DKU49" s="344"/>
      <c r="DKV49" s="344"/>
      <c r="DKW49" s="344"/>
      <c r="DKX49" s="344"/>
      <c r="DKY49" s="344"/>
      <c r="DKZ49" s="344"/>
      <c r="DLA49" s="344"/>
      <c r="DLB49" s="344"/>
      <c r="DLC49" s="344"/>
      <c r="DLD49" s="344"/>
      <c r="DLE49" s="344"/>
      <c r="DLF49" s="344"/>
      <c r="DLG49" s="344"/>
      <c r="DLH49" s="344"/>
      <c r="DLI49" s="344"/>
      <c r="DLJ49" s="344"/>
      <c r="DLK49" s="344"/>
      <c r="DLL49" s="344"/>
      <c r="DLM49" s="344"/>
      <c r="DLN49" s="344"/>
      <c r="DLO49" s="344"/>
      <c r="DLP49" s="344"/>
      <c r="DLQ49" s="344"/>
      <c r="DLR49" s="344"/>
      <c r="DLS49" s="344"/>
      <c r="DLT49" s="344"/>
      <c r="DLU49" s="344"/>
      <c r="DLV49" s="344"/>
      <c r="DLW49" s="344"/>
      <c r="DLX49" s="344"/>
      <c r="DLY49" s="344"/>
      <c r="DLZ49" s="344"/>
      <c r="DMA49" s="344"/>
      <c r="DMB49" s="344"/>
      <c r="DMC49" s="344"/>
      <c r="DMD49" s="344"/>
      <c r="DME49" s="344"/>
      <c r="DMF49" s="344"/>
      <c r="DMG49" s="344"/>
      <c r="DMH49" s="344"/>
      <c r="DMI49" s="344"/>
      <c r="DMJ49" s="344"/>
      <c r="DMK49" s="344"/>
      <c r="DML49" s="344"/>
      <c r="DMM49" s="344"/>
      <c r="DMN49" s="344"/>
      <c r="DMO49" s="344"/>
      <c r="DMP49" s="344"/>
      <c r="DMQ49" s="344"/>
      <c r="DMR49" s="344"/>
      <c r="DMS49" s="344"/>
      <c r="DMT49" s="344"/>
      <c r="DMU49" s="344"/>
      <c r="DMV49" s="344"/>
      <c r="DMW49" s="344"/>
      <c r="DMX49" s="344"/>
      <c r="DMY49" s="344"/>
      <c r="DMZ49" s="344"/>
      <c r="DNA49" s="344"/>
      <c r="DNB49" s="344"/>
      <c r="DNC49" s="344"/>
      <c r="DND49" s="344"/>
      <c r="DNE49" s="344"/>
      <c r="DNF49" s="344"/>
      <c r="DNG49" s="344"/>
      <c r="DNH49" s="344"/>
      <c r="DNI49" s="344"/>
      <c r="DNJ49" s="344"/>
      <c r="DNK49" s="344"/>
      <c r="DNL49" s="344"/>
      <c r="DNM49" s="344"/>
      <c r="DNN49" s="344"/>
      <c r="DNO49" s="344"/>
      <c r="DNP49" s="344"/>
      <c r="DNQ49" s="344"/>
      <c r="DNR49" s="344"/>
      <c r="DNS49" s="344"/>
      <c r="DNT49" s="344"/>
      <c r="DNU49" s="344"/>
      <c r="DNV49" s="344"/>
      <c r="DNW49" s="344"/>
      <c r="DNX49" s="344"/>
      <c r="DNY49" s="344"/>
      <c r="DNZ49" s="344"/>
      <c r="DOA49" s="344"/>
      <c r="DOB49" s="344"/>
      <c r="DOC49" s="344"/>
      <c r="DOD49" s="344"/>
      <c r="DOE49" s="344"/>
      <c r="DOF49" s="344"/>
      <c r="DOG49" s="344"/>
      <c r="DOH49" s="344"/>
      <c r="DOI49" s="344"/>
      <c r="DOJ49" s="344"/>
      <c r="DOK49" s="344"/>
      <c r="DOL49" s="344"/>
      <c r="DOM49" s="344"/>
      <c r="DON49" s="344"/>
      <c r="DOO49" s="344"/>
      <c r="DOP49" s="344"/>
      <c r="DOQ49" s="344"/>
      <c r="DOR49" s="344"/>
      <c r="DOS49" s="344"/>
      <c r="DOT49" s="344"/>
      <c r="DOU49" s="344"/>
      <c r="DOV49" s="344"/>
      <c r="DOW49" s="344"/>
      <c r="DOX49" s="344"/>
      <c r="DOY49" s="344"/>
      <c r="DOZ49" s="344"/>
      <c r="DPA49" s="344"/>
      <c r="DPB49" s="344"/>
      <c r="DPC49" s="344"/>
      <c r="DPD49" s="344"/>
      <c r="DPE49" s="344"/>
      <c r="DPF49" s="344"/>
      <c r="DPG49" s="344"/>
      <c r="DPH49" s="344"/>
      <c r="DPI49" s="344"/>
      <c r="DPJ49" s="344"/>
      <c r="DPK49" s="344"/>
      <c r="DPL49" s="344"/>
      <c r="DPM49" s="344"/>
      <c r="DPN49" s="344"/>
      <c r="DPO49" s="344"/>
      <c r="DPP49" s="344"/>
      <c r="DPQ49" s="344"/>
      <c r="DPR49" s="344"/>
      <c r="DPS49" s="344"/>
      <c r="DPT49" s="344"/>
      <c r="DPU49" s="344"/>
      <c r="DPV49" s="344"/>
      <c r="DPW49" s="344"/>
      <c r="DPX49" s="344"/>
      <c r="DPY49" s="344"/>
      <c r="DPZ49" s="344"/>
      <c r="DQA49" s="344"/>
      <c r="DQB49" s="344"/>
      <c r="DQC49" s="344"/>
      <c r="DQD49" s="344"/>
      <c r="DQE49" s="344"/>
      <c r="DQF49" s="344"/>
      <c r="DQG49" s="344"/>
      <c r="DQH49" s="344"/>
      <c r="DQI49" s="344"/>
      <c r="DQJ49" s="344"/>
      <c r="DQK49" s="344"/>
      <c r="DQL49" s="344"/>
      <c r="DQM49" s="344"/>
      <c r="DQN49" s="344"/>
      <c r="DQO49" s="344"/>
      <c r="DQP49" s="344"/>
      <c r="DQQ49" s="344"/>
      <c r="DQR49" s="344"/>
      <c r="DQS49" s="344"/>
      <c r="DQT49" s="344"/>
      <c r="DQU49" s="344"/>
      <c r="DQV49" s="344"/>
      <c r="DQW49" s="344"/>
      <c r="DQX49" s="344"/>
      <c r="DQY49" s="344"/>
      <c r="DQZ49" s="344"/>
      <c r="DRA49" s="344"/>
      <c r="DRB49" s="344"/>
      <c r="DRC49" s="344"/>
      <c r="DRD49" s="344"/>
      <c r="DRE49" s="344"/>
      <c r="DRF49" s="344"/>
      <c r="DRG49" s="344"/>
      <c r="DRH49" s="344"/>
      <c r="DRI49" s="344"/>
      <c r="DRJ49" s="344"/>
      <c r="DRK49" s="344"/>
      <c r="DRL49" s="344"/>
      <c r="DRM49" s="344"/>
      <c r="DRN49" s="344"/>
      <c r="DRO49" s="344"/>
      <c r="DRP49" s="344"/>
      <c r="DRQ49" s="344"/>
      <c r="DRR49" s="344"/>
      <c r="DRS49" s="344"/>
      <c r="DRT49" s="344"/>
      <c r="DRU49" s="344"/>
      <c r="DRV49" s="344"/>
      <c r="DRW49" s="344"/>
      <c r="DRX49" s="344"/>
      <c r="DRY49" s="344"/>
      <c r="DRZ49" s="344"/>
      <c r="DSA49" s="344"/>
      <c r="DSB49" s="344"/>
      <c r="DSC49" s="344"/>
      <c r="DSD49" s="344"/>
      <c r="DSE49" s="344"/>
      <c r="DSF49" s="344"/>
      <c r="DSG49" s="344"/>
      <c r="DSH49" s="344"/>
      <c r="DSI49" s="344"/>
      <c r="DSJ49" s="344"/>
      <c r="DSK49" s="344"/>
      <c r="DSL49" s="344"/>
      <c r="DSM49" s="344"/>
      <c r="DSN49" s="344"/>
      <c r="DSO49" s="344"/>
      <c r="DSP49" s="344"/>
      <c r="DSQ49" s="344"/>
      <c r="DSR49" s="344"/>
      <c r="DSS49" s="344"/>
      <c r="DST49" s="344"/>
      <c r="DSU49" s="344"/>
      <c r="DSV49" s="344"/>
      <c r="DSW49" s="344"/>
      <c r="DSX49" s="344"/>
      <c r="DSY49" s="344"/>
      <c r="DSZ49" s="344"/>
      <c r="DTA49" s="344"/>
      <c r="DTB49" s="344"/>
      <c r="DTC49" s="344"/>
      <c r="DTD49" s="344"/>
      <c r="DTE49" s="344"/>
      <c r="DTF49" s="344"/>
      <c r="DTG49" s="344"/>
      <c r="DTH49" s="344"/>
      <c r="DTI49" s="344"/>
      <c r="DTJ49" s="344"/>
      <c r="DTK49" s="344"/>
      <c r="DTL49" s="344"/>
      <c r="DTM49" s="344"/>
      <c r="DTN49" s="344"/>
      <c r="DTO49" s="344"/>
      <c r="DTP49" s="344"/>
      <c r="DTQ49" s="344"/>
      <c r="DTR49" s="344"/>
      <c r="DTS49" s="344"/>
      <c r="DTT49" s="344"/>
      <c r="DTU49" s="344"/>
      <c r="DTV49" s="344"/>
      <c r="DTW49" s="344"/>
      <c r="DTX49" s="344"/>
      <c r="DTY49" s="344"/>
      <c r="DTZ49" s="344"/>
      <c r="DUA49" s="344"/>
      <c r="DUB49" s="344"/>
      <c r="DUC49" s="344"/>
      <c r="DUD49" s="344"/>
      <c r="DUE49" s="344"/>
      <c r="DUF49" s="344"/>
      <c r="DUG49" s="344"/>
      <c r="DUH49" s="344"/>
      <c r="DUI49" s="344"/>
      <c r="DUJ49" s="344"/>
      <c r="DUK49" s="344"/>
      <c r="DUL49" s="344"/>
      <c r="DUM49" s="344"/>
      <c r="DUN49" s="344"/>
      <c r="DUO49" s="344"/>
      <c r="DUP49" s="344"/>
      <c r="DUQ49" s="344"/>
      <c r="DUR49" s="344"/>
      <c r="DUS49" s="344"/>
      <c r="DUT49" s="344"/>
      <c r="DUU49" s="344"/>
      <c r="DUV49" s="344"/>
      <c r="DUW49" s="344"/>
      <c r="DUX49" s="344"/>
      <c r="DUY49" s="344"/>
      <c r="DUZ49" s="344"/>
      <c r="DVA49" s="344"/>
      <c r="DVB49" s="344"/>
      <c r="DVC49" s="344"/>
      <c r="DVD49" s="344"/>
      <c r="DVE49" s="344"/>
      <c r="DVF49" s="344"/>
      <c r="DVG49" s="344"/>
      <c r="DVH49" s="344"/>
      <c r="DVI49" s="344"/>
      <c r="DVJ49" s="344"/>
      <c r="DVK49" s="344"/>
      <c r="DVL49" s="344"/>
      <c r="DVM49" s="344"/>
      <c r="DVN49" s="344"/>
      <c r="DVO49" s="344"/>
      <c r="DVP49" s="344"/>
      <c r="DVQ49" s="344"/>
      <c r="DVR49" s="344"/>
      <c r="DVS49" s="344"/>
      <c r="DVT49" s="344"/>
      <c r="DVU49" s="344"/>
      <c r="DVV49" s="344"/>
      <c r="DVW49" s="344"/>
      <c r="DVX49" s="344"/>
      <c r="DVY49" s="344"/>
      <c r="DVZ49" s="344"/>
      <c r="DWA49" s="344"/>
      <c r="DWB49" s="344"/>
      <c r="DWC49" s="344"/>
      <c r="DWD49" s="344"/>
      <c r="DWE49" s="344"/>
      <c r="DWF49" s="344"/>
      <c r="DWG49" s="344"/>
      <c r="DWH49" s="344"/>
      <c r="DWI49" s="344"/>
      <c r="DWJ49" s="344"/>
      <c r="DWK49" s="344"/>
      <c r="DWL49" s="344"/>
      <c r="DWM49" s="344"/>
      <c r="DWN49" s="344"/>
      <c r="DWO49" s="344"/>
      <c r="DWP49" s="344"/>
      <c r="DWQ49" s="344"/>
      <c r="DWR49" s="344"/>
      <c r="DWS49" s="344"/>
      <c r="DWT49" s="344"/>
      <c r="DWU49" s="344"/>
      <c r="DWV49" s="344"/>
      <c r="DWW49" s="344"/>
      <c r="DWX49" s="344"/>
      <c r="DWY49" s="344"/>
      <c r="DWZ49" s="344"/>
      <c r="DXA49" s="344"/>
      <c r="DXB49" s="344"/>
      <c r="DXC49" s="344"/>
      <c r="DXD49" s="344"/>
      <c r="DXE49" s="344"/>
      <c r="DXF49" s="344"/>
      <c r="DXG49" s="344"/>
      <c r="DXH49" s="344"/>
      <c r="DXI49" s="344"/>
      <c r="DXJ49" s="344"/>
      <c r="DXK49" s="344"/>
      <c r="DXL49" s="344"/>
      <c r="DXM49" s="344"/>
      <c r="DXN49" s="344"/>
      <c r="DXO49" s="344"/>
      <c r="DXP49" s="344"/>
      <c r="DXQ49" s="344"/>
      <c r="DXR49" s="344"/>
      <c r="DXS49" s="344"/>
      <c r="DXT49" s="344"/>
      <c r="DXU49" s="344"/>
      <c r="DXV49" s="344"/>
      <c r="DXW49" s="344"/>
      <c r="DXX49" s="344"/>
      <c r="DXY49" s="344"/>
      <c r="DXZ49" s="344"/>
      <c r="DYA49" s="344"/>
      <c r="DYB49" s="344"/>
      <c r="DYC49" s="344"/>
      <c r="DYD49" s="344"/>
      <c r="DYE49" s="344"/>
      <c r="DYF49" s="344"/>
      <c r="DYG49" s="344"/>
      <c r="DYH49" s="344"/>
      <c r="DYI49" s="344"/>
      <c r="DYJ49" s="344"/>
      <c r="DYK49" s="344"/>
      <c r="DYL49" s="344"/>
      <c r="DYM49" s="344"/>
      <c r="DYN49" s="344"/>
      <c r="DYO49" s="344"/>
      <c r="DYP49" s="344"/>
      <c r="DYQ49" s="344"/>
      <c r="DYR49" s="344"/>
      <c r="DYS49" s="344"/>
      <c r="DYT49" s="344"/>
      <c r="DYU49" s="344"/>
      <c r="DYV49" s="344"/>
      <c r="DYW49" s="344"/>
      <c r="DYX49" s="344"/>
      <c r="DYY49" s="344"/>
      <c r="DYZ49" s="344"/>
      <c r="DZA49" s="344"/>
      <c r="DZB49" s="344"/>
      <c r="DZC49" s="344"/>
      <c r="DZD49" s="344"/>
      <c r="DZE49" s="344"/>
      <c r="DZF49" s="344"/>
      <c r="DZG49" s="344"/>
      <c r="DZH49" s="344"/>
      <c r="DZI49" s="344"/>
      <c r="DZJ49" s="344"/>
      <c r="DZK49" s="344"/>
      <c r="DZL49" s="344"/>
      <c r="DZM49" s="344"/>
      <c r="DZN49" s="344"/>
      <c r="DZO49" s="344"/>
      <c r="DZP49" s="344"/>
      <c r="DZQ49" s="344"/>
      <c r="DZR49" s="344"/>
      <c r="DZS49" s="344"/>
      <c r="DZT49" s="344"/>
      <c r="DZU49" s="344"/>
      <c r="DZV49" s="344"/>
      <c r="DZW49" s="344"/>
      <c r="DZX49" s="344"/>
      <c r="DZY49" s="344"/>
      <c r="DZZ49" s="344"/>
      <c r="EAA49" s="344"/>
      <c r="EAB49" s="344"/>
      <c r="EAC49" s="344"/>
      <c r="EAD49" s="344"/>
      <c r="EAE49" s="344"/>
      <c r="EAF49" s="344"/>
      <c r="EAG49" s="344"/>
      <c r="EAH49" s="344"/>
      <c r="EAI49" s="344"/>
      <c r="EAJ49" s="344"/>
      <c r="EAK49" s="344"/>
      <c r="EAL49" s="344"/>
      <c r="EAM49" s="344"/>
      <c r="EAN49" s="344"/>
      <c r="EAO49" s="344"/>
      <c r="EAP49" s="344"/>
      <c r="EAQ49" s="344"/>
      <c r="EAR49" s="344"/>
      <c r="EAS49" s="344"/>
      <c r="EAT49" s="344"/>
      <c r="EAU49" s="344"/>
      <c r="EAV49" s="344"/>
      <c r="EAW49" s="344"/>
      <c r="EAX49" s="344"/>
      <c r="EAY49" s="344"/>
      <c r="EAZ49" s="344"/>
      <c r="EBA49" s="344"/>
      <c r="EBB49" s="344"/>
      <c r="EBC49" s="344"/>
      <c r="EBD49" s="344"/>
      <c r="EBE49" s="344"/>
      <c r="EBF49" s="344"/>
      <c r="EBG49" s="344"/>
      <c r="EBH49" s="344"/>
      <c r="EBI49" s="344"/>
      <c r="EBJ49" s="344"/>
      <c r="EBK49" s="344"/>
      <c r="EBL49" s="344"/>
      <c r="EBM49" s="344"/>
      <c r="EBN49" s="344"/>
      <c r="EBO49" s="344"/>
      <c r="EBP49" s="344"/>
      <c r="EBQ49" s="344"/>
      <c r="EBR49" s="344"/>
      <c r="EBS49" s="344"/>
      <c r="EBT49" s="344"/>
      <c r="EBU49" s="344"/>
      <c r="EBV49" s="344"/>
      <c r="EBW49" s="344"/>
      <c r="EBX49" s="344"/>
      <c r="EBY49" s="344"/>
      <c r="EBZ49" s="344"/>
      <c r="ECA49" s="344"/>
      <c r="ECB49" s="344"/>
      <c r="ECC49" s="344"/>
      <c r="ECD49" s="344"/>
      <c r="ECE49" s="344"/>
      <c r="ECF49" s="344"/>
      <c r="ECG49" s="344"/>
      <c r="ECH49" s="344"/>
      <c r="ECI49" s="344"/>
      <c r="ECJ49" s="344"/>
      <c r="ECK49" s="344"/>
      <c r="ECL49" s="344"/>
      <c r="ECM49" s="344"/>
      <c r="ECN49" s="344"/>
      <c r="ECO49" s="344"/>
      <c r="ECP49" s="344"/>
      <c r="ECQ49" s="344"/>
      <c r="ECR49" s="344"/>
      <c r="ECS49" s="344"/>
      <c r="ECT49" s="344"/>
      <c r="ECU49" s="344"/>
      <c r="ECV49" s="344"/>
      <c r="ECW49" s="344"/>
      <c r="ECX49" s="344"/>
      <c r="ECY49" s="344"/>
      <c r="ECZ49" s="344"/>
      <c r="EDA49" s="344"/>
      <c r="EDB49" s="344"/>
      <c r="EDC49" s="344"/>
      <c r="EDD49" s="344"/>
      <c r="EDE49" s="344"/>
      <c r="EDF49" s="344"/>
      <c r="EDG49" s="344"/>
      <c r="EDH49" s="344"/>
      <c r="EDI49" s="344"/>
      <c r="EDJ49" s="344"/>
      <c r="EDK49" s="344"/>
      <c r="EDL49" s="344"/>
      <c r="EDM49" s="344"/>
      <c r="EDN49" s="344"/>
      <c r="EDO49" s="344"/>
      <c r="EDP49" s="344"/>
      <c r="EDQ49" s="344"/>
      <c r="EDR49" s="344"/>
      <c r="EDS49" s="344"/>
      <c r="EDT49" s="344"/>
      <c r="EDU49" s="344"/>
      <c r="EDV49" s="344"/>
      <c r="EDW49" s="344"/>
      <c r="EDX49" s="344"/>
      <c r="EDY49" s="344"/>
      <c r="EDZ49" s="344"/>
      <c r="EEA49" s="344"/>
      <c r="EEB49" s="344"/>
      <c r="EEC49" s="344"/>
      <c r="EED49" s="344"/>
      <c r="EEE49" s="344"/>
      <c r="EEF49" s="344"/>
      <c r="EEG49" s="344"/>
      <c r="EEH49" s="344"/>
      <c r="EEI49" s="344"/>
      <c r="EEJ49" s="344"/>
      <c r="EEK49" s="344"/>
      <c r="EEL49" s="344"/>
      <c r="EEM49" s="344"/>
      <c r="EEN49" s="344"/>
      <c r="EEO49" s="344"/>
      <c r="EEP49" s="344"/>
      <c r="EEQ49" s="344"/>
      <c r="EER49" s="344"/>
      <c r="EES49" s="344"/>
      <c r="EET49" s="344"/>
      <c r="EEU49" s="344"/>
      <c r="EEV49" s="344"/>
      <c r="EEW49" s="344"/>
      <c r="EEX49" s="344"/>
      <c r="EEY49" s="344"/>
      <c r="EEZ49" s="344"/>
      <c r="EFA49" s="344"/>
      <c r="EFB49" s="344"/>
      <c r="EFC49" s="344"/>
      <c r="EFD49" s="344"/>
      <c r="EFE49" s="344"/>
      <c r="EFF49" s="344"/>
      <c r="EFG49" s="344"/>
      <c r="EFH49" s="344"/>
      <c r="EFI49" s="344"/>
      <c r="EFJ49" s="344"/>
      <c r="EFK49" s="344"/>
      <c r="EFL49" s="344"/>
      <c r="EFM49" s="344"/>
      <c r="EFN49" s="344"/>
      <c r="EFO49" s="344"/>
      <c r="EFP49" s="344"/>
      <c r="EFQ49" s="344"/>
      <c r="EFR49" s="344"/>
      <c r="EFS49" s="344"/>
      <c r="EFT49" s="344"/>
      <c r="EFU49" s="344"/>
      <c r="EFV49" s="344"/>
      <c r="EFW49" s="344"/>
      <c r="EFX49" s="344"/>
      <c r="EFY49" s="344"/>
      <c r="EFZ49" s="344"/>
      <c r="EGA49" s="344"/>
      <c r="EGB49" s="344"/>
      <c r="EGC49" s="344"/>
      <c r="EGD49" s="344"/>
      <c r="EGE49" s="344"/>
      <c r="EGF49" s="344"/>
      <c r="EGG49" s="344"/>
      <c r="EGH49" s="344"/>
      <c r="EGI49" s="344"/>
      <c r="EGJ49" s="344"/>
      <c r="EGK49" s="344"/>
      <c r="EGL49" s="344"/>
      <c r="EGM49" s="344"/>
      <c r="EGN49" s="344"/>
      <c r="EGO49" s="344"/>
      <c r="EGP49" s="344"/>
      <c r="EGQ49" s="344"/>
      <c r="EGR49" s="344"/>
      <c r="EGS49" s="344"/>
      <c r="EGT49" s="344"/>
      <c r="EGU49" s="344"/>
      <c r="EGV49" s="344"/>
      <c r="EGW49" s="344"/>
      <c r="EGX49" s="344"/>
      <c r="EGY49" s="344"/>
      <c r="EGZ49" s="344"/>
      <c r="EHA49" s="344"/>
      <c r="EHB49" s="344"/>
      <c r="EHC49" s="344"/>
      <c r="EHD49" s="344"/>
      <c r="EHE49" s="344"/>
      <c r="EHF49" s="344"/>
      <c r="EHG49" s="344"/>
      <c r="EHH49" s="344"/>
      <c r="EHI49" s="344"/>
      <c r="EHJ49" s="344"/>
      <c r="EHK49" s="344"/>
      <c r="EHL49" s="344"/>
      <c r="EHM49" s="344"/>
      <c r="EHN49" s="344"/>
      <c r="EHO49" s="344"/>
      <c r="EHP49" s="344"/>
      <c r="EHQ49" s="344"/>
      <c r="EHR49" s="344"/>
      <c r="EHS49" s="344"/>
      <c r="EHT49" s="344"/>
      <c r="EHU49" s="344"/>
      <c r="EHV49" s="344"/>
      <c r="EHW49" s="344"/>
      <c r="EHX49" s="344"/>
      <c r="EHY49" s="344"/>
      <c r="EHZ49" s="344"/>
      <c r="EIA49" s="344"/>
      <c r="EIB49" s="344"/>
      <c r="EIC49" s="344"/>
      <c r="EID49" s="344"/>
      <c r="EIE49" s="344"/>
      <c r="EIF49" s="344"/>
      <c r="EIG49" s="344"/>
      <c r="EIH49" s="344"/>
      <c r="EII49" s="344"/>
      <c r="EIJ49" s="344"/>
      <c r="EIK49" s="344"/>
      <c r="EIL49" s="344"/>
      <c r="EIM49" s="344"/>
      <c r="EIN49" s="344"/>
      <c r="EIO49" s="344"/>
      <c r="EIP49" s="344"/>
      <c r="EIQ49" s="344"/>
      <c r="EIR49" s="344"/>
      <c r="EIS49" s="344"/>
      <c r="EIT49" s="344"/>
      <c r="EIU49" s="344"/>
      <c r="EIV49" s="344"/>
      <c r="EIW49" s="344"/>
      <c r="EIX49" s="344"/>
      <c r="EIY49" s="344"/>
      <c r="EIZ49" s="344"/>
      <c r="EJA49" s="344"/>
      <c r="EJB49" s="344"/>
      <c r="EJC49" s="344"/>
      <c r="EJD49" s="344"/>
      <c r="EJE49" s="344"/>
      <c r="EJF49" s="344"/>
      <c r="EJG49" s="344"/>
      <c r="EJH49" s="344"/>
      <c r="EJI49" s="344"/>
      <c r="EJJ49" s="344"/>
      <c r="EJK49" s="344"/>
      <c r="EJL49" s="344"/>
      <c r="EJM49" s="344"/>
      <c r="EJN49" s="344"/>
      <c r="EJO49" s="344"/>
      <c r="EJP49" s="344"/>
      <c r="EJQ49" s="344"/>
      <c r="EJR49" s="344"/>
      <c r="EJS49" s="344"/>
      <c r="EJT49" s="344"/>
      <c r="EJU49" s="344"/>
      <c r="EJV49" s="344"/>
      <c r="EJW49" s="344"/>
      <c r="EJX49" s="344"/>
      <c r="EJY49" s="344"/>
      <c r="EJZ49" s="344"/>
      <c r="EKA49" s="344"/>
      <c r="EKB49" s="344"/>
      <c r="EKC49" s="344"/>
      <c r="EKD49" s="344"/>
      <c r="EKE49" s="344"/>
      <c r="EKF49" s="344"/>
      <c r="EKG49" s="344"/>
      <c r="EKH49" s="344"/>
      <c r="EKI49" s="344"/>
      <c r="EKJ49" s="344"/>
      <c r="EKK49" s="344"/>
      <c r="EKL49" s="344"/>
      <c r="EKM49" s="344"/>
      <c r="EKN49" s="344"/>
      <c r="EKO49" s="344"/>
      <c r="EKP49" s="344"/>
      <c r="EKQ49" s="344"/>
      <c r="EKR49" s="344"/>
      <c r="EKS49" s="344"/>
      <c r="EKT49" s="344"/>
      <c r="EKU49" s="344"/>
      <c r="EKV49" s="344"/>
      <c r="EKW49" s="344"/>
      <c r="EKX49" s="344"/>
      <c r="EKY49" s="344"/>
      <c r="EKZ49" s="344"/>
      <c r="ELA49" s="344"/>
      <c r="ELB49" s="344"/>
      <c r="ELC49" s="344"/>
      <c r="ELD49" s="344"/>
      <c r="ELE49" s="344"/>
      <c r="ELF49" s="344"/>
      <c r="ELG49" s="344"/>
      <c r="ELH49" s="344"/>
      <c r="ELI49" s="344"/>
      <c r="ELJ49" s="344"/>
      <c r="ELK49" s="344"/>
      <c r="ELL49" s="344"/>
      <c r="ELM49" s="344"/>
      <c r="ELN49" s="344"/>
      <c r="ELO49" s="344"/>
      <c r="ELP49" s="344"/>
      <c r="ELQ49" s="344"/>
      <c r="ELR49" s="344"/>
      <c r="ELS49" s="344"/>
      <c r="ELT49" s="344"/>
      <c r="ELU49" s="344"/>
      <c r="ELV49" s="344"/>
      <c r="ELW49" s="344"/>
      <c r="ELX49" s="344"/>
      <c r="ELY49" s="344"/>
      <c r="ELZ49" s="344"/>
      <c r="EMA49" s="344"/>
      <c r="EMB49" s="344"/>
      <c r="EMC49" s="344"/>
      <c r="EMD49" s="344"/>
      <c r="EME49" s="344"/>
      <c r="EMF49" s="344"/>
      <c r="EMG49" s="344"/>
      <c r="EMH49" s="344"/>
      <c r="EMI49" s="344"/>
      <c r="EMJ49" s="344"/>
      <c r="EMK49" s="344"/>
      <c r="EML49" s="344"/>
      <c r="EMM49" s="344"/>
      <c r="EMN49" s="344"/>
      <c r="EMO49" s="344"/>
      <c r="EMP49" s="344"/>
      <c r="EMQ49" s="344"/>
      <c r="EMR49" s="344"/>
      <c r="EMS49" s="344"/>
      <c r="EMT49" s="344"/>
      <c r="EMU49" s="344"/>
      <c r="EMV49" s="344"/>
      <c r="EMW49" s="344"/>
      <c r="EMX49" s="344"/>
      <c r="EMY49" s="344"/>
      <c r="EMZ49" s="344"/>
      <c r="ENA49" s="344"/>
      <c r="ENB49" s="344"/>
      <c r="ENC49" s="344"/>
      <c r="END49" s="344"/>
      <c r="ENE49" s="344"/>
      <c r="ENF49" s="344"/>
      <c r="ENG49" s="344"/>
      <c r="ENH49" s="344"/>
      <c r="ENI49" s="344"/>
      <c r="ENJ49" s="344"/>
      <c r="ENK49" s="344"/>
      <c r="ENL49" s="344"/>
      <c r="ENM49" s="344"/>
      <c r="ENN49" s="344"/>
      <c r="ENO49" s="344"/>
      <c r="ENP49" s="344"/>
      <c r="ENQ49" s="344"/>
      <c r="ENR49" s="344"/>
      <c r="ENS49" s="344"/>
      <c r="ENT49" s="344"/>
      <c r="ENU49" s="344"/>
      <c r="ENV49" s="344"/>
      <c r="ENW49" s="344"/>
      <c r="ENX49" s="344"/>
      <c r="ENY49" s="344"/>
      <c r="ENZ49" s="344"/>
      <c r="EOA49" s="344"/>
      <c r="EOB49" s="344"/>
      <c r="EOC49" s="344"/>
      <c r="EOD49" s="344"/>
      <c r="EOE49" s="344"/>
      <c r="EOF49" s="344"/>
      <c r="EOG49" s="344"/>
      <c r="EOH49" s="344"/>
      <c r="EOI49" s="344"/>
      <c r="EOJ49" s="344"/>
      <c r="EOK49" s="344"/>
      <c r="EOL49" s="344"/>
      <c r="EOM49" s="344"/>
      <c r="EON49" s="344"/>
      <c r="EOO49" s="344"/>
      <c r="EOP49" s="344"/>
      <c r="EOQ49" s="344"/>
      <c r="EOR49" s="344"/>
      <c r="EOS49" s="344"/>
      <c r="EOT49" s="344"/>
      <c r="EOU49" s="344"/>
      <c r="EOV49" s="344"/>
      <c r="EOW49" s="344"/>
      <c r="EOX49" s="344"/>
      <c r="EOY49" s="344"/>
      <c r="EOZ49" s="344"/>
      <c r="EPA49" s="344"/>
      <c r="EPB49" s="344"/>
      <c r="EPC49" s="344"/>
      <c r="EPD49" s="344"/>
      <c r="EPE49" s="344"/>
      <c r="EPF49" s="344"/>
      <c r="EPG49" s="344"/>
      <c r="EPH49" s="344"/>
      <c r="EPI49" s="344"/>
      <c r="EPJ49" s="344"/>
      <c r="EPK49" s="344"/>
      <c r="EPL49" s="344"/>
      <c r="EPM49" s="344"/>
      <c r="EPN49" s="344"/>
      <c r="EPO49" s="344"/>
      <c r="EPP49" s="344"/>
      <c r="EPQ49" s="344"/>
      <c r="EPR49" s="344"/>
      <c r="EPS49" s="344"/>
      <c r="EPT49" s="344"/>
      <c r="EPU49" s="344"/>
      <c r="EPV49" s="344"/>
      <c r="EPW49" s="344"/>
      <c r="EPX49" s="344"/>
      <c r="EPY49" s="344"/>
      <c r="EPZ49" s="344"/>
      <c r="EQA49" s="344"/>
      <c r="EQB49" s="344"/>
      <c r="EQC49" s="344"/>
      <c r="EQD49" s="344"/>
      <c r="EQE49" s="344"/>
      <c r="EQF49" s="344"/>
      <c r="EQG49" s="344"/>
      <c r="EQH49" s="344"/>
      <c r="EQI49" s="344"/>
      <c r="EQJ49" s="344"/>
      <c r="EQK49" s="344"/>
      <c r="EQL49" s="344"/>
      <c r="EQM49" s="344"/>
      <c r="EQN49" s="344"/>
      <c r="EQO49" s="344"/>
      <c r="EQP49" s="344"/>
      <c r="EQQ49" s="344"/>
      <c r="EQR49" s="344"/>
      <c r="EQS49" s="344"/>
      <c r="EQT49" s="344"/>
      <c r="EQU49" s="344"/>
      <c r="EQV49" s="344"/>
      <c r="EQW49" s="344"/>
      <c r="EQX49" s="344"/>
      <c r="EQY49" s="344"/>
      <c r="EQZ49" s="344"/>
      <c r="ERA49" s="344"/>
      <c r="ERB49" s="344"/>
      <c r="ERC49" s="344"/>
      <c r="ERD49" s="344"/>
      <c r="ERE49" s="344"/>
      <c r="ERF49" s="344"/>
      <c r="ERG49" s="344"/>
      <c r="ERH49" s="344"/>
      <c r="ERI49" s="344"/>
      <c r="ERJ49" s="344"/>
      <c r="ERK49" s="344"/>
      <c r="ERL49" s="344"/>
      <c r="ERM49" s="344"/>
      <c r="ERN49" s="344"/>
      <c r="ERO49" s="344"/>
      <c r="ERP49" s="344"/>
      <c r="ERQ49" s="344"/>
      <c r="ERR49" s="344"/>
      <c r="ERS49" s="344"/>
      <c r="ERT49" s="344"/>
      <c r="ERU49" s="344"/>
      <c r="ERV49" s="344"/>
      <c r="ERW49" s="344"/>
      <c r="ERX49" s="344"/>
      <c r="ERY49" s="344"/>
      <c r="ERZ49" s="344"/>
      <c r="ESA49" s="344"/>
      <c r="ESB49" s="344"/>
      <c r="ESC49" s="344"/>
      <c r="ESD49" s="344"/>
      <c r="ESE49" s="344"/>
      <c r="ESF49" s="344"/>
      <c r="ESG49" s="344"/>
      <c r="ESH49" s="344"/>
      <c r="ESI49" s="344"/>
      <c r="ESJ49" s="344"/>
      <c r="ESK49" s="344"/>
      <c r="ESL49" s="344"/>
      <c r="ESM49" s="344"/>
      <c r="ESN49" s="344"/>
      <c r="ESO49" s="344"/>
      <c r="ESP49" s="344"/>
      <c r="ESQ49" s="344"/>
      <c r="ESR49" s="344"/>
      <c r="ESS49" s="344"/>
      <c r="EST49" s="344"/>
      <c r="ESU49" s="344"/>
      <c r="ESV49" s="344"/>
      <c r="ESW49" s="344"/>
      <c r="ESX49" s="344"/>
      <c r="ESY49" s="344"/>
      <c r="ESZ49" s="344"/>
      <c r="ETA49" s="344"/>
      <c r="ETB49" s="344"/>
      <c r="ETC49" s="344"/>
      <c r="ETD49" s="344"/>
      <c r="ETE49" s="344"/>
      <c r="ETF49" s="344"/>
      <c r="ETG49" s="344"/>
      <c r="ETH49" s="344"/>
      <c r="ETI49" s="344"/>
      <c r="ETJ49" s="344"/>
      <c r="ETK49" s="344"/>
      <c r="ETL49" s="344"/>
      <c r="ETM49" s="344"/>
      <c r="ETN49" s="344"/>
      <c r="ETO49" s="344"/>
      <c r="ETP49" s="344"/>
      <c r="ETQ49" s="344"/>
      <c r="ETR49" s="344"/>
      <c r="ETS49" s="344"/>
      <c r="ETT49" s="344"/>
      <c r="ETU49" s="344"/>
      <c r="ETV49" s="344"/>
      <c r="ETW49" s="344"/>
      <c r="ETX49" s="344"/>
      <c r="ETY49" s="344"/>
      <c r="ETZ49" s="344"/>
      <c r="EUA49" s="344"/>
      <c r="EUB49" s="344"/>
      <c r="EUC49" s="344"/>
      <c r="EUD49" s="344"/>
      <c r="EUE49" s="344"/>
      <c r="EUF49" s="344"/>
      <c r="EUG49" s="344"/>
      <c r="EUH49" s="344"/>
      <c r="EUI49" s="344"/>
      <c r="EUJ49" s="344"/>
      <c r="EUK49" s="344"/>
      <c r="EUL49" s="344"/>
      <c r="EUM49" s="344"/>
      <c r="EUN49" s="344"/>
      <c r="EUO49" s="344"/>
      <c r="EUP49" s="344"/>
      <c r="EUQ49" s="344"/>
      <c r="EUR49" s="344"/>
      <c r="EUS49" s="344"/>
      <c r="EUT49" s="344"/>
      <c r="EUU49" s="344"/>
      <c r="EUV49" s="344"/>
      <c r="EUW49" s="344"/>
      <c r="EUX49" s="344"/>
      <c r="EUY49" s="344"/>
      <c r="EUZ49" s="344"/>
      <c r="EVA49" s="344"/>
      <c r="EVB49" s="344"/>
      <c r="EVC49" s="344"/>
      <c r="EVD49" s="344"/>
      <c r="EVE49" s="344"/>
      <c r="EVF49" s="344"/>
      <c r="EVG49" s="344"/>
      <c r="EVH49" s="344"/>
      <c r="EVI49" s="344"/>
      <c r="EVJ49" s="344"/>
      <c r="EVK49" s="344"/>
      <c r="EVL49" s="344"/>
      <c r="EVM49" s="344"/>
      <c r="EVN49" s="344"/>
      <c r="EVO49" s="344"/>
      <c r="EVP49" s="344"/>
      <c r="EVQ49" s="344"/>
      <c r="EVR49" s="344"/>
      <c r="EVS49" s="344"/>
      <c r="EVT49" s="344"/>
      <c r="EVU49" s="344"/>
      <c r="EVV49" s="344"/>
      <c r="EVW49" s="344"/>
      <c r="EVX49" s="344"/>
      <c r="EVY49" s="344"/>
      <c r="EVZ49" s="344"/>
      <c r="EWA49" s="344"/>
      <c r="EWB49" s="344"/>
      <c r="EWC49" s="344"/>
      <c r="EWD49" s="344"/>
      <c r="EWE49" s="344"/>
      <c r="EWF49" s="344"/>
      <c r="EWG49" s="344"/>
      <c r="EWH49" s="344"/>
      <c r="EWI49" s="344"/>
      <c r="EWJ49" s="344"/>
      <c r="EWK49" s="344"/>
      <c r="EWL49" s="344"/>
      <c r="EWM49" s="344"/>
      <c r="EWN49" s="344"/>
      <c r="EWO49" s="344"/>
      <c r="EWP49" s="344"/>
      <c r="EWQ49" s="344"/>
      <c r="EWR49" s="344"/>
      <c r="EWS49" s="344"/>
      <c r="EWT49" s="344"/>
      <c r="EWU49" s="344"/>
      <c r="EWV49" s="344"/>
      <c r="EWW49" s="344"/>
      <c r="EWX49" s="344"/>
      <c r="EWY49" s="344"/>
      <c r="EWZ49" s="344"/>
      <c r="EXA49" s="344"/>
      <c r="EXB49" s="344"/>
      <c r="EXC49" s="344"/>
      <c r="EXD49" s="344"/>
      <c r="EXE49" s="344"/>
      <c r="EXF49" s="344"/>
      <c r="EXG49" s="344"/>
      <c r="EXH49" s="344"/>
      <c r="EXI49" s="344"/>
      <c r="EXJ49" s="344"/>
      <c r="EXK49" s="344"/>
      <c r="EXL49" s="344"/>
      <c r="EXM49" s="344"/>
      <c r="EXN49" s="344"/>
      <c r="EXO49" s="344"/>
      <c r="EXP49" s="344"/>
      <c r="EXQ49" s="344"/>
      <c r="EXR49" s="344"/>
      <c r="EXS49" s="344"/>
      <c r="EXT49" s="344"/>
      <c r="EXU49" s="344"/>
      <c r="EXV49" s="344"/>
      <c r="EXW49" s="344"/>
      <c r="EXX49" s="344"/>
      <c r="EXY49" s="344"/>
      <c r="EXZ49" s="344"/>
      <c r="EYA49" s="344"/>
      <c r="EYB49" s="344"/>
      <c r="EYC49" s="344"/>
      <c r="EYD49" s="344"/>
      <c r="EYE49" s="344"/>
      <c r="EYF49" s="344"/>
      <c r="EYG49" s="344"/>
      <c r="EYH49" s="344"/>
      <c r="EYI49" s="344"/>
      <c r="EYJ49" s="344"/>
      <c r="EYK49" s="344"/>
      <c r="EYL49" s="344"/>
      <c r="EYM49" s="344"/>
      <c r="EYN49" s="344"/>
      <c r="EYO49" s="344"/>
      <c r="EYP49" s="344"/>
      <c r="EYQ49" s="344"/>
      <c r="EYR49" s="344"/>
      <c r="EYS49" s="344"/>
      <c r="EYT49" s="344"/>
      <c r="EYU49" s="344"/>
      <c r="EYV49" s="344"/>
      <c r="EYW49" s="344"/>
      <c r="EYX49" s="344"/>
      <c r="EYY49" s="344"/>
      <c r="EYZ49" s="344"/>
      <c r="EZA49" s="344"/>
      <c r="EZB49" s="344"/>
      <c r="EZC49" s="344"/>
      <c r="EZD49" s="344"/>
      <c r="EZE49" s="344"/>
      <c r="EZF49" s="344"/>
      <c r="EZG49" s="344"/>
      <c r="EZH49" s="344"/>
      <c r="EZI49" s="344"/>
      <c r="EZJ49" s="344"/>
      <c r="EZK49" s="344"/>
      <c r="EZL49" s="344"/>
      <c r="EZM49" s="344"/>
      <c r="EZN49" s="344"/>
      <c r="EZO49" s="344"/>
      <c r="EZP49" s="344"/>
      <c r="EZQ49" s="344"/>
      <c r="EZR49" s="344"/>
      <c r="EZS49" s="344"/>
      <c r="EZT49" s="344"/>
      <c r="EZU49" s="344"/>
      <c r="EZV49" s="344"/>
      <c r="EZW49" s="344"/>
      <c r="EZX49" s="344"/>
      <c r="EZY49" s="344"/>
      <c r="EZZ49" s="344"/>
      <c r="FAA49" s="344"/>
      <c r="FAB49" s="344"/>
      <c r="FAC49" s="344"/>
      <c r="FAD49" s="344"/>
      <c r="FAE49" s="344"/>
      <c r="FAF49" s="344"/>
      <c r="FAG49" s="344"/>
      <c r="FAH49" s="344"/>
      <c r="FAI49" s="344"/>
      <c r="FAJ49" s="344"/>
      <c r="FAK49" s="344"/>
      <c r="FAL49" s="344"/>
      <c r="FAM49" s="344"/>
      <c r="FAN49" s="344"/>
      <c r="FAO49" s="344"/>
      <c r="FAP49" s="344"/>
      <c r="FAQ49" s="344"/>
      <c r="FAR49" s="344"/>
      <c r="FAS49" s="344"/>
      <c r="FAT49" s="344"/>
      <c r="FAU49" s="344"/>
      <c r="FAV49" s="344"/>
      <c r="FAW49" s="344"/>
      <c r="FAX49" s="344"/>
      <c r="FAY49" s="344"/>
      <c r="FAZ49" s="344"/>
      <c r="FBA49" s="344"/>
      <c r="FBB49" s="344"/>
      <c r="FBC49" s="344"/>
      <c r="FBD49" s="344"/>
      <c r="FBE49" s="344"/>
      <c r="FBF49" s="344"/>
      <c r="FBG49" s="344"/>
      <c r="FBH49" s="344"/>
      <c r="FBI49" s="344"/>
      <c r="FBJ49" s="344"/>
      <c r="FBK49" s="344"/>
      <c r="FBL49" s="344"/>
      <c r="FBM49" s="344"/>
      <c r="FBN49" s="344"/>
      <c r="FBO49" s="344"/>
      <c r="FBP49" s="344"/>
      <c r="FBQ49" s="344"/>
      <c r="FBR49" s="344"/>
      <c r="FBS49" s="344"/>
      <c r="FBT49" s="344"/>
      <c r="FBU49" s="344"/>
      <c r="FBV49" s="344"/>
      <c r="FBW49" s="344"/>
      <c r="FBX49" s="344"/>
      <c r="FBY49" s="344"/>
      <c r="FBZ49" s="344"/>
      <c r="FCA49" s="344"/>
      <c r="FCB49" s="344"/>
      <c r="FCC49" s="344"/>
      <c r="FCD49" s="344"/>
      <c r="FCE49" s="344"/>
      <c r="FCF49" s="344"/>
      <c r="FCG49" s="344"/>
      <c r="FCH49" s="344"/>
      <c r="FCI49" s="344"/>
      <c r="FCJ49" s="344"/>
      <c r="FCK49" s="344"/>
      <c r="FCL49" s="344"/>
      <c r="FCM49" s="344"/>
      <c r="FCN49" s="344"/>
      <c r="FCO49" s="344"/>
      <c r="FCP49" s="344"/>
      <c r="FCQ49" s="344"/>
      <c r="FCR49" s="344"/>
      <c r="FCS49" s="344"/>
      <c r="FCT49" s="344"/>
      <c r="FCU49" s="344"/>
      <c r="FCV49" s="344"/>
      <c r="FCW49" s="344"/>
      <c r="FCX49" s="344"/>
      <c r="FCY49" s="344"/>
      <c r="FCZ49" s="344"/>
      <c r="FDA49" s="344"/>
      <c r="FDB49" s="344"/>
      <c r="FDC49" s="344"/>
      <c r="FDD49" s="344"/>
      <c r="FDE49" s="344"/>
      <c r="FDF49" s="344"/>
      <c r="FDG49" s="344"/>
      <c r="FDH49" s="344"/>
      <c r="FDI49" s="344"/>
      <c r="FDJ49" s="344"/>
      <c r="FDK49" s="344"/>
      <c r="FDL49" s="344"/>
      <c r="FDM49" s="344"/>
      <c r="FDN49" s="344"/>
      <c r="FDO49" s="344"/>
      <c r="FDP49" s="344"/>
      <c r="FDQ49" s="344"/>
      <c r="FDR49" s="344"/>
      <c r="FDS49" s="344"/>
      <c r="FDT49" s="344"/>
      <c r="FDU49" s="344"/>
      <c r="FDV49" s="344"/>
      <c r="FDW49" s="344"/>
      <c r="FDX49" s="344"/>
      <c r="FDY49" s="344"/>
      <c r="FDZ49" s="344"/>
      <c r="FEA49" s="344"/>
      <c r="FEB49" s="344"/>
      <c r="FEC49" s="344"/>
      <c r="FED49" s="344"/>
      <c r="FEE49" s="344"/>
      <c r="FEF49" s="344"/>
      <c r="FEG49" s="344"/>
      <c r="FEH49" s="344"/>
      <c r="FEI49" s="344"/>
      <c r="FEJ49" s="344"/>
      <c r="FEK49" s="344"/>
      <c r="FEL49" s="344"/>
      <c r="FEM49" s="344"/>
      <c r="FEN49" s="344"/>
      <c r="FEO49" s="344"/>
      <c r="FEP49" s="344"/>
      <c r="FEQ49" s="344"/>
      <c r="FER49" s="344"/>
      <c r="FES49" s="344"/>
      <c r="FET49" s="344"/>
      <c r="FEU49" s="344"/>
      <c r="FEV49" s="344"/>
      <c r="FEW49" s="344"/>
      <c r="FEX49" s="344"/>
      <c r="FEY49" s="344"/>
      <c r="FEZ49" s="344"/>
      <c r="FFA49" s="344"/>
      <c r="FFB49" s="344"/>
      <c r="FFC49" s="344"/>
      <c r="FFD49" s="344"/>
      <c r="FFE49" s="344"/>
      <c r="FFF49" s="344"/>
      <c r="FFG49" s="344"/>
      <c r="FFH49" s="344"/>
      <c r="FFI49" s="344"/>
      <c r="FFJ49" s="344"/>
      <c r="FFK49" s="344"/>
      <c r="FFL49" s="344"/>
      <c r="FFM49" s="344"/>
      <c r="FFN49" s="344"/>
      <c r="FFO49" s="344"/>
      <c r="FFP49" s="344"/>
      <c r="FFQ49" s="344"/>
      <c r="FFR49" s="344"/>
      <c r="FFS49" s="344"/>
      <c r="FFT49" s="344"/>
      <c r="FFU49" s="344"/>
      <c r="FFV49" s="344"/>
      <c r="FFW49" s="344"/>
      <c r="FFX49" s="344"/>
      <c r="FFY49" s="344"/>
      <c r="FFZ49" s="344"/>
      <c r="FGA49" s="344"/>
      <c r="FGB49" s="344"/>
      <c r="FGC49" s="344"/>
      <c r="FGD49" s="344"/>
      <c r="FGE49" s="344"/>
      <c r="FGF49" s="344"/>
      <c r="FGG49" s="344"/>
      <c r="FGH49" s="344"/>
      <c r="FGI49" s="344"/>
      <c r="FGJ49" s="344"/>
      <c r="FGK49" s="344"/>
      <c r="FGL49" s="344"/>
      <c r="FGM49" s="344"/>
      <c r="FGN49" s="344"/>
      <c r="FGO49" s="344"/>
      <c r="FGP49" s="344"/>
      <c r="FGQ49" s="344"/>
      <c r="FGR49" s="344"/>
      <c r="FGS49" s="344"/>
      <c r="FGT49" s="344"/>
      <c r="FGU49" s="344"/>
      <c r="FGV49" s="344"/>
      <c r="FGW49" s="344"/>
      <c r="FGX49" s="344"/>
      <c r="FGY49" s="344"/>
      <c r="FGZ49" s="344"/>
      <c r="FHA49" s="344"/>
      <c r="FHB49" s="344"/>
      <c r="FHC49" s="344"/>
      <c r="FHD49" s="344"/>
      <c r="FHE49" s="344"/>
      <c r="FHF49" s="344"/>
      <c r="FHG49" s="344"/>
      <c r="FHH49" s="344"/>
      <c r="FHI49" s="344"/>
      <c r="FHJ49" s="344"/>
      <c r="FHK49" s="344"/>
      <c r="FHL49" s="344"/>
      <c r="FHM49" s="344"/>
      <c r="FHN49" s="344"/>
      <c r="FHO49" s="344"/>
      <c r="FHP49" s="344"/>
      <c r="FHQ49" s="344"/>
      <c r="FHR49" s="344"/>
      <c r="FHS49" s="344"/>
      <c r="FHT49" s="344"/>
      <c r="FHU49" s="344"/>
      <c r="FHV49" s="344"/>
      <c r="FHW49" s="344"/>
      <c r="FHX49" s="344"/>
      <c r="FHY49" s="344"/>
      <c r="FHZ49" s="344"/>
      <c r="FIA49" s="344"/>
      <c r="FIB49" s="344"/>
      <c r="FIC49" s="344"/>
      <c r="FID49" s="344"/>
      <c r="FIE49" s="344"/>
      <c r="FIF49" s="344"/>
      <c r="FIG49" s="344"/>
      <c r="FIH49" s="344"/>
      <c r="FII49" s="344"/>
      <c r="FIJ49" s="344"/>
      <c r="FIK49" s="344"/>
      <c r="FIL49" s="344"/>
      <c r="FIM49" s="344"/>
      <c r="FIN49" s="344"/>
      <c r="FIO49" s="344"/>
      <c r="FIP49" s="344"/>
      <c r="FIQ49" s="344"/>
      <c r="FIR49" s="344"/>
      <c r="FIS49" s="344"/>
      <c r="FIT49" s="344"/>
      <c r="FIU49" s="344"/>
      <c r="FIV49" s="344"/>
      <c r="FIW49" s="344"/>
      <c r="FIX49" s="344"/>
      <c r="FIY49" s="344"/>
      <c r="FIZ49" s="344"/>
      <c r="FJA49" s="344"/>
      <c r="FJB49" s="344"/>
      <c r="FJC49" s="344"/>
      <c r="FJD49" s="344"/>
      <c r="FJE49" s="344"/>
      <c r="FJF49" s="344"/>
      <c r="FJG49" s="344"/>
      <c r="FJH49" s="344"/>
      <c r="FJI49" s="344"/>
      <c r="FJJ49" s="344"/>
      <c r="FJK49" s="344"/>
      <c r="FJL49" s="344"/>
      <c r="FJM49" s="344"/>
      <c r="FJN49" s="344"/>
      <c r="FJO49" s="344"/>
      <c r="FJP49" s="344"/>
      <c r="FJQ49" s="344"/>
      <c r="FJR49" s="344"/>
      <c r="FJS49" s="344"/>
      <c r="FJT49" s="344"/>
      <c r="FJU49" s="344"/>
      <c r="FJV49" s="344"/>
      <c r="FJW49" s="344"/>
      <c r="FJX49" s="344"/>
      <c r="FJY49" s="344"/>
      <c r="FJZ49" s="344"/>
      <c r="FKA49" s="344"/>
      <c r="FKB49" s="344"/>
      <c r="FKC49" s="344"/>
      <c r="FKD49" s="344"/>
      <c r="FKE49" s="344"/>
      <c r="FKF49" s="344"/>
      <c r="FKG49" s="344"/>
      <c r="FKH49" s="344"/>
      <c r="FKI49" s="344"/>
      <c r="FKJ49" s="344"/>
      <c r="FKK49" s="344"/>
      <c r="FKL49" s="344"/>
      <c r="FKM49" s="344"/>
      <c r="FKN49" s="344"/>
      <c r="FKO49" s="344"/>
      <c r="FKP49" s="344"/>
      <c r="FKQ49" s="344"/>
      <c r="FKR49" s="344"/>
      <c r="FKS49" s="344"/>
      <c r="FKT49" s="344"/>
      <c r="FKU49" s="344"/>
      <c r="FKV49" s="344"/>
      <c r="FKW49" s="344"/>
      <c r="FKX49" s="344"/>
      <c r="FKY49" s="344"/>
      <c r="FKZ49" s="344"/>
      <c r="FLA49" s="344"/>
      <c r="FLB49" s="344"/>
      <c r="FLC49" s="344"/>
      <c r="FLD49" s="344"/>
      <c r="FLE49" s="344"/>
      <c r="FLF49" s="344"/>
      <c r="FLG49" s="344"/>
      <c r="FLH49" s="344"/>
      <c r="FLI49" s="344"/>
      <c r="FLJ49" s="344"/>
      <c r="FLK49" s="344"/>
      <c r="FLL49" s="344"/>
      <c r="FLM49" s="344"/>
      <c r="FLN49" s="344"/>
      <c r="FLO49" s="344"/>
      <c r="FLP49" s="344"/>
      <c r="FLQ49" s="344"/>
      <c r="FLR49" s="344"/>
      <c r="FLS49" s="344"/>
      <c r="FLT49" s="344"/>
      <c r="FLU49" s="344"/>
      <c r="FLV49" s="344"/>
      <c r="FLW49" s="344"/>
      <c r="FLX49" s="344"/>
      <c r="FLY49" s="344"/>
      <c r="FLZ49" s="344"/>
      <c r="FMA49" s="344"/>
      <c r="FMB49" s="344"/>
      <c r="FMC49" s="344"/>
      <c r="FMD49" s="344"/>
      <c r="FME49" s="344"/>
      <c r="FMF49" s="344"/>
      <c r="FMG49" s="344"/>
      <c r="FMH49" s="344"/>
      <c r="FMI49" s="344"/>
      <c r="FMJ49" s="344"/>
      <c r="FMK49" s="344"/>
      <c r="FML49" s="344"/>
      <c r="FMM49" s="344"/>
      <c r="FMN49" s="344"/>
      <c r="FMO49" s="344"/>
      <c r="FMP49" s="344"/>
      <c r="FMQ49" s="344"/>
      <c r="FMR49" s="344"/>
      <c r="FMS49" s="344"/>
      <c r="FMT49" s="344"/>
      <c r="FMU49" s="344"/>
      <c r="FMV49" s="344"/>
      <c r="FMW49" s="344"/>
      <c r="FMX49" s="344"/>
      <c r="FMY49" s="344"/>
      <c r="FMZ49" s="344"/>
      <c r="FNA49" s="344"/>
      <c r="FNB49" s="344"/>
      <c r="FNC49" s="344"/>
      <c r="FND49" s="344"/>
      <c r="FNE49" s="344"/>
      <c r="FNF49" s="344"/>
      <c r="FNG49" s="344"/>
      <c r="FNH49" s="344"/>
      <c r="FNI49" s="344"/>
      <c r="FNJ49" s="344"/>
      <c r="FNK49" s="344"/>
      <c r="FNL49" s="344"/>
      <c r="FNM49" s="344"/>
      <c r="FNN49" s="344"/>
      <c r="FNO49" s="344"/>
      <c r="FNP49" s="344"/>
      <c r="FNQ49" s="344"/>
      <c r="FNR49" s="344"/>
      <c r="FNS49" s="344"/>
      <c r="FNT49" s="344"/>
      <c r="FNU49" s="344"/>
      <c r="FNV49" s="344"/>
      <c r="FNW49" s="344"/>
      <c r="FNX49" s="344"/>
      <c r="FNY49" s="344"/>
      <c r="FNZ49" s="344"/>
      <c r="FOA49" s="344"/>
      <c r="FOB49" s="344"/>
      <c r="FOC49" s="344"/>
      <c r="FOD49" s="344"/>
      <c r="FOE49" s="344"/>
      <c r="FOF49" s="344"/>
      <c r="FOG49" s="344"/>
      <c r="FOH49" s="344"/>
      <c r="FOI49" s="344"/>
      <c r="FOJ49" s="344"/>
      <c r="FOK49" s="344"/>
      <c r="FOL49" s="344"/>
      <c r="FOM49" s="344"/>
      <c r="FON49" s="344"/>
      <c r="FOO49" s="344"/>
      <c r="FOP49" s="344"/>
      <c r="FOQ49" s="344"/>
      <c r="FOR49" s="344"/>
      <c r="FOS49" s="344"/>
      <c r="FOT49" s="344"/>
      <c r="FOU49" s="344"/>
      <c r="FOV49" s="344"/>
      <c r="FOW49" s="344"/>
      <c r="FOX49" s="344"/>
      <c r="FOY49" s="344"/>
      <c r="FOZ49" s="344"/>
      <c r="FPA49" s="344"/>
      <c r="FPB49" s="344"/>
      <c r="FPC49" s="344"/>
      <c r="FPD49" s="344"/>
      <c r="FPE49" s="344"/>
      <c r="FPF49" s="344"/>
      <c r="FPG49" s="344"/>
      <c r="FPH49" s="344"/>
      <c r="FPI49" s="344"/>
      <c r="FPJ49" s="344"/>
      <c r="FPK49" s="344"/>
      <c r="FPL49" s="344"/>
      <c r="FPM49" s="344"/>
      <c r="FPN49" s="344"/>
      <c r="FPO49" s="344"/>
      <c r="FPP49" s="344"/>
      <c r="FPQ49" s="344"/>
      <c r="FPR49" s="344"/>
      <c r="FPS49" s="344"/>
      <c r="FPT49" s="344"/>
      <c r="FPU49" s="344"/>
      <c r="FPV49" s="344"/>
      <c r="FPW49" s="344"/>
      <c r="FPX49" s="344"/>
      <c r="FPY49" s="344"/>
      <c r="FPZ49" s="344"/>
      <c r="FQA49" s="344"/>
      <c r="FQB49" s="344"/>
      <c r="FQC49" s="344"/>
      <c r="FQD49" s="344"/>
      <c r="FQE49" s="344"/>
      <c r="FQF49" s="344"/>
      <c r="FQG49" s="344"/>
      <c r="FQH49" s="344"/>
      <c r="FQI49" s="344"/>
      <c r="FQJ49" s="344"/>
      <c r="FQK49" s="344"/>
      <c r="FQL49" s="344"/>
      <c r="FQM49" s="344"/>
      <c r="FQN49" s="344"/>
      <c r="FQO49" s="344"/>
      <c r="FQP49" s="344"/>
      <c r="FQQ49" s="344"/>
      <c r="FQR49" s="344"/>
      <c r="FQS49" s="344"/>
      <c r="FQT49" s="344"/>
      <c r="FQU49" s="344"/>
      <c r="FQV49" s="344"/>
      <c r="FQW49" s="344"/>
      <c r="FQX49" s="344"/>
      <c r="FQY49" s="344"/>
      <c r="FQZ49" s="344"/>
      <c r="FRA49" s="344"/>
      <c r="FRB49" s="344"/>
      <c r="FRC49" s="344"/>
      <c r="FRD49" s="344"/>
      <c r="FRE49" s="344"/>
      <c r="FRF49" s="344"/>
      <c r="FRG49" s="344"/>
      <c r="FRH49" s="344"/>
      <c r="FRI49" s="344"/>
      <c r="FRJ49" s="344"/>
      <c r="FRK49" s="344"/>
      <c r="FRL49" s="344"/>
      <c r="FRM49" s="344"/>
      <c r="FRN49" s="344"/>
      <c r="FRO49" s="344"/>
      <c r="FRP49" s="344"/>
      <c r="FRQ49" s="344"/>
      <c r="FRR49" s="344"/>
      <c r="FRS49" s="344"/>
      <c r="FRT49" s="344"/>
      <c r="FRU49" s="344"/>
      <c r="FRV49" s="344"/>
      <c r="FRW49" s="344"/>
      <c r="FRX49" s="344"/>
      <c r="FRY49" s="344"/>
      <c r="FRZ49" s="344"/>
      <c r="FSA49" s="344"/>
      <c r="FSB49" s="344"/>
      <c r="FSC49" s="344"/>
      <c r="FSD49" s="344"/>
      <c r="FSE49" s="344"/>
      <c r="FSF49" s="344"/>
      <c r="FSG49" s="344"/>
      <c r="FSH49" s="344"/>
      <c r="FSI49" s="344"/>
      <c r="FSJ49" s="344"/>
      <c r="FSK49" s="344"/>
      <c r="FSL49" s="344"/>
      <c r="FSM49" s="344"/>
      <c r="FSN49" s="344"/>
      <c r="FSO49" s="344"/>
      <c r="FSP49" s="344"/>
      <c r="FSQ49" s="344"/>
      <c r="FSR49" s="344"/>
      <c r="FSS49" s="344"/>
      <c r="FST49" s="344"/>
      <c r="FSU49" s="344"/>
      <c r="FSV49" s="344"/>
      <c r="FSW49" s="344"/>
      <c r="FSX49" s="344"/>
      <c r="FSY49" s="344"/>
      <c r="FSZ49" s="344"/>
      <c r="FTA49" s="344"/>
      <c r="FTB49" s="344"/>
      <c r="FTC49" s="344"/>
      <c r="FTD49" s="344"/>
      <c r="FTE49" s="344"/>
      <c r="FTF49" s="344"/>
      <c r="FTG49" s="344"/>
      <c r="FTH49" s="344"/>
      <c r="FTI49" s="344"/>
      <c r="FTJ49" s="344"/>
      <c r="FTK49" s="344"/>
      <c r="FTL49" s="344"/>
      <c r="FTM49" s="344"/>
      <c r="FTN49" s="344"/>
      <c r="FTO49" s="344"/>
      <c r="FTP49" s="344"/>
      <c r="FTQ49" s="344"/>
      <c r="FTR49" s="344"/>
      <c r="FTS49" s="344"/>
      <c r="FTT49" s="344"/>
      <c r="FTU49" s="344"/>
      <c r="FTV49" s="344"/>
      <c r="FTW49" s="344"/>
      <c r="FTX49" s="344"/>
      <c r="FTY49" s="344"/>
      <c r="FTZ49" s="344"/>
      <c r="FUA49" s="344"/>
      <c r="FUB49" s="344"/>
      <c r="FUC49" s="344"/>
      <c r="FUD49" s="344"/>
      <c r="FUE49" s="344"/>
      <c r="FUF49" s="344"/>
      <c r="FUG49" s="344"/>
      <c r="FUH49" s="344"/>
      <c r="FUI49" s="344"/>
      <c r="FUJ49" s="344"/>
      <c r="FUK49" s="344"/>
      <c r="FUL49" s="344"/>
      <c r="FUM49" s="344"/>
      <c r="FUN49" s="344"/>
      <c r="FUO49" s="344"/>
      <c r="FUP49" s="344"/>
      <c r="FUQ49" s="344"/>
      <c r="FUR49" s="344"/>
      <c r="FUS49" s="344"/>
      <c r="FUT49" s="344"/>
      <c r="FUU49" s="344"/>
      <c r="FUV49" s="344"/>
      <c r="FUW49" s="344"/>
      <c r="FUX49" s="344"/>
      <c r="FUY49" s="344"/>
      <c r="FUZ49" s="344"/>
      <c r="FVA49" s="344"/>
      <c r="FVB49" s="344"/>
      <c r="FVC49" s="344"/>
      <c r="FVD49" s="344"/>
      <c r="FVE49" s="344"/>
      <c r="FVF49" s="344"/>
      <c r="FVG49" s="344"/>
      <c r="FVH49" s="344"/>
      <c r="FVI49" s="344"/>
      <c r="FVJ49" s="344"/>
      <c r="FVK49" s="344"/>
      <c r="FVL49" s="344"/>
      <c r="FVM49" s="344"/>
      <c r="FVN49" s="344"/>
      <c r="FVO49" s="344"/>
      <c r="FVP49" s="344"/>
      <c r="FVQ49" s="344"/>
      <c r="FVR49" s="344"/>
      <c r="FVS49" s="344"/>
      <c r="FVT49" s="344"/>
      <c r="FVU49" s="344"/>
      <c r="FVV49" s="344"/>
      <c r="FVW49" s="344"/>
      <c r="FVX49" s="344"/>
      <c r="FVY49" s="344"/>
      <c r="FVZ49" s="344"/>
      <c r="FWA49" s="344"/>
      <c r="FWB49" s="344"/>
      <c r="FWC49" s="344"/>
      <c r="FWD49" s="344"/>
      <c r="FWE49" s="344"/>
      <c r="FWF49" s="344"/>
      <c r="FWG49" s="344"/>
      <c r="FWH49" s="344"/>
      <c r="FWI49" s="344"/>
      <c r="FWJ49" s="344"/>
      <c r="FWK49" s="344"/>
      <c r="FWL49" s="344"/>
      <c r="FWM49" s="344"/>
      <c r="FWN49" s="344"/>
      <c r="FWO49" s="344"/>
      <c r="FWP49" s="344"/>
      <c r="FWQ49" s="344"/>
      <c r="FWR49" s="344"/>
      <c r="FWS49" s="344"/>
      <c r="FWT49" s="344"/>
      <c r="FWU49" s="344"/>
      <c r="FWV49" s="344"/>
      <c r="FWW49" s="344"/>
      <c r="FWX49" s="344"/>
      <c r="FWY49" s="344"/>
      <c r="FWZ49" s="344"/>
      <c r="FXA49" s="344"/>
      <c r="FXB49" s="344"/>
      <c r="FXC49" s="344"/>
      <c r="FXD49" s="344"/>
      <c r="FXE49" s="344"/>
      <c r="FXF49" s="344"/>
      <c r="FXG49" s="344"/>
      <c r="FXH49" s="344"/>
      <c r="FXI49" s="344"/>
      <c r="FXJ49" s="344"/>
      <c r="FXK49" s="344"/>
      <c r="FXL49" s="344"/>
      <c r="FXM49" s="344"/>
      <c r="FXN49" s="344"/>
      <c r="FXO49" s="344"/>
      <c r="FXP49" s="344"/>
      <c r="FXQ49" s="344"/>
      <c r="FXR49" s="344"/>
      <c r="FXS49" s="344"/>
      <c r="FXT49" s="344"/>
      <c r="FXU49" s="344"/>
      <c r="FXV49" s="344"/>
      <c r="FXW49" s="344"/>
      <c r="FXX49" s="344"/>
      <c r="FXY49" s="344"/>
      <c r="FXZ49" s="344"/>
      <c r="FYA49" s="344"/>
      <c r="FYB49" s="344"/>
      <c r="FYC49" s="344"/>
      <c r="FYD49" s="344"/>
      <c r="FYE49" s="344"/>
      <c r="FYF49" s="344"/>
      <c r="FYG49" s="344"/>
      <c r="FYH49" s="344"/>
      <c r="FYI49" s="344"/>
      <c r="FYJ49" s="344"/>
      <c r="FYK49" s="344"/>
      <c r="FYL49" s="344"/>
      <c r="FYM49" s="344"/>
      <c r="FYN49" s="344"/>
      <c r="FYO49" s="344"/>
      <c r="FYP49" s="344"/>
      <c r="FYQ49" s="344"/>
      <c r="FYR49" s="344"/>
      <c r="FYS49" s="344"/>
      <c r="FYT49" s="344"/>
      <c r="FYU49" s="344"/>
      <c r="FYV49" s="344"/>
      <c r="FYW49" s="344"/>
      <c r="FYX49" s="344"/>
      <c r="FYY49" s="344"/>
      <c r="FYZ49" s="344"/>
      <c r="FZA49" s="344"/>
      <c r="FZB49" s="344"/>
      <c r="FZC49" s="344"/>
      <c r="FZD49" s="344"/>
      <c r="FZE49" s="344"/>
      <c r="FZF49" s="344"/>
      <c r="FZG49" s="344"/>
      <c r="FZH49" s="344"/>
      <c r="FZI49" s="344"/>
      <c r="FZJ49" s="344"/>
      <c r="FZK49" s="344"/>
      <c r="FZL49" s="344"/>
      <c r="FZM49" s="344"/>
      <c r="FZN49" s="344"/>
      <c r="FZO49" s="344"/>
      <c r="FZP49" s="344"/>
      <c r="FZQ49" s="344"/>
      <c r="FZR49" s="344"/>
      <c r="FZS49" s="344"/>
      <c r="FZT49" s="344"/>
      <c r="FZU49" s="344"/>
      <c r="FZV49" s="344"/>
      <c r="FZW49" s="344"/>
      <c r="FZX49" s="344"/>
      <c r="FZY49" s="344"/>
      <c r="FZZ49" s="344"/>
      <c r="GAA49" s="344"/>
      <c r="GAB49" s="344"/>
      <c r="GAC49" s="344"/>
      <c r="GAD49" s="344"/>
      <c r="GAE49" s="344"/>
      <c r="GAF49" s="344"/>
      <c r="GAG49" s="344"/>
      <c r="GAH49" s="344"/>
      <c r="GAI49" s="344"/>
      <c r="GAJ49" s="344"/>
      <c r="GAK49" s="344"/>
      <c r="GAL49" s="344"/>
      <c r="GAM49" s="344"/>
      <c r="GAN49" s="344"/>
      <c r="GAO49" s="344"/>
      <c r="GAP49" s="344"/>
      <c r="GAQ49" s="344"/>
      <c r="GAR49" s="344"/>
      <c r="GAS49" s="344"/>
      <c r="GAT49" s="344"/>
      <c r="GAU49" s="344"/>
      <c r="GAV49" s="344"/>
      <c r="GAW49" s="344"/>
      <c r="GAX49" s="344"/>
      <c r="GAY49" s="344"/>
      <c r="GAZ49" s="344"/>
      <c r="GBA49" s="344"/>
      <c r="GBB49" s="344"/>
      <c r="GBC49" s="344"/>
      <c r="GBD49" s="344"/>
      <c r="GBE49" s="344"/>
      <c r="GBF49" s="344"/>
      <c r="GBG49" s="344"/>
      <c r="GBH49" s="344"/>
      <c r="GBI49" s="344"/>
      <c r="GBJ49" s="344"/>
      <c r="GBK49" s="344"/>
      <c r="GBL49" s="344"/>
      <c r="GBM49" s="344"/>
      <c r="GBN49" s="344"/>
      <c r="GBO49" s="344"/>
      <c r="GBP49" s="344"/>
      <c r="GBQ49" s="344"/>
      <c r="GBR49" s="344"/>
      <c r="GBS49" s="344"/>
      <c r="GBT49" s="344"/>
      <c r="GBU49" s="344"/>
      <c r="GBV49" s="344"/>
      <c r="GBW49" s="344"/>
      <c r="GBX49" s="344"/>
      <c r="GBY49" s="344"/>
      <c r="GBZ49" s="344"/>
      <c r="GCA49" s="344"/>
      <c r="GCB49" s="344"/>
      <c r="GCC49" s="344"/>
      <c r="GCD49" s="344"/>
      <c r="GCE49" s="344"/>
      <c r="GCF49" s="344"/>
      <c r="GCG49" s="344"/>
      <c r="GCH49" s="344"/>
      <c r="GCI49" s="344"/>
      <c r="GCJ49" s="344"/>
      <c r="GCK49" s="344"/>
      <c r="GCL49" s="344"/>
      <c r="GCM49" s="344"/>
      <c r="GCN49" s="344"/>
      <c r="GCO49" s="344"/>
      <c r="GCP49" s="344"/>
      <c r="GCQ49" s="344"/>
      <c r="GCR49" s="344"/>
      <c r="GCS49" s="344"/>
      <c r="GCT49" s="344"/>
      <c r="GCU49" s="344"/>
      <c r="GCV49" s="344"/>
      <c r="GCW49" s="344"/>
      <c r="GCX49" s="344"/>
      <c r="GCY49" s="344"/>
      <c r="GCZ49" s="344"/>
      <c r="GDA49" s="344"/>
      <c r="GDB49" s="344"/>
      <c r="GDC49" s="344"/>
      <c r="GDD49" s="344"/>
      <c r="GDE49" s="344"/>
      <c r="GDF49" s="344"/>
      <c r="GDG49" s="344"/>
      <c r="GDH49" s="344"/>
      <c r="GDI49" s="344"/>
      <c r="GDJ49" s="344"/>
      <c r="GDK49" s="344"/>
      <c r="GDL49" s="344"/>
      <c r="GDM49" s="344"/>
      <c r="GDN49" s="344"/>
      <c r="GDO49" s="344"/>
      <c r="GDP49" s="344"/>
      <c r="GDQ49" s="344"/>
      <c r="GDR49" s="344"/>
      <c r="GDS49" s="344"/>
      <c r="GDT49" s="344"/>
      <c r="GDU49" s="344"/>
      <c r="GDV49" s="344"/>
      <c r="GDW49" s="344"/>
      <c r="GDX49" s="344"/>
      <c r="GDY49" s="344"/>
      <c r="GDZ49" s="344"/>
      <c r="GEA49" s="344"/>
      <c r="GEB49" s="344"/>
      <c r="GEC49" s="344"/>
      <c r="GED49" s="344"/>
      <c r="GEE49" s="344"/>
      <c r="GEF49" s="344"/>
      <c r="GEG49" s="344"/>
      <c r="GEH49" s="344"/>
      <c r="GEI49" s="344"/>
      <c r="GEJ49" s="344"/>
      <c r="GEK49" s="344"/>
      <c r="GEL49" s="344"/>
      <c r="GEM49" s="344"/>
      <c r="GEN49" s="344"/>
      <c r="GEO49" s="344"/>
      <c r="GEP49" s="344"/>
      <c r="GEQ49" s="344"/>
      <c r="GER49" s="344"/>
      <c r="GES49" s="344"/>
      <c r="GET49" s="344"/>
      <c r="GEU49" s="344"/>
      <c r="GEV49" s="344"/>
      <c r="GEW49" s="344"/>
      <c r="GEX49" s="344"/>
      <c r="GEY49" s="344"/>
      <c r="GEZ49" s="344"/>
      <c r="GFA49" s="344"/>
      <c r="GFB49" s="344"/>
      <c r="GFC49" s="344"/>
      <c r="GFD49" s="344"/>
      <c r="GFE49" s="344"/>
      <c r="GFF49" s="344"/>
      <c r="GFG49" s="344"/>
      <c r="GFH49" s="344"/>
      <c r="GFI49" s="344"/>
      <c r="GFJ49" s="344"/>
      <c r="GFK49" s="344"/>
      <c r="GFL49" s="344"/>
      <c r="GFM49" s="344"/>
      <c r="GFN49" s="344"/>
      <c r="GFO49" s="344"/>
      <c r="GFP49" s="344"/>
      <c r="GFQ49" s="344"/>
      <c r="GFR49" s="344"/>
      <c r="GFS49" s="344"/>
      <c r="GFT49" s="344"/>
      <c r="GFU49" s="344"/>
      <c r="GFV49" s="344"/>
      <c r="GFW49" s="344"/>
      <c r="GFX49" s="344"/>
      <c r="GFY49" s="344"/>
      <c r="GFZ49" s="344"/>
      <c r="GGA49" s="344"/>
      <c r="GGB49" s="344"/>
      <c r="GGC49" s="344"/>
      <c r="GGD49" s="344"/>
      <c r="GGE49" s="344"/>
      <c r="GGF49" s="344"/>
      <c r="GGG49" s="344"/>
      <c r="GGH49" s="344"/>
      <c r="GGI49" s="344"/>
      <c r="GGJ49" s="344"/>
      <c r="GGK49" s="344"/>
      <c r="GGL49" s="344"/>
      <c r="GGM49" s="344"/>
      <c r="GGN49" s="344"/>
      <c r="GGO49" s="344"/>
      <c r="GGP49" s="344"/>
      <c r="GGQ49" s="344"/>
      <c r="GGR49" s="344"/>
      <c r="GGS49" s="344"/>
      <c r="GGT49" s="344"/>
      <c r="GGU49" s="344"/>
      <c r="GGV49" s="344"/>
      <c r="GGW49" s="344"/>
      <c r="GGX49" s="344"/>
      <c r="GGY49" s="344"/>
      <c r="GGZ49" s="344"/>
      <c r="GHA49" s="344"/>
      <c r="GHB49" s="344"/>
      <c r="GHC49" s="344"/>
      <c r="GHD49" s="344"/>
      <c r="GHE49" s="344"/>
      <c r="GHF49" s="344"/>
      <c r="GHG49" s="344"/>
      <c r="GHH49" s="344"/>
      <c r="GHI49" s="344"/>
      <c r="GHJ49" s="344"/>
      <c r="GHK49" s="344"/>
      <c r="GHL49" s="344"/>
      <c r="GHM49" s="344"/>
      <c r="GHN49" s="344"/>
      <c r="GHO49" s="344"/>
      <c r="GHP49" s="344"/>
      <c r="GHQ49" s="344"/>
      <c r="GHR49" s="344"/>
      <c r="GHS49" s="344"/>
      <c r="GHT49" s="344"/>
      <c r="GHU49" s="344"/>
      <c r="GHV49" s="344"/>
      <c r="GHW49" s="344"/>
      <c r="GHX49" s="344"/>
      <c r="GHY49" s="344"/>
      <c r="GHZ49" s="344"/>
      <c r="GIA49" s="344"/>
      <c r="GIB49" s="344"/>
      <c r="GIC49" s="344"/>
      <c r="GID49" s="344"/>
      <c r="GIE49" s="344"/>
      <c r="GIF49" s="344"/>
      <c r="GIG49" s="344"/>
      <c r="GIH49" s="344"/>
      <c r="GII49" s="344"/>
      <c r="GIJ49" s="344"/>
      <c r="GIK49" s="344"/>
      <c r="GIL49" s="344"/>
      <c r="GIM49" s="344"/>
      <c r="GIN49" s="344"/>
      <c r="GIO49" s="344"/>
      <c r="GIP49" s="344"/>
      <c r="GIQ49" s="344"/>
      <c r="GIR49" s="344"/>
      <c r="GIS49" s="344"/>
      <c r="GIT49" s="344"/>
      <c r="GIU49" s="344"/>
      <c r="GIV49" s="344"/>
      <c r="GIW49" s="344"/>
      <c r="GIX49" s="344"/>
      <c r="GIY49" s="344"/>
      <c r="GIZ49" s="344"/>
      <c r="GJA49" s="344"/>
      <c r="GJB49" s="344"/>
      <c r="GJC49" s="344"/>
      <c r="GJD49" s="344"/>
      <c r="GJE49" s="344"/>
      <c r="GJF49" s="344"/>
      <c r="GJG49" s="344"/>
      <c r="GJH49" s="344"/>
      <c r="GJI49" s="344"/>
      <c r="GJJ49" s="344"/>
      <c r="GJK49" s="344"/>
      <c r="GJL49" s="344"/>
      <c r="GJM49" s="344"/>
      <c r="GJN49" s="344"/>
      <c r="GJO49" s="344"/>
      <c r="GJP49" s="344"/>
      <c r="GJQ49" s="344"/>
      <c r="GJR49" s="344"/>
      <c r="GJS49" s="344"/>
      <c r="GJT49" s="344"/>
      <c r="GJU49" s="344"/>
      <c r="GJV49" s="344"/>
      <c r="GJW49" s="344"/>
      <c r="GJX49" s="344"/>
      <c r="GJY49" s="344"/>
      <c r="GJZ49" s="344"/>
      <c r="GKA49" s="344"/>
      <c r="GKB49" s="344"/>
      <c r="GKC49" s="344"/>
      <c r="GKD49" s="344"/>
      <c r="GKE49" s="344"/>
      <c r="GKF49" s="344"/>
      <c r="GKG49" s="344"/>
      <c r="GKH49" s="344"/>
      <c r="GKI49" s="344"/>
      <c r="GKJ49" s="344"/>
      <c r="GKK49" s="344"/>
      <c r="GKL49" s="344"/>
      <c r="GKM49" s="344"/>
      <c r="GKN49" s="344"/>
      <c r="GKO49" s="344"/>
      <c r="GKP49" s="344"/>
      <c r="GKQ49" s="344"/>
      <c r="GKR49" s="344"/>
      <c r="GKS49" s="344"/>
      <c r="GKT49" s="344"/>
      <c r="GKU49" s="344"/>
      <c r="GKV49" s="344"/>
      <c r="GKW49" s="344"/>
      <c r="GKX49" s="344"/>
      <c r="GKY49" s="344"/>
      <c r="GKZ49" s="344"/>
      <c r="GLA49" s="344"/>
      <c r="GLB49" s="344"/>
      <c r="GLC49" s="344"/>
      <c r="GLD49" s="344"/>
      <c r="GLE49" s="344"/>
      <c r="GLF49" s="344"/>
      <c r="GLG49" s="344"/>
      <c r="GLH49" s="344"/>
      <c r="GLI49" s="344"/>
      <c r="GLJ49" s="344"/>
      <c r="GLK49" s="344"/>
      <c r="GLL49" s="344"/>
      <c r="GLM49" s="344"/>
      <c r="GLN49" s="344"/>
      <c r="GLO49" s="344"/>
      <c r="GLP49" s="344"/>
      <c r="GLQ49" s="344"/>
      <c r="GLR49" s="344"/>
      <c r="GLS49" s="344"/>
      <c r="GLT49" s="344"/>
      <c r="GLU49" s="344"/>
      <c r="GLV49" s="344"/>
      <c r="GLW49" s="344"/>
      <c r="GLX49" s="344"/>
      <c r="GLY49" s="344"/>
      <c r="GLZ49" s="344"/>
      <c r="GMA49" s="344"/>
      <c r="GMB49" s="344"/>
      <c r="GMC49" s="344"/>
      <c r="GMD49" s="344"/>
      <c r="GME49" s="344"/>
      <c r="GMF49" s="344"/>
      <c r="GMG49" s="344"/>
      <c r="GMH49" s="344"/>
      <c r="GMI49" s="344"/>
      <c r="GMJ49" s="344"/>
      <c r="GMK49" s="344"/>
      <c r="GML49" s="344"/>
      <c r="GMM49" s="344"/>
      <c r="GMN49" s="344"/>
      <c r="GMO49" s="344"/>
      <c r="GMP49" s="344"/>
      <c r="GMQ49" s="344"/>
      <c r="GMR49" s="344"/>
      <c r="GMS49" s="344"/>
      <c r="GMT49" s="344"/>
      <c r="GMU49" s="344"/>
      <c r="GMV49" s="344"/>
      <c r="GMW49" s="344"/>
      <c r="GMX49" s="344"/>
      <c r="GMY49" s="344"/>
      <c r="GMZ49" s="344"/>
      <c r="GNA49" s="344"/>
      <c r="GNB49" s="344"/>
      <c r="GNC49" s="344"/>
      <c r="GND49" s="344"/>
      <c r="GNE49" s="344"/>
      <c r="GNF49" s="344"/>
      <c r="GNG49" s="344"/>
      <c r="GNH49" s="344"/>
      <c r="GNI49" s="344"/>
      <c r="GNJ49" s="344"/>
      <c r="GNK49" s="344"/>
      <c r="GNL49" s="344"/>
      <c r="GNM49" s="344"/>
      <c r="GNN49" s="344"/>
      <c r="GNO49" s="344"/>
      <c r="GNP49" s="344"/>
      <c r="GNQ49" s="344"/>
      <c r="GNR49" s="344"/>
      <c r="GNS49" s="344"/>
      <c r="GNT49" s="344"/>
      <c r="GNU49" s="344"/>
      <c r="GNV49" s="344"/>
      <c r="GNW49" s="344"/>
      <c r="GNX49" s="344"/>
      <c r="GNY49" s="344"/>
      <c r="GNZ49" s="344"/>
      <c r="GOA49" s="344"/>
      <c r="GOB49" s="344"/>
      <c r="GOC49" s="344"/>
      <c r="GOD49" s="344"/>
      <c r="GOE49" s="344"/>
      <c r="GOF49" s="344"/>
      <c r="GOG49" s="344"/>
      <c r="GOH49" s="344"/>
      <c r="GOI49" s="344"/>
      <c r="GOJ49" s="344"/>
      <c r="GOK49" s="344"/>
      <c r="GOL49" s="344"/>
      <c r="GOM49" s="344"/>
      <c r="GON49" s="344"/>
      <c r="GOO49" s="344"/>
      <c r="GOP49" s="344"/>
      <c r="GOQ49" s="344"/>
      <c r="GOR49" s="344"/>
      <c r="GOS49" s="344"/>
      <c r="GOT49" s="344"/>
      <c r="GOU49" s="344"/>
      <c r="GOV49" s="344"/>
      <c r="GOW49" s="344"/>
      <c r="GOX49" s="344"/>
      <c r="GOY49" s="344"/>
      <c r="GOZ49" s="344"/>
      <c r="GPA49" s="344"/>
      <c r="GPB49" s="344"/>
      <c r="GPC49" s="344"/>
      <c r="GPD49" s="344"/>
      <c r="GPE49" s="344"/>
      <c r="GPF49" s="344"/>
      <c r="GPG49" s="344"/>
      <c r="GPH49" s="344"/>
      <c r="GPI49" s="344"/>
      <c r="GPJ49" s="344"/>
      <c r="GPK49" s="344"/>
      <c r="GPL49" s="344"/>
      <c r="GPM49" s="344"/>
      <c r="GPN49" s="344"/>
      <c r="GPO49" s="344"/>
      <c r="GPP49" s="344"/>
      <c r="GPQ49" s="344"/>
      <c r="GPR49" s="344"/>
      <c r="GPS49" s="344"/>
      <c r="GPT49" s="344"/>
      <c r="GPU49" s="344"/>
      <c r="GPV49" s="344"/>
      <c r="GPW49" s="344"/>
      <c r="GPX49" s="344"/>
      <c r="GPY49" s="344"/>
      <c r="GPZ49" s="344"/>
      <c r="GQA49" s="344"/>
      <c r="GQB49" s="344"/>
      <c r="GQC49" s="344"/>
      <c r="GQD49" s="344"/>
      <c r="GQE49" s="344"/>
      <c r="GQF49" s="344"/>
      <c r="GQG49" s="344"/>
      <c r="GQH49" s="344"/>
      <c r="GQI49" s="344"/>
      <c r="GQJ49" s="344"/>
      <c r="GQK49" s="344"/>
      <c r="GQL49" s="344"/>
      <c r="GQM49" s="344"/>
      <c r="GQN49" s="344"/>
      <c r="GQO49" s="344"/>
      <c r="GQP49" s="344"/>
      <c r="GQQ49" s="344"/>
      <c r="GQR49" s="344"/>
      <c r="GQS49" s="344"/>
      <c r="GQT49" s="344"/>
      <c r="GQU49" s="344"/>
      <c r="GQV49" s="344"/>
      <c r="GQW49" s="344"/>
      <c r="GQX49" s="344"/>
      <c r="GQY49" s="344"/>
      <c r="GQZ49" s="344"/>
      <c r="GRA49" s="344"/>
      <c r="GRB49" s="344"/>
      <c r="GRC49" s="344"/>
      <c r="GRD49" s="344"/>
      <c r="GRE49" s="344"/>
      <c r="GRF49" s="344"/>
      <c r="GRG49" s="344"/>
      <c r="GRH49" s="344"/>
      <c r="GRI49" s="344"/>
      <c r="GRJ49" s="344"/>
      <c r="GRK49" s="344"/>
      <c r="GRL49" s="344"/>
      <c r="GRM49" s="344"/>
      <c r="GRN49" s="344"/>
      <c r="GRO49" s="344"/>
      <c r="GRP49" s="344"/>
      <c r="GRQ49" s="344"/>
      <c r="GRR49" s="344"/>
      <c r="GRS49" s="344"/>
      <c r="GRT49" s="344"/>
      <c r="GRU49" s="344"/>
      <c r="GRV49" s="344"/>
      <c r="GRW49" s="344"/>
      <c r="GRX49" s="344"/>
      <c r="GRY49" s="344"/>
      <c r="GRZ49" s="344"/>
      <c r="GSA49" s="344"/>
      <c r="GSB49" s="344"/>
      <c r="GSC49" s="344"/>
      <c r="GSD49" s="344"/>
      <c r="GSE49" s="344"/>
      <c r="GSF49" s="344"/>
      <c r="GSG49" s="344"/>
      <c r="GSH49" s="344"/>
      <c r="GSI49" s="344"/>
      <c r="GSJ49" s="344"/>
      <c r="GSK49" s="344"/>
      <c r="GSL49" s="344"/>
      <c r="GSM49" s="344"/>
      <c r="GSN49" s="344"/>
      <c r="GSO49" s="344"/>
      <c r="GSP49" s="344"/>
      <c r="GSQ49" s="344"/>
      <c r="GSR49" s="344"/>
      <c r="GSS49" s="344"/>
      <c r="GST49" s="344"/>
      <c r="GSU49" s="344"/>
      <c r="GSV49" s="344"/>
      <c r="GSW49" s="344"/>
      <c r="GSX49" s="344"/>
      <c r="GSY49" s="344"/>
      <c r="GSZ49" s="344"/>
      <c r="GTA49" s="344"/>
      <c r="GTB49" s="344"/>
      <c r="GTC49" s="344"/>
      <c r="GTD49" s="344"/>
      <c r="GTE49" s="344"/>
      <c r="GTF49" s="344"/>
      <c r="GTG49" s="344"/>
      <c r="GTH49" s="344"/>
      <c r="GTI49" s="344"/>
      <c r="GTJ49" s="344"/>
      <c r="GTK49" s="344"/>
      <c r="GTL49" s="344"/>
      <c r="GTM49" s="344"/>
      <c r="GTN49" s="344"/>
      <c r="GTO49" s="344"/>
      <c r="GTP49" s="344"/>
      <c r="GTQ49" s="344"/>
      <c r="GTR49" s="344"/>
      <c r="GTS49" s="344"/>
      <c r="GTT49" s="344"/>
      <c r="GTU49" s="344"/>
      <c r="GTV49" s="344"/>
      <c r="GTW49" s="344"/>
      <c r="GTX49" s="344"/>
      <c r="GTY49" s="344"/>
      <c r="GTZ49" s="344"/>
      <c r="GUA49" s="344"/>
      <c r="GUB49" s="344"/>
      <c r="GUC49" s="344"/>
      <c r="GUD49" s="344"/>
      <c r="GUE49" s="344"/>
      <c r="GUF49" s="344"/>
      <c r="GUG49" s="344"/>
      <c r="GUH49" s="344"/>
      <c r="GUI49" s="344"/>
      <c r="GUJ49" s="344"/>
      <c r="GUK49" s="344"/>
      <c r="GUL49" s="344"/>
      <c r="GUM49" s="344"/>
      <c r="GUN49" s="344"/>
      <c r="GUO49" s="344"/>
      <c r="GUP49" s="344"/>
      <c r="GUQ49" s="344"/>
      <c r="GUR49" s="344"/>
      <c r="GUS49" s="344"/>
      <c r="GUT49" s="344"/>
      <c r="GUU49" s="344"/>
      <c r="GUV49" s="344"/>
      <c r="GUW49" s="344"/>
      <c r="GUX49" s="344"/>
      <c r="GUY49" s="344"/>
      <c r="GUZ49" s="344"/>
      <c r="GVA49" s="344"/>
      <c r="GVB49" s="344"/>
      <c r="GVC49" s="344"/>
      <c r="GVD49" s="344"/>
      <c r="GVE49" s="344"/>
      <c r="GVF49" s="344"/>
      <c r="GVG49" s="344"/>
      <c r="GVH49" s="344"/>
      <c r="GVI49" s="344"/>
      <c r="GVJ49" s="344"/>
      <c r="GVK49" s="344"/>
      <c r="GVL49" s="344"/>
      <c r="GVM49" s="344"/>
      <c r="GVN49" s="344"/>
      <c r="GVO49" s="344"/>
      <c r="GVP49" s="344"/>
      <c r="GVQ49" s="344"/>
      <c r="GVR49" s="344"/>
      <c r="GVS49" s="344"/>
      <c r="GVT49" s="344"/>
      <c r="GVU49" s="344"/>
      <c r="GVV49" s="344"/>
      <c r="GVW49" s="344"/>
      <c r="GVX49" s="344"/>
      <c r="GVY49" s="344"/>
      <c r="GVZ49" s="344"/>
      <c r="GWA49" s="344"/>
      <c r="GWB49" s="344"/>
      <c r="GWC49" s="344"/>
      <c r="GWD49" s="344"/>
      <c r="GWE49" s="344"/>
      <c r="GWF49" s="344"/>
      <c r="GWG49" s="344"/>
      <c r="GWH49" s="344"/>
      <c r="GWI49" s="344"/>
      <c r="GWJ49" s="344"/>
      <c r="GWK49" s="344"/>
      <c r="GWL49" s="344"/>
      <c r="GWM49" s="344"/>
      <c r="GWN49" s="344"/>
      <c r="GWO49" s="344"/>
      <c r="GWP49" s="344"/>
      <c r="GWQ49" s="344"/>
      <c r="GWR49" s="344"/>
      <c r="GWS49" s="344"/>
      <c r="GWT49" s="344"/>
      <c r="GWU49" s="344"/>
      <c r="GWV49" s="344"/>
      <c r="GWW49" s="344"/>
      <c r="GWX49" s="344"/>
      <c r="GWY49" s="344"/>
      <c r="GWZ49" s="344"/>
      <c r="GXA49" s="344"/>
      <c r="GXB49" s="344"/>
      <c r="GXC49" s="344"/>
      <c r="GXD49" s="344"/>
      <c r="GXE49" s="344"/>
      <c r="GXF49" s="344"/>
      <c r="GXG49" s="344"/>
      <c r="GXH49" s="344"/>
      <c r="GXI49" s="344"/>
      <c r="GXJ49" s="344"/>
      <c r="GXK49" s="344"/>
      <c r="GXL49" s="344"/>
      <c r="GXM49" s="344"/>
      <c r="GXN49" s="344"/>
      <c r="GXO49" s="344"/>
      <c r="GXP49" s="344"/>
      <c r="GXQ49" s="344"/>
      <c r="GXR49" s="344"/>
      <c r="GXS49" s="344"/>
      <c r="GXT49" s="344"/>
      <c r="GXU49" s="344"/>
      <c r="GXV49" s="344"/>
      <c r="GXW49" s="344"/>
      <c r="GXX49" s="344"/>
      <c r="GXY49" s="344"/>
      <c r="GXZ49" s="344"/>
      <c r="GYA49" s="344"/>
      <c r="GYB49" s="344"/>
      <c r="GYC49" s="344"/>
      <c r="GYD49" s="344"/>
      <c r="GYE49" s="344"/>
      <c r="GYF49" s="344"/>
      <c r="GYG49" s="344"/>
      <c r="GYH49" s="344"/>
      <c r="GYI49" s="344"/>
      <c r="GYJ49" s="344"/>
      <c r="GYK49" s="344"/>
      <c r="GYL49" s="344"/>
      <c r="GYM49" s="344"/>
      <c r="GYN49" s="344"/>
      <c r="GYO49" s="344"/>
      <c r="GYP49" s="344"/>
      <c r="GYQ49" s="344"/>
      <c r="GYR49" s="344"/>
      <c r="GYS49" s="344"/>
      <c r="GYT49" s="344"/>
      <c r="GYU49" s="344"/>
      <c r="GYV49" s="344"/>
      <c r="GYW49" s="344"/>
      <c r="GYX49" s="344"/>
      <c r="GYY49" s="344"/>
      <c r="GYZ49" s="344"/>
      <c r="GZA49" s="344"/>
      <c r="GZB49" s="344"/>
      <c r="GZC49" s="344"/>
      <c r="GZD49" s="344"/>
      <c r="GZE49" s="344"/>
      <c r="GZF49" s="344"/>
      <c r="GZG49" s="344"/>
      <c r="GZH49" s="344"/>
      <c r="GZI49" s="344"/>
      <c r="GZJ49" s="344"/>
      <c r="GZK49" s="344"/>
      <c r="GZL49" s="344"/>
      <c r="GZM49" s="344"/>
      <c r="GZN49" s="344"/>
      <c r="GZO49" s="344"/>
      <c r="GZP49" s="344"/>
      <c r="GZQ49" s="344"/>
      <c r="GZR49" s="344"/>
      <c r="GZS49" s="344"/>
      <c r="GZT49" s="344"/>
      <c r="GZU49" s="344"/>
      <c r="GZV49" s="344"/>
      <c r="GZW49" s="344"/>
      <c r="GZX49" s="344"/>
      <c r="GZY49" s="344"/>
      <c r="GZZ49" s="344"/>
      <c r="HAA49" s="344"/>
      <c r="HAB49" s="344"/>
      <c r="HAC49" s="344"/>
      <c r="HAD49" s="344"/>
      <c r="HAE49" s="344"/>
      <c r="HAF49" s="344"/>
      <c r="HAG49" s="344"/>
      <c r="HAH49" s="344"/>
      <c r="HAI49" s="344"/>
      <c r="HAJ49" s="344"/>
      <c r="HAK49" s="344"/>
      <c r="HAL49" s="344"/>
      <c r="HAM49" s="344"/>
      <c r="HAN49" s="344"/>
      <c r="HAO49" s="344"/>
      <c r="HAP49" s="344"/>
      <c r="HAQ49" s="344"/>
      <c r="HAR49" s="344"/>
      <c r="HAS49" s="344"/>
      <c r="HAT49" s="344"/>
      <c r="HAU49" s="344"/>
      <c r="HAV49" s="344"/>
      <c r="HAW49" s="344"/>
      <c r="HAX49" s="344"/>
      <c r="HAY49" s="344"/>
      <c r="HAZ49" s="344"/>
      <c r="HBA49" s="344"/>
      <c r="HBB49" s="344"/>
      <c r="HBC49" s="344"/>
      <c r="HBD49" s="344"/>
      <c r="HBE49" s="344"/>
      <c r="HBF49" s="344"/>
      <c r="HBG49" s="344"/>
      <c r="HBH49" s="344"/>
      <c r="HBI49" s="344"/>
      <c r="HBJ49" s="344"/>
      <c r="HBK49" s="344"/>
      <c r="HBL49" s="344"/>
      <c r="HBM49" s="344"/>
      <c r="HBN49" s="344"/>
      <c r="HBO49" s="344"/>
      <c r="HBP49" s="344"/>
      <c r="HBQ49" s="344"/>
      <c r="HBR49" s="344"/>
      <c r="HBS49" s="344"/>
      <c r="HBT49" s="344"/>
      <c r="HBU49" s="344"/>
      <c r="HBV49" s="344"/>
      <c r="HBW49" s="344"/>
      <c r="HBX49" s="344"/>
      <c r="HBY49" s="344"/>
      <c r="HBZ49" s="344"/>
      <c r="HCA49" s="344"/>
      <c r="HCB49" s="344"/>
      <c r="HCC49" s="344"/>
      <c r="HCD49" s="344"/>
      <c r="HCE49" s="344"/>
      <c r="HCF49" s="344"/>
      <c r="HCG49" s="344"/>
      <c r="HCH49" s="344"/>
      <c r="HCI49" s="344"/>
      <c r="HCJ49" s="344"/>
      <c r="HCK49" s="344"/>
      <c r="HCL49" s="344"/>
      <c r="HCM49" s="344"/>
      <c r="HCN49" s="344"/>
      <c r="HCO49" s="344"/>
      <c r="HCP49" s="344"/>
      <c r="HCQ49" s="344"/>
      <c r="HCR49" s="344"/>
      <c r="HCS49" s="344"/>
      <c r="HCT49" s="344"/>
      <c r="HCU49" s="344"/>
      <c r="HCV49" s="344"/>
      <c r="HCW49" s="344"/>
      <c r="HCX49" s="344"/>
      <c r="HCY49" s="344"/>
      <c r="HCZ49" s="344"/>
      <c r="HDA49" s="344"/>
      <c r="HDB49" s="344"/>
      <c r="HDC49" s="344"/>
      <c r="HDD49" s="344"/>
      <c r="HDE49" s="344"/>
      <c r="HDF49" s="344"/>
      <c r="HDG49" s="344"/>
      <c r="HDH49" s="344"/>
      <c r="HDI49" s="344"/>
      <c r="HDJ49" s="344"/>
      <c r="HDK49" s="344"/>
      <c r="HDL49" s="344"/>
      <c r="HDM49" s="344"/>
      <c r="HDN49" s="344"/>
      <c r="HDO49" s="344"/>
      <c r="HDP49" s="344"/>
      <c r="HDQ49" s="344"/>
      <c r="HDR49" s="344"/>
      <c r="HDS49" s="344"/>
      <c r="HDT49" s="344"/>
      <c r="HDU49" s="344"/>
      <c r="HDV49" s="344"/>
      <c r="HDW49" s="344"/>
      <c r="HDX49" s="344"/>
      <c r="HDY49" s="344"/>
      <c r="HDZ49" s="344"/>
      <c r="HEA49" s="344"/>
      <c r="HEB49" s="344"/>
      <c r="HEC49" s="344"/>
      <c r="HED49" s="344"/>
      <c r="HEE49" s="344"/>
      <c r="HEF49" s="344"/>
      <c r="HEG49" s="344"/>
      <c r="HEH49" s="344"/>
      <c r="HEI49" s="344"/>
      <c r="HEJ49" s="344"/>
      <c r="HEK49" s="344"/>
      <c r="HEL49" s="344"/>
      <c r="HEM49" s="344"/>
      <c r="HEN49" s="344"/>
      <c r="HEO49" s="344"/>
      <c r="HEP49" s="344"/>
      <c r="HEQ49" s="344"/>
      <c r="HER49" s="344"/>
      <c r="HES49" s="344"/>
      <c r="HET49" s="344"/>
      <c r="HEU49" s="344"/>
      <c r="HEV49" s="344"/>
      <c r="HEW49" s="344"/>
      <c r="HEX49" s="344"/>
      <c r="HEY49" s="344"/>
      <c r="HEZ49" s="344"/>
      <c r="HFA49" s="344"/>
      <c r="HFB49" s="344"/>
      <c r="HFC49" s="344"/>
      <c r="HFD49" s="344"/>
      <c r="HFE49" s="344"/>
      <c r="HFF49" s="344"/>
      <c r="HFG49" s="344"/>
      <c r="HFH49" s="344"/>
      <c r="HFI49" s="344"/>
      <c r="HFJ49" s="344"/>
      <c r="HFK49" s="344"/>
      <c r="HFL49" s="344"/>
      <c r="HFM49" s="344"/>
      <c r="HFN49" s="344"/>
      <c r="HFO49" s="344"/>
      <c r="HFP49" s="344"/>
      <c r="HFQ49" s="344"/>
      <c r="HFR49" s="344"/>
      <c r="HFS49" s="344"/>
      <c r="HFT49" s="344"/>
      <c r="HFU49" s="344"/>
      <c r="HFV49" s="344"/>
      <c r="HFW49" s="344"/>
      <c r="HFX49" s="344"/>
      <c r="HFY49" s="344"/>
      <c r="HFZ49" s="344"/>
      <c r="HGA49" s="344"/>
      <c r="HGB49" s="344"/>
      <c r="HGC49" s="344"/>
      <c r="HGD49" s="344"/>
      <c r="HGE49" s="344"/>
      <c r="HGF49" s="344"/>
      <c r="HGG49" s="344"/>
      <c r="HGH49" s="344"/>
      <c r="HGI49" s="344"/>
      <c r="HGJ49" s="344"/>
      <c r="HGK49" s="344"/>
      <c r="HGL49" s="344"/>
      <c r="HGM49" s="344"/>
      <c r="HGN49" s="344"/>
      <c r="HGO49" s="344"/>
      <c r="HGP49" s="344"/>
      <c r="HGQ49" s="344"/>
      <c r="HGR49" s="344"/>
      <c r="HGS49" s="344"/>
      <c r="HGT49" s="344"/>
      <c r="HGU49" s="344"/>
      <c r="HGV49" s="344"/>
      <c r="HGW49" s="344"/>
      <c r="HGX49" s="344"/>
      <c r="HGY49" s="344"/>
      <c r="HGZ49" s="344"/>
      <c r="HHA49" s="344"/>
      <c r="HHB49" s="344"/>
      <c r="HHC49" s="344"/>
      <c r="HHD49" s="344"/>
      <c r="HHE49" s="344"/>
      <c r="HHF49" s="344"/>
      <c r="HHG49" s="344"/>
      <c r="HHH49" s="344"/>
      <c r="HHI49" s="344"/>
      <c r="HHJ49" s="344"/>
      <c r="HHK49" s="344"/>
      <c r="HHL49" s="344"/>
      <c r="HHM49" s="344"/>
      <c r="HHN49" s="344"/>
      <c r="HHO49" s="344"/>
      <c r="HHP49" s="344"/>
      <c r="HHQ49" s="344"/>
      <c r="HHR49" s="344"/>
      <c r="HHS49" s="344"/>
      <c r="HHT49" s="344"/>
      <c r="HHU49" s="344"/>
      <c r="HHV49" s="344"/>
      <c r="HHW49" s="344"/>
      <c r="HHX49" s="344"/>
      <c r="HHY49" s="344"/>
      <c r="HHZ49" s="344"/>
      <c r="HIA49" s="344"/>
      <c r="HIB49" s="344"/>
      <c r="HIC49" s="344"/>
      <c r="HID49" s="344"/>
      <c r="HIE49" s="344"/>
      <c r="HIF49" s="344"/>
      <c r="HIG49" s="344"/>
      <c r="HIH49" s="344"/>
      <c r="HII49" s="344"/>
      <c r="HIJ49" s="344"/>
      <c r="HIK49" s="344"/>
      <c r="HIL49" s="344"/>
      <c r="HIM49" s="344"/>
      <c r="HIN49" s="344"/>
      <c r="HIO49" s="344"/>
      <c r="HIP49" s="344"/>
      <c r="HIQ49" s="344"/>
      <c r="HIR49" s="344"/>
      <c r="HIS49" s="344"/>
      <c r="HIT49" s="344"/>
      <c r="HIU49" s="344"/>
      <c r="HIV49" s="344"/>
      <c r="HIW49" s="344"/>
      <c r="HIX49" s="344"/>
      <c r="HIY49" s="344"/>
      <c r="HIZ49" s="344"/>
      <c r="HJA49" s="344"/>
      <c r="HJB49" s="344"/>
      <c r="HJC49" s="344"/>
      <c r="HJD49" s="344"/>
      <c r="HJE49" s="344"/>
      <c r="HJF49" s="344"/>
      <c r="HJG49" s="344"/>
      <c r="HJH49" s="344"/>
      <c r="HJI49" s="344"/>
      <c r="HJJ49" s="344"/>
      <c r="HJK49" s="344"/>
      <c r="HJL49" s="344"/>
      <c r="HJM49" s="344"/>
      <c r="HJN49" s="344"/>
      <c r="HJO49" s="344"/>
      <c r="HJP49" s="344"/>
      <c r="HJQ49" s="344"/>
      <c r="HJR49" s="344"/>
      <c r="HJS49" s="344"/>
      <c r="HJT49" s="344"/>
      <c r="HJU49" s="344"/>
      <c r="HJV49" s="344"/>
      <c r="HJW49" s="344"/>
      <c r="HJX49" s="344"/>
      <c r="HJY49" s="344"/>
      <c r="HJZ49" s="344"/>
      <c r="HKA49" s="344"/>
      <c r="HKB49" s="344"/>
      <c r="HKC49" s="344"/>
      <c r="HKD49" s="344"/>
      <c r="HKE49" s="344"/>
      <c r="HKF49" s="344"/>
      <c r="HKG49" s="344"/>
      <c r="HKH49" s="344"/>
      <c r="HKI49" s="344"/>
      <c r="HKJ49" s="344"/>
      <c r="HKK49" s="344"/>
      <c r="HKL49" s="344"/>
      <c r="HKM49" s="344"/>
      <c r="HKN49" s="344"/>
      <c r="HKO49" s="344"/>
      <c r="HKP49" s="344"/>
      <c r="HKQ49" s="344"/>
      <c r="HKR49" s="344"/>
      <c r="HKS49" s="344"/>
      <c r="HKT49" s="344"/>
      <c r="HKU49" s="344"/>
      <c r="HKV49" s="344"/>
      <c r="HKW49" s="344"/>
      <c r="HKX49" s="344"/>
      <c r="HKY49" s="344"/>
      <c r="HKZ49" s="344"/>
      <c r="HLA49" s="344"/>
      <c r="HLB49" s="344"/>
      <c r="HLC49" s="344"/>
      <c r="HLD49" s="344"/>
      <c r="HLE49" s="344"/>
      <c r="HLF49" s="344"/>
      <c r="HLG49" s="344"/>
      <c r="HLH49" s="344"/>
      <c r="HLI49" s="344"/>
      <c r="HLJ49" s="344"/>
      <c r="HLK49" s="344"/>
      <c r="HLL49" s="344"/>
      <c r="HLM49" s="344"/>
      <c r="HLN49" s="344"/>
      <c r="HLO49" s="344"/>
      <c r="HLP49" s="344"/>
      <c r="HLQ49" s="344"/>
      <c r="HLR49" s="344"/>
      <c r="HLS49" s="344"/>
      <c r="HLT49" s="344"/>
      <c r="HLU49" s="344"/>
      <c r="HLV49" s="344"/>
      <c r="HLW49" s="344"/>
      <c r="HLX49" s="344"/>
      <c r="HLY49" s="344"/>
      <c r="HLZ49" s="344"/>
      <c r="HMA49" s="344"/>
      <c r="HMB49" s="344"/>
      <c r="HMC49" s="344"/>
      <c r="HMD49" s="344"/>
      <c r="HME49" s="344"/>
      <c r="HMF49" s="344"/>
      <c r="HMG49" s="344"/>
      <c r="HMH49" s="344"/>
      <c r="HMI49" s="344"/>
      <c r="HMJ49" s="344"/>
      <c r="HMK49" s="344"/>
      <c r="HML49" s="344"/>
      <c r="HMM49" s="344"/>
      <c r="HMN49" s="344"/>
      <c r="HMO49" s="344"/>
      <c r="HMP49" s="344"/>
      <c r="HMQ49" s="344"/>
      <c r="HMR49" s="344"/>
      <c r="HMS49" s="344"/>
      <c r="HMT49" s="344"/>
      <c r="HMU49" s="344"/>
      <c r="HMV49" s="344"/>
      <c r="HMW49" s="344"/>
      <c r="HMX49" s="344"/>
      <c r="HMY49" s="344"/>
      <c r="HMZ49" s="344"/>
      <c r="HNA49" s="344"/>
      <c r="HNB49" s="344"/>
      <c r="HNC49" s="344"/>
      <c r="HND49" s="344"/>
      <c r="HNE49" s="344"/>
      <c r="HNF49" s="344"/>
      <c r="HNG49" s="344"/>
      <c r="HNH49" s="344"/>
      <c r="HNI49" s="344"/>
      <c r="HNJ49" s="344"/>
      <c r="HNK49" s="344"/>
      <c r="HNL49" s="344"/>
      <c r="HNM49" s="344"/>
      <c r="HNN49" s="344"/>
      <c r="HNO49" s="344"/>
      <c r="HNP49" s="344"/>
      <c r="HNQ49" s="344"/>
      <c r="HNR49" s="344"/>
      <c r="HNS49" s="344"/>
      <c r="HNT49" s="344"/>
      <c r="HNU49" s="344"/>
      <c r="HNV49" s="344"/>
      <c r="HNW49" s="344"/>
      <c r="HNX49" s="344"/>
      <c r="HNY49" s="344"/>
      <c r="HNZ49" s="344"/>
      <c r="HOA49" s="344"/>
      <c r="HOB49" s="344"/>
      <c r="HOC49" s="344"/>
      <c r="HOD49" s="344"/>
      <c r="HOE49" s="344"/>
      <c r="HOF49" s="344"/>
      <c r="HOG49" s="344"/>
      <c r="HOH49" s="344"/>
      <c r="HOI49" s="344"/>
      <c r="HOJ49" s="344"/>
      <c r="HOK49" s="344"/>
      <c r="HOL49" s="344"/>
      <c r="HOM49" s="344"/>
      <c r="HON49" s="344"/>
      <c r="HOO49" s="344"/>
      <c r="HOP49" s="344"/>
      <c r="HOQ49" s="344"/>
      <c r="HOR49" s="344"/>
      <c r="HOS49" s="344"/>
      <c r="HOT49" s="344"/>
      <c r="HOU49" s="344"/>
      <c r="HOV49" s="344"/>
      <c r="HOW49" s="344"/>
      <c r="HOX49" s="344"/>
      <c r="HOY49" s="344"/>
      <c r="HOZ49" s="344"/>
      <c r="HPA49" s="344"/>
      <c r="HPB49" s="344"/>
      <c r="HPC49" s="344"/>
      <c r="HPD49" s="344"/>
      <c r="HPE49" s="344"/>
      <c r="HPF49" s="344"/>
      <c r="HPG49" s="344"/>
      <c r="HPH49" s="344"/>
      <c r="HPI49" s="344"/>
      <c r="HPJ49" s="344"/>
      <c r="HPK49" s="344"/>
      <c r="HPL49" s="344"/>
      <c r="HPM49" s="344"/>
      <c r="HPN49" s="344"/>
      <c r="HPO49" s="344"/>
      <c r="HPP49" s="344"/>
      <c r="HPQ49" s="344"/>
      <c r="HPR49" s="344"/>
      <c r="HPS49" s="344"/>
      <c r="HPT49" s="344"/>
      <c r="HPU49" s="344"/>
      <c r="HPV49" s="344"/>
      <c r="HPW49" s="344"/>
      <c r="HPX49" s="344"/>
      <c r="HPY49" s="344"/>
      <c r="HPZ49" s="344"/>
      <c r="HQA49" s="344"/>
      <c r="HQB49" s="344"/>
      <c r="HQC49" s="344"/>
      <c r="HQD49" s="344"/>
      <c r="HQE49" s="344"/>
      <c r="HQF49" s="344"/>
      <c r="HQG49" s="344"/>
      <c r="HQH49" s="344"/>
      <c r="HQI49" s="344"/>
      <c r="HQJ49" s="344"/>
      <c r="HQK49" s="344"/>
      <c r="HQL49" s="344"/>
      <c r="HQM49" s="344"/>
      <c r="HQN49" s="344"/>
      <c r="HQO49" s="344"/>
      <c r="HQP49" s="344"/>
      <c r="HQQ49" s="344"/>
      <c r="HQR49" s="344"/>
      <c r="HQS49" s="344"/>
      <c r="HQT49" s="344"/>
      <c r="HQU49" s="344"/>
      <c r="HQV49" s="344"/>
      <c r="HQW49" s="344"/>
      <c r="HQX49" s="344"/>
      <c r="HQY49" s="344"/>
      <c r="HQZ49" s="344"/>
      <c r="HRA49" s="344"/>
      <c r="HRB49" s="344"/>
      <c r="HRC49" s="344"/>
      <c r="HRD49" s="344"/>
      <c r="HRE49" s="344"/>
      <c r="HRF49" s="344"/>
      <c r="HRG49" s="344"/>
      <c r="HRH49" s="344"/>
      <c r="HRI49" s="344"/>
      <c r="HRJ49" s="344"/>
      <c r="HRK49" s="344"/>
      <c r="HRL49" s="344"/>
      <c r="HRM49" s="344"/>
      <c r="HRN49" s="344"/>
      <c r="HRO49" s="344"/>
      <c r="HRP49" s="344"/>
      <c r="HRQ49" s="344"/>
      <c r="HRR49" s="344"/>
      <c r="HRS49" s="344"/>
      <c r="HRT49" s="344"/>
      <c r="HRU49" s="344"/>
      <c r="HRV49" s="344"/>
      <c r="HRW49" s="344"/>
      <c r="HRX49" s="344"/>
      <c r="HRY49" s="344"/>
      <c r="HRZ49" s="344"/>
      <c r="HSA49" s="344"/>
      <c r="HSB49" s="344"/>
      <c r="HSC49" s="344"/>
      <c r="HSD49" s="344"/>
      <c r="HSE49" s="344"/>
      <c r="HSF49" s="344"/>
      <c r="HSG49" s="344"/>
      <c r="HSH49" s="344"/>
      <c r="HSI49" s="344"/>
      <c r="HSJ49" s="344"/>
      <c r="HSK49" s="344"/>
      <c r="HSL49" s="344"/>
      <c r="HSM49" s="344"/>
      <c r="HSN49" s="344"/>
      <c r="HSO49" s="344"/>
      <c r="HSP49" s="344"/>
      <c r="HSQ49" s="344"/>
      <c r="HSR49" s="344"/>
      <c r="HSS49" s="344"/>
      <c r="HST49" s="344"/>
      <c r="HSU49" s="344"/>
      <c r="HSV49" s="344"/>
      <c r="HSW49" s="344"/>
      <c r="HSX49" s="344"/>
      <c r="HSY49" s="344"/>
      <c r="HSZ49" s="344"/>
      <c r="HTA49" s="344"/>
      <c r="HTB49" s="344"/>
      <c r="HTC49" s="344"/>
      <c r="HTD49" s="344"/>
      <c r="HTE49" s="344"/>
      <c r="HTF49" s="344"/>
      <c r="HTG49" s="344"/>
      <c r="HTH49" s="344"/>
      <c r="HTI49" s="344"/>
      <c r="HTJ49" s="344"/>
      <c r="HTK49" s="344"/>
      <c r="HTL49" s="344"/>
      <c r="HTM49" s="344"/>
      <c r="HTN49" s="344"/>
      <c r="HTO49" s="344"/>
      <c r="HTP49" s="344"/>
      <c r="HTQ49" s="344"/>
      <c r="HTR49" s="344"/>
      <c r="HTS49" s="344"/>
      <c r="HTT49" s="344"/>
      <c r="HTU49" s="344"/>
      <c r="HTV49" s="344"/>
      <c r="HTW49" s="344"/>
      <c r="HTX49" s="344"/>
      <c r="HTY49" s="344"/>
      <c r="HTZ49" s="344"/>
      <c r="HUA49" s="344"/>
      <c r="HUB49" s="344"/>
      <c r="HUC49" s="344"/>
      <c r="HUD49" s="344"/>
      <c r="HUE49" s="344"/>
      <c r="HUF49" s="344"/>
      <c r="HUG49" s="344"/>
      <c r="HUH49" s="344"/>
      <c r="HUI49" s="344"/>
      <c r="HUJ49" s="344"/>
      <c r="HUK49" s="344"/>
      <c r="HUL49" s="344"/>
      <c r="HUM49" s="344"/>
      <c r="HUN49" s="344"/>
      <c r="HUO49" s="344"/>
      <c r="HUP49" s="344"/>
      <c r="HUQ49" s="344"/>
      <c r="HUR49" s="344"/>
      <c r="HUS49" s="344"/>
      <c r="HUT49" s="344"/>
      <c r="HUU49" s="344"/>
      <c r="HUV49" s="344"/>
      <c r="HUW49" s="344"/>
      <c r="HUX49" s="344"/>
      <c r="HUY49" s="344"/>
      <c r="HUZ49" s="344"/>
      <c r="HVA49" s="344"/>
      <c r="HVB49" s="344"/>
      <c r="HVC49" s="344"/>
      <c r="HVD49" s="344"/>
      <c r="HVE49" s="344"/>
      <c r="HVF49" s="344"/>
      <c r="HVG49" s="344"/>
      <c r="HVH49" s="344"/>
      <c r="HVI49" s="344"/>
      <c r="HVJ49" s="344"/>
      <c r="HVK49" s="344"/>
      <c r="HVL49" s="344"/>
      <c r="HVM49" s="344"/>
      <c r="HVN49" s="344"/>
      <c r="HVO49" s="344"/>
      <c r="HVP49" s="344"/>
      <c r="HVQ49" s="344"/>
      <c r="HVR49" s="344"/>
      <c r="HVS49" s="344"/>
      <c r="HVT49" s="344"/>
      <c r="HVU49" s="344"/>
      <c r="HVV49" s="344"/>
      <c r="HVW49" s="344"/>
      <c r="HVX49" s="344"/>
      <c r="HVY49" s="344"/>
      <c r="HVZ49" s="344"/>
      <c r="HWA49" s="344"/>
      <c r="HWB49" s="344"/>
      <c r="HWC49" s="344"/>
      <c r="HWD49" s="344"/>
      <c r="HWE49" s="344"/>
      <c r="HWF49" s="344"/>
      <c r="HWG49" s="344"/>
      <c r="HWH49" s="344"/>
      <c r="HWI49" s="344"/>
      <c r="HWJ49" s="344"/>
      <c r="HWK49" s="344"/>
      <c r="HWL49" s="344"/>
      <c r="HWM49" s="344"/>
      <c r="HWN49" s="344"/>
      <c r="HWO49" s="344"/>
      <c r="HWP49" s="344"/>
      <c r="HWQ49" s="344"/>
      <c r="HWR49" s="344"/>
      <c r="HWS49" s="344"/>
      <c r="HWT49" s="344"/>
      <c r="HWU49" s="344"/>
      <c r="HWV49" s="344"/>
      <c r="HWW49" s="344"/>
      <c r="HWX49" s="344"/>
      <c r="HWY49" s="344"/>
      <c r="HWZ49" s="344"/>
      <c r="HXA49" s="344"/>
      <c r="HXB49" s="344"/>
      <c r="HXC49" s="344"/>
      <c r="HXD49" s="344"/>
      <c r="HXE49" s="344"/>
      <c r="HXF49" s="344"/>
      <c r="HXG49" s="344"/>
      <c r="HXH49" s="344"/>
      <c r="HXI49" s="344"/>
      <c r="HXJ49" s="344"/>
      <c r="HXK49" s="344"/>
      <c r="HXL49" s="344"/>
      <c r="HXM49" s="344"/>
      <c r="HXN49" s="344"/>
      <c r="HXO49" s="344"/>
      <c r="HXP49" s="344"/>
      <c r="HXQ49" s="344"/>
      <c r="HXR49" s="344"/>
      <c r="HXS49" s="344"/>
      <c r="HXT49" s="344"/>
      <c r="HXU49" s="344"/>
      <c r="HXV49" s="344"/>
      <c r="HXW49" s="344"/>
      <c r="HXX49" s="344"/>
      <c r="HXY49" s="344"/>
      <c r="HXZ49" s="344"/>
      <c r="HYA49" s="344"/>
      <c r="HYB49" s="344"/>
      <c r="HYC49" s="344"/>
      <c r="HYD49" s="344"/>
      <c r="HYE49" s="344"/>
      <c r="HYF49" s="344"/>
      <c r="HYG49" s="344"/>
      <c r="HYH49" s="344"/>
      <c r="HYI49" s="344"/>
      <c r="HYJ49" s="344"/>
      <c r="HYK49" s="344"/>
      <c r="HYL49" s="344"/>
      <c r="HYM49" s="344"/>
      <c r="HYN49" s="344"/>
      <c r="HYO49" s="344"/>
      <c r="HYP49" s="344"/>
      <c r="HYQ49" s="344"/>
      <c r="HYR49" s="344"/>
      <c r="HYS49" s="344"/>
      <c r="HYT49" s="344"/>
      <c r="HYU49" s="344"/>
      <c r="HYV49" s="344"/>
      <c r="HYW49" s="344"/>
      <c r="HYX49" s="344"/>
      <c r="HYY49" s="344"/>
      <c r="HYZ49" s="344"/>
      <c r="HZA49" s="344"/>
      <c r="HZB49" s="344"/>
      <c r="HZC49" s="344"/>
      <c r="HZD49" s="344"/>
      <c r="HZE49" s="344"/>
      <c r="HZF49" s="344"/>
      <c r="HZG49" s="344"/>
      <c r="HZH49" s="344"/>
      <c r="HZI49" s="344"/>
      <c r="HZJ49" s="344"/>
      <c r="HZK49" s="344"/>
      <c r="HZL49" s="344"/>
      <c r="HZM49" s="344"/>
      <c r="HZN49" s="344"/>
      <c r="HZO49" s="344"/>
      <c r="HZP49" s="344"/>
      <c r="HZQ49" s="344"/>
      <c r="HZR49" s="344"/>
      <c r="HZS49" s="344"/>
      <c r="HZT49" s="344"/>
      <c r="HZU49" s="344"/>
      <c r="HZV49" s="344"/>
      <c r="HZW49" s="344"/>
      <c r="HZX49" s="344"/>
      <c r="HZY49" s="344"/>
      <c r="HZZ49" s="344"/>
      <c r="IAA49" s="344"/>
      <c r="IAB49" s="344"/>
      <c r="IAC49" s="344"/>
      <c r="IAD49" s="344"/>
      <c r="IAE49" s="344"/>
      <c r="IAF49" s="344"/>
      <c r="IAG49" s="344"/>
      <c r="IAH49" s="344"/>
      <c r="IAI49" s="344"/>
      <c r="IAJ49" s="344"/>
      <c r="IAK49" s="344"/>
      <c r="IAL49" s="344"/>
      <c r="IAM49" s="344"/>
      <c r="IAN49" s="344"/>
      <c r="IAO49" s="344"/>
      <c r="IAP49" s="344"/>
      <c r="IAQ49" s="344"/>
      <c r="IAR49" s="344"/>
      <c r="IAS49" s="344"/>
      <c r="IAT49" s="344"/>
      <c r="IAU49" s="344"/>
      <c r="IAV49" s="344"/>
      <c r="IAW49" s="344"/>
      <c r="IAX49" s="344"/>
      <c r="IAY49" s="344"/>
      <c r="IAZ49" s="344"/>
      <c r="IBA49" s="344"/>
      <c r="IBB49" s="344"/>
      <c r="IBC49" s="344"/>
      <c r="IBD49" s="344"/>
      <c r="IBE49" s="344"/>
      <c r="IBF49" s="344"/>
      <c r="IBG49" s="344"/>
      <c r="IBH49" s="344"/>
      <c r="IBI49" s="344"/>
      <c r="IBJ49" s="344"/>
      <c r="IBK49" s="344"/>
      <c r="IBL49" s="344"/>
      <c r="IBM49" s="344"/>
      <c r="IBN49" s="344"/>
      <c r="IBO49" s="344"/>
      <c r="IBP49" s="344"/>
      <c r="IBQ49" s="344"/>
      <c r="IBR49" s="344"/>
      <c r="IBS49" s="344"/>
      <c r="IBT49" s="344"/>
      <c r="IBU49" s="344"/>
      <c r="IBV49" s="344"/>
      <c r="IBW49" s="344"/>
      <c r="IBX49" s="344"/>
      <c r="IBY49" s="344"/>
      <c r="IBZ49" s="344"/>
      <c r="ICA49" s="344"/>
      <c r="ICB49" s="344"/>
      <c r="ICC49" s="344"/>
      <c r="ICD49" s="344"/>
      <c r="ICE49" s="344"/>
      <c r="ICF49" s="344"/>
      <c r="ICG49" s="344"/>
      <c r="ICH49" s="344"/>
      <c r="ICI49" s="344"/>
      <c r="ICJ49" s="344"/>
      <c r="ICK49" s="344"/>
      <c r="ICL49" s="344"/>
      <c r="ICM49" s="344"/>
      <c r="ICN49" s="344"/>
      <c r="ICO49" s="344"/>
      <c r="ICP49" s="344"/>
      <c r="ICQ49" s="344"/>
      <c r="ICR49" s="344"/>
      <c r="ICS49" s="344"/>
      <c r="ICT49" s="344"/>
      <c r="ICU49" s="344"/>
      <c r="ICV49" s="344"/>
      <c r="ICW49" s="344"/>
      <c r="ICX49" s="344"/>
      <c r="ICY49" s="344"/>
      <c r="ICZ49" s="344"/>
      <c r="IDA49" s="344"/>
      <c r="IDB49" s="344"/>
      <c r="IDC49" s="344"/>
      <c r="IDD49" s="344"/>
      <c r="IDE49" s="344"/>
      <c r="IDF49" s="344"/>
      <c r="IDG49" s="344"/>
      <c r="IDH49" s="344"/>
      <c r="IDI49" s="344"/>
      <c r="IDJ49" s="344"/>
      <c r="IDK49" s="344"/>
      <c r="IDL49" s="344"/>
      <c r="IDM49" s="344"/>
      <c r="IDN49" s="344"/>
      <c r="IDO49" s="344"/>
      <c r="IDP49" s="344"/>
      <c r="IDQ49" s="344"/>
      <c r="IDR49" s="344"/>
      <c r="IDS49" s="344"/>
      <c r="IDT49" s="344"/>
      <c r="IDU49" s="344"/>
      <c r="IDV49" s="344"/>
      <c r="IDW49" s="344"/>
      <c r="IDX49" s="344"/>
      <c r="IDY49" s="344"/>
      <c r="IDZ49" s="344"/>
      <c r="IEA49" s="344"/>
      <c r="IEB49" s="344"/>
      <c r="IEC49" s="344"/>
      <c r="IED49" s="344"/>
      <c r="IEE49" s="344"/>
      <c r="IEF49" s="344"/>
      <c r="IEG49" s="344"/>
      <c r="IEH49" s="344"/>
      <c r="IEI49" s="344"/>
      <c r="IEJ49" s="344"/>
      <c r="IEK49" s="344"/>
      <c r="IEL49" s="344"/>
      <c r="IEM49" s="344"/>
      <c r="IEN49" s="344"/>
      <c r="IEO49" s="344"/>
      <c r="IEP49" s="344"/>
      <c r="IEQ49" s="344"/>
      <c r="IER49" s="344"/>
      <c r="IES49" s="344"/>
      <c r="IET49" s="344"/>
      <c r="IEU49" s="344"/>
      <c r="IEV49" s="344"/>
      <c r="IEW49" s="344"/>
      <c r="IEX49" s="344"/>
      <c r="IEY49" s="344"/>
      <c r="IEZ49" s="344"/>
      <c r="IFA49" s="344"/>
      <c r="IFB49" s="344"/>
      <c r="IFC49" s="344"/>
      <c r="IFD49" s="344"/>
      <c r="IFE49" s="344"/>
      <c r="IFF49" s="344"/>
      <c r="IFG49" s="344"/>
      <c r="IFH49" s="344"/>
      <c r="IFI49" s="344"/>
      <c r="IFJ49" s="344"/>
      <c r="IFK49" s="344"/>
      <c r="IFL49" s="344"/>
      <c r="IFM49" s="344"/>
      <c r="IFN49" s="344"/>
      <c r="IFO49" s="344"/>
      <c r="IFP49" s="344"/>
      <c r="IFQ49" s="344"/>
      <c r="IFR49" s="344"/>
      <c r="IFS49" s="344"/>
      <c r="IFT49" s="344"/>
      <c r="IFU49" s="344"/>
      <c r="IFV49" s="344"/>
      <c r="IFW49" s="344"/>
      <c r="IFX49" s="344"/>
      <c r="IFY49" s="344"/>
      <c r="IFZ49" s="344"/>
      <c r="IGA49" s="344"/>
      <c r="IGB49" s="344"/>
      <c r="IGC49" s="344"/>
      <c r="IGD49" s="344"/>
      <c r="IGE49" s="344"/>
      <c r="IGF49" s="344"/>
      <c r="IGG49" s="344"/>
      <c r="IGH49" s="344"/>
      <c r="IGI49" s="344"/>
      <c r="IGJ49" s="344"/>
      <c r="IGK49" s="344"/>
      <c r="IGL49" s="344"/>
      <c r="IGM49" s="344"/>
      <c r="IGN49" s="344"/>
      <c r="IGO49" s="344"/>
      <c r="IGP49" s="344"/>
      <c r="IGQ49" s="344"/>
      <c r="IGR49" s="344"/>
      <c r="IGS49" s="344"/>
      <c r="IGT49" s="344"/>
      <c r="IGU49" s="344"/>
      <c r="IGV49" s="344"/>
      <c r="IGW49" s="344"/>
      <c r="IGX49" s="344"/>
      <c r="IGY49" s="344"/>
      <c r="IGZ49" s="344"/>
      <c r="IHA49" s="344"/>
      <c r="IHB49" s="344"/>
      <c r="IHC49" s="344"/>
      <c r="IHD49" s="344"/>
      <c r="IHE49" s="344"/>
      <c r="IHF49" s="344"/>
      <c r="IHG49" s="344"/>
      <c r="IHH49" s="344"/>
      <c r="IHI49" s="344"/>
      <c r="IHJ49" s="344"/>
      <c r="IHK49" s="344"/>
      <c r="IHL49" s="344"/>
      <c r="IHM49" s="344"/>
      <c r="IHN49" s="344"/>
      <c r="IHO49" s="344"/>
      <c r="IHP49" s="344"/>
      <c r="IHQ49" s="344"/>
      <c r="IHR49" s="344"/>
      <c r="IHS49" s="344"/>
      <c r="IHT49" s="344"/>
      <c r="IHU49" s="344"/>
      <c r="IHV49" s="344"/>
      <c r="IHW49" s="344"/>
      <c r="IHX49" s="344"/>
      <c r="IHY49" s="344"/>
      <c r="IHZ49" s="344"/>
      <c r="IIA49" s="344"/>
      <c r="IIB49" s="344"/>
      <c r="IIC49" s="344"/>
      <c r="IID49" s="344"/>
      <c r="IIE49" s="344"/>
      <c r="IIF49" s="344"/>
      <c r="IIG49" s="344"/>
      <c r="IIH49" s="344"/>
      <c r="III49" s="344"/>
      <c r="IIJ49" s="344"/>
      <c r="IIK49" s="344"/>
      <c r="IIL49" s="344"/>
      <c r="IIM49" s="344"/>
      <c r="IIN49" s="344"/>
      <c r="IIO49" s="344"/>
      <c r="IIP49" s="344"/>
      <c r="IIQ49" s="344"/>
      <c r="IIR49" s="344"/>
      <c r="IIS49" s="344"/>
      <c r="IIT49" s="344"/>
      <c r="IIU49" s="344"/>
      <c r="IIV49" s="344"/>
      <c r="IIW49" s="344"/>
      <c r="IIX49" s="344"/>
      <c r="IIY49" s="344"/>
      <c r="IIZ49" s="344"/>
      <c r="IJA49" s="344"/>
      <c r="IJB49" s="344"/>
      <c r="IJC49" s="344"/>
      <c r="IJD49" s="344"/>
      <c r="IJE49" s="344"/>
      <c r="IJF49" s="344"/>
      <c r="IJG49" s="344"/>
      <c r="IJH49" s="344"/>
      <c r="IJI49" s="344"/>
      <c r="IJJ49" s="344"/>
      <c r="IJK49" s="344"/>
      <c r="IJL49" s="344"/>
      <c r="IJM49" s="344"/>
      <c r="IJN49" s="344"/>
      <c r="IJO49" s="344"/>
      <c r="IJP49" s="344"/>
      <c r="IJQ49" s="344"/>
      <c r="IJR49" s="344"/>
      <c r="IJS49" s="344"/>
      <c r="IJT49" s="344"/>
      <c r="IJU49" s="344"/>
      <c r="IJV49" s="344"/>
      <c r="IJW49" s="344"/>
      <c r="IJX49" s="344"/>
      <c r="IJY49" s="344"/>
      <c r="IJZ49" s="344"/>
      <c r="IKA49" s="344"/>
      <c r="IKB49" s="344"/>
      <c r="IKC49" s="344"/>
      <c r="IKD49" s="344"/>
      <c r="IKE49" s="344"/>
      <c r="IKF49" s="344"/>
      <c r="IKG49" s="344"/>
      <c r="IKH49" s="344"/>
      <c r="IKI49" s="344"/>
      <c r="IKJ49" s="344"/>
      <c r="IKK49" s="344"/>
      <c r="IKL49" s="344"/>
      <c r="IKM49" s="344"/>
      <c r="IKN49" s="344"/>
      <c r="IKO49" s="344"/>
      <c r="IKP49" s="344"/>
      <c r="IKQ49" s="344"/>
      <c r="IKR49" s="344"/>
      <c r="IKS49" s="344"/>
      <c r="IKT49" s="344"/>
      <c r="IKU49" s="344"/>
      <c r="IKV49" s="344"/>
      <c r="IKW49" s="344"/>
      <c r="IKX49" s="344"/>
      <c r="IKY49" s="344"/>
      <c r="IKZ49" s="344"/>
      <c r="ILA49" s="344"/>
      <c r="ILB49" s="344"/>
      <c r="ILC49" s="344"/>
      <c r="ILD49" s="344"/>
      <c r="ILE49" s="344"/>
      <c r="ILF49" s="344"/>
      <c r="ILG49" s="344"/>
      <c r="ILH49" s="344"/>
      <c r="ILI49" s="344"/>
      <c r="ILJ49" s="344"/>
      <c r="ILK49" s="344"/>
      <c r="ILL49" s="344"/>
      <c r="ILM49" s="344"/>
      <c r="ILN49" s="344"/>
      <c r="ILO49" s="344"/>
      <c r="ILP49" s="344"/>
      <c r="ILQ49" s="344"/>
      <c r="ILR49" s="344"/>
      <c r="ILS49" s="344"/>
      <c r="ILT49" s="344"/>
      <c r="ILU49" s="344"/>
      <c r="ILV49" s="344"/>
      <c r="ILW49" s="344"/>
      <c r="ILX49" s="344"/>
      <c r="ILY49" s="344"/>
      <c r="ILZ49" s="344"/>
      <c r="IMA49" s="344"/>
      <c r="IMB49" s="344"/>
      <c r="IMC49" s="344"/>
      <c r="IMD49" s="344"/>
      <c r="IME49" s="344"/>
      <c r="IMF49" s="344"/>
      <c r="IMG49" s="344"/>
      <c r="IMH49" s="344"/>
      <c r="IMI49" s="344"/>
      <c r="IMJ49" s="344"/>
      <c r="IMK49" s="344"/>
      <c r="IML49" s="344"/>
      <c r="IMM49" s="344"/>
      <c r="IMN49" s="344"/>
      <c r="IMO49" s="344"/>
      <c r="IMP49" s="344"/>
      <c r="IMQ49" s="344"/>
      <c r="IMR49" s="344"/>
      <c r="IMS49" s="344"/>
      <c r="IMT49" s="344"/>
      <c r="IMU49" s="344"/>
      <c r="IMV49" s="344"/>
      <c r="IMW49" s="344"/>
      <c r="IMX49" s="344"/>
      <c r="IMY49" s="344"/>
      <c r="IMZ49" s="344"/>
      <c r="INA49" s="344"/>
      <c r="INB49" s="344"/>
      <c r="INC49" s="344"/>
      <c r="IND49" s="344"/>
      <c r="INE49" s="344"/>
      <c r="INF49" s="344"/>
      <c r="ING49" s="344"/>
      <c r="INH49" s="344"/>
      <c r="INI49" s="344"/>
      <c r="INJ49" s="344"/>
      <c r="INK49" s="344"/>
      <c r="INL49" s="344"/>
      <c r="INM49" s="344"/>
      <c r="INN49" s="344"/>
      <c r="INO49" s="344"/>
      <c r="INP49" s="344"/>
      <c r="INQ49" s="344"/>
      <c r="INR49" s="344"/>
      <c r="INS49" s="344"/>
      <c r="INT49" s="344"/>
      <c r="INU49" s="344"/>
      <c r="INV49" s="344"/>
      <c r="INW49" s="344"/>
      <c r="INX49" s="344"/>
      <c r="INY49" s="344"/>
      <c r="INZ49" s="344"/>
      <c r="IOA49" s="344"/>
      <c r="IOB49" s="344"/>
      <c r="IOC49" s="344"/>
      <c r="IOD49" s="344"/>
      <c r="IOE49" s="344"/>
      <c r="IOF49" s="344"/>
      <c r="IOG49" s="344"/>
      <c r="IOH49" s="344"/>
      <c r="IOI49" s="344"/>
      <c r="IOJ49" s="344"/>
      <c r="IOK49" s="344"/>
      <c r="IOL49" s="344"/>
      <c r="IOM49" s="344"/>
      <c r="ION49" s="344"/>
      <c r="IOO49" s="344"/>
      <c r="IOP49" s="344"/>
      <c r="IOQ49" s="344"/>
      <c r="IOR49" s="344"/>
      <c r="IOS49" s="344"/>
      <c r="IOT49" s="344"/>
      <c r="IOU49" s="344"/>
      <c r="IOV49" s="344"/>
      <c r="IOW49" s="344"/>
      <c r="IOX49" s="344"/>
      <c r="IOY49" s="344"/>
      <c r="IOZ49" s="344"/>
      <c r="IPA49" s="344"/>
      <c r="IPB49" s="344"/>
      <c r="IPC49" s="344"/>
      <c r="IPD49" s="344"/>
      <c r="IPE49" s="344"/>
      <c r="IPF49" s="344"/>
      <c r="IPG49" s="344"/>
      <c r="IPH49" s="344"/>
      <c r="IPI49" s="344"/>
      <c r="IPJ49" s="344"/>
      <c r="IPK49" s="344"/>
      <c r="IPL49" s="344"/>
      <c r="IPM49" s="344"/>
      <c r="IPN49" s="344"/>
      <c r="IPO49" s="344"/>
      <c r="IPP49" s="344"/>
      <c r="IPQ49" s="344"/>
      <c r="IPR49" s="344"/>
      <c r="IPS49" s="344"/>
      <c r="IPT49" s="344"/>
      <c r="IPU49" s="344"/>
      <c r="IPV49" s="344"/>
      <c r="IPW49" s="344"/>
      <c r="IPX49" s="344"/>
      <c r="IPY49" s="344"/>
      <c r="IPZ49" s="344"/>
      <c r="IQA49" s="344"/>
      <c r="IQB49" s="344"/>
      <c r="IQC49" s="344"/>
      <c r="IQD49" s="344"/>
      <c r="IQE49" s="344"/>
      <c r="IQF49" s="344"/>
      <c r="IQG49" s="344"/>
      <c r="IQH49" s="344"/>
      <c r="IQI49" s="344"/>
      <c r="IQJ49" s="344"/>
      <c r="IQK49" s="344"/>
      <c r="IQL49" s="344"/>
      <c r="IQM49" s="344"/>
      <c r="IQN49" s="344"/>
      <c r="IQO49" s="344"/>
      <c r="IQP49" s="344"/>
      <c r="IQQ49" s="344"/>
      <c r="IQR49" s="344"/>
      <c r="IQS49" s="344"/>
      <c r="IQT49" s="344"/>
      <c r="IQU49" s="344"/>
      <c r="IQV49" s="344"/>
      <c r="IQW49" s="344"/>
      <c r="IQX49" s="344"/>
      <c r="IQY49" s="344"/>
      <c r="IQZ49" s="344"/>
      <c r="IRA49" s="344"/>
      <c r="IRB49" s="344"/>
      <c r="IRC49" s="344"/>
      <c r="IRD49" s="344"/>
      <c r="IRE49" s="344"/>
      <c r="IRF49" s="344"/>
      <c r="IRG49" s="344"/>
      <c r="IRH49" s="344"/>
      <c r="IRI49" s="344"/>
      <c r="IRJ49" s="344"/>
      <c r="IRK49" s="344"/>
      <c r="IRL49" s="344"/>
      <c r="IRM49" s="344"/>
      <c r="IRN49" s="344"/>
      <c r="IRO49" s="344"/>
      <c r="IRP49" s="344"/>
      <c r="IRQ49" s="344"/>
      <c r="IRR49" s="344"/>
      <c r="IRS49" s="344"/>
      <c r="IRT49" s="344"/>
      <c r="IRU49" s="344"/>
      <c r="IRV49" s="344"/>
      <c r="IRW49" s="344"/>
      <c r="IRX49" s="344"/>
      <c r="IRY49" s="344"/>
      <c r="IRZ49" s="344"/>
      <c r="ISA49" s="344"/>
      <c r="ISB49" s="344"/>
      <c r="ISC49" s="344"/>
      <c r="ISD49" s="344"/>
      <c r="ISE49" s="344"/>
      <c r="ISF49" s="344"/>
      <c r="ISG49" s="344"/>
      <c r="ISH49" s="344"/>
      <c r="ISI49" s="344"/>
      <c r="ISJ49" s="344"/>
      <c r="ISK49" s="344"/>
      <c r="ISL49" s="344"/>
      <c r="ISM49" s="344"/>
      <c r="ISN49" s="344"/>
      <c r="ISO49" s="344"/>
      <c r="ISP49" s="344"/>
      <c r="ISQ49" s="344"/>
      <c r="ISR49" s="344"/>
      <c r="ISS49" s="344"/>
      <c r="IST49" s="344"/>
      <c r="ISU49" s="344"/>
      <c r="ISV49" s="344"/>
      <c r="ISW49" s="344"/>
      <c r="ISX49" s="344"/>
      <c r="ISY49" s="344"/>
      <c r="ISZ49" s="344"/>
      <c r="ITA49" s="344"/>
      <c r="ITB49" s="344"/>
      <c r="ITC49" s="344"/>
      <c r="ITD49" s="344"/>
      <c r="ITE49" s="344"/>
      <c r="ITF49" s="344"/>
      <c r="ITG49" s="344"/>
      <c r="ITH49" s="344"/>
      <c r="ITI49" s="344"/>
      <c r="ITJ49" s="344"/>
      <c r="ITK49" s="344"/>
      <c r="ITL49" s="344"/>
      <c r="ITM49" s="344"/>
      <c r="ITN49" s="344"/>
      <c r="ITO49" s="344"/>
      <c r="ITP49" s="344"/>
      <c r="ITQ49" s="344"/>
      <c r="ITR49" s="344"/>
      <c r="ITS49" s="344"/>
      <c r="ITT49" s="344"/>
      <c r="ITU49" s="344"/>
      <c r="ITV49" s="344"/>
      <c r="ITW49" s="344"/>
      <c r="ITX49" s="344"/>
      <c r="ITY49" s="344"/>
      <c r="ITZ49" s="344"/>
      <c r="IUA49" s="344"/>
      <c r="IUB49" s="344"/>
      <c r="IUC49" s="344"/>
      <c r="IUD49" s="344"/>
      <c r="IUE49" s="344"/>
      <c r="IUF49" s="344"/>
      <c r="IUG49" s="344"/>
      <c r="IUH49" s="344"/>
      <c r="IUI49" s="344"/>
      <c r="IUJ49" s="344"/>
      <c r="IUK49" s="344"/>
      <c r="IUL49" s="344"/>
      <c r="IUM49" s="344"/>
      <c r="IUN49" s="344"/>
      <c r="IUO49" s="344"/>
      <c r="IUP49" s="344"/>
      <c r="IUQ49" s="344"/>
      <c r="IUR49" s="344"/>
      <c r="IUS49" s="344"/>
      <c r="IUT49" s="344"/>
      <c r="IUU49" s="344"/>
      <c r="IUV49" s="344"/>
      <c r="IUW49" s="344"/>
      <c r="IUX49" s="344"/>
      <c r="IUY49" s="344"/>
      <c r="IUZ49" s="344"/>
      <c r="IVA49" s="344"/>
      <c r="IVB49" s="344"/>
      <c r="IVC49" s="344"/>
      <c r="IVD49" s="344"/>
      <c r="IVE49" s="344"/>
      <c r="IVF49" s="344"/>
      <c r="IVG49" s="344"/>
      <c r="IVH49" s="344"/>
      <c r="IVI49" s="344"/>
      <c r="IVJ49" s="344"/>
      <c r="IVK49" s="344"/>
      <c r="IVL49" s="344"/>
      <c r="IVM49" s="344"/>
      <c r="IVN49" s="344"/>
      <c r="IVO49" s="344"/>
      <c r="IVP49" s="344"/>
      <c r="IVQ49" s="344"/>
      <c r="IVR49" s="344"/>
      <c r="IVS49" s="344"/>
      <c r="IVT49" s="344"/>
      <c r="IVU49" s="344"/>
      <c r="IVV49" s="344"/>
      <c r="IVW49" s="344"/>
      <c r="IVX49" s="344"/>
      <c r="IVY49" s="344"/>
      <c r="IVZ49" s="344"/>
      <c r="IWA49" s="344"/>
      <c r="IWB49" s="344"/>
      <c r="IWC49" s="344"/>
      <c r="IWD49" s="344"/>
      <c r="IWE49" s="344"/>
      <c r="IWF49" s="344"/>
      <c r="IWG49" s="344"/>
      <c r="IWH49" s="344"/>
      <c r="IWI49" s="344"/>
      <c r="IWJ49" s="344"/>
      <c r="IWK49" s="344"/>
      <c r="IWL49" s="344"/>
      <c r="IWM49" s="344"/>
      <c r="IWN49" s="344"/>
      <c r="IWO49" s="344"/>
      <c r="IWP49" s="344"/>
      <c r="IWQ49" s="344"/>
      <c r="IWR49" s="344"/>
      <c r="IWS49" s="344"/>
      <c r="IWT49" s="344"/>
      <c r="IWU49" s="344"/>
      <c r="IWV49" s="344"/>
      <c r="IWW49" s="344"/>
      <c r="IWX49" s="344"/>
      <c r="IWY49" s="344"/>
      <c r="IWZ49" s="344"/>
      <c r="IXA49" s="344"/>
      <c r="IXB49" s="344"/>
      <c r="IXC49" s="344"/>
      <c r="IXD49" s="344"/>
      <c r="IXE49" s="344"/>
      <c r="IXF49" s="344"/>
      <c r="IXG49" s="344"/>
      <c r="IXH49" s="344"/>
      <c r="IXI49" s="344"/>
      <c r="IXJ49" s="344"/>
      <c r="IXK49" s="344"/>
      <c r="IXL49" s="344"/>
      <c r="IXM49" s="344"/>
      <c r="IXN49" s="344"/>
      <c r="IXO49" s="344"/>
      <c r="IXP49" s="344"/>
      <c r="IXQ49" s="344"/>
      <c r="IXR49" s="344"/>
      <c r="IXS49" s="344"/>
      <c r="IXT49" s="344"/>
      <c r="IXU49" s="344"/>
      <c r="IXV49" s="344"/>
      <c r="IXW49" s="344"/>
      <c r="IXX49" s="344"/>
      <c r="IXY49" s="344"/>
      <c r="IXZ49" s="344"/>
      <c r="IYA49" s="344"/>
      <c r="IYB49" s="344"/>
      <c r="IYC49" s="344"/>
      <c r="IYD49" s="344"/>
      <c r="IYE49" s="344"/>
      <c r="IYF49" s="344"/>
      <c r="IYG49" s="344"/>
      <c r="IYH49" s="344"/>
      <c r="IYI49" s="344"/>
      <c r="IYJ49" s="344"/>
      <c r="IYK49" s="344"/>
      <c r="IYL49" s="344"/>
      <c r="IYM49" s="344"/>
      <c r="IYN49" s="344"/>
      <c r="IYO49" s="344"/>
      <c r="IYP49" s="344"/>
      <c r="IYQ49" s="344"/>
      <c r="IYR49" s="344"/>
      <c r="IYS49" s="344"/>
      <c r="IYT49" s="344"/>
      <c r="IYU49" s="344"/>
      <c r="IYV49" s="344"/>
      <c r="IYW49" s="344"/>
      <c r="IYX49" s="344"/>
      <c r="IYY49" s="344"/>
      <c r="IYZ49" s="344"/>
      <c r="IZA49" s="344"/>
      <c r="IZB49" s="344"/>
      <c r="IZC49" s="344"/>
      <c r="IZD49" s="344"/>
      <c r="IZE49" s="344"/>
      <c r="IZF49" s="344"/>
      <c r="IZG49" s="344"/>
      <c r="IZH49" s="344"/>
      <c r="IZI49" s="344"/>
      <c r="IZJ49" s="344"/>
      <c r="IZK49" s="344"/>
      <c r="IZL49" s="344"/>
      <c r="IZM49" s="344"/>
      <c r="IZN49" s="344"/>
      <c r="IZO49" s="344"/>
      <c r="IZP49" s="344"/>
      <c r="IZQ49" s="344"/>
      <c r="IZR49" s="344"/>
      <c r="IZS49" s="344"/>
      <c r="IZT49" s="344"/>
      <c r="IZU49" s="344"/>
      <c r="IZV49" s="344"/>
      <c r="IZW49" s="344"/>
      <c r="IZX49" s="344"/>
      <c r="IZY49" s="344"/>
      <c r="IZZ49" s="344"/>
      <c r="JAA49" s="344"/>
      <c r="JAB49" s="344"/>
      <c r="JAC49" s="344"/>
      <c r="JAD49" s="344"/>
      <c r="JAE49" s="344"/>
      <c r="JAF49" s="344"/>
      <c r="JAG49" s="344"/>
      <c r="JAH49" s="344"/>
      <c r="JAI49" s="344"/>
      <c r="JAJ49" s="344"/>
      <c r="JAK49" s="344"/>
      <c r="JAL49" s="344"/>
      <c r="JAM49" s="344"/>
      <c r="JAN49" s="344"/>
      <c r="JAO49" s="344"/>
      <c r="JAP49" s="344"/>
      <c r="JAQ49" s="344"/>
      <c r="JAR49" s="344"/>
      <c r="JAS49" s="344"/>
      <c r="JAT49" s="344"/>
      <c r="JAU49" s="344"/>
      <c r="JAV49" s="344"/>
      <c r="JAW49" s="344"/>
      <c r="JAX49" s="344"/>
      <c r="JAY49" s="344"/>
      <c r="JAZ49" s="344"/>
      <c r="JBA49" s="344"/>
      <c r="JBB49" s="344"/>
      <c r="JBC49" s="344"/>
      <c r="JBD49" s="344"/>
      <c r="JBE49" s="344"/>
      <c r="JBF49" s="344"/>
      <c r="JBG49" s="344"/>
      <c r="JBH49" s="344"/>
      <c r="JBI49" s="344"/>
      <c r="JBJ49" s="344"/>
      <c r="JBK49" s="344"/>
      <c r="JBL49" s="344"/>
      <c r="JBM49" s="344"/>
      <c r="JBN49" s="344"/>
      <c r="JBO49" s="344"/>
      <c r="JBP49" s="344"/>
      <c r="JBQ49" s="344"/>
      <c r="JBR49" s="344"/>
      <c r="JBS49" s="344"/>
      <c r="JBT49" s="344"/>
      <c r="JBU49" s="344"/>
      <c r="JBV49" s="344"/>
      <c r="JBW49" s="344"/>
      <c r="JBX49" s="344"/>
      <c r="JBY49" s="344"/>
      <c r="JBZ49" s="344"/>
      <c r="JCA49" s="344"/>
      <c r="JCB49" s="344"/>
      <c r="JCC49" s="344"/>
      <c r="JCD49" s="344"/>
      <c r="JCE49" s="344"/>
      <c r="JCF49" s="344"/>
      <c r="JCG49" s="344"/>
      <c r="JCH49" s="344"/>
      <c r="JCI49" s="344"/>
      <c r="JCJ49" s="344"/>
      <c r="JCK49" s="344"/>
      <c r="JCL49" s="344"/>
      <c r="JCM49" s="344"/>
      <c r="JCN49" s="344"/>
      <c r="JCO49" s="344"/>
      <c r="JCP49" s="344"/>
      <c r="JCQ49" s="344"/>
      <c r="JCR49" s="344"/>
      <c r="JCS49" s="344"/>
      <c r="JCT49" s="344"/>
      <c r="JCU49" s="344"/>
      <c r="JCV49" s="344"/>
      <c r="JCW49" s="344"/>
      <c r="JCX49" s="344"/>
      <c r="JCY49" s="344"/>
      <c r="JCZ49" s="344"/>
      <c r="JDA49" s="344"/>
      <c r="JDB49" s="344"/>
      <c r="JDC49" s="344"/>
      <c r="JDD49" s="344"/>
      <c r="JDE49" s="344"/>
      <c r="JDF49" s="344"/>
      <c r="JDG49" s="344"/>
      <c r="JDH49" s="344"/>
      <c r="JDI49" s="344"/>
      <c r="JDJ49" s="344"/>
      <c r="JDK49" s="344"/>
      <c r="JDL49" s="344"/>
      <c r="JDM49" s="344"/>
      <c r="JDN49" s="344"/>
      <c r="JDO49" s="344"/>
      <c r="JDP49" s="344"/>
      <c r="JDQ49" s="344"/>
      <c r="JDR49" s="344"/>
      <c r="JDS49" s="344"/>
      <c r="JDT49" s="344"/>
      <c r="JDU49" s="344"/>
      <c r="JDV49" s="344"/>
      <c r="JDW49" s="344"/>
      <c r="JDX49" s="344"/>
      <c r="JDY49" s="344"/>
      <c r="JDZ49" s="344"/>
      <c r="JEA49" s="344"/>
      <c r="JEB49" s="344"/>
      <c r="JEC49" s="344"/>
      <c r="JED49" s="344"/>
      <c r="JEE49" s="344"/>
      <c r="JEF49" s="344"/>
      <c r="JEG49" s="344"/>
      <c r="JEH49" s="344"/>
      <c r="JEI49" s="344"/>
      <c r="JEJ49" s="344"/>
      <c r="JEK49" s="344"/>
      <c r="JEL49" s="344"/>
      <c r="JEM49" s="344"/>
      <c r="JEN49" s="344"/>
      <c r="JEO49" s="344"/>
      <c r="JEP49" s="344"/>
      <c r="JEQ49" s="344"/>
      <c r="JER49" s="344"/>
      <c r="JES49" s="344"/>
      <c r="JET49" s="344"/>
      <c r="JEU49" s="344"/>
      <c r="JEV49" s="344"/>
      <c r="JEW49" s="344"/>
      <c r="JEX49" s="344"/>
      <c r="JEY49" s="344"/>
      <c r="JEZ49" s="344"/>
      <c r="JFA49" s="344"/>
      <c r="JFB49" s="344"/>
      <c r="JFC49" s="344"/>
      <c r="JFD49" s="344"/>
      <c r="JFE49" s="344"/>
      <c r="JFF49" s="344"/>
      <c r="JFG49" s="344"/>
      <c r="JFH49" s="344"/>
      <c r="JFI49" s="344"/>
      <c r="JFJ49" s="344"/>
      <c r="JFK49" s="344"/>
      <c r="JFL49" s="344"/>
      <c r="JFM49" s="344"/>
      <c r="JFN49" s="344"/>
      <c r="JFO49" s="344"/>
      <c r="JFP49" s="344"/>
      <c r="JFQ49" s="344"/>
      <c r="JFR49" s="344"/>
      <c r="JFS49" s="344"/>
      <c r="JFT49" s="344"/>
      <c r="JFU49" s="344"/>
      <c r="JFV49" s="344"/>
      <c r="JFW49" s="344"/>
      <c r="JFX49" s="344"/>
      <c r="JFY49" s="344"/>
      <c r="JFZ49" s="344"/>
      <c r="JGA49" s="344"/>
      <c r="JGB49" s="344"/>
      <c r="JGC49" s="344"/>
      <c r="JGD49" s="344"/>
      <c r="JGE49" s="344"/>
      <c r="JGF49" s="344"/>
      <c r="JGG49" s="344"/>
      <c r="JGH49" s="344"/>
      <c r="JGI49" s="344"/>
      <c r="JGJ49" s="344"/>
      <c r="JGK49" s="344"/>
      <c r="JGL49" s="344"/>
      <c r="JGM49" s="344"/>
      <c r="JGN49" s="344"/>
      <c r="JGO49" s="344"/>
      <c r="JGP49" s="344"/>
      <c r="JGQ49" s="344"/>
      <c r="JGR49" s="344"/>
      <c r="JGS49" s="344"/>
      <c r="JGT49" s="344"/>
      <c r="JGU49" s="344"/>
      <c r="JGV49" s="344"/>
      <c r="JGW49" s="344"/>
      <c r="JGX49" s="344"/>
      <c r="JGY49" s="344"/>
      <c r="JGZ49" s="344"/>
      <c r="JHA49" s="344"/>
      <c r="JHB49" s="344"/>
      <c r="JHC49" s="344"/>
      <c r="JHD49" s="344"/>
      <c r="JHE49" s="344"/>
      <c r="JHF49" s="344"/>
      <c r="JHG49" s="344"/>
      <c r="JHH49" s="344"/>
      <c r="JHI49" s="344"/>
      <c r="JHJ49" s="344"/>
      <c r="JHK49" s="344"/>
      <c r="JHL49" s="344"/>
      <c r="JHM49" s="344"/>
      <c r="JHN49" s="344"/>
      <c r="JHO49" s="344"/>
      <c r="JHP49" s="344"/>
      <c r="JHQ49" s="344"/>
      <c r="JHR49" s="344"/>
      <c r="JHS49" s="344"/>
      <c r="JHT49" s="344"/>
      <c r="JHU49" s="344"/>
      <c r="JHV49" s="344"/>
      <c r="JHW49" s="344"/>
      <c r="JHX49" s="344"/>
      <c r="JHY49" s="344"/>
      <c r="JHZ49" s="344"/>
      <c r="JIA49" s="344"/>
      <c r="JIB49" s="344"/>
      <c r="JIC49" s="344"/>
      <c r="JID49" s="344"/>
      <c r="JIE49" s="344"/>
      <c r="JIF49" s="344"/>
      <c r="JIG49" s="344"/>
      <c r="JIH49" s="344"/>
      <c r="JII49" s="344"/>
      <c r="JIJ49" s="344"/>
      <c r="JIK49" s="344"/>
      <c r="JIL49" s="344"/>
      <c r="JIM49" s="344"/>
      <c r="JIN49" s="344"/>
      <c r="JIO49" s="344"/>
      <c r="JIP49" s="344"/>
      <c r="JIQ49" s="344"/>
      <c r="JIR49" s="344"/>
      <c r="JIS49" s="344"/>
      <c r="JIT49" s="344"/>
      <c r="JIU49" s="344"/>
      <c r="JIV49" s="344"/>
      <c r="JIW49" s="344"/>
      <c r="JIX49" s="344"/>
      <c r="JIY49" s="344"/>
      <c r="JIZ49" s="344"/>
      <c r="JJA49" s="344"/>
      <c r="JJB49" s="344"/>
      <c r="JJC49" s="344"/>
      <c r="JJD49" s="344"/>
      <c r="JJE49" s="344"/>
      <c r="JJF49" s="344"/>
      <c r="JJG49" s="344"/>
      <c r="JJH49" s="344"/>
      <c r="JJI49" s="344"/>
      <c r="JJJ49" s="344"/>
      <c r="JJK49" s="344"/>
      <c r="JJL49" s="344"/>
      <c r="JJM49" s="344"/>
      <c r="JJN49" s="344"/>
      <c r="JJO49" s="344"/>
      <c r="JJP49" s="344"/>
      <c r="JJQ49" s="344"/>
      <c r="JJR49" s="344"/>
      <c r="JJS49" s="344"/>
      <c r="JJT49" s="344"/>
      <c r="JJU49" s="344"/>
      <c r="JJV49" s="344"/>
      <c r="JJW49" s="344"/>
      <c r="JJX49" s="344"/>
      <c r="JJY49" s="344"/>
      <c r="JJZ49" s="344"/>
      <c r="JKA49" s="344"/>
      <c r="JKB49" s="344"/>
      <c r="JKC49" s="344"/>
      <c r="JKD49" s="344"/>
      <c r="JKE49" s="344"/>
      <c r="JKF49" s="344"/>
      <c r="JKG49" s="344"/>
      <c r="JKH49" s="344"/>
      <c r="JKI49" s="344"/>
      <c r="JKJ49" s="344"/>
      <c r="JKK49" s="344"/>
      <c r="JKL49" s="344"/>
      <c r="JKM49" s="344"/>
      <c r="JKN49" s="344"/>
      <c r="JKO49" s="344"/>
      <c r="JKP49" s="344"/>
      <c r="JKQ49" s="344"/>
      <c r="JKR49" s="344"/>
      <c r="JKS49" s="344"/>
      <c r="JKT49" s="344"/>
      <c r="JKU49" s="344"/>
      <c r="JKV49" s="344"/>
      <c r="JKW49" s="344"/>
      <c r="JKX49" s="344"/>
      <c r="JKY49" s="344"/>
      <c r="JKZ49" s="344"/>
      <c r="JLA49" s="344"/>
      <c r="JLB49" s="344"/>
      <c r="JLC49" s="344"/>
      <c r="JLD49" s="344"/>
      <c r="JLE49" s="344"/>
      <c r="JLF49" s="344"/>
      <c r="JLG49" s="344"/>
      <c r="JLH49" s="344"/>
      <c r="JLI49" s="344"/>
      <c r="JLJ49" s="344"/>
      <c r="JLK49" s="344"/>
      <c r="JLL49" s="344"/>
      <c r="JLM49" s="344"/>
      <c r="JLN49" s="344"/>
      <c r="JLO49" s="344"/>
      <c r="JLP49" s="344"/>
      <c r="JLQ49" s="344"/>
      <c r="JLR49" s="344"/>
      <c r="JLS49" s="344"/>
      <c r="JLT49" s="344"/>
      <c r="JLU49" s="344"/>
      <c r="JLV49" s="344"/>
      <c r="JLW49" s="344"/>
      <c r="JLX49" s="344"/>
      <c r="JLY49" s="344"/>
      <c r="JLZ49" s="344"/>
      <c r="JMA49" s="344"/>
      <c r="JMB49" s="344"/>
      <c r="JMC49" s="344"/>
      <c r="JMD49" s="344"/>
      <c r="JME49" s="344"/>
      <c r="JMF49" s="344"/>
      <c r="JMG49" s="344"/>
      <c r="JMH49" s="344"/>
      <c r="JMI49" s="344"/>
      <c r="JMJ49" s="344"/>
      <c r="JMK49" s="344"/>
      <c r="JML49" s="344"/>
      <c r="JMM49" s="344"/>
      <c r="JMN49" s="344"/>
      <c r="JMO49" s="344"/>
      <c r="JMP49" s="344"/>
      <c r="JMQ49" s="344"/>
      <c r="JMR49" s="344"/>
      <c r="JMS49" s="344"/>
      <c r="JMT49" s="344"/>
      <c r="JMU49" s="344"/>
      <c r="JMV49" s="344"/>
      <c r="JMW49" s="344"/>
      <c r="JMX49" s="344"/>
      <c r="JMY49" s="344"/>
      <c r="JMZ49" s="344"/>
      <c r="JNA49" s="344"/>
      <c r="JNB49" s="344"/>
      <c r="JNC49" s="344"/>
      <c r="JND49" s="344"/>
      <c r="JNE49" s="344"/>
      <c r="JNF49" s="344"/>
      <c r="JNG49" s="344"/>
      <c r="JNH49" s="344"/>
      <c r="JNI49" s="344"/>
      <c r="JNJ49" s="344"/>
      <c r="JNK49" s="344"/>
      <c r="JNL49" s="344"/>
      <c r="JNM49" s="344"/>
      <c r="JNN49" s="344"/>
      <c r="JNO49" s="344"/>
      <c r="JNP49" s="344"/>
      <c r="JNQ49" s="344"/>
      <c r="JNR49" s="344"/>
      <c r="JNS49" s="344"/>
      <c r="JNT49" s="344"/>
      <c r="JNU49" s="344"/>
      <c r="JNV49" s="344"/>
      <c r="JNW49" s="344"/>
      <c r="JNX49" s="344"/>
      <c r="JNY49" s="344"/>
      <c r="JNZ49" s="344"/>
      <c r="JOA49" s="344"/>
      <c r="JOB49" s="344"/>
      <c r="JOC49" s="344"/>
      <c r="JOD49" s="344"/>
      <c r="JOE49" s="344"/>
      <c r="JOF49" s="344"/>
      <c r="JOG49" s="344"/>
      <c r="JOH49" s="344"/>
      <c r="JOI49" s="344"/>
      <c r="JOJ49" s="344"/>
      <c r="JOK49" s="344"/>
      <c r="JOL49" s="344"/>
      <c r="JOM49" s="344"/>
      <c r="JON49" s="344"/>
      <c r="JOO49" s="344"/>
      <c r="JOP49" s="344"/>
      <c r="JOQ49" s="344"/>
      <c r="JOR49" s="344"/>
      <c r="JOS49" s="344"/>
      <c r="JOT49" s="344"/>
      <c r="JOU49" s="344"/>
      <c r="JOV49" s="344"/>
      <c r="JOW49" s="344"/>
      <c r="JOX49" s="344"/>
      <c r="JOY49" s="344"/>
      <c r="JOZ49" s="344"/>
      <c r="JPA49" s="344"/>
      <c r="JPB49" s="344"/>
      <c r="JPC49" s="344"/>
      <c r="JPD49" s="344"/>
      <c r="JPE49" s="344"/>
      <c r="JPF49" s="344"/>
      <c r="JPG49" s="344"/>
      <c r="JPH49" s="344"/>
      <c r="JPI49" s="344"/>
      <c r="JPJ49" s="344"/>
      <c r="JPK49" s="344"/>
      <c r="JPL49" s="344"/>
      <c r="JPM49" s="344"/>
      <c r="JPN49" s="344"/>
      <c r="JPO49" s="344"/>
      <c r="JPP49" s="344"/>
      <c r="JPQ49" s="344"/>
      <c r="JPR49" s="344"/>
      <c r="JPS49" s="344"/>
      <c r="JPT49" s="344"/>
      <c r="JPU49" s="344"/>
      <c r="JPV49" s="344"/>
      <c r="JPW49" s="344"/>
      <c r="JPX49" s="344"/>
      <c r="JPY49" s="344"/>
      <c r="JPZ49" s="344"/>
      <c r="JQA49" s="344"/>
      <c r="JQB49" s="344"/>
      <c r="JQC49" s="344"/>
      <c r="JQD49" s="344"/>
      <c r="JQE49" s="344"/>
      <c r="JQF49" s="344"/>
      <c r="JQG49" s="344"/>
      <c r="JQH49" s="344"/>
      <c r="JQI49" s="344"/>
      <c r="JQJ49" s="344"/>
      <c r="JQK49" s="344"/>
      <c r="JQL49" s="344"/>
      <c r="JQM49" s="344"/>
      <c r="JQN49" s="344"/>
      <c r="JQO49" s="344"/>
      <c r="JQP49" s="344"/>
      <c r="JQQ49" s="344"/>
      <c r="JQR49" s="344"/>
      <c r="JQS49" s="344"/>
      <c r="JQT49" s="344"/>
      <c r="JQU49" s="344"/>
      <c r="JQV49" s="344"/>
      <c r="JQW49" s="344"/>
      <c r="JQX49" s="344"/>
      <c r="JQY49" s="344"/>
      <c r="JQZ49" s="344"/>
      <c r="JRA49" s="344"/>
      <c r="JRB49" s="344"/>
      <c r="JRC49" s="344"/>
      <c r="JRD49" s="344"/>
      <c r="JRE49" s="344"/>
      <c r="JRF49" s="344"/>
      <c r="JRG49" s="344"/>
      <c r="JRH49" s="344"/>
      <c r="JRI49" s="344"/>
      <c r="JRJ49" s="344"/>
      <c r="JRK49" s="344"/>
      <c r="JRL49" s="344"/>
      <c r="JRM49" s="344"/>
      <c r="JRN49" s="344"/>
      <c r="JRO49" s="344"/>
      <c r="JRP49" s="344"/>
      <c r="JRQ49" s="344"/>
      <c r="JRR49" s="344"/>
      <c r="JRS49" s="344"/>
      <c r="JRT49" s="344"/>
      <c r="JRU49" s="344"/>
      <c r="JRV49" s="344"/>
      <c r="JRW49" s="344"/>
      <c r="JRX49" s="344"/>
      <c r="JRY49" s="344"/>
      <c r="JRZ49" s="344"/>
      <c r="JSA49" s="344"/>
      <c r="JSB49" s="344"/>
      <c r="JSC49" s="344"/>
      <c r="JSD49" s="344"/>
      <c r="JSE49" s="344"/>
      <c r="JSF49" s="344"/>
      <c r="JSG49" s="344"/>
      <c r="JSH49" s="344"/>
      <c r="JSI49" s="344"/>
      <c r="JSJ49" s="344"/>
      <c r="JSK49" s="344"/>
      <c r="JSL49" s="344"/>
      <c r="JSM49" s="344"/>
      <c r="JSN49" s="344"/>
      <c r="JSO49" s="344"/>
      <c r="JSP49" s="344"/>
      <c r="JSQ49" s="344"/>
      <c r="JSR49" s="344"/>
      <c r="JSS49" s="344"/>
      <c r="JST49" s="344"/>
      <c r="JSU49" s="344"/>
      <c r="JSV49" s="344"/>
      <c r="JSW49" s="344"/>
      <c r="JSX49" s="344"/>
      <c r="JSY49" s="344"/>
      <c r="JSZ49" s="344"/>
      <c r="JTA49" s="344"/>
      <c r="JTB49" s="344"/>
      <c r="JTC49" s="344"/>
      <c r="JTD49" s="344"/>
      <c r="JTE49" s="344"/>
      <c r="JTF49" s="344"/>
      <c r="JTG49" s="344"/>
      <c r="JTH49" s="344"/>
      <c r="JTI49" s="344"/>
      <c r="JTJ49" s="344"/>
      <c r="JTK49" s="344"/>
      <c r="JTL49" s="344"/>
      <c r="JTM49" s="344"/>
      <c r="JTN49" s="344"/>
      <c r="JTO49" s="344"/>
      <c r="JTP49" s="344"/>
      <c r="JTQ49" s="344"/>
      <c r="JTR49" s="344"/>
      <c r="JTS49" s="344"/>
      <c r="JTT49" s="344"/>
      <c r="JTU49" s="344"/>
      <c r="JTV49" s="344"/>
      <c r="JTW49" s="344"/>
      <c r="JTX49" s="344"/>
      <c r="JTY49" s="344"/>
      <c r="JTZ49" s="344"/>
      <c r="JUA49" s="344"/>
      <c r="JUB49" s="344"/>
      <c r="JUC49" s="344"/>
      <c r="JUD49" s="344"/>
      <c r="JUE49" s="344"/>
      <c r="JUF49" s="344"/>
      <c r="JUG49" s="344"/>
      <c r="JUH49" s="344"/>
      <c r="JUI49" s="344"/>
      <c r="JUJ49" s="344"/>
      <c r="JUK49" s="344"/>
      <c r="JUL49" s="344"/>
      <c r="JUM49" s="344"/>
      <c r="JUN49" s="344"/>
      <c r="JUO49" s="344"/>
      <c r="JUP49" s="344"/>
      <c r="JUQ49" s="344"/>
      <c r="JUR49" s="344"/>
      <c r="JUS49" s="344"/>
      <c r="JUT49" s="344"/>
      <c r="JUU49" s="344"/>
      <c r="JUV49" s="344"/>
      <c r="JUW49" s="344"/>
      <c r="JUX49" s="344"/>
      <c r="JUY49" s="344"/>
      <c r="JUZ49" s="344"/>
      <c r="JVA49" s="344"/>
      <c r="JVB49" s="344"/>
      <c r="JVC49" s="344"/>
      <c r="JVD49" s="344"/>
      <c r="JVE49" s="344"/>
      <c r="JVF49" s="344"/>
      <c r="JVG49" s="344"/>
      <c r="JVH49" s="344"/>
      <c r="JVI49" s="344"/>
      <c r="JVJ49" s="344"/>
      <c r="JVK49" s="344"/>
      <c r="JVL49" s="344"/>
      <c r="JVM49" s="344"/>
      <c r="JVN49" s="344"/>
      <c r="JVO49" s="344"/>
      <c r="JVP49" s="344"/>
      <c r="JVQ49" s="344"/>
      <c r="JVR49" s="344"/>
      <c r="JVS49" s="344"/>
      <c r="JVT49" s="344"/>
      <c r="JVU49" s="344"/>
      <c r="JVV49" s="344"/>
      <c r="JVW49" s="344"/>
      <c r="JVX49" s="344"/>
      <c r="JVY49" s="344"/>
      <c r="JVZ49" s="344"/>
      <c r="JWA49" s="344"/>
      <c r="JWB49" s="344"/>
      <c r="JWC49" s="344"/>
      <c r="JWD49" s="344"/>
      <c r="JWE49" s="344"/>
      <c r="JWF49" s="344"/>
      <c r="JWG49" s="344"/>
      <c r="JWH49" s="344"/>
      <c r="JWI49" s="344"/>
      <c r="JWJ49" s="344"/>
      <c r="JWK49" s="344"/>
      <c r="JWL49" s="344"/>
      <c r="JWM49" s="344"/>
      <c r="JWN49" s="344"/>
      <c r="JWO49" s="344"/>
      <c r="JWP49" s="344"/>
      <c r="JWQ49" s="344"/>
      <c r="JWR49" s="344"/>
      <c r="JWS49" s="344"/>
      <c r="JWT49" s="344"/>
      <c r="JWU49" s="344"/>
      <c r="JWV49" s="344"/>
      <c r="JWW49" s="344"/>
      <c r="JWX49" s="344"/>
      <c r="JWY49" s="344"/>
      <c r="JWZ49" s="344"/>
      <c r="JXA49" s="344"/>
      <c r="JXB49" s="344"/>
      <c r="JXC49" s="344"/>
      <c r="JXD49" s="344"/>
      <c r="JXE49" s="344"/>
      <c r="JXF49" s="344"/>
      <c r="JXG49" s="344"/>
      <c r="JXH49" s="344"/>
      <c r="JXI49" s="344"/>
      <c r="JXJ49" s="344"/>
      <c r="JXK49" s="344"/>
      <c r="JXL49" s="344"/>
      <c r="JXM49" s="344"/>
      <c r="JXN49" s="344"/>
      <c r="JXO49" s="344"/>
      <c r="JXP49" s="344"/>
      <c r="JXQ49" s="344"/>
      <c r="JXR49" s="344"/>
      <c r="JXS49" s="344"/>
      <c r="JXT49" s="344"/>
      <c r="JXU49" s="344"/>
      <c r="JXV49" s="344"/>
      <c r="JXW49" s="344"/>
      <c r="JXX49" s="344"/>
      <c r="JXY49" s="344"/>
      <c r="JXZ49" s="344"/>
      <c r="JYA49" s="344"/>
      <c r="JYB49" s="344"/>
      <c r="JYC49" s="344"/>
      <c r="JYD49" s="344"/>
      <c r="JYE49" s="344"/>
      <c r="JYF49" s="344"/>
      <c r="JYG49" s="344"/>
      <c r="JYH49" s="344"/>
      <c r="JYI49" s="344"/>
      <c r="JYJ49" s="344"/>
      <c r="JYK49" s="344"/>
      <c r="JYL49" s="344"/>
      <c r="JYM49" s="344"/>
      <c r="JYN49" s="344"/>
      <c r="JYO49" s="344"/>
      <c r="JYP49" s="344"/>
      <c r="JYQ49" s="344"/>
      <c r="JYR49" s="344"/>
      <c r="JYS49" s="344"/>
      <c r="JYT49" s="344"/>
      <c r="JYU49" s="344"/>
      <c r="JYV49" s="344"/>
      <c r="JYW49" s="344"/>
      <c r="JYX49" s="344"/>
      <c r="JYY49" s="344"/>
      <c r="JYZ49" s="344"/>
      <c r="JZA49" s="344"/>
      <c r="JZB49" s="344"/>
      <c r="JZC49" s="344"/>
      <c r="JZD49" s="344"/>
      <c r="JZE49" s="344"/>
      <c r="JZF49" s="344"/>
      <c r="JZG49" s="344"/>
      <c r="JZH49" s="344"/>
      <c r="JZI49" s="344"/>
      <c r="JZJ49" s="344"/>
      <c r="JZK49" s="344"/>
      <c r="JZL49" s="344"/>
      <c r="JZM49" s="344"/>
      <c r="JZN49" s="344"/>
      <c r="JZO49" s="344"/>
      <c r="JZP49" s="344"/>
      <c r="JZQ49" s="344"/>
      <c r="JZR49" s="344"/>
      <c r="JZS49" s="344"/>
      <c r="JZT49" s="344"/>
      <c r="JZU49" s="344"/>
      <c r="JZV49" s="344"/>
      <c r="JZW49" s="344"/>
      <c r="JZX49" s="344"/>
      <c r="JZY49" s="344"/>
      <c r="JZZ49" s="344"/>
      <c r="KAA49" s="344"/>
      <c r="KAB49" s="344"/>
      <c r="KAC49" s="344"/>
      <c r="KAD49" s="344"/>
      <c r="KAE49" s="344"/>
      <c r="KAF49" s="344"/>
      <c r="KAG49" s="344"/>
      <c r="KAH49" s="344"/>
      <c r="KAI49" s="344"/>
      <c r="KAJ49" s="344"/>
      <c r="KAK49" s="344"/>
      <c r="KAL49" s="344"/>
      <c r="KAM49" s="344"/>
      <c r="KAN49" s="344"/>
      <c r="KAO49" s="344"/>
      <c r="KAP49" s="344"/>
      <c r="KAQ49" s="344"/>
      <c r="KAR49" s="344"/>
      <c r="KAS49" s="344"/>
      <c r="KAT49" s="344"/>
      <c r="KAU49" s="344"/>
      <c r="KAV49" s="344"/>
      <c r="KAW49" s="344"/>
      <c r="KAX49" s="344"/>
      <c r="KAY49" s="344"/>
      <c r="KAZ49" s="344"/>
      <c r="KBA49" s="344"/>
      <c r="KBB49" s="344"/>
      <c r="KBC49" s="344"/>
      <c r="KBD49" s="344"/>
      <c r="KBE49" s="344"/>
      <c r="KBF49" s="344"/>
      <c r="KBG49" s="344"/>
      <c r="KBH49" s="344"/>
      <c r="KBI49" s="344"/>
      <c r="KBJ49" s="344"/>
      <c r="KBK49" s="344"/>
      <c r="KBL49" s="344"/>
      <c r="KBM49" s="344"/>
      <c r="KBN49" s="344"/>
      <c r="KBO49" s="344"/>
      <c r="KBP49" s="344"/>
      <c r="KBQ49" s="344"/>
      <c r="KBR49" s="344"/>
      <c r="KBS49" s="344"/>
      <c r="KBT49" s="344"/>
      <c r="KBU49" s="344"/>
      <c r="KBV49" s="344"/>
      <c r="KBW49" s="344"/>
      <c r="KBX49" s="344"/>
      <c r="KBY49" s="344"/>
      <c r="KBZ49" s="344"/>
      <c r="KCA49" s="344"/>
      <c r="KCB49" s="344"/>
      <c r="KCC49" s="344"/>
      <c r="KCD49" s="344"/>
      <c r="KCE49" s="344"/>
      <c r="KCF49" s="344"/>
      <c r="KCG49" s="344"/>
      <c r="KCH49" s="344"/>
      <c r="KCI49" s="344"/>
      <c r="KCJ49" s="344"/>
      <c r="KCK49" s="344"/>
      <c r="KCL49" s="344"/>
      <c r="KCM49" s="344"/>
      <c r="KCN49" s="344"/>
      <c r="KCO49" s="344"/>
      <c r="KCP49" s="344"/>
      <c r="KCQ49" s="344"/>
      <c r="KCR49" s="344"/>
      <c r="KCS49" s="344"/>
      <c r="KCT49" s="344"/>
      <c r="KCU49" s="344"/>
      <c r="KCV49" s="344"/>
      <c r="KCW49" s="344"/>
      <c r="KCX49" s="344"/>
      <c r="KCY49" s="344"/>
      <c r="KCZ49" s="344"/>
      <c r="KDA49" s="344"/>
      <c r="KDB49" s="344"/>
      <c r="KDC49" s="344"/>
      <c r="KDD49" s="344"/>
      <c r="KDE49" s="344"/>
      <c r="KDF49" s="344"/>
      <c r="KDG49" s="344"/>
      <c r="KDH49" s="344"/>
      <c r="KDI49" s="344"/>
      <c r="KDJ49" s="344"/>
      <c r="KDK49" s="344"/>
      <c r="KDL49" s="344"/>
      <c r="KDM49" s="344"/>
      <c r="KDN49" s="344"/>
      <c r="KDO49" s="344"/>
      <c r="KDP49" s="344"/>
      <c r="KDQ49" s="344"/>
      <c r="KDR49" s="344"/>
      <c r="KDS49" s="344"/>
      <c r="KDT49" s="344"/>
      <c r="KDU49" s="344"/>
      <c r="KDV49" s="344"/>
      <c r="KDW49" s="344"/>
      <c r="KDX49" s="344"/>
      <c r="KDY49" s="344"/>
      <c r="KDZ49" s="344"/>
      <c r="KEA49" s="344"/>
      <c r="KEB49" s="344"/>
      <c r="KEC49" s="344"/>
      <c r="KED49" s="344"/>
      <c r="KEE49" s="344"/>
      <c r="KEF49" s="344"/>
      <c r="KEG49" s="344"/>
      <c r="KEH49" s="344"/>
      <c r="KEI49" s="344"/>
      <c r="KEJ49" s="344"/>
      <c r="KEK49" s="344"/>
      <c r="KEL49" s="344"/>
      <c r="KEM49" s="344"/>
      <c r="KEN49" s="344"/>
      <c r="KEO49" s="344"/>
      <c r="KEP49" s="344"/>
      <c r="KEQ49" s="344"/>
      <c r="KER49" s="344"/>
      <c r="KES49" s="344"/>
      <c r="KET49" s="344"/>
      <c r="KEU49" s="344"/>
      <c r="KEV49" s="344"/>
      <c r="KEW49" s="344"/>
      <c r="KEX49" s="344"/>
      <c r="KEY49" s="344"/>
      <c r="KEZ49" s="344"/>
      <c r="KFA49" s="344"/>
      <c r="KFB49" s="344"/>
      <c r="KFC49" s="344"/>
      <c r="KFD49" s="344"/>
      <c r="KFE49" s="344"/>
      <c r="KFF49" s="344"/>
      <c r="KFG49" s="344"/>
      <c r="KFH49" s="344"/>
      <c r="KFI49" s="344"/>
      <c r="KFJ49" s="344"/>
      <c r="KFK49" s="344"/>
      <c r="KFL49" s="344"/>
      <c r="KFM49" s="344"/>
      <c r="KFN49" s="344"/>
      <c r="KFO49" s="344"/>
      <c r="KFP49" s="344"/>
      <c r="KFQ49" s="344"/>
      <c r="KFR49" s="344"/>
      <c r="KFS49" s="344"/>
      <c r="KFT49" s="344"/>
      <c r="KFU49" s="344"/>
      <c r="KFV49" s="344"/>
      <c r="KFW49" s="344"/>
      <c r="KFX49" s="344"/>
      <c r="KFY49" s="344"/>
      <c r="KFZ49" s="344"/>
      <c r="KGA49" s="344"/>
      <c r="KGB49" s="344"/>
      <c r="KGC49" s="344"/>
      <c r="KGD49" s="344"/>
      <c r="KGE49" s="344"/>
      <c r="KGF49" s="344"/>
      <c r="KGG49" s="344"/>
      <c r="KGH49" s="344"/>
      <c r="KGI49" s="344"/>
      <c r="KGJ49" s="344"/>
      <c r="KGK49" s="344"/>
      <c r="KGL49" s="344"/>
      <c r="KGM49" s="344"/>
      <c r="KGN49" s="344"/>
      <c r="KGO49" s="344"/>
      <c r="KGP49" s="344"/>
      <c r="KGQ49" s="344"/>
      <c r="KGR49" s="344"/>
      <c r="KGS49" s="344"/>
      <c r="KGT49" s="344"/>
      <c r="KGU49" s="344"/>
      <c r="KGV49" s="344"/>
      <c r="KGW49" s="344"/>
      <c r="KGX49" s="344"/>
      <c r="KGY49" s="344"/>
      <c r="KGZ49" s="344"/>
      <c r="KHA49" s="344"/>
      <c r="KHB49" s="344"/>
      <c r="KHC49" s="344"/>
      <c r="KHD49" s="344"/>
      <c r="KHE49" s="344"/>
      <c r="KHF49" s="344"/>
      <c r="KHG49" s="344"/>
      <c r="KHH49" s="344"/>
      <c r="KHI49" s="344"/>
      <c r="KHJ49" s="344"/>
      <c r="KHK49" s="344"/>
      <c r="KHL49" s="344"/>
      <c r="KHM49" s="344"/>
      <c r="KHN49" s="344"/>
      <c r="KHO49" s="344"/>
      <c r="KHP49" s="344"/>
      <c r="KHQ49" s="344"/>
      <c r="KHR49" s="344"/>
      <c r="KHS49" s="344"/>
      <c r="KHT49" s="344"/>
      <c r="KHU49" s="344"/>
      <c r="KHV49" s="344"/>
      <c r="KHW49" s="344"/>
      <c r="KHX49" s="344"/>
      <c r="KHY49" s="344"/>
      <c r="KHZ49" s="344"/>
      <c r="KIA49" s="344"/>
      <c r="KIB49" s="344"/>
      <c r="KIC49" s="344"/>
      <c r="KID49" s="344"/>
      <c r="KIE49" s="344"/>
      <c r="KIF49" s="344"/>
      <c r="KIG49" s="344"/>
      <c r="KIH49" s="344"/>
      <c r="KII49" s="344"/>
      <c r="KIJ49" s="344"/>
      <c r="KIK49" s="344"/>
      <c r="KIL49" s="344"/>
      <c r="KIM49" s="344"/>
      <c r="KIN49" s="344"/>
      <c r="KIO49" s="344"/>
      <c r="KIP49" s="344"/>
      <c r="KIQ49" s="344"/>
      <c r="KIR49" s="344"/>
      <c r="KIS49" s="344"/>
      <c r="KIT49" s="344"/>
      <c r="KIU49" s="344"/>
      <c r="KIV49" s="344"/>
      <c r="KIW49" s="344"/>
      <c r="KIX49" s="344"/>
      <c r="KIY49" s="344"/>
      <c r="KIZ49" s="344"/>
      <c r="KJA49" s="344"/>
      <c r="KJB49" s="344"/>
      <c r="KJC49" s="344"/>
      <c r="KJD49" s="344"/>
      <c r="KJE49" s="344"/>
      <c r="KJF49" s="344"/>
      <c r="KJG49" s="344"/>
      <c r="KJH49" s="344"/>
      <c r="KJI49" s="344"/>
      <c r="KJJ49" s="344"/>
      <c r="KJK49" s="344"/>
      <c r="KJL49" s="344"/>
      <c r="KJM49" s="344"/>
      <c r="KJN49" s="344"/>
      <c r="KJO49" s="344"/>
      <c r="KJP49" s="344"/>
      <c r="KJQ49" s="344"/>
      <c r="KJR49" s="344"/>
      <c r="KJS49" s="344"/>
      <c r="KJT49" s="344"/>
      <c r="KJU49" s="344"/>
      <c r="KJV49" s="344"/>
      <c r="KJW49" s="344"/>
      <c r="KJX49" s="344"/>
      <c r="KJY49" s="344"/>
      <c r="KJZ49" s="344"/>
      <c r="KKA49" s="344"/>
      <c r="KKB49" s="344"/>
      <c r="KKC49" s="344"/>
      <c r="KKD49" s="344"/>
      <c r="KKE49" s="344"/>
      <c r="KKF49" s="344"/>
      <c r="KKG49" s="344"/>
      <c r="KKH49" s="344"/>
      <c r="KKI49" s="344"/>
      <c r="KKJ49" s="344"/>
      <c r="KKK49" s="344"/>
      <c r="KKL49" s="344"/>
      <c r="KKM49" s="344"/>
      <c r="KKN49" s="344"/>
      <c r="KKO49" s="344"/>
      <c r="KKP49" s="344"/>
      <c r="KKQ49" s="344"/>
      <c r="KKR49" s="344"/>
      <c r="KKS49" s="344"/>
      <c r="KKT49" s="344"/>
      <c r="KKU49" s="344"/>
      <c r="KKV49" s="344"/>
      <c r="KKW49" s="344"/>
      <c r="KKX49" s="344"/>
      <c r="KKY49" s="344"/>
      <c r="KKZ49" s="344"/>
      <c r="KLA49" s="344"/>
      <c r="KLB49" s="344"/>
      <c r="KLC49" s="344"/>
      <c r="KLD49" s="344"/>
      <c r="KLE49" s="344"/>
      <c r="KLF49" s="344"/>
      <c r="KLG49" s="344"/>
      <c r="KLH49" s="344"/>
      <c r="KLI49" s="344"/>
      <c r="KLJ49" s="344"/>
      <c r="KLK49" s="344"/>
      <c r="KLL49" s="344"/>
      <c r="KLM49" s="344"/>
      <c r="KLN49" s="344"/>
      <c r="KLO49" s="344"/>
      <c r="KLP49" s="344"/>
      <c r="KLQ49" s="344"/>
      <c r="KLR49" s="344"/>
      <c r="KLS49" s="344"/>
      <c r="KLT49" s="344"/>
      <c r="KLU49" s="344"/>
      <c r="KLV49" s="344"/>
      <c r="KLW49" s="344"/>
      <c r="KLX49" s="344"/>
      <c r="KLY49" s="344"/>
      <c r="KLZ49" s="344"/>
      <c r="KMA49" s="344"/>
      <c r="KMB49" s="344"/>
      <c r="KMC49" s="344"/>
      <c r="KMD49" s="344"/>
      <c r="KME49" s="344"/>
      <c r="KMF49" s="344"/>
      <c r="KMG49" s="344"/>
      <c r="KMH49" s="344"/>
      <c r="KMI49" s="344"/>
      <c r="KMJ49" s="344"/>
      <c r="KMK49" s="344"/>
      <c r="KML49" s="344"/>
      <c r="KMM49" s="344"/>
      <c r="KMN49" s="344"/>
      <c r="KMO49" s="344"/>
      <c r="KMP49" s="344"/>
      <c r="KMQ49" s="344"/>
      <c r="KMR49" s="344"/>
      <c r="KMS49" s="344"/>
      <c r="KMT49" s="344"/>
      <c r="KMU49" s="344"/>
      <c r="KMV49" s="344"/>
      <c r="KMW49" s="344"/>
      <c r="KMX49" s="344"/>
      <c r="KMY49" s="344"/>
      <c r="KMZ49" s="344"/>
      <c r="KNA49" s="344"/>
      <c r="KNB49" s="344"/>
      <c r="KNC49" s="344"/>
      <c r="KND49" s="344"/>
      <c r="KNE49" s="344"/>
      <c r="KNF49" s="344"/>
      <c r="KNG49" s="344"/>
      <c r="KNH49" s="344"/>
      <c r="KNI49" s="344"/>
      <c r="KNJ49" s="344"/>
      <c r="KNK49" s="344"/>
      <c r="KNL49" s="344"/>
      <c r="KNM49" s="344"/>
      <c r="KNN49" s="344"/>
      <c r="KNO49" s="344"/>
      <c r="KNP49" s="344"/>
      <c r="KNQ49" s="344"/>
      <c r="KNR49" s="344"/>
      <c r="KNS49" s="344"/>
      <c r="KNT49" s="344"/>
      <c r="KNU49" s="344"/>
      <c r="KNV49" s="344"/>
      <c r="KNW49" s="344"/>
      <c r="KNX49" s="344"/>
      <c r="KNY49" s="344"/>
      <c r="KNZ49" s="344"/>
      <c r="KOA49" s="344"/>
      <c r="KOB49" s="344"/>
      <c r="KOC49" s="344"/>
      <c r="KOD49" s="344"/>
      <c r="KOE49" s="344"/>
      <c r="KOF49" s="344"/>
      <c r="KOG49" s="344"/>
      <c r="KOH49" s="344"/>
      <c r="KOI49" s="344"/>
      <c r="KOJ49" s="344"/>
      <c r="KOK49" s="344"/>
      <c r="KOL49" s="344"/>
      <c r="KOM49" s="344"/>
      <c r="KON49" s="344"/>
      <c r="KOO49" s="344"/>
      <c r="KOP49" s="344"/>
      <c r="KOQ49" s="344"/>
      <c r="KOR49" s="344"/>
      <c r="KOS49" s="344"/>
      <c r="KOT49" s="344"/>
      <c r="KOU49" s="344"/>
      <c r="KOV49" s="344"/>
      <c r="KOW49" s="344"/>
      <c r="KOX49" s="344"/>
      <c r="KOY49" s="344"/>
      <c r="KOZ49" s="344"/>
      <c r="KPA49" s="344"/>
      <c r="KPB49" s="344"/>
      <c r="KPC49" s="344"/>
      <c r="KPD49" s="344"/>
      <c r="KPE49" s="344"/>
      <c r="KPF49" s="344"/>
      <c r="KPG49" s="344"/>
      <c r="KPH49" s="344"/>
      <c r="KPI49" s="344"/>
      <c r="KPJ49" s="344"/>
      <c r="KPK49" s="344"/>
      <c r="KPL49" s="344"/>
      <c r="KPM49" s="344"/>
      <c r="KPN49" s="344"/>
      <c r="KPO49" s="344"/>
      <c r="KPP49" s="344"/>
      <c r="KPQ49" s="344"/>
      <c r="KPR49" s="344"/>
      <c r="KPS49" s="344"/>
      <c r="KPT49" s="344"/>
      <c r="KPU49" s="344"/>
      <c r="KPV49" s="344"/>
      <c r="KPW49" s="344"/>
      <c r="KPX49" s="344"/>
      <c r="KPY49" s="344"/>
      <c r="KPZ49" s="344"/>
      <c r="KQA49" s="344"/>
      <c r="KQB49" s="344"/>
      <c r="KQC49" s="344"/>
      <c r="KQD49" s="344"/>
      <c r="KQE49" s="344"/>
      <c r="KQF49" s="344"/>
      <c r="KQG49" s="344"/>
      <c r="KQH49" s="344"/>
      <c r="KQI49" s="344"/>
      <c r="KQJ49" s="344"/>
      <c r="KQK49" s="344"/>
      <c r="KQL49" s="344"/>
      <c r="KQM49" s="344"/>
      <c r="KQN49" s="344"/>
      <c r="KQO49" s="344"/>
      <c r="KQP49" s="344"/>
      <c r="KQQ49" s="344"/>
      <c r="KQR49" s="344"/>
      <c r="KQS49" s="344"/>
      <c r="KQT49" s="344"/>
      <c r="KQU49" s="344"/>
      <c r="KQV49" s="344"/>
      <c r="KQW49" s="344"/>
      <c r="KQX49" s="344"/>
      <c r="KQY49" s="344"/>
      <c r="KQZ49" s="344"/>
      <c r="KRA49" s="344"/>
      <c r="KRB49" s="344"/>
      <c r="KRC49" s="344"/>
      <c r="KRD49" s="344"/>
      <c r="KRE49" s="344"/>
      <c r="KRF49" s="344"/>
      <c r="KRG49" s="344"/>
      <c r="KRH49" s="344"/>
      <c r="KRI49" s="344"/>
      <c r="KRJ49" s="344"/>
      <c r="KRK49" s="344"/>
      <c r="KRL49" s="344"/>
      <c r="KRM49" s="344"/>
      <c r="KRN49" s="344"/>
      <c r="KRO49" s="344"/>
      <c r="KRP49" s="344"/>
      <c r="KRQ49" s="344"/>
      <c r="KRR49" s="344"/>
      <c r="KRS49" s="344"/>
      <c r="KRT49" s="344"/>
      <c r="KRU49" s="344"/>
      <c r="KRV49" s="344"/>
      <c r="KRW49" s="344"/>
      <c r="KRX49" s="344"/>
      <c r="KRY49" s="344"/>
      <c r="KRZ49" s="344"/>
      <c r="KSA49" s="344"/>
      <c r="KSB49" s="344"/>
      <c r="KSC49" s="344"/>
      <c r="KSD49" s="344"/>
      <c r="KSE49" s="344"/>
      <c r="KSF49" s="344"/>
      <c r="KSG49" s="344"/>
      <c r="KSH49" s="344"/>
      <c r="KSI49" s="344"/>
      <c r="KSJ49" s="344"/>
      <c r="KSK49" s="344"/>
      <c r="KSL49" s="344"/>
      <c r="KSM49" s="344"/>
      <c r="KSN49" s="344"/>
      <c r="KSO49" s="344"/>
      <c r="KSP49" s="344"/>
      <c r="KSQ49" s="344"/>
      <c r="KSR49" s="344"/>
      <c r="KSS49" s="344"/>
      <c r="KST49" s="344"/>
      <c r="KSU49" s="344"/>
      <c r="KSV49" s="344"/>
      <c r="KSW49" s="344"/>
      <c r="KSX49" s="344"/>
      <c r="KSY49" s="344"/>
      <c r="KSZ49" s="344"/>
      <c r="KTA49" s="344"/>
      <c r="KTB49" s="344"/>
      <c r="KTC49" s="344"/>
      <c r="KTD49" s="344"/>
      <c r="KTE49" s="344"/>
      <c r="KTF49" s="344"/>
      <c r="KTG49" s="344"/>
      <c r="KTH49" s="344"/>
      <c r="KTI49" s="344"/>
      <c r="KTJ49" s="344"/>
      <c r="KTK49" s="344"/>
      <c r="KTL49" s="344"/>
      <c r="KTM49" s="344"/>
      <c r="KTN49" s="344"/>
      <c r="KTO49" s="344"/>
      <c r="KTP49" s="344"/>
      <c r="KTQ49" s="344"/>
      <c r="KTR49" s="344"/>
      <c r="KTS49" s="344"/>
      <c r="KTT49" s="344"/>
      <c r="KTU49" s="344"/>
      <c r="KTV49" s="344"/>
      <c r="KTW49" s="344"/>
      <c r="KTX49" s="344"/>
      <c r="KTY49" s="344"/>
      <c r="KTZ49" s="344"/>
      <c r="KUA49" s="344"/>
      <c r="KUB49" s="344"/>
      <c r="KUC49" s="344"/>
      <c r="KUD49" s="344"/>
      <c r="KUE49" s="344"/>
      <c r="KUF49" s="344"/>
      <c r="KUG49" s="344"/>
      <c r="KUH49" s="344"/>
      <c r="KUI49" s="344"/>
      <c r="KUJ49" s="344"/>
      <c r="KUK49" s="344"/>
      <c r="KUL49" s="344"/>
      <c r="KUM49" s="344"/>
      <c r="KUN49" s="344"/>
      <c r="KUO49" s="344"/>
      <c r="KUP49" s="344"/>
      <c r="KUQ49" s="344"/>
      <c r="KUR49" s="344"/>
      <c r="KUS49" s="344"/>
      <c r="KUT49" s="344"/>
      <c r="KUU49" s="344"/>
      <c r="KUV49" s="344"/>
      <c r="KUW49" s="344"/>
      <c r="KUX49" s="344"/>
      <c r="KUY49" s="344"/>
      <c r="KUZ49" s="344"/>
      <c r="KVA49" s="344"/>
      <c r="KVB49" s="344"/>
      <c r="KVC49" s="344"/>
      <c r="KVD49" s="344"/>
      <c r="KVE49" s="344"/>
      <c r="KVF49" s="344"/>
      <c r="KVG49" s="344"/>
      <c r="KVH49" s="344"/>
      <c r="KVI49" s="344"/>
      <c r="KVJ49" s="344"/>
      <c r="KVK49" s="344"/>
      <c r="KVL49" s="344"/>
      <c r="KVM49" s="344"/>
      <c r="KVN49" s="344"/>
      <c r="KVO49" s="344"/>
      <c r="KVP49" s="344"/>
      <c r="KVQ49" s="344"/>
      <c r="KVR49" s="344"/>
      <c r="KVS49" s="344"/>
      <c r="KVT49" s="344"/>
      <c r="KVU49" s="344"/>
      <c r="KVV49" s="344"/>
      <c r="KVW49" s="344"/>
      <c r="KVX49" s="344"/>
      <c r="KVY49" s="344"/>
      <c r="KVZ49" s="344"/>
      <c r="KWA49" s="344"/>
      <c r="KWB49" s="344"/>
      <c r="KWC49" s="344"/>
      <c r="KWD49" s="344"/>
      <c r="KWE49" s="344"/>
      <c r="KWF49" s="344"/>
      <c r="KWG49" s="344"/>
      <c r="KWH49" s="344"/>
      <c r="KWI49" s="344"/>
      <c r="KWJ49" s="344"/>
      <c r="KWK49" s="344"/>
      <c r="KWL49" s="344"/>
      <c r="KWM49" s="344"/>
      <c r="KWN49" s="344"/>
      <c r="KWO49" s="344"/>
      <c r="KWP49" s="344"/>
      <c r="KWQ49" s="344"/>
      <c r="KWR49" s="344"/>
      <c r="KWS49" s="344"/>
      <c r="KWT49" s="344"/>
      <c r="KWU49" s="344"/>
      <c r="KWV49" s="344"/>
      <c r="KWW49" s="344"/>
      <c r="KWX49" s="344"/>
      <c r="KWY49" s="344"/>
      <c r="KWZ49" s="344"/>
      <c r="KXA49" s="344"/>
      <c r="KXB49" s="344"/>
      <c r="KXC49" s="344"/>
      <c r="KXD49" s="344"/>
      <c r="KXE49" s="344"/>
      <c r="KXF49" s="344"/>
      <c r="KXG49" s="344"/>
      <c r="KXH49" s="344"/>
      <c r="KXI49" s="344"/>
      <c r="KXJ49" s="344"/>
      <c r="KXK49" s="344"/>
      <c r="KXL49" s="344"/>
      <c r="KXM49" s="344"/>
      <c r="KXN49" s="344"/>
      <c r="KXO49" s="344"/>
      <c r="KXP49" s="344"/>
      <c r="KXQ49" s="344"/>
      <c r="KXR49" s="344"/>
      <c r="KXS49" s="344"/>
      <c r="KXT49" s="344"/>
      <c r="KXU49" s="344"/>
      <c r="KXV49" s="344"/>
      <c r="KXW49" s="344"/>
      <c r="KXX49" s="344"/>
      <c r="KXY49" s="344"/>
      <c r="KXZ49" s="344"/>
      <c r="KYA49" s="344"/>
      <c r="KYB49" s="344"/>
      <c r="KYC49" s="344"/>
      <c r="KYD49" s="344"/>
      <c r="KYE49" s="344"/>
      <c r="KYF49" s="344"/>
      <c r="KYG49" s="344"/>
      <c r="KYH49" s="344"/>
      <c r="KYI49" s="344"/>
      <c r="KYJ49" s="344"/>
      <c r="KYK49" s="344"/>
      <c r="KYL49" s="344"/>
      <c r="KYM49" s="344"/>
      <c r="KYN49" s="344"/>
      <c r="KYO49" s="344"/>
      <c r="KYP49" s="344"/>
      <c r="KYQ49" s="344"/>
      <c r="KYR49" s="344"/>
      <c r="KYS49" s="344"/>
      <c r="KYT49" s="344"/>
      <c r="KYU49" s="344"/>
      <c r="KYV49" s="344"/>
      <c r="KYW49" s="344"/>
      <c r="KYX49" s="344"/>
      <c r="KYY49" s="344"/>
      <c r="KYZ49" s="344"/>
      <c r="KZA49" s="344"/>
      <c r="KZB49" s="344"/>
      <c r="KZC49" s="344"/>
      <c r="KZD49" s="344"/>
      <c r="KZE49" s="344"/>
      <c r="KZF49" s="344"/>
      <c r="KZG49" s="344"/>
      <c r="KZH49" s="344"/>
      <c r="KZI49" s="344"/>
      <c r="KZJ49" s="344"/>
      <c r="KZK49" s="344"/>
      <c r="KZL49" s="344"/>
      <c r="KZM49" s="344"/>
      <c r="KZN49" s="344"/>
      <c r="KZO49" s="344"/>
      <c r="KZP49" s="344"/>
      <c r="KZQ49" s="344"/>
      <c r="KZR49" s="344"/>
      <c r="KZS49" s="344"/>
      <c r="KZT49" s="344"/>
      <c r="KZU49" s="344"/>
      <c r="KZV49" s="344"/>
      <c r="KZW49" s="344"/>
      <c r="KZX49" s="344"/>
      <c r="KZY49" s="344"/>
      <c r="KZZ49" s="344"/>
      <c r="LAA49" s="344"/>
      <c r="LAB49" s="344"/>
      <c r="LAC49" s="344"/>
      <c r="LAD49" s="344"/>
      <c r="LAE49" s="344"/>
      <c r="LAF49" s="344"/>
      <c r="LAG49" s="344"/>
      <c r="LAH49" s="344"/>
      <c r="LAI49" s="344"/>
      <c r="LAJ49" s="344"/>
      <c r="LAK49" s="344"/>
      <c r="LAL49" s="344"/>
      <c r="LAM49" s="344"/>
      <c r="LAN49" s="344"/>
      <c r="LAO49" s="344"/>
      <c r="LAP49" s="344"/>
      <c r="LAQ49" s="344"/>
      <c r="LAR49" s="344"/>
      <c r="LAS49" s="344"/>
      <c r="LAT49" s="344"/>
      <c r="LAU49" s="344"/>
      <c r="LAV49" s="344"/>
      <c r="LAW49" s="344"/>
      <c r="LAX49" s="344"/>
      <c r="LAY49" s="344"/>
      <c r="LAZ49" s="344"/>
      <c r="LBA49" s="344"/>
      <c r="LBB49" s="344"/>
      <c r="LBC49" s="344"/>
      <c r="LBD49" s="344"/>
      <c r="LBE49" s="344"/>
      <c r="LBF49" s="344"/>
      <c r="LBG49" s="344"/>
      <c r="LBH49" s="344"/>
      <c r="LBI49" s="344"/>
      <c r="LBJ49" s="344"/>
      <c r="LBK49" s="344"/>
      <c r="LBL49" s="344"/>
      <c r="LBM49" s="344"/>
      <c r="LBN49" s="344"/>
      <c r="LBO49" s="344"/>
      <c r="LBP49" s="344"/>
      <c r="LBQ49" s="344"/>
      <c r="LBR49" s="344"/>
      <c r="LBS49" s="344"/>
      <c r="LBT49" s="344"/>
      <c r="LBU49" s="344"/>
      <c r="LBV49" s="344"/>
      <c r="LBW49" s="344"/>
      <c r="LBX49" s="344"/>
      <c r="LBY49" s="344"/>
      <c r="LBZ49" s="344"/>
      <c r="LCA49" s="344"/>
      <c r="LCB49" s="344"/>
      <c r="LCC49" s="344"/>
      <c r="LCD49" s="344"/>
      <c r="LCE49" s="344"/>
      <c r="LCF49" s="344"/>
      <c r="LCG49" s="344"/>
      <c r="LCH49" s="344"/>
      <c r="LCI49" s="344"/>
      <c r="LCJ49" s="344"/>
      <c r="LCK49" s="344"/>
      <c r="LCL49" s="344"/>
      <c r="LCM49" s="344"/>
      <c r="LCN49" s="344"/>
      <c r="LCO49" s="344"/>
      <c r="LCP49" s="344"/>
      <c r="LCQ49" s="344"/>
      <c r="LCR49" s="344"/>
      <c r="LCS49" s="344"/>
      <c r="LCT49" s="344"/>
      <c r="LCU49" s="344"/>
      <c r="LCV49" s="344"/>
      <c r="LCW49" s="344"/>
      <c r="LCX49" s="344"/>
      <c r="LCY49" s="344"/>
      <c r="LCZ49" s="344"/>
      <c r="LDA49" s="344"/>
      <c r="LDB49" s="344"/>
      <c r="LDC49" s="344"/>
      <c r="LDD49" s="344"/>
      <c r="LDE49" s="344"/>
      <c r="LDF49" s="344"/>
      <c r="LDG49" s="344"/>
      <c r="LDH49" s="344"/>
      <c r="LDI49" s="344"/>
      <c r="LDJ49" s="344"/>
      <c r="LDK49" s="344"/>
      <c r="LDL49" s="344"/>
      <c r="LDM49" s="344"/>
      <c r="LDN49" s="344"/>
      <c r="LDO49" s="344"/>
      <c r="LDP49" s="344"/>
      <c r="LDQ49" s="344"/>
      <c r="LDR49" s="344"/>
      <c r="LDS49" s="344"/>
      <c r="LDT49" s="344"/>
      <c r="LDU49" s="344"/>
      <c r="LDV49" s="344"/>
      <c r="LDW49" s="344"/>
      <c r="LDX49" s="344"/>
      <c r="LDY49" s="344"/>
      <c r="LDZ49" s="344"/>
      <c r="LEA49" s="344"/>
      <c r="LEB49" s="344"/>
      <c r="LEC49" s="344"/>
      <c r="LED49" s="344"/>
      <c r="LEE49" s="344"/>
      <c r="LEF49" s="344"/>
      <c r="LEG49" s="344"/>
      <c r="LEH49" s="344"/>
      <c r="LEI49" s="344"/>
      <c r="LEJ49" s="344"/>
      <c r="LEK49" s="344"/>
      <c r="LEL49" s="344"/>
      <c r="LEM49" s="344"/>
      <c r="LEN49" s="344"/>
      <c r="LEO49" s="344"/>
      <c r="LEP49" s="344"/>
      <c r="LEQ49" s="344"/>
      <c r="LER49" s="344"/>
      <c r="LES49" s="344"/>
      <c r="LET49" s="344"/>
      <c r="LEU49" s="344"/>
      <c r="LEV49" s="344"/>
      <c r="LEW49" s="344"/>
      <c r="LEX49" s="344"/>
      <c r="LEY49" s="344"/>
      <c r="LEZ49" s="344"/>
      <c r="LFA49" s="344"/>
      <c r="LFB49" s="344"/>
      <c r="LFC49" s="344"/>
      <c r="LFD49" s="344"/>
      <c r="LFE49" s="344"/>
      <c r="LFF49" s="344"/>
      <c r="LFG49" s="344"/>
      <c r="LFH49" s="344"/>
      <c r="LFI49" s="344"/>
      <c r="LFJ49" s="344"/>
      <c r="LFK49" s="344"/>
      <c r="LFL49" s="344"/>
      <c r="LFM49" s="344"/>
      <c r="LFN49" s="344"/>
      <c r="LFO49" s="344"/>
      <c r="LFP49" s="344"/>
      <c r="LFQ49" s="344"/>
      <c r="LFR49" s="344"/>
      <c r="LFS49" s="344"/>
      <c r="LFT49" s="344"/>
      <c r="LFU49" s="344"/>
      <c r="LFV49" s="344"/>
      <c r="LFW49" s="344"/>
      <c r="LFX49" s="344"/>
      <c r="LFY49" s="344"/>
      <c r="LFZ49" s="344"/>
      <c r="LGA49" s="344"/>
      <c r="LGB49" s="344"/>
      <c r="LGC49" s="344"/>
      <c r="LGD49" s="344"/>
      <c r="LGE49" s="344"/>
      <c r="LGF49" s="344"/>
      <c r="LGG49" s="344"/>
      <c r="LGH49" s="344"/>
      <c r="LGI49" s="344"/>
      <c r="LGJ49" s="344"/>
      <c r="LGK49" s="344"/>
      <c r="LGL49" s="344"/>
      <c r="LGM49" s="344"/>
      <c r="LGN49" s="344"/>
      <c r="LGO49" s="344"/>
      <c r="LGP49" s="344"/>
      <c r="LGQ49" s="344"/>
      <c r="LGR49" s="344"/>
      <c r="LGS49" s="344"/>
      <c r="LGT49" s="344"/>
      <c r="LGU49" s="344"/>
      <c r="LGV49" s="344"/>
      <c r="LGW49" s="344"/>
      <c r="LGX49" s="344"/>
      <c r="LGY49" s="344"/>
      <c r="LGZ49" s="344"/>
      <c r="LHA49" s="344"/>
      <c r="LHB49" s="344"/>
      <c r="LHC49" s="344"/>
      <c r="LHD49" s="344"/>
      <c r="LHE49" s="344"/>
      <c r="LHF49" s="344"/>
      <c r="LHG49" s="344"/>
      <c r="LHH49" s="344"/>
      <c r="LHI49" s="344"/>
      <c r="LHJ49" s="344"/>
      <c r="LHK49" s="344"/>
      <c r="LHL49" s="344"/>
      <c r="LHM49" s="344"/>
      <c r="LHN49" s="344"/>
      <c r="LHO49" s="344"/>
      <c r="LHP49" s="344"/>
      <c r="LHQ49" s="344"/>
      <c r="LHR49" s="344"/>
      <c r="LHS49" s="344"/>
      <c r="LHT49" s="344"/>
      <c r="LHU49" s="344"/>
      <c r="LHV49" s="344"/>
      <c r="LHW49" s="344"/>
      <c r="LHX49" s="344"/>
      <c r="LHY49" s="344"/>
      <c r="LHZ49" s="344"/>
      <c r="LIA49" s="344"/>
      <c r="LIB49" s="344"/>
      <c r="LIC49" s="344"/>
      <c r="LID49" s="344"/>
      <c r="LIE49" s="344"/>
      <c r="LIF49" s="344"/>
      <c r="LIG49" s="344"/>
      <c r="LIH49" s="344"/>
      <c r="LII49" s="344"/>
      <c r="LIJ49" s="344"/>
      <c r="LIK49" s="344"/>
      <c r="LIL49" s="344"/>
      <c r="LIM49" s="344"/>
      <c r="LIN49" s="344"/>
      <c r="LIO49" s="344"/>
      <c r="LIP49" s="344"/>
      <c r="LIQ49" s="344"/>
      <c r="LIR49" s="344"/>
      <c r="LIS49" s="344"/>
      <c r="LIT49" s="344"/>
      <c r="LIU49" s="344"/>
      <c r="LIV49" s="344"/>
      <c r="LIW49" s="344"/>
      <c r="LIX49" s="344"/>
      <c r="LIY49" s="344"/>
      <c r="LIZ49" s="344"/>
      <c r="LJA49" s="344"/>
      <c r="LJB49" s="344"/>
      <c r="LJC49" s="344"/>
      <c r="LJD49" s="344"/>
      <c r="LJE49" s="344"/>
      <c r="LJF49" s="344"/>
      <c r="LJG49" s="344"/>
      <c r="LJH49" s="344"/>
      <c r="LJI49" s="344"/>
      <c r="LJJ49" s="344"/>
      <c r="LJK49" s="344"/>
      <c r="LJL49" s="344"/>
      <c r="LJM49" s="344"/>
      <c r="LJN49" s="344"/>
      <c r="LJO49" s="344"/>
      <c r="LJP49" s="344"/>
      <c r="LJQ49" s="344"/>
      <c r="LJR49" s="344"/>
      <c r="LJS49" s="344"/>
      <c r="LJT49" s="344"/>
      <c r="LJU49" s="344"/>
      <c r="LJV49" s="344"/>
      <c r="LJW49" s="344"/>
      <c r="LJX49" s="344"/>
      <c r="LJY49" s="344"/>
      <c r="LJZ49" s="344"/>
      <c r="LKA49" s="344"/>
      <c r="LKB49" s="344"/>
      <c r="LKC49" s="344"/>
      <c r="LKD49" s="344"/>
      <c r="LKE49" s="344"/>
      <c r="LKF49" s="344"/>
      <c r="LKG49" s="344"/>
      <c r="LKH49" s="344"/>
      <c r="LKI49" s="344"/>
      <c r="LKJ49" s="344"/>
      <c r="LKK49" s="344"/>
      <c r="LKL49" s="344"/>
      <c r="LKM49" s="344"/>
      <c r="LKN49" s="344"/>
      <c r="LKO49" s="344"/>
      <c r="LKP49" s="344"/>
      <c r="LKQ49" s="344"/>
      <c r="LKR49" s="344"/>
      <c r="LKS49" s="344"/>
      <c r="LKT49" s="344"/>
      <c r="LKU49" s="344"/>
      <c r="LKV49" s="344"/>
      <c r="LKW49" s="344"/>
      <c r="LKX49" s="344"/>
      <c r="LKY49" s="344"/>
      <c r="LKZ49" s="344"/>
      <c r="LLA49" s="344"/>
      <c r="LLB49" s="344"/>
      <c r="LLC49" s="344"/>
      <c r="LLD49" s="344"/>
      <c r="LLE49" s="344"/>
      <c r="LLF49" s="344"/>
      <c r="LLG49" s="344"/>
      <c r="LLH49" s="344"/>
      <c r="LLI49" s="344"/>
      <c r="LLJ49" s="344"/>
      <c r="LLK49" s="344"/>
      <c r="LLL49" s="344"/>
      <c r="LLM49" s="344"/>
      <c r="LLN49" s="344"/>
      <c r="LLO49" s="344"/>
      <c r="LLP49" s="344"/>
      <c r="LLQ49" s="344"/>
      <c r="LLR49" s="344"/>
      <c r="LLS49" s="344"/>
      <c r="LLT49" s="344"/>
      <c r="LLU49" s="344"/>
      <c r="LLV49" s="344"/>
      <c r="LLW49" s="344"/>
      <c r="LLX49" s="344"/>
      <c r="LLY49" s="344"/>
      <c r="LLZ49" s="344"/>
      <c r="LMA49" s="344"/>
      <c r="LMB49" s="344"/>
      <c r="LMC49" s="344"/>
      <c r="LMD49" s="344"/>
      <c r="LME49" s="344"/>
      <c r="LMF49" s="344"/>
      <c r="LMG49" s="344"/>
      <c r="LMH49" s="344"/>
      <c r="LMI49" s="344"/>
      <c r="LMJ49" s="344"/>
      <c r="LMK49" s="344"/>
      <c r="LML49" s="344"/>
      <c r="LMM49" s="344"/>
      <c r="LMN49" s="344"/>
      <c r="LMO49" s="344"/>
      <c r="LMP49" s="344"/>
      <c r="LMQ49" s="344"/>
      <c r="LMR49" s="344"/>
      <c r="LMS49" s="344"/>
      <c r="LMT49" s="344"/>
      <c r="LMU49" s="344"/>
      <c r="LMV49" s="344"/>
      <c r="LMW49" s="344"/>
      <c r="LMX49" s="344"/>
      <c r="LMY49" s="344"/>
      <c r="LMZ49" s="344"/>
      <c r="LNA49" s="344"/>
      <c r="LNB49" s="344"/>
      <c r="LNC49" s="344"/>
      <c r="LND49" s="344"/>
      <c r="LNE49" s="344"/>
      <c r="LNF49" s="344"/>
      <c r="LNG49" s="344"/>
      <c r="LNH49" s="344"/>
      <c r="LNI49" s="344"/>
      <c r="LNJ49" s="344"/>
      <c r="LNK49" s="344"/>
      <c r="LNL49" s="344"/>
      <c r="LNM49" s="344"/>
      <c r="LNN49" s="344"/>
      <c r="LNO49" s="344"/>
      <c r="LNP49" s="344"/>
      <c r="LNQ49" s="344"/>
      <c r="LNR49" s="344"/>
      <c r="LNS49" s="344"/>
      <c r="LNT49" s="344"/>
      <c r="LNU49" s="344"/>
      <c r="LNV49" s="344"/>
      <c r="LNW49" s="344"/>
      <c r="LNX49" s="344"/>
      <c r="LNY49" s="344"/>
      <c r="LNZ49" s="344"/>
      <c r="LOA49" s="344"/>
      <c r="LOB49" s="344"/>
      <c r="LOC49" s="344"/>
      <c r="LOD49" s="344"/>
      <c r="LOE49" s="344"/>
      <c r="LOF49" s="344"/>
      <c r="LOG49" s="344"/>
      <c r="LOH49" s="344"/>
      <c r="LOI49" s="344"/>
      <c r="LOJ49" s="344"/>
      <c r="LOK49" s="344"/>
      <c r="LOL49" s="344"/>
      <c r="LOM49" s="344"/>
      <c r="LON49" s="344"/>
      <c r="LOO49" s="344"/>
      <c r="LOP49" s="344"/>
      <c r="LOQ49" s="344"/>
      <c r="LOR49" s="344"/>
      <c r="LOS49" s="344"/>
      <c r="LOT49" s="344"/>
      <c r="LOU49" s="344"/>
      <c r="LOV49" s="344"/>
      <c r="LOW49" s="344"/>
      <c r="LOX49" s="344"/>
      <c r="LOY49" s="344"/>
      <c r="LOZ49" s="344"/>
      <c r="LPA49" s="344"/>
      <c r="LPB49" s="344"/>
      <c r="LPC49" s="344"/>
      <c r="LPD49" s="344"/>
      <c r="LPE49" s="344"/>
      <c r="LPF49" s="344"/>
      <c r="LPG49" s="344"/>
      <c r="LPH49" s="344"/>
      <c r="LPI49" s="344"/>
      <c r="LPJ49" s="344"/>
      <c r="LPK49" s="344"/>
      <c r="LPL49" s="344"/>
      <c r="LPM49" s="344"/>
      <c r="LPN49" s="344"/>
      <c r="LPO49" s="344"/>
      <c r="LPP49" s="344"/>
      <c r="LPQ49" s="344"/>
      <c r="LPR49" s="344"/>
      <c r="LPS49" s="344"/>
      <c r="LPT49" s="344"/>
      <c r="LPU49" s="344"/>
      <c r="LPV49" s="344"/>
      <c r="LPW49" s="344"/>
      <c r="LPX49" s="344"/>
      <c r="LPY49" s="344"/>
      <c r="LPZ49" s="344"/>
      <c r="LQA49" s="344"/>
      <c r="LQB49" s="344"/>
      <c r="LQC49" s="344"/>
      <c r="LQD49" s="344"/>
      <c r="LQE49" s="344"/>
      <c r="LQF49" s="344"/>
      <c r="LQG49" s="344"/>
      <c r="LQH49" s="344"/>
      <c r="LQI49" s="344"/>
      <c r="LQJ49" s="344"/>
      <c r="LQK49" s="344"/>
      <c r="LQL49" s="344"/>
      <c r="LQM49" s="344"/>
      <c r="LQN49" s="344"/>
      <c r="LQO49" s="344"/>
      <c r="LQP49" s="344"/>
      <c r="LQQ49" s="344"/>
      <c r="LQR49" s="344"/>
      <c r="LQS49" s="344"/>
      <c r="LQT49" s="344"/>
      <c r="LQU49" s="344"/>
      <c r="LQV49" s="344"/>
      <c r="LQW49" s="344"/>
      <c r="LQX49" s="344"/>
      <c r="LQY49" s="344"/>
      <c r="LQZ49" s="344"/>
      <c r="LRA49" s="344"/>
      <c r="LRB49" s="344"/>
      <c r="LRC49" s="344"/>
      <c r="LRD49" s="344"/>
      <c r="LRE49" s="344"/>
      <c r="LRF49" s="344"/>
      <c r="LRG49" s="344"/>
      <c r="LRH49" s="344"/>
      <c r="LRI49" s="344"/>
      <c r="LRJ49" s="344"/>
      <c r="LRK49" s="344"/>
      <c r="LRL49" s="344"/>
      <c r="LRM49" s="344"/>
      <c r="LRN49" s="344"/>
      <c r="LRO49" s="344"/>
      <c r="LRP49" s="344"/>
      <c r="LRQ49" s="344"/>
      <c r="LRR49" s="344"/>
      <c r="LRS49" s="344"/>
      <c r="LRT49" s="344"/>
      <c r="LRU49" s="344"/>
      <c r="LRV49" s="344"/>
      <c r="LRW49" s="344"/>
      <c r="LRX49" s="344"/>
      <c r="LRY49" s="344"/>
      <c r="LRZ49" s="344"/>
      <c r="LSA49" s="344"/>
      <c r="LSB49" s="344"/>
      <c r="LSC49" s="344"/>
      <c r="LSD49" s="344"/>
      <c r="LSE49" s="344"/>
      <c r="LSF49" s="344"/>
      <c r="LSG49" s="344"/>
      <c r="LSH49" s="344"/>
      <c r="LSI49" s="344"/>
      <c r="LSJ49" s="344"/>
      <c r="LSK49" s="344"/>
      <c r="LSL49" s="344"/>
      <c r="LSM49" s="344"/>
      <c r="LSN49" s="344"/>
      <c r="LSO49" s="344"/>
      <c r="LSP49" s="344"/>
      <c r="LSQ49" s="344"/>
      <c r="LSR49" s="344"/>
      <c r="LSS49" s="344"/>
      <c r="LST49" s="344"/>
      <c r="LSU49" s="344"/>
      <c r="LSV49" s="344"/>
      <c r="LSW49" s="344"/>
      <c r="LSX49" s="344"/>
      <c r="LSY49" s="344"/>
      <c r="LSZ49" s="344"/>
      <c r="LTA49" s="344"/>
      <c r="LTB49" s="344"/>
      <c r="LTC49" s="344"/>
      <c r="LTD49" s="344"/>
      <c r="LTE49" s="344"/>
      <c r="LTF49" s="344"/>
      <c r="LTG49" s="344"/>
      <c r="LTH49" s="344"/>
      <c r="LTI49" s="344"/>
      <c r="LTJ49" s="344"/>
      <c r="LTK49" s="344"/>
      <c r="LTL49" s="344"/>
      <c r="LTM49" s="344"/>
      <c r="LTN49" s="344"/>
      <c r="LTO49" s="344"/>
      <c r="LTP49" s="344"/>
      <c r="LTQ49" s="344"/>
      <c r="LTR49" s="344"/>
      <c r="LTS49" s="344"/>
      <c r="LTT49" s="344"/>
      <c r="LTU49" s="344"/>
      <c r="LTV49" s="344"/>
      <c r="LTW49" s="344"/>
      <c r="LTX49" s="344"/>
      <c r="LTY49" s="344"/>
      <c r="LTZ49" s="344"/>
      <c r="LUA49" s="344"/>
      <c r="LUB49" s="344"/>
      <c r="LUC49" s="344"/>
      <c r="LUD49" s="344"/>
      <c r="LUE49" s="344"/>
      <c r="LUF49" s="344"/>
      <c r="LUG49" s="344"/>
      <c r="LUH49" s="344"/>
      <c r="LUI49" s="344"/>
      <c r="LUJ49" s="344"/>
      <c r="LUK49" s="344"/>
      <c r="LUL49" s="344"/>
      <c r="LUM49" s="344"/>
      <c r="LUN49" s="344"/>
      <c r="LUO49" s="344"/>
      <c r="LUP49" s="344"/>
      <c r="LUQ49" s="344"/>
      <c r="LUR49" s="344"/>
      <c r="LUS49" s="344"/>
      <c r="LUT49" s="344"/>
      <c r="LUU49" s="344"/>
      <c r="LUV49" s="344"/>
      <c r="LUW49" s="344"/>
      <c r="LUX49" s="344"/>
      <c r="LUY49" s="344"/>
      <c r="LUZ49" s="344"/>
      <c r="LVA49" s="344"/>
      <c r="LVB49" s="344"/>
      <c r="LVC49" s="344"/>
      <c r="LVD49" s="344"/>
      <c r="LVE49" s="344"/>
      <c r="LVF49" s="344"/>
      <c r="LVG49" s="344"/>
      <c r="LVH49" s="344"/>
      <c r="LVI49" s="344"/>
      <c r="LVJ49" s="344"/>
      <c r="LVK49" s="344"/>
      <c r="LVL49" s="344"/>
      <c r="LVM49" s="344"/>
      <c r="LVN49" s="344"/>
      <c r="LVO49" s="344"/>
      <c r="LVP49" s="344"/>
      <c r="LVQ49" s="344"/>
      <c r="LVR49" s="344"/>
      <c r="LVS49" s="344"/>
      <c r="LVT49" s="344"/>
      <c r="LVU49" s="344"/>
      <c r="LVV49" s="344"/>
      <c r="LVW49" s="344"/>
      <c r="LVX49" s="344"/>
      <c r="LVY49" s="344"/>
      <c r="LVZ49" s="344"/>
      <c r="LWA49" s="344"/>
      <c r="LWB49" s="344"/>
      <c r="LWC49" s="344"/>
      <c r="LWD49" s="344"/>
      <c r="LWE49" s="344"/>
      <c r="LWF49" s="344"/>
      <c r="LWG49" s="344"/>
      <c r="LWH49" s="344"/>
      <c r="LWI49" s="344"/>
      <c r="LWJ49" s="344"/>
      <c r="LWK49" s="344"/>
      <c r="LWL49" s="344"/>
      <c r="LWM49" s="344"/>
      <c r="LWN49" s="344"/>
      <c r="LWO49" s="344"/>
      <c r="LWP49" s="344"/>
      <c r="LWQ49" s="344"/>
      <c r="LWR49" s="344"/>
      <c r="LWS49" s="344"/>
      <c r="LWT49" s="344"/>
      <c r="LWU49" s="344"/>
      <c r="LWV49" s="344"/>
      <c r="LWW49" s="344"/>
      <c r="LWX49" s="344"/>
      <c r="LWY49" s="344"/>
      <c r="LWZ49" s="344"/>
      <c r="LXA49" s="344"/>
      <c r="LXB49" s="344"/>
      <c r="LXC49" s="344"/>
      <c r="LXD49" s="344"/>
      <c r="LXE49" s="344"/>
      <c r="LXF49" s="344"/>
      <c r="LXG49" s="344"/>
      <c r="LXH49" s="344"/>
      <c r="LXI49" s="344"/>
      <c r="LXJ49" s="344"/>
      <c r="LXK49" s="344"/>
      <c r="LXL49" s="344"/>
      <c r="LXM49" s="344"/>
      <c r="LXN49" s="344"/>
      <c r="LXO49" s="344"/>
      <c r="LXP49" s="344"/>
      <c r="LXQ49" s="344"/>
      <c r="LXR49" s="344"/>
      <c r="LXS49" s="344"/>
      <c r="LXT49" s="344"/>
      <c r="LXU49" s="344"/>
      <c r="LXV49" s="344"/>
      <c r="LXW49" s="344"/>
      <c r="LXX49" s="344"/>
      <c r="LXY49" s="344"/>
      <c r="LXZ49" s="344"/>
      <c r="LYA49" s="344"/>
      <c r="LYB49" s="344"/>
      <c r="LYC49" s="344"/>
      <c r="LYD49" s="344"/>
      <c r="LYE49" s="344"/>
      <c r="LYF49" s="344"/>
      <c r="LYG49" s="344"/>
      <c r="LYH49" s="344"/>
      <c r="LYI49" s="344"/>
      <c r="LYJ49" s="344"/>
      <c r="LYK49" s="344"/>
      <c r="LYL49" s="344"/>
      <c r="LYM49" s="344"/>
      <c r="LYN49" s="344"/>
      <c r="LYO49" s="344"/>
      <c r="LYP49" s="344"/>
      <c r="LYQ49" s="344"/>
      <c r="LYR49" s="344"/>
      <c r="LYS49" s="344"/>
      <c r="LYT49" s="344"/>
      <c r="LYU49" s="344"/>
      <c r="LYV49" s="344"/>
      <c r="LYW49" s="344"/>
      <c r="LYX49" s="344"/>
      <c r="LYY49" s="344"/>
      <c r="LYZ49" s="344"/>
      <c r="LZA49" s="344"/>
      <c r="LZB49" s="344"/>
      <c r="LZC49" s="344"/>
      <c r="LZD49" s="344"/>
      <c r="LZE49" s="344"/>
      <c r="LZF49" s="344"/>
      <c r="LZG49" s="344"/>
      <c r="LZH49" s="344"/>
      <c r="LZI49" s="344"/>
      <c r="LZJ49" s="344"/>
      <c r="LZK49" s="344"/>
      <c r="LZL49" s="344"/>
      <c r="LZM49" s="344"/>
      <c r="LZN49" s="344"/>
      <c r="LZO49" s="344"/>
      <c r="LZP49" s="344"/>
      <c r="LZQ49" s="344"/>
      <c r="LZR49" s="344"/>
      <c r="LZS49" s="344"/>
      <c r="LZT49" s="344"/>
      <c r="LZU49" s="344"/>
      <c r="LZV49" s="344"/>
      <c r="LZW49" s="344"/>
      <c r="LZX49" s="344"/>
      <c r="LZY49" s="344"/>
      <c r="LZZ49" s="344"/>
      <c r="MAA49" s="344"/>
      <c r="MAB49" s="344"/>
      <c r="MAC49" s="344"/>
      <c r="MAD49" s="344"/>
      <c r="MAE49" s="344"/>
      <c r="MAF49" s="344"/>
      <c r="MAG49" s="344"/>
      <c r="MAH49" s="344"/>
      <c r="MAI49" s="344"/>
      <c r="MAJ49" s="344"/>
      <c r="MAK49" s="344"/>
      <c r="MAL49" s="344"/>
      <c r="MAM49" s="344"/>
      <c r="MAN49" s="344"/>
      <c r="MAO49" s="344"/>
      <c r="MAP49" s="344"/>
      <c r="MAQ49" s="344"/>
      <c r="MAR49" s="344"/>
      <c r="MAS49" s="344"/>
      <c r="MAT49" s="344"/>
      <c r="MAU49" s="344"/>
      <c r="MAV49" s="344"/>
      <c r="MAW49" s="344"/>
      <c r="MAX49" s="344"/>
      <c r="MAY49" s="344"/>
      <c r="MAZ49" s="344"/>
      <c r="MBA49" s="344"/>
      <c r="MBB49" s="344"/>
      <c r="MBC49" s="344"/>
      <c r="MBD49" s="344"/>
      <c r="MBE49" s="344"/>
      <c r="MBF49" s="344"/>
      <c r="MBG49" s="344"/>
      <c r="MBH49" s="344"/>
      <c r="MBI49" s="344"/>
      <c r="MBJ49" s="344"/>
      <c r="MBK49" s="344"/>
      <c r="MBL49" s="344"/>
      <c r="MBM49" s="344"/>
      <c r="MBN49" s="344"/>
      <c r="MBO49" s="344"/>
      <c r="MBP49" s="344"/>
      <c r="MBQ49" s="344"/>
      <c r="MBR49" s="344"/>
      <c r="MBS49" s="344"/>
      <c r="MBT49" s="344"/>
      <c r="MBU49" s="344"/>
      <c r="MBV49" s="344"/>
      <c r="MBW49" s="344"/>
      <c r="MBX49" s="344"/>
      <c r="MBY49" s="344"/>
      <c r="MBZ49" s="344"/>
      <c r="MCA49" s="344"/>
      <c r="MCB49" s="344"/>
      <c r="MCC49" s="344"/>
      <c r="MCD49" s="344"/>
      <c r="MCE49" s="344"/>
      <c r="MCF49" s="344"/>
      <c r="MCG49" s="344"/>
      <c r="MCH49" s="344"/>
      <c r="MCI49" s="344"/>
      <c r="MCJ49" s="344"/>
      <c r="MCK49" s="344"/>
      <c r="MCL49" s="344"/>
      <c r="MCM49" s="344"/>
      <c r="MCN49" s="344"/>
      <c r="MCO49" s="344"/>
      <c r="MCP49" s="344"/>
      <c r="MCQ49" s="344"/>
      <c r="MCR49" s="344"/>
      <c r="MCS49" s="344"/>
      <c r="MCT49" s="344"/>
      <c r="MCU49" s="344"/>
      <c r="MCV49" s="344"/>
      <c r="MCW49" s="344"/>
      <c r="MCX49" s="344"/>
      <c r="MCY49" s="344"/>
      <c r="MCZ49" s="344"/>
      <c r="MDA49" s="344"/>
      <c r="MDB49" s="344"/>
      <c r="MDC49" s="344"/>
      <c r="MDD49" s="344"/>
      <c r="MDE49" s="344"/>
      <c r="MDF49" s="344"/>
      <c r="MDG49" s="344"/>
      <c r="MDH49" s="344"/>
      <c r="MDI49" s="344"/>
      <c r="MDJ49" s="344"/>
      <c r="MDK49" s="344"/>
      <c r="MDL49" s="344"/>
      <c r="MDM49" s="344"/>
      <c r="MDN49" s="344"/>
      <c r="MDO49" s="344"/>
      <c r="MDP49" s="344"/>
      <c r="MDQ49" s="344"/>
      <c r="MDR49" s="344"/>
      <c r="MDS49" s="344"/>
      <c r="MDT49" s="344"/>
      <c r="MDU49" s="344"/>
      <c r="MDV49" s="344"/>
      <c r="MDW49" s="344"/>
      <c r="MDX49" s="344"/>
      <c r="MDY49" s="344"/>
      <c r="MDZ49" s="344"/>
      <c r="MEA49" s="344"/>
      <c r="MEB49" s="344"/>
      <c r="MEC49" s="344"/>
      <c r="MED49" s="344"/>
      <c r="MEE49" s="344"/>
      <c r="MEF49" s="344"/>
      <c r="MEG49" s="344"/>
      <c r="MEH49" s="344"/>
      <c r="MEI49" s="344"/>
      <c r="MEJ49" s="344"/>
      <c r="MEK49" s="344"/>
      <c r="MEL49" s="344"/>
      <c r="MEM49" s="344"/>
      <c r="MEN49" s="344"/>
      <c r="MEO49" s="344"/>
      <c r="MEP49" s="344"/>
      <c r="MEQ49" s="344"/>
      <c r="MER49" s="344"/>
      <c r="MES49" s="344"/>
      <c r="MET49" s="344"/>
      <c r="MEU49" s="344"/>
      <c r="MEV49" s="344"/>
      <c r="MEW49" s="344"/>
      <c r="MEX49" s="344"/>
      <c r="MEY49" s="344"/>
      <c r="MEZ49" s="344"/>
      <c r="MFA49" s="344"/>
      <c r="MFB49" s="344"/>
      <c r="MFC49" s="344"/>
      <c r="MFD49" s="344"/>
      <c r="MFE49" s="344"/>
      <c r="MFF49" s="344"/>
      <c r="MFG49" s="344"/>
      <c r="MFH49" s="344"/>
      <c r="MFI49" s="344"/>
      <c r="MFJ49" s="344"/>
      <c r="MFK49" s="344"/>
      <c r="MFL49" s="344"/>
      <c r="MFM49" s="344"/>
      <c r="MFN49" s="344"/>
      <c r="MFO49" s="344"/>
      <c r="MFP49" s="344"/>
      <c r="MFQ49" s="344"/>
      <c r="MFR49" s="344"/>
      <c r="MFS49" s="344"/>
      <c r="MFT49" s="344"/>
      <c r="MFU49" s="344"/>
      <c r="MFV49" s="344"/>
      <c r="MFW49" s="344"/>
      <c r="MFX49" s="344"/>
      <c r="MFY49" s="344"/>
      <c r="MFZ49" s="344"/>
      <c r="MGA49" s="344"/>
      <c r="MGB49" s="344"/>
      <c r="MGC49" s="344"/>
      <c r="MGD49" s="344"/>
      <c r="MGE49" s="344"/>
      <c r="MGF49" s="344"/>
      <c r="MGG49" s="344"/>
      <c r="MGH49" s="344"/>
      <c r="MGI49" s="344"/>
      <c r="MGJ49" s="344"/>
      <c r="MGK49" s="344"/>
      <c r="MGL49" s="344"/>
      <c r="MGM49" s="344"/>
      <c r="MGN49" s="344"/>
      <c r="MGO49" s="344"/>
      <c r="MGP49" s="344"/>
      <c r="MGQ49" s="344"/>
      <c r="MGR49" s="344"/>
      <c r="MGS49" s="344"/>
      <c r="MGT49" s="344"/>
      <c r="MGU49" s="344"/>
      <c r="MGV49" s="344"/>
      <c r="MGW49" s="344"/>
      <c r="MGX49" s="344"/>
      <c r="MGY49" s="344"/>
      <c r="MGZ49" s="344"/>
      <c r="MHA49" s="344"/>
      <c r="MHB49" s="344"/>
      <c r="MHC49" s="344"/>
      <c r="MHD49" s="344"/>
      <c r="MHE49" s="344"/>
      <c r="MHF49" s="344"/>
      <c r="MHG49" s="344"/>
      <c r="MHH49" s="344"/>
      <c r="MHI49" s="344"/>
      <c r="MHJ49" s="344"/>
      <c r="MHK49" s="344"/>
      <c r="MHL49" s="344"/>
      <c r="MHM49" s="344"/>
      <c r="MHN49" s="344"/>
      <c r="MHO49" s="344"/>
      <c r="MHP49" s="344"/>
      <c r="MHQ49" s="344"/>
      <c r="MHR49" s="344"/>
      <c r="MHS49" s="344"/>
      <c r="MHT49" s="344"/>
      <c r="MHU49" s="344"/>
      <c r="MHV49" s="344"/>
      <c r="MHW49" s="344"/>
      <c r="MHX49" s="344"/>
      <c r="MHY49" s="344"/>
      <c r="MHZ49" s="344"/>
      <c r="MIA49" s="344"/>
      <c r="MIB49" s="344"/>
      <c r="MIC49" s="344"/>
      <c r="MID49" s="344"/>
      <c r="MIE49" s="344"/>
      <c r="MIF49" s="344"/>
      <c r="MIG49" s="344"/>
      <c r="MIH49" s="344"/>
      <c r="MII49" s="344"/>
      <c r="MIJ49" s="344"/>
      <c r="MIK49" s="344"/>
      <c r="MIL49" s="344"/>
      <c r="MIM49" s="344"/>
      <c r="MIN49" s="344"/>
      <c r="MIO49" s="344"/>
      <c r="MIP49" s="344"/>
      <c r="MIQ49" s="344"/>
      <c r="MIR49" s="344"/>
      <c r="MIS49" s="344"/>
      <c r="MIT49" s="344"/>
      <c r="MIU49" s="344"/>
      <c r="MIV49" s="344"/>
      <c r="MIW49" s="344"/>
      <c r="MIX49" s="344"/>
      <c r="MIY49" s="344"/>
      <c r="MIZ49" s="344"/>
      <c r="MJA49" s="344"/>
      <c r="MJB49" s="344"/>
      <c r="MJC49" s="344"/>
      <c r="MJD49" s="344"/>
      <c r="MJE49" s="344"/>
      <c r="MJF49" s="344"/>
      <c r="MJG49" s="344"/>
      <c r="MJH49" s="344"/>
      <c r="MJI49" s="344"/>
      <c r="MJJ49" s="344"/>
      <c r="MJK49" s="344"/>
      <c r="MJL49" s="344"/>
      <c r="MJM49" s="344"/>
      <c r="MJN49" s="344"/>
      <c r="MJO49" s="344"/>
      <c r="MJP49" s="344"/>
      <c r="MJQ49" s="344"/>
      <c r="MJR49" s="344"/>
      <c r="MJS49" s="344"/>
      <c r="MJT49" s="344"/>
      <c r="MJU49" s="344"/>
      <c r="MJV49" s="344"/>
      <c r="MJW49" s="344"/>
      <c r="MJX49" s="344"/>
      <c r="MJY49" s="344"/>
      <c r="MJZ49" s="344"/>
      <c r="MKA49" s="344"/>
      <c r="MKB49" s="344"/>
      <c r="MKC49" s="344"/>
      <c r="MKD49" s="344"/>
      <c r="MKE49" s="344"/>
      <c r="MKF49" s="344"/>
      <c r="MKG49" s="344"/>
      <c r="MKH49" s="344"/>
      <c r="MKI49" s="344"/>
      <c r="MKJ49" s="344"/>
      <c r="MKK49" s="344"/>
      <c r="MKL49" s="344"/>
      <c r="MKM49" s="344"/>
      <c r="MKN49" s="344"/>
      <c r="MKO49" s="344"/>
      <c r="MKP49" s="344"/>
      <c r="MKQ49" s="344"/>
      <c r="MKR49" s="344"/>
      <c r="MKS49" s="344"/>
      <c r="MKT49" s="344"/>
      <c r="MKU49" s="344"/>
      <c r="MKV49" s="344"/>
      <c r="MKW49" s="344"/>
      <c r="MKX49" s="344"/>
      <c r="MKY49" s="344"/>
      <c r="MKZ49" s="344"/>
      <c r="MLA49" s="344"/>
      <c r="MLB49" s="344"/>
      <c r="MLC49" s="344"/>
      <c r="MLD49" s="344"/>
      <c r="MLE49" s="344"/>
      <c r="MLF49" s="344"/>
      <c r="MLG49" s="344"/>
      <c r="MLH49" s="344"/>
      <c r="MLI49" s="344"/>
      <c r="MLJ49" s="344"/>
      <c r="MLK49" s="344"/>
      <c r="MLL49" s="344"/>
      <c r="MLM49" s="344"/>
      <c r="MLN49" s="344"/>
      <c r="MLO49" s="344"/>
      <c r="MLP49" s="344"/>
      <c r="MLQ49" s="344"/>
      <c r="MLR49" s="344"/>
      <c r="MLS49" s="344"/>
      <c r="MLT49" s="344"/>
      <c r="MLU49" s="344"/>
      <c r="MLV49" s="344"/>
      <c r="MLW49" s="344"/>
      <c r="MLX49" s="344"/>
      <c r="MLY49" s="344"/>
      <c r="MLZ49" s="344"/>
      <c r="MMA49" s="344"/>
      <c r="MMB49" s="344"/>
      <c r="MMC49" s="344"/>
      <c r="MMD49" s="344"/>
      <c r="MME49" s="344"/>
      <c r="MMF49" s="344"/>
      <c r="MMG49" s="344"/>
      <c r="MMH49" s="344"/>
      <c r="MMI49" s="344"/>
      <c r="MMJ49" s="344"/>
      <c r="MMK49" s="344"/>
      <c r="MML49" s="344"/>
      <c r="MMM49" s="344"/>
      <c r="MMN49" s="344"/>
      <c r="MMO49" s="344"/>
      <c r="MMP49" s="344"/>
      <c r="MMQ49" s="344"/>
      <c r="MMR49" s="344"/>
      <c r="MMS49" s="344"/>
      <c r="MMT49" s="344"/>
      <c r="MMU49" s="344"/>
      <c r="MMV49" s="344"/>
      <c r="MMW49" s="344"/>
      <c r="MMX49" s="344"/>
      <c r="MMY49" s="344"/>
      <c r="MMZ49" s="344"/>
      <c r="MNA49" s="344"/>
      <c r="MNB49" s="344"/>
      <c r="MNC49" s="344"/>
      <c r="MND49" s="344"/>
      <c r="MNE49" s="344"/>
      <c r="MNF49" s="344"/>
      <c r="MNG49" s="344"/>
      <c r="MNH49" s="344"/>
      <c r="MNI49" s="344"/>
      <c r="MNJ49" s="344"/>
      <c r="MNK49" s="344"/>
      <c r="MNL49" s="344"/>
      <c r="MNM49" s="344"/>
      <c r="MNN49" s="344"/>
      <c r="MNO49" s="344"/>
      <c r="MNP49" s="344"/>
      <c r="MNQ49" s="344"/>
      <c r="MNR49" s="344"/>
      <c r="MNS49" s="344"/>
      <c r="MNT49" s="344"/>
      <c r="MNU49" s="344"/>
      <c r="MNV49" s="344"/>
      <c r="MNW49" s="344"/>
      <c r="MNX49" s="344"/>
      <c r="MNY49" s="344"/>
      <c r="MNZ49" s="344"/>
      <c r="MOA49" s="344"/>
      <c r="MOB49" s="344"/>
      <c r="MOC49" s="344"/>
      <c r="MOD49" s="344"/>
      <c r="MOE49" s="344"/>
      <c r="MOF49" s="344"/>
      <c r="MOG49" s="344"/>
      <c r="MOH49" s="344"/>
      <c r="MOI49" s="344"/>
      <c r="MOJ49" s="344"/>
      <c r="MOK49" s="344"/>
      <c r="MOL49" s="344"/>
      <c r="MOM49" s="344"/>
      <c r="MON49" s="344"/>
      <c r="MOO49" s="344"/>
      <c r="MOP49" s="344"/>
      <c r="MOQ49" s="344"/>
      <c r="MOR49" s="344"/>
      <c r="MOS49" s="344"/>
      <c r="MOT49" s="344"/>
      <c r="MOU49" s="344"/>
      <c r="MOV49" s="344"/>
      <c r="MOW49" s="344"/>
      <c r="MOX49" s="344"/>
      <c r="MOY49" s="344"/>
      <c r="MOZ49" s="344"/>
      <c r="MPA49" s="344"/>
      <c r="MPB49" s="344"/>
      <c r="MPC49" s="344"/>
      <c r="MPD49" s="344"/>
      <c r="MPE49" s="344"/>
      <c r="MPF49" s="344"/>
      <c r="MPG49" s="344"/>
      <c r="MPH49" s="344"/>
      <c r="MPI49" s="344"/>
      <c r="MPJ49" s="344"/>
      <c r="MPK49" s="344"/>
      <c r="MPL49" s="344"/>
      <c r="MPM49" s="344"/>
      <c r="MPN49" s="344"/>
      <c r="MPO49" s="344"/>
      <c r="MPP49" s="344"/>
      <c r="MPQ49" s="344"/>
      <c r="MPR49" s="344"/>
      <c r="MPS49" s="344"/>
      <c r="MPT49" s="344"/>
      <c r="MPU49" s="344"/>
      <c r="MPV49" s="344"/>
      <c r="MPW49" s="344"/>
      <c r="MPX49" s="344"/>
      <c r="MPY49" s="344"/>
      <c r="MPZ49" s="344"/>
      <c r="MQA49" s="344"/>
      <c r="MQB49" s="344"/>
      <c r="MQC49" s="344"/>
      <c r="MQD49" s="344"/>
      <c r="MQE49" s="344"/>
      <c r="MQF49" s="344"/>
      <c r="MQG49" s="344"/>
      <c r="MQH49" s="344"/>
      <c r="MQI49" s="344"/>
      <c r="MQJ49" s="344"/>
      <c r="MQK49" s="344"/>
      <c r="MQL49" s="344"/>
      <c r="MQM49" s="344"/>
      <c r="MQN49" s="344"/>
      <c r="MQO49" s="344"/>
      <c r="MQP49" s="344"/>
      <c r="MQQ49" s="344"/>
      <c r="MQR49" s="344"/>
      <c r="MQS49" s="344"/>
      <c r="MQT49" s="344"/>
      <c r="MQU49" s="344"/>
      <c r="MQV49" s="344"/>
      <c r="MQW49" s="344"/>
      <c r="MQX49" s="344"/>
      <c r="MQY49" s="344"/>
      <c r="MQZ49" s="344"/>
      <c r="MRA49" s="344"/>
      <c r="MRB49" s="344"/>
      <c r="MRC49" s="344"/>
      <c r="MRD49" s="344"/>
      <c r="MRE49" s="344"/>
      <c r="MRF49" s="344"/>
      <c r="MRG49" s="344"/>
      <c r="MRH49" s="344"/>
      <c r="MRI49" s="344"/>
      <c r="MRJ49" s="344"/>
      <c r="MRK49" s="344"/>
      <c r="MRL49" s="344"/>
      <c r="MRM49" s="344"/>
      <c r="MRN49" s="344"/>
      <c r="MRO49" s="344"/>
      <c r="MRP49" s="344"/>
      <c r="MRQ49" s="344"/>
      <c r="MRR49" s="344"/>
      <c r="MRS49" s="344"/>
      <c r="MRT49" s="344"/>
      <c r="MRU49" s="344"/>
      <c r="MRV49" s="344"/>
      <c r="MRW49" s="344"/>
      <c r="MRX49" s="344"/>
      <c r="MRY49" s="344"/>
      <c r="MRZ49" s="344"/>
      <c r="MSA49" s="344"/>
      <c r="MSB49" s="344"/>
      <c r="MSC49" s="344"/>
      <c r="MSD49" s="344"/>
      <c r="MSE49" s="344"/>
      <c r="MSF49" s="344"/>
      <c r="MSG49" s="344"/>
      <c r="MSH49" s="344"/>
      <c r="MSI49" s="344"/>
      <c r="MSJ49" s="344"/>
      <c r="MSK49" s="344"/>
      <c r="MSL49" s="344"/>
      <c r="MSM49" s="344"/>
      <c r="MSN49" s="344"/>
      <c r="MSO49" s="344"/>
      <c r="MSP49" s="344"/>
      <c r="MSQ49" s="344"/>
      <c r="MSR49" s="344"/>
      <c r="MSS49" s="344"/>
      <c r="MST49" s="344"/>
      <c r="MSU49" s="344"/>
      <c r="MSV49" s="344"/>
      <c r="MSW49" s="344"/>
      <c r="MSX49" s="344"/>
      <c r="MSY49" s="344"/>
      <c r="MSZ49" s="344"/>
      <c r="MTA49" s="344"/>
      <c r="MTB49" s="344"/>
      <c r="MTC49" s="344"/>
      <c r="MTD49" s="344"/>
      <c r="MTE49" s="344"/>
      <c r="MTF49" s="344"/>
      <c r="MTG49" s="344"/>
      <c r="MTH49" s="344"/>
      <c r="MTI49" s="344"/>
      <c r="MTJ49" s="344"/>
      <c r="MTK49" s="344"/>
      <c r="MTL49" s="344"/>
      <c r="MTM49" s="344"/>
      <c r="MTN49" s="344"/>
      <c r="MTO49" s="344"/>
      <c r="MTP49" s="344"/>
      <c r="MTQ49" s="344"/>
      <c r="MTR49" s="344"/>
      <c r="MTS49" s="344"/>
      <c r="MTT49" s="344"/>
      <c r="MTU49" s="344"/>
      <c r="MTV49" s="344"/>
      <c r="MTW49" s="344"/>
      <c r="MTX49" s="344"/>
      <c r="MTY49" s="344"/>
      <c r="MTZ49" s="344"/>
      <c r="MUA49" s="344"/>
      <c r="MUB49" s="344"/>
      <c r="MUC49" s="344"/>
      <c r="MUD49" s="344"/>
      <c r="MUE49" s="344"/>
      <c r="MUF49" s="344"/>
      <c r="MUG49" s="344"/>
      <c r="MUH49" s="344"/>
      <c r="MUI49" s="344"/>
      <c r="MUJ49" s="344"/>
      <c r="MUK49" s="344"/>
      <c r="MUL49" s="344"/>
      <c r="MUM49" s="344"/>
      <c r="MUN49" s="344"/>
      <c r="MUO49" s="344"/>
      <c r="MUP49" s="344"/>
      <c r="MUQ49" s="344"/>
      <c r="MUR49" s="344"/>
      <c r="MUS49" s="344"/>
      <c r="MUT49" s="344"/>
      <c r="MUU49" s="344"/>
      <c r="MUV49" s="344"/>
      <c r="MUW49" s="344"/>
      <c r="MUX49" s="344"/>
      <c r="MUY49" s="344"/>
      <c r="MUZ49" s="344"/>
      <c r="MVA49" s="344"/>
      <c r="MVB49" s="344"/>
      <c r="MVC49" s="344"/>
      <c r="MVD49" s="344"/>
      <c r="MVE49" s="344"/>
      <c r="MVF49" s="344"/>
      <c r="MVG49" s="344"/>
      <c r="MVH49" s="344"/>
      <c r="MVI49" s="344"/>
      <c r="MVJ49" s="344"/>
      <c r="MVK49" s="344"/>
      <c r="MVL49" s="344"/>
      <c r="MVM49" s="344"/>
      <c r="MVN49" s="344"/>
      <c r="MVO49" s="344"/>
      <c r="MVP49" s="344"/>
      <c r="MVQ49" s="344"/>
      <c r="MVR49" s="344"/>
      <c r="MVS49" s="344"/>
      <c r="MVT49" s="344"/>
      <c r="MVU49" s="344"/>
      <c r="MVV49" s="344"/>
      <c r="MVW49" s="344"/>
      <c r="MVX49" s="344"/>
      <c r="MVY49" s="344"/>
      <c r="MVZ49" s="344"/>
      <c r="MWA49" s="344"/>
      <c r="MWB49" s="344"/>
      <c r="MWC49" s="344"/>
      <c r="MWD49" s="344"/>
      <c r="MWE49" s="344"/>
      <c r="MWF49" s="344"/>
      <c r="MWG49" s="344"/>
      <c r="MWH49" s="344"/>
      <c r="MWI49" s="344"/>
      <c r="MWJ49" s="344"/>
      <c r="MWK49" s="344"/>
      <c r="MWL49" s="344"/>
      <c r="MWM49" s="344"/>
      <c r="MWN49" s="344"/>
      <c r="MWO49" s="344"/>
      <c r="MWP49" s="344"/>
      <c r="MWQ49" s="344"/>
      <c r="MWR49" s="344"/>
      <c r="MWS49" s="344"/>
      <c r="MWT49" s="344"/>
      <c r="MWU49" s="344"/>
      <c r="MWV49" s="344"/>
      <c r="MWW49" s="344"/>
      <c r="MWX49" s="344"/>
      <c r="MWY49" s="344"/>
      <c r="MWZ49" s="344"/>
      <c r="MXA49" s="344"/>
      <c r="MXB49" s="344"/>
      <c r="MXC49" s="344"/>
      <c r="MXD49" s="344"/>
      <c r="MXE49" s="344"/>
      <c r="MXF49" s="344"/>
      <c r="MXG49" s="344"/>
      <c r="MXH49" s="344"/>
      <c r="MXI49" s="344"/>
      <c r="MXJ49" s="344"/>
      <c r="MXK49" s="344"/>
      <c r="MXL49" s="344"/>
      <c r="MXM49" s="344"/>
      <c r="MXN49" s="344"/>
      <c r="MXO49" s="344"/>
      <c r="MXP49" s="344"/>
      <c r="MXQ49" s="344"/>
      <c r="MXR49" s="344"/>
      <c r="MXS49" s="344"/>
      <c r="MXT49" s="344"/>
      <c r="MXU49" s="344"/>
      <c r="MXV49" s="344"/>
      <c r="MXW49" s="344"/>
      <c r="MXX49" s="344"/>
      <c r="MXY49" s="344"/>
      <c r="MXZ49" s="344"/>
      <c r="MYA49" s="344"/>
      <c r="MYB49" s="344"/>
      <c r="MYC49" s="344"/>
      <c r="MYD49" s="344"/>
      <c r="MYE49" s="344"/>
      <c r="MYF49" s="344"/>
      <c r="MYG49" s="344"/>
      <c r="MYH49" s="344"/>
      <c r="MYI49" s="344"/>
      <c r="MYJ49" s="344"/>
      <c r="MYK49" s="344"/>
      <c r="MYL49" s="344"/>
      <c r="MYM49" s="344"/>
      <c r="MYN49" s="344"/>
      <c r="MYO49" s="344"/>
      <c r="MYP49" s="344"/>
      <c r="MYQ49" s="344"/>
      <c r="MYR49" s="344"/>
      <c r="MYS49" s="344"/>
      <c r="MYT49" s="344"/>
      <c r="MYU49" s="344"/>
      <c r="MYV49" s="344"/>
      <c r="MYW49" s="344"/>
      <c r="MYX49" s="344"/>
      <c r="MYY49" s="344"/>
      <c r="MYZ49" s="344"/>
      <c r="MZA49" s="344"/>
      <c r="MZB49" s="344"/>
      <c r="MZC49" s="344"/>
      <c r="MZD49" s="344"/>
      <c r="MZE49" s="344"/>
      <c r="MZF49" s="344"/>
      <c r="MZG49" s="344"/>
      <c r="MZH49" s="344"/>
      <c r="MZI49" s="344"/>
      <c r="MZJ49" s="344"/>
      <c r="MZK49" s="344"/>
      <c r="MZL49" s="344"/>
      <c r="MZM49" s="344"/>
      <c r="MZN49" s="344"/>
      <c r="MZO49" s="344"/>
      <c r="MZP49" s="344"/>
      <c r="MZQ49" s="344"/>
      <c r="MZR49" s="344"/>
      <c r="MZS49" s="344"/>
      <c r="MZT49" s="344"/>
      <c r="MZU49" s="344"/>
      <c r="MZV49" s="344"/>
      <c r="MZW49" s="344"/>
      <c r="MZX49" s="344"/>
      <c r="MZY49" s="344"/>
      <c r="MZZ49" s="344"/>
      <c r="NAA49" s="344"/>
      <c r="NAB49" s="344"/>
      <c r="NAC49" s="344"/>
      <c r="NAD49" s="344"/>
      <c r="NAE49" s="344"/>
      <c r="NAF49" s="344"/>
      <c r="NAG49" s="344"/>
      <c r="NAH49" s="344"/>
      <c r="NAI49" s="344"/>
      <c r="NAJ49" s="344"/>
      <c r="NAK49" s="344"/>
      <c r="NAL49" s="344"/>
      <c r="NAM49" s="344"/>
      <c r="NAN49" s="344"/>
      <c r="NAO49" s="344"/>
      <c r="NAP49" s="344"/>
      <c r="NAQ49" s="344"/>
      <c r="NAR49" s="344"/>
      <c r="NAS49" s="344"/>
      <c r="NAT49" s="344"/>
      <c r="NAU49" s="344"/>
      <c r="NAV49" s="344"/>
      <c r="NAW49" s="344"/>
      <c r="NAX49" s="344"/>
      <c r="NAY49" s="344"/>
      <c r="NAZ49" s="344"/>
      <c r="NBA49" s="344"/>
      <c r="NBB49" s="344"/>
      <c r="NBC49" s="344"/>
      <c r="NBD49" s="344"/>
      <c r="NBE49" s="344"/>
      <c r="NBF49" s="344"/>
      <c r="NBG49" s="344"/>
      <c r="NBH49" s="344"/>
      <c r="NBI49" s="344"/>
      <c r="NBJ49" s="344"/>
      <c r="NBK49" s="344"/>
      <c r="NBL49" s="344"/>
      <c r="NBM49" s="344"/>
      <c r="NBN49" s="344"/>
      <c r="NBO49" s="344"/>
      <c r="NBP49" s="344"/>
      <c r="NBQ49" s="344"/>
      <c r="NBR49" s="344"/>
      <c r="NBS49" s="344"/>
      <c r="NBT49" s="344"/>
      <c r="NBU49" s="344"/>
      <c r="NBV49" s="344"/>
      <c r="NBW49" s="344"/>
      <c r="NBX49" s="344"/>
      <c r="NBY49" s="344"/>
      <c r="NBZ49" s="344"/>
      <c r="NCA49" s="344"/>
      <c r="NCB49" s="344"/>
      <c r="NCC49" s="344"/>
      <c r="NCD49" s="344"/>
      <c r="NCE49" s="344"/>
      <c r="NCF49" s="344"/>
      <c r="NCG49" s="344"/>
      <c r="NCH49" s="344"/>
      <c r="NCI49" s="344"/>
      <c r="NCJ49" s="344"/>
      <c r="NCK49" s="344"/>
      <c r="NCL49" s="344"/>
      <c r="NCM49" s="344"/>
      <c r="NCN49" s="344"/>
      <c r="NCO49" s="344"/>
      <c r="NCP49" s="344"/>
      <c r="NCQ49" s="344"/>
      <c r="NCR49" s="344"/>
      <c r="NCS49" s="344"/>
      <c r="NCT49" s="344"/>
      <c r="NCU49" s="344"/>
      <c r="NCV49" s="344"/>
      <c r="NCW49" s="344"/>
      <c r="NCX49" s="344"/>
      <c r="NCY49" s="344"/>
      <c r="NCZ49" s="344"/>
      <c r="NDA49" s="344"/>
      <c r="NDB49" s="344"/>
      <c r="NDC49" s="344"/>
      <c r="NDD49" s="344"/>
      <c r="NDE49" s="344"/>
      <c r="NDF49" s="344"/>
      <c r="NDG49" s="344"/>
      <c r="NDH49" s="344"/>
      <c r="NDI49" s="344"/>
      <c r="NDJ49" s="344"/>
      <c r="NDK49" s="344"/>
      <c r="NDL49" s="344"/>
      <c r="NDM49" s="344"/>
      <c r="NDN49" s="344"/>
      <c r="NDO49" s="344"/>
      <c r="NDP49" s="344"/>
      <c r="NDQ49" s="344"/>
      <c r="NDR49" s="344"/>
      <c r="NDS49" s="344"/>
      <c r="NDT49" s="344"/>
      <c r="NDU49" s="344"/>
      <c r="NDV49" s="344"/>
      <c r="NDW49" s="344"/>
      <c r="NDX49" s="344"/>
      <c r="NDY49" s="344"/>
      <c r="NDZ49" s="344"/>
      <c r="NEA49" s="344"/>
      <c r="NEB49" s="344"/>
      <c r="NEC49" s="344"/>
      <c r="NED49" s="344"/>
      <c r="NEE49" s="344"/>
      <c r="NEF49" s="344"/>
      <c r="NEG49" s="344"/>
      <c r="NEH49" s="344"/>
      <c r="NEI49" s="344"/>
      <c r="NEJ49" s="344"/>
      <c r="NEK49" s="344"/>
      <c r="NEL49" s="344"/>
      <c r="NEM49" s="344"/>
      <c r="NEN49" s="344"/>
      <c r="NEO49" s="344"/>
      <c r="NEP49" s="344"/>
      <c r="NEQ49" s="344"/>
      <c r="NER49" s="344"/>
      <c r="NES49" s="344"/>
      <c r="NET49" s="344"/>
      <c r="NEU49" s="344"/>
      <c r="NEV49" s="344"/>
      <c r="NEW49" s="344"/>
      <c r="NEX49" s="344"/>
      <c r="NEY49" s="344"/>
      <c r="NEZ49" s="344"/>
      <c r="NFA49" s="344"/>
      <c r="NFB49" s="344"/>
      <c r="NFC49" s="344"/>
      <c r="NFD49" s="344"/>
      <c r="NFE49" s="344"/>
      <c r="NFF49" s="344"/>
      <c r="NFG49" s="344"/>
      <c r="NFH49" s="344"/>
      <c r="NFI49" s="344"/>
      <c r="NFJ49" s="344"/>
      <c r="NFK49" s="344"/>
      <c r="NFL49" s="344"/>
      <c r="NFM49" s="344"/>
      <c r="NFN49" s="344"/>
      <c r="NFO49" s="344"/>
      <c r="NFP49" s="344"/>
      <c r="NFQ49" s="344"/>
      <c r="NFR49" s="344"/>
      <c r="NFS49" s="344"/>
      <c r="NFT49" s="344"/>
      <c r="NFU49" s="344"/>
      <c r="NFV49" s="344"/>
      <c r="NFW49" s="344"/>
      <c r="NFX49" s="344"/>
      <c r="NFY49" s="344"/>
      <c r="NFZ49" s="344"/>
      <c r="NGA49" s="344"/>
      <c r="NGB49" s="344"/>
      <c r="NGC49" s="344"/>
      <c r="NGD49" s="344"/>
      <c r="NGE49" s="344"/>
      <c r="NGF49" s="344"/>
      <c r="NGG49" s="344"/>
      <c r="NGH49" s="344"/>
      <c r="NGI49" s="344"/>
      <c r="NGJ49" s="344"/>
      <c r="NGK49" s="344"/>
      <c r="NGL49" s="344"/>
      <c r="NGM49" s="344"/>
      <c r="NGN49" s="344"/>
      <c r="NGO49" s="344"/>
      <c r="NGP49" s="344"/>
      <c r="NGQ49" s="344"/>
      <c r="NGR49" s="344"/>
      <c r="NGS49" s="344"/>
      <c r="NGT49" s="344"/>
      <c r="NGU49" s="344"/>
      <c r="NGV49" s="344"/>
      <c r="NGW49" s="344"/>
      <c r="NGX49" s="344"/>
      <c r="NGY49" s="344"/>
      <c r="NGZ49" s="344"/>
      <c r="NHA49" s="344"/>
      <c r="NHB49" s="344"/>
      <c r="NHC49" s="344"/>
      <c r="NHD49" s="344"/>
      <c r="NHE49" s="344"/>
      <c r="NHF49" s="344"/>
      <c r="NHG49" s="344"/>
      <c r="NHH49" s="344"/>
      <c r="NHI49" s="344"/>
      <c r="NHJ49" s="344"/>
      <c r="NHK49" s="344"/>
      <c r="NHL49" s="344"/>
      <c r="NHM49" s="344"/>
      <c r="NHN49" s="344"/>
      <c r="NHO49" s="344"/>
      <c r="NHP49" s="344"/>
      <c r="NHQ49" s="344"/>
      <c r="NHR49" s="344"/>
      <c r="NHS49" s="344"/>
      <c r="NHT49" s="344"/>
      <c r="NHU49" s="344"/>
      <c r="NHV49" s="344"/>
      <c r="NHW49" s="344"/>
      <c r="NHX49" s="344"/>
      <c r="NHY49" s="344"/>
      <c r="NHZ49" s="344"/>
      <c r="NIA49" s="344"/>
      <c r="NIB49" s="344"/>
      <c r="NIC49" s="344"/>
      <c r="NID49" s="344"/>
      <c r="NIE49" s="344"/>
      <c r="NIF49" s="344"/>
      <c r="NIG49" s="344"/>
      <c r="NIH49" s="344"/>
      <c r="NII49" s="344"/>
      <c r="NIJ49" s="344"/>
      <c r="NIK49" s="344"/>
      <c r="NIL49" s="344"/>
      <c r="NIM49" s="344"/>
      <c r="NIN49" s="344"/>
      <c r="NIO49" s="344"/>
      <c r="NIP49" s="344"/>
      <c r="NIQ49" s="344"/>
      <c r="NIR49" s="344"/>
      <c r="NIS49" s="344"/>
      <c r="NIT49" s="344"/>
      <c r="NIU49" s="344"/>
      <c r="NIV49" s="344"/>
      <c r="NIW49" s="344"/>
      <c r="NIX49" s="344"/>
      <c r="NIY49" s="344"/>
      <c r="NIZ49" s="344"/>
      <c r="NJA49" s="344"/>
      <c r="NJB49" s="344"/>
      <c r="NJC49" s="344"/>
      <c r="NJD49" s="344"/>
      <c r="NJE49" s="344"/>
      <c r="NJF49" s="344"/>
      <c r="NJG49" s="344"/>
      <c r="NJH49" s="344"/>
      <c r="NJI49" s="344"/>
      <c r="NJJ49" s="344"/>
      <c r="NJK49" s="344"/>
      <c r="NJL49" s="344"/>
      <c r="NJM49" s="344"/>
      <c r="NJN49" s="344"/>
      <c r="NJO49" s="344"/>
      <c r="NJP49" s="344"/>
      <c r="NJQ49" s="344"/>
      <c r="NJR49" s="344"/>
      <c r="NJS49" s="344"/>
      <c r="NJT49" s="344"/>
      <c r="NJU49" s="344"/>
      <c r="NJV49" s="344"/>
      <c r="NJW49" s="344"/>
      <c r="NJX49" s="344"/>
      <c r="NJY49" s="344"/>
      <c r="NJZ49" s="344"/>
      <c r="NKA49" s="344"/>
      <c r="NKB49" s="344"/>
      <c r="NKC49" s="344"/>
      <c r="NKD49" s="344"/>
      <c r="NKE49" s="344"/>
      <c r="NKF49" s="344"/>
      <c r="NKG49" s="344"/>
      <c r="NKH49" s="344"/>
      <c r="NKI49" s="344"/>
      <c r="NKJ49" s="344"/>
      <c r="NKK49" s="344"/>
      <c r="NKL49" s="344"/>
      <c r="NKM49" s="344"/>
      <c r="NKN49" s="344"/>
      <c r="NKO49" s="344"/>
      <c r="NKP49" s="344"/>
      <c r="NKQ49" s="344"/>
      <c r="NKR49" s="344"/>
      <c r="NKS49" s="344"/>
      <c r="NKT49" s="344"/>
      <c r="NKU49" s="344"/>
      <c r="NKV49" s="344"/>
      <c r="NKW49" s="344"/>
      <c r="NKX49" s="344"/>
      <c r="NKY49" s="344"/>
      <c r="NKZ49" s="344"/>
      <c r="NLA49" s="344"/>
      <c r="NLB49" s="344"/>
      <c r="NLC49" s="344"/>
      <c r="NLD49" s="344"/>
      <c r="NLE49" s="344"/>
      <c r="NLF49" s="344"/>
      <c r="NLG49" s="344"/>
      <c r="NLH49" s="344"/>
      <c r="NLI49" s="344"/>
      <c r="NLJ49" s="344"/>
      <c r="NLK49" s="344"/>
      <c r="NLL49" s="344"/>
      <c r="NLM49" s="344"/>
      <c r="NLN49" s="344"/>
      <c r="NLO49" s="344"/>
      <c r="NLP49" s="344"/>
      <c r="NLQ49" s="344"/>
      <c r="NLR49" s="344"/>
      <c r="NLS49" s="344"/>
      <c r="NLT49" s="344"/>
      <c r="NLU49" s="344"/>
      <c r="NLV49" s="344"/>
      <c r="NLW49" s="344"/>
      <c r="NLX49" s="344"/>
      <c r="NLY49" s="344"/>
      <c r="NLZ49" s="344"/>
      <c r="NMA49" s="344"/>
      <c r="NMB49" s="344"/>
      <c r="NMC49" s="344"/>
      <c r="NMD49" s="344"/>
      <c r="NME49" s="344"/>
      <c r="NMF49" s="344"/>
      <c r="NMG49" s="344"/>
      <c r="NMH49" s="344"/>
      <c r="NMI49" s="344"/>
      <c r="NMJ49" s="344"/>
      <c r="NMK49" s="344"/>
      <c r="NML49" s="344"/>
      <c r="NMM49" s="344"/>
      <c r="NMN49" s="344"/>
      <c r="NMO49" s="344"/>
      <c r="NMP49" s="344"/>
      <c r="NMQ49" s="344"/>
      <c r="NMR49" s="344"/>
      <c r="NMS49" s="344"/>
      <c r="NMT49" s="344"/>
      <c r="NMU49" s="344"/>
      <c r="NMV49" s="344"/>
      <c r="NMW49" s="344"/>
      <c r="NMX49" s="344"/>
      <c r="NMY49" s="344"/>
      <c r="NMZ49" s="344"/>
      <c r="NNA49" s="344"/>
      <c r="NNB49" s="344"/>
      <c r="NNC49" s="344"/>
      <c r="NND49" s="344"/>
      <c r="NNE49" s="344"/>
      <c r="NNF49" s="344"/>
      <c r="NNG49" s="344"/>
      <c r="NNH49" s="344"/>
      <c r="NNI49" s="344"/>
      <c r="NNJ49" s="344"/>
      <c r="NNK49" s="344"/>
      <c r="NNL49" s="344"/>
      <c r="NNM49" s="344"/>
      <c r="NNN49" s="344"/>
      <c r="NNO49" s="344"/>
      <c r="NNP49" s="344"/>
      <c r="NNQ49" s="344"/>
      <c r="NNR49" s="344"/>
      <c r="NNS49" s="344"/>
      <c r="NNT49" s="344"/>
      <c r="NNU49" s="344"/>
      <c r="NNV49" s="344"/>
      <c r="NNW49" s="344"/>
      <c r="NNX49" s="344"/>
      <c r="NNY49" s="344"/>
      <c r="NNZ49" s="344"/>
      <c r="NOA49" s="344"/>
      <c r="NOB49" s="344"/>
      <c r="NOC49" s="344"/>
      <c r="NOD49" s="344"/>
      <c r="NOE49" s="344"/>
      <c r="NOF49" s="344"/>
      <c r="NOG49" s="344"/>
      <c r="NOH49" s="344"/>
      <c r="NOI49" s="344"/>
      <c r="NOJ49" s="344"/>
      <c r="NOK49" s="344"/>
      <c r="NOL49" s="344"/>
      <c r="NOM49" s="344"/>
      <c r="NON49" s="344"/>
      <c r="NOO49" s="344"/>
      <c r="NOP49" s="344"/>
      <c r="NOQ49" s="344"/>
      <c r="NOR49" s="344"/>
      <c r="NOS49" s="344"/>
      <c r="NOT49" s="344"/>
      <c r="NOU49" s="344"/>
      <c r="NOV49" s="344"/>
      <c r="NOW49" s="344"/>
      <c r="NOX49" s="344"/>
      <c r="NOY49" s="344"/>
      <c r="NOZ49" s="344"/>
      <c r="NPA49" s="344"/>
      <c r="NPB49" s="344"/>
      <c r="NPC49" s="344"/>
      <c r="NPD49" s="344"/>
      <c r="NPE49" s="344"/>
      <c r="NPF49" s="344"/>
      <c r="NPG49" s="344"/>
      <c r="NPH49" s="344"/>
      <c r="NPI49" s="344"/>
      <c r="NPJ49" s="344"/>
      <c r="NPK49" s="344"/>
      <c r="NPL49" s="344"/>
      <c r="NPM49" s="344"/>
      <c r="NPN49" s="344"/>
      <c r="NPO49" s="344"/>
      <c r="NPP49" s="344"/>
      <c r="NPQ49" s="344"/>
      <c r="NPR49" s="344"/>
      <c r="NPS49" s="344"/>
      <c r="NPT49" s="344"/>
      <c r="NPU49" s="344"/>
      <c r="NPV49" s="344"/>
      <c r="NPW49" s="344"/>
      <c r="NPX49" s="344"/>
      <c r="NPY49" s="344"/>
      <c r="NPZ49" s="344"/>
      <c r="NQA49" s="344"/>
      <c r="NQB49" s="344"/>
      <c r="NQC49" s="344"/>
      <c r="NQD49" s="344"/>
      <c r="NQE49" s="344"/>
      <c r="NQF49" s="344"/>
      <c r="NQG49" s="344"/>
      <c r="NQH49" s="344"/>
      <c r="NQI49" s="344"/>
      <c r="NQJ49" s="344"/>
      <c r="NQK49" s="344"/>
      <c r="NQL49" s="344"/>
      <c r="NQM49" s="344"/>
      <c r="NQN49" s="344"/>
      <c r="NQO49" s="344"/>
      <c r="NQP49" s="344"/>
      <c r="NQQ49" s="344"/>
      <c r="NQR49" s="344"/>
      <c r="NQS49" s="344"/>
      <c r="NQT49" s="344"/>
      <c r="NQU49" s="344"/>
      <c r="NQV49" s="344"/>
      <c r="NQW49" s="344"/>
      <c r="NQX49" s="344"/>
      <c r="NQY49" s="344"/>
      <c r="NQZ49" s="344"/>
      <c r="NRA49" s="344"/>
      <c r="NRB49" s="344"/>
      <c r="NRC49" s="344"/>
      <c r="NRD49" s="344"/>
      <c r="NRE49" s="344"/>
      <c r="NRF49" s="344"/>
      <c r="NRG49" s="344"/>
      <c r="NRH49" s="344"/>
      <c r="NRI49" s="344"/>
      <c r="NRJ49" s="344"/>
      <c r="NRK49" s="344"/>
      <c r="NRL49" s="344"/>
      <c r="NRM49" s="344"/>
      <c r="NRN49" s="344"/>
      <c r="NRO49" s="344"/>
      <c r="NRP49" s="344"/>
      <c r="NRQ49" s="344"/>
      <c r="NRR49" s="344"/>
      <c r="NRS49" s="344"/>
      <c r="NRT49" s="344"/>
      <c r="NRU49" s="344"/>
      <c r="NRV49" s="344"/>
      <c r="NRW49" s="344"/>
      <c r="NRX49" s="344"/>
      <c r="NRY49" s="344"/>
      <c r="NRZ49" s="344"/>
      <c r="NSA49" s="344"/>
      <c r="NSB49" s="344"/>
      <c r="NSC49" s="344"/>
      <c r="NSD49" s="344"/>
      <c r="NSE49" s="344"/>
      <c r="NSF49" s="344"/>
      <c r="NSG49" s="344"/>
      <c r="NSH49" s="344"/>
      <c r="NSI49" s="344"/>
      <c r="NSJ49" s="344"/>
      <c r="NSK49" s="344"/>
      <c r="NSL49" s="344"/>
      <c r="NSM49" s="344"/>
      <c r="NSN49" s="344"/>
      <c r="NSO49" s="344"/>
      <c r="NSP49" s="344"/>
      <c r="NSQ49" s="344"/>
      <c r="NSR49" s="344"/>
      <c r="NSS49" s="344"/>
      <c r="NST49" s="344"/>
      <c r="NSU49" s="344"/>
      <c r="NSV49" s="344"/>
      <c r="NSW49" s="344"/>
      <c r="NSX49" s="344"/>
      <c r="NSY49" s="344"/>
      <c r="NSZ49" s="344"/>
      <c r="NTA49" s="344"/>
      <c r="NTB49" s="344"/>
      <c r="NTC49" s="344"/>
      <c r="NTD49" s="344"/>
      <c r="NTE49" s="344"/>
      <c r="NTF49" s="344"/>
      <c r="NTG49" s="344"/>
      <c r="NTH49" s="344"/>
      <c r="NTI49" s="344"/>
      <c r="NTJ49" s="344"/>
      <c r="NTK49" s="344"/>
      <c r="NTL49" s="344"/>
      <c r="NTM49" s="344"/>
      <c r="NTN49" s="344"/>
      <c r="NTO49" s="344"/>
      <c r="NTP49" s="344"/>
      <c r="NTQ49" s="344"/>
      <c r="NTR49" s="344"/>
      <c r="NTS49" s="344"/>
      <c r="NTT49" s="344"/>
      <c r="NTU49" s="344"/>
      <c r="NTV49" s="344"/>
      <c r="NTW49" s="344"/>
      <c r="NTX49" s="344"/>
      <c r="NTY49" s="344"/>
      <c r="NTZ49" s="344"/>
      <c r="NUA49" s="344"/>
      <c r="NUB49" s="344"/>
      <c r="NUC49" s="344"/>
      <c r="NUD49" s="344"/>
      <c r="NUE49" s="344"/>
      <c r="NUF49" s="344"/>
      <c r="NUG49" s="344"/>
      <c r="NUH49" s="344"/>
      <c r="NUI49" s="344"/>
      <c r="NUJ49" s="344"/>
      <c r="NUK49" s="344"/>
      <c r="NUL49" s="344"/>
      <c r="NUM49" s="344"/>
      <c r="NUN49" s="344"/>
      <c r="NUO49" s="344"/>
      <c r="NUP49" s="344"/>
      <c r="NUQ49" s="344"/>
      <c r="NUR49" s="344"/>
      <c r="NUS49" s="344"/>
      <c r="NUT49" s="344"/>
      <c r="NUU49" s="344"/>
      <c r="NUV49" s="344"/>
      <c r="NUW49" s="344"/>
      <c r="NUX49" s="344"/>
      <c r="NUY49" s="344"/>
      <c r="NUZ49" s="344"/>
      <c r="NVA49" s="344"/>
      <c r="NVB49" s="344"/>
      <c r="NVC49" s="344"/>
      <c r="NVD49" s="344"/>
      <c r="NVE49" s="344"/>
      <c r="NVF49" s="344"/>
      <c r="NVG49" s="344"/>
      <c r="NVH49" s="344"/>
      <c r="NVI49" s="344"/>
      <c r="NVJ49" s="344"/>
      <c r="NVK49" s="344"/>
      <c r="NVL49" s="344"/>
      <c r="NVM49" s="344"/>
      <c r="NVN49" s="344"/>
      <c r="NVO49" s="344"/>
      <c r="NVP49" s="344"/>
      <c r="NVQ49" s="344"/>
      <c r="NVR49" s="344"/>
      <c r="NVS49" s="344"/>
      <c r="NVT49" s="344"/>
      <c r="NVU49" s="344"/>
      <c r="NVV49" s="344"/>
      <c r="NVW49" s="344"/>
      <c r="NVX49" s="344"/>
      <c r="NVY49" s="344"/>
      <c r="NVZ49" s="344"/>
      <c r="NWA49" s="344"/>
      <c r="NWB49" s="344"/>
      <c r="NWC49" s="344"/>
      <c r="NWD49" s="344"/>
      <c r="NWE49" s="344"/>
      <c r="NWF49" s="344"/>
      <c r="NWG49" s="344"/>
      <c r="NWH49" s="344"/>
      <c r="NWI49" s="344"/>
      <c r="NWJ49" s="344"/>
      <c r="NWK49" s="344"/>
      <c r="NWL49" s="344"/>
      <c r="NWM49" s="344"/>
      <c r="NWN49" s="344"/>
      <c r="NWO49" s="344"/>
      <c r="NWP49" s="344"/>
      <c r="NWQ49" s="344"/>
      <c r="NWR49" s="344"/>
      <c r="NWS49" s="344"/>
      <c r="NWT49" s="344"/>
      <c r="NWU49" s="344"/>
      <c r="NWV49" s="344"/>
      <c r="NWW49" s="344"/>
      <c r="NWX49" s="344"/>
      <c r="NWY49" s="344"/>
      <c r="NWZ49" s="344"/>
      <c r="NXA49" s="344"/>
      <c r="NXB49" s="344"/>
      <c r="NXC49" s="344"/>
      <c r="NXD49" s="344"/>
      <c r="NXE49" s="344"/>
      <c r="NXF49" s="344"/>
      <c r="NXG49" s="344"/>
      <c r="NXH49" s="344"/>
      <c r="NXI49" s="344"/>
      <c r="NXJ49" s="344"/>
      <c r="NXK49" s="344"/>
      <c r="NXL49" s="344"/>
      <c r="NXM49" s="344"/>
      <c r="NXN49" s="344"/>
      <c r="NXO49" s="344"/>
      <c r="NXP49" s="344"/>
      <c r="NXQ49" s="344"/>
      <c r="NXR49" s="344"/>
      <c r="NXS49" s="344"/>
      <c r="NXT49" s="344"/>
      <c r="NXU49" s="344"/>
      <c r="NXV49" s="344"/>
      <c r="NXW49" s="344"/>
      <c r="NXX49" s="344"/>
      <c r="NXY49" s="344"/>
      <c r="NXZ49" s="344"/>
      <c r="NYA49" s="344"/>
      <c r="NYB49" s="344"/>
      <c r="NYC49" s="344"/>
      <c r="NYD49" s="344"/>
      <c r="NYE49" s="344"/>
      <c r="NYF49" s="344"/>
      <c r="NYG49" s="344"/>
      <c r="NYH49" s="344"/>
      <c r="NYI49" s="344"/>
      <c r="NYJ49" s="344"/>
      <c r="NYK49" s="344"/>
      <c r="NYL49" s="344"/>
      <c r="NYM49" s="344"/>
      <c r="NYN49" s="344"/>
      <c r="NYO49" s="344"/>
      <c r="NYP49" s="344"/>
      <c r="NYQ49" s="344"/>
      <c r="NYR49" s="344"/>
      <c r="NYS49" s="344"/>
      <c r="NYT49" s="344"/>
      <c r="NYU49" s="344"/>
      <c r="NYV49" s="344"/>
      <c r="NYW49" s="344"/>
      <c r="NYX49" s="344"/>
      <c r="NYY49" s="344"/>
      <c r="NYZ49" s="344"/>
      <c r="NZA49" s="344"/>
      <c r="NZB49" s="344"/>
      <c r="NZC49" s="344"/>
      <c r="NZD49" s="344"/>
      <c r="NZE49" s="344"/>
      <c r="NZF49" s="344"/>
      <c r="NZG49" s="344"/>
      <c r="NZH49" s="344"/>
      <c r="NZI49" s="344"/>
      <c r="NZJ49" s="344"/>
      <c r="NZK49" s="344"/>
      <c r="NZL49" s="344"/>
      <c r="NZM49" s="344"/>
      <c r="NZN49" s="344"/>
      <c r="NZO49" s="344"/>
      <c r="NZP49" s="344"/>
      <c r="NZQ49" s="344"/>
      <c r="NZR49" s="344"/>
      <c r="NZS49" s="344"/>
      <c r="NZT49" s="344"/>
      <c r="NZU49" s="344"/>
      <c r="NZV49" s="344"/>
      <c r="NZW49" s="344"/>
      <c r="NZX49" s="344"/>
      <c r="NZY49" s="344"/>
      <c r="NZZ49" s="344"/>
      <c r="OAA49" s="344"/>
      <c r="OAB49" s="344"/>
      <c r="OAC49" s="344"/>
      <c r="OAD49" s="344"/>
      <c r="OAE49" s="344"/>
      <c r="OAF49" s="344"/>
      <c r="OAG49" s="344"/>
      <c r="OAH49" s="344"/>
      <c r="OAI49" s="344"/>
      <c r="OAJ49" s="344"/>
      <c r="OAK49" s="344"/>
      <c r="OAL49" s="344"/>
      <c r="OAM49" s="344"/>
      <c r="OAN49" s="344"/>
      <c r="OAO49" s="344"/>
      <c r="OAP49" s="344"/>
      <c r="OAQ49" s="344"/>
      <c r="OAR49" s="344"/>
      <c r="OAS49" s="344"/>
      <c r="OAT49" s="344"/>
      <c r="OAU49" s="344"/>
      <c r="OAV49" s="344"/>
      <c r="OAW49" s="344"/>
      <c r="OAX49" s="344"/>
      <c r="OAY49" s="344"/>
      <c r="OAZ49" s="344"/>
      <c r="OBA49" s="344"/>
      <c r="OBB49" s="344"/>
      <c r="OBC49" s="344"/>
      <c r="OBD49" s="344"/>
      <c r="OBE49" s="344"/>
      <c r="OBF49" s="344"/>
      <c r="OBG49" s="344"/>
      <c r="OBH49" s="344"/>
      <c r="OBI49" s="344"/>
      <c r="OBJ49" s="344"/>
      <c r="OBK49" s="344"/>
      <c r="OBL49" s="344"/>
      <c r="OBM49" s="344"/>
      <c r="OBN49" s="344"/>
      <c r="OBO49" s="344"/>
      <c r="OBP49" s="344"/>
      <c r="OBQ49" s="344"/>
      <c r="OBR49" s="344"/>
      <c r="OBS49" s="344"/>
      <c r="OBT49" s="344"/>
      <c r="OBU49" s="344"/>
      <c r="OBV49" s="344"/>
      <c r="OBW49" s="344"/>
      <c r="OBX49" s="344"/>
      <c r="OBY49" s="344"/>
      <c r="OBZ49" s="344"/>
      <c r="OCA49" s="344"/>
      <c r="OCB49" s="344"/>
      <c r="OCC49" s="344"/>
      <c r="OCD49" s="344"/>
      <c r="OCE49" s="344"/>
      <c r="OCF49" s="344"/>
      <c r="OCG49" s="344"/>
      <c r="OCH49" s="344"/>
      <c r="OCI49" s="344"/>
      <c r="OCJ49" s="344"/>
      <c r="OCK49" s="344"/>
      <c r="OCL49" s="344"/>
      <c r="OCM49" s="344"/>
      <c r="OCN49" s="344"/>
      <c r="OCO49" s="344"/>
      <c r="OCP49" s="344"/>
      <c r="OCQ49" s="344"/>
      <c r="OCR49" s="344"/>
      <c r="OCS49" s="344"/>
      <c r="OCT49" s="344"/>
      <c r="OCU49" s="344"/>
      <c r="OCV49" s="344"/>
      <c r="OCW49" s="344"/>
      <c r="OCX49" s="344"/>
      <c r="OCY49" s="344"/>
      <c r="OCZ49" s="344"/>
      <c r="ODA49" s="344"/>
      <c r="ODB49" s="344"/>
      <c r="ODC49" s="344"/>
      <c r="ODD49" s="344"/>
      <c r="ODE49" s="344"/>
      <c r="ODF49" s="344"/>
      <c r="ODG49" s="344"/>
      <c r="ODH49" s="344"/>
      <c r="ODI49" s="344"/>
      <c r="ODJ49" s="344"/>
      <c r="ODK49" s="344"/>
      <c r="ODL49" s="344"/>
      <c r="ODM49" s="344"/>
      <c r="ODN49" s="344"/>
      <c r="ODO49" s="344"/>
      <c r="ODP49" s="344"/>
      <c r="ODQ49" s="344"/>
      <c r="ODR49" s="344"/>
      <c r="ODS49" s="344"/>
      <c r="ODT49" s="344"/>
      <c r="ODU49" s="344"/>
      <c r="ODV49" s="344"/>
      <c r="ODW49" s="344"/>
      <c r="ODX49" s="344"/>
      <c r="ODY49" s="344"/>
      <c r="ODZ49" s="344"/>
      <c r="OEA49" s="344"/>
      <c r="OEB49" s="344"/>
      <c r="OEC49" s="344"/>
      <c r="OED49" s="344"/>
      <c r="OEE49" s="344"/>
      <c r="OEF49" s="344"/>
      <c r="OEG49" s="344"/>
      <c r="OEH49" s="344"/>
      <c r="OEI49" s="344"/>
      <c r="OEJ49" s="344"/>
      <c r="OEK49" s="344"/>
      <c r="OEL49" s="344"/>
      <c r="OEM49" s="344"/>
      <c r="OEN49" s="344"/>
      <c r="OEO49" s="344"/>
      <c r="OEP49" s="344"/>
      <c r="OEQ49" s="344"/>
      <c r="OER49" s="344"/>
      <c r="OES49" s="344"/>
      <c r="OET49" s="344"/>
      <c r="OEU49" s="344"/>
      <c r="OEV49" s="344"/>
      <c r="OEW49" s="344"/>
      <c r="OEX49" s="344"/>
      <c r="OEY49" s="344"/>
      <c r="OEZ49" s="344"/>
      <c r="OFA49" s="344"/>
      <c r="OFB49" s="344"/>
      <c r="OFC49" s="344"/>
      <c r="OFD49" s="344"/>
      <c r="OFE49" s="344"/>
      <c r="OFF49" s="344"/>
      <c r="OFG49" s="344"/>
      <c r="OFH49" s="344"/>
      <c r="OFI49" s="344"/>
      <c r="OFJ49" s="344"/>
      <c r="OFK49" s="344"/>
      <c r="OFL49" s="344"/>
      <c r="OFM49" s="344"/>
      <c r="OFN49" s="344"/>
      <c r="OFO49" s="344"/>
      <c r="OFP49" s="344"/>
      <c r="OFQ49" s="344"/>
      <c r="OFR49" s="344"/>
      <c r="OFS49" s="344"/>
      <c r="OFT49" s="344"/>
      <c r="OFU49" s="344"/>
      <c r="OFV49" s="344"/>
      <c r="OFW49" s="344"/>
      <c r="OFX49" s="344"/>
      <c r="OFY49" s="344"/>
      <c r="OFZ49" s="344"/>
      <c r="OGA49" s="344"/>
      <c r="OGB49" s="344"/>
      <c r="OGC49" s="344"/>
      <c r="OGD49" s="344"/>
      <c r="OGE49" s="344"/>
      <c r="OGF49" s="344"/>
      <c r="OGG49" s="344"/>
      <c r="OGH49" s="344"/>
      <c r="OGI49" s="344"/>
      <c r="OGJ49" s="344"/>
      <c r="OGK49" s="344"/>
      <c r="OGL49" s="344"/>
      <c r="OGM49" s="344"/>
      <c r="OGN49" s="344"/>
      <c r="OGO49" s="344"/>
      <c r="OGP49" s="344"/>
      <c r="OGQ49" s="344"/>
      <c r="OGR49" s="344"/>
      <c r="OGS49" s="344"/>
      <c r="OGT49" s="344"/>
      <c r="OGU49" s="344"/>
      <c r="OGV49" s="344"/>
      <c r="OGW49" s="344"/>
      <c r="OGX49" s="344"/>
      <c r="OGY49" s="344"/>
      <c r="OGZ49" s="344"/>
      <c r="OHA49" s="344"/>
      <c r="OHB49" s="344"/>
      <c r="OHC49" s="344"/>
      <c r="OHD49" s="344"/>
      <c r="OHE49" s="344"/>
      <c r="OHF49" s="344"/>
      <c r="OHG49" s="344"/>
      <c r="OHH49" s="344"/>
      <c r="OHI49" s="344"/>
      <c r="OHJ49" s="344"/>
      <c r="OHK49" s="344"/>
      <c r="OHL49" s="344"/>
      <c r="OHM49" s="344"/>
      <c r="OHN49" s="344"/>
      <c r="OHO49" s="344"/>
      <c r="OHP49" s="344"/>
      <c r="OHQ49" s="344"/>
      <c r="OHR49" s="344"/>
      <c r="OHS49" s="344"/>
      <c r="OHT49" s="344"/>
      <c r="OHU49" s="344"/>
      <c r="OHV49" s="344"/>
      <c r="OHW49" s="344"/>
      <c r="OHX49" s="344"/>
      <c r="OHY49" s="344"/>
      <c r="OHZ49" s="344"/>
      <c r="OIA49" s="344"/>
      <c r="OIB49" s="344"/>
      <c r="OIC49" s="344"/>
      <c r="OID49" s="344"/>
      <c r="OIE49" s="344"/>
      <c r="OIF49" s="344"/>
      <c r="OIG49" s="344"/>
      <c r="OIH49" s="344"/>
      <c r="OII49" s="344"/>
      <c r="OIJ49" s="344"/>
      <c r="OIK49" s="344"/>
      <c r="OIL49" s="344"/>
      <c r="OIM49" s="344"/>
      <c r="OIN49" s="344"/>
      <c r="OIO49" s="344"/>
      <c r="OIP49" s="344"/>
      <c r="OIQ49" s="344"/>
      <c r="OIR49" s="344"/>
      <c r="OIS49" s="344"/>
      <c r="OIT49" s="344"/>
      <c r="OIU49" s="344"/>
      <c r="OIV49" s="344"/>
      <c r="OIW49" s="344"/>
      <c r="OIX49" s="344"/>
      <c r="OIY49" s="344"/>
      <c r="OIZ49" s="344"/>
      <c r="OJA49" s="344"/>
      <c r="OJB49" s="344"/>
      <c r="OJC49" s="344"/>
      <c r="OJD49" s="344"/>
      <c r="OJE49" s="344"/>
      <c r="OJF49" s="344"/>
      <c r="OJG49" s="344"/>
      <c r="OJH49" s="344"/>
      <c r="OJI49" s="344"/>
      <c r="OJJ49" s="344"/>
      <c r="OJK49" s="344"/>
      <c r="OJL49" s="344"/>
      <c r="OJM49" s="344"/>
      <c r="OJN49" s="344"/>
      <c r="OJO49" s="344"/>
      <c r="OJP49" s="344"/>
      <c r="OJQ49" s="344"/>
      <c r="OJR49" s="344"/>
      <c r="OJS49" s="344"/>
      <c r="OJT49" s="344"/>
      <c r="OJU49" s="344"/>
      <c r="OJV49" s="344"/>
      <c r="OJW49" s="344"/>
      <c r="OJX49" s="344"/>
      <c r="OJY49" s="344"/>
      <c r="OJZ49" s="344"/>
      <c r="OKA49" s="344"/>
      <c r="OKB49" s="344"/>
      <c r="OKC49" s="344"/>
      <c r="OKD49" s="344"/>
      <c r="OKE49" s="344"/>
      <c r="OKF49" s="344"/>
      <c r="OKG49" s="344"/>
      <c r="OKH49" s="344"/>
      <c r="OKI49" s="344"/>
      <c r="OKJ49" s="344"/>
      <c r="OKK49" s="344"/>
      <c r="OKL49" s="344"/>
      <c r="OKM49" s="344"/>
      <c r="OKN49" s="344"/>
      <c r="OKO49" s="344"/>
      <c r="OKP49" s="344"/>
      <c r="OKQ49" s="344"/>
      <c r="OKR49" s="344"/>
      <c r="OKS49" s="344"/>
      <c r="OKT49" s="344"/>
      <c r="OKU49" s="344"/>
      <c r="OKV49" s="344"/>
      <c r="OKW49" s="344"/>
      <c r="OKX49" s="344"/>
      <c r="OKY49" s="344"/>
      <c r="OKZ49" s="344"/>
      <c r="OLA49" s="344"/>
      <c r="OLB49" s="344"/>
      <c r="OLC49" s="344"/>
      <c r="OLD49" s="344"/>
      <c r="OLE49" s="344"/>
      <c r="OLF49" s="344"/>
      <c r="OLG49" s="344"/>
      <c r="OLH49" s="344"/>
      <c r="OLI49" s="344"/>
      <c r="OLJ49" s="344"/>
      <c r="OLK49" s="344"/>
      <c r="OLL49" s="344"/>
      <c r="OLM49" s="344"/>
      <c r="OLN49" s="344"/>
      <c r="OLO49" s="344"/>
      <c r="OLP49" s="344"/>
      <c r="OLQ49" s="344"/>
      <c r="OLR49" s="344"/>
      <c r="OLS49" s="344"/>
      <c r="OLT49" s="344"/>
      <c r="OLU49" s="344"/>
      <c r="OLV49" s="344"/>
      <c r="OLW49" s="344"/>
      <c r="OLX49" s="344"/>
      <c r="OLY49" s="344"/>
      <c r="OLZ49" s="344"/>
      <c r="OMA49" s="344"/>
      <c r="OMB49" s="344"/>
      <c r="OMC49" s="344"/>
      <c r="OMD49" s="344"/>
      <c r="OME49" s="344"/>
      <c r="OMF49" s="344"/>
      <c r="OMG49" s="344"/>
      <c r="OMH49" s="344"/>
      <c r="OMI49" s="344"/>
      <c r="OMJ49" s="344"/>
      <c r="OMK49" s="344"/>
      <c r="OML49" s="344"/>
      <c r="OMM49" s="344"/>
      <c r="OMN49" s="344"/>
      <c r="OMO49" s="344"/>
      <c r="OMP49" s="344"/>
      <c r="OMQ49" s="344"/>
      <c r="OMR49" s="344"/>
      <c r="OMS49" s="344"/>
      <c r="OMT49" s="344"/>
      <c r="OMU49" s="344"/>
      <c r="OMV49" s="344"/>
      <c r="OMW49" s="344"/>
      <c r="OMX49" s="344"/>
      <c r="OMY49" s="344"/>
      <c r="OMZ49" s="344"/>
      <c r="ONA49" s="344"/>
      <c r="ONB49" s="344"/>
      <c r="ONC49" s="344"/>
      <c r="OND49" s="344"/>
      <c r="ONE49" s="344"/>
      <c r="ONF49" s="344"/>
      <c r="ONG49" s="344"/>
      <c r="ONH49" s="344"/>
      <c r="ONI49" s="344"/>
      <c r="ONJ49" s="344"/>
      <c r="ONK49" s="344"/>
      <c r="ONL49" s="344"/>
      <c r="ONM49" s="344"/>
      <c r="ONN49" s="344"/>
      <c r="ONO49" s="344"/>
      <c r="ONP49" s="344"/>
      <c r="ONQ49" s="344"/>
      <c r="ONR49" s="344"/>
      <c r="ONS49" s="344"/>
      <c r="ONT49" s="344"/>
      <c r="ONU49" s="344"/>
      <c r="ONV49" s="344"/>
      <c r="ONW49" s="344"/>
      <c r="ONX49" s="344"/>
      <c r="ONY49" s="344"/>
      <c r="ONZ49" s="344"/>
      <c r="OOA49" s="344"/>
      <c r="OOB49" s="344"/>
      <c r="OOC49" s="344"/>
      <c r="OOD49" s="344"/>
      <c r="OOE49" s="344"/>
      <c r="OOF49" s="344"/>
      <c r="OOG49" s="344"/>
      <c r="OOH49" s="344"/>
      <c r="OOI49" s="344"/>
      <c r="OOJ49" s="344"/>
      <c r="OOK49" s="344"/>
      <c r="OOL49" s="344"/>
      <c r="OOM49" s="344"/>
      <c r="OON49" s="344"/>
      <c r="OOO49" s="344"/>
      <c r="OOP49" s="344"/>
      <c r="OOQ49" s="344"/>
      <c r="OOR49" s="344"/>
      <c r="OOS49" s="344"/>
      <c r="OOT49" s="344"/>
      <c r="OOU49" s="344"/>
      <c r="OOV49" s="344"/>
      <c r="OOW49" s="344"/>
      <c r="OOX49" s="344"/>
      <c r="OOY49" s="344"/>
      <c r="OOZ49" s="344"/>
      <c r="OPA49" s="344"/>
      <c r="OPB49" s="344"/>
      <c r="OPC49" s="344"/>
      <c r="OPD49" s="344"/>
      <c r="OPE49" s="344"/>
      <c r="OPF49" s="344"/>
      <c r="OPG49" s="344"/>
      <c r="OPH49" s="344"/>
      <c r="OPI49" s="344"/>
      <c r="OPJ49" s="344"/>
      <c r="OPK49" s="344"/>
      <c r="OPL49" s="344"/>
      <c r="OPM49" s="344"/>
      <c r="OPN49" s="344"/>
      <c r="OPO49" s="344"/>
      <c r="OPP49" s="344"/>
      <c r="OPQ49" s="344"/>
      <c r="OPR49" s="344"/>
      <c r="OPS49" s="344"/>
      <c r="OPT49" s="344"/>
      <c r="OPU49" s="344"/>
      <c r="OPV49" s="344"/>
      <c r="OPW49" s="344"/>
      <c r="OPX49" s="344"/>
      <c r="OPY49" s="344"/>
      <c r="OPZ49" s="344"/>
      <c r="OQA49" s="344"/>
      <c r="OQB49" s="344"/>
      <c r="OQC49" s="344"/>
      <c r="OQD49" s="344"/>
      <c r="OQE49" s="344"/>
      <c r="OQF49" s="344"/>
      <c r="OQG49" s="344"/>
      <c r="OQH49" s="344"/>
      <c r="OQI49" s="344"/>
      <c r="OQJ49" s="344"/>
      <c r="OQK49" s="344"/>
      <c r="OQL49" s="344"/>
      <c r="OQM49" s="344"/>
      <c r="OQN49" s="344"/>
      <c r="OQO49" s="344"/>
      <c r="OQP49" s="344"/>
      <c r="OQQ49" s="344"/>
      <c r="OQR49" s="344"/>
      <c r="OQS49" s="344"/>
      <c r="OQT49" s="344"/>
      <c r="OQU49" s="344"/>
      <c r="OQV49" s="344"/>
      <c r="OQW49" s="344"/>
      <c r="OQX49" s="344"/>
      <c r="OQY49" s="344"/>
      <c r="OQZ49" s="344"/>
      <c r="ORA49" s="344"/>
      <c r="ORB49" s="344"/>
      <c r="ORC49" s="344"/>
      <c r="ORD49" s="344"/>
      <c r="ORE49" s="344"/>
      <c r="ORF49" s="344"/>
      <c r="ORG49" s="344"/>
      <c r="ORH49" s="344"/>
      <c r="ORI49" s="344"/>
      <c r="ORJ49" s="344"/>
      <c r="ORK49" s="344"/>
      <c r="ORL49" s="344"/>
      <c r="ORM49" s="344"/>
      <c r="ORN49" s="344"/>
      <c r="ORO49" s="344"/>
      <c r="ORP49" s="344"/>
      <c r="ORQ49" s="344"/>
      <c r="ORR49" s="344"/>
      <c r="ORS49" s="344"/>
      <c r="ORT49" s="344"/>
      <c r="ORU49" s="344"/>
      <c r="ORV49" s="344"/>
      <c r="ORW49" s="344"/>
      <c r="ORX49" s="344"/>
      <c r="ORY49" s="344"/>
      <c r="ORZ49" s="344"/>
      <c r="OSA49" s="344"/>
      <c r="OSB49" s="344"/>
      <c r="OSC49" s="344"/>
      <c r="OSD49" s="344"/>
      <c r="OSE49" s="344"/>
      <c r="OSF49" s="344"/>
      <c r="OSG49" s="344"/>
      <c r="OSH49" s="344"/>
      <c r="OSI49" s="344"/>
      <c r="OSJ49" s="344"/>
      <c r="OSK49" s="344"/>
      <c r="OSL49" s="344"/>
      <c r="OSM49" s="344"/>
      <c r="OSN49" s="344"/>
      <c r="OSO49" s="344"/>
      <c r="OSP49" s="344"/>
      <c r="OSQ49" s="344"/>
      <c r="OSR49" s="344"/>
      <c r="OSS49" s="344"/>
      <c r="OST49" s="344"/>
      <c r="OSU49" s="344"/>
      <c r="OSV49" s="344"/>
      <c r="OSW49" s="344"/>
      <c r="OSX49" s="344"/>
      <c r="OSY49" s="344"/>
      <c r="OSZ49" s="344"/>
      <c r="OTA49" s="344"/>
      <c r="OTB49" s="344"/>
      <c r="OTC49" s="344"/>
      <c r="OTD49" s="344"/>
      <c r="OTE49" s="344"/>
      <c r="OTF49" s="344"/>
      <c r="OTG49" s="344"/>
      <c r="OTH49" s="344"/>
      <c r="OTI49" s="344"/>
      <c r="OTJ49" s="344"/>
      <c r="OTK49" s="344"/>
      <c r="OTL49" s="344"/>
      <c r="OTM49" s="344"/>
      <c r="OTN49" s="344"/>
      <c r="OTO49" s="344"/>
      <c r="OTP49" s="344"/>
      <c r="OTQ49" s="344"/>
      <c r="OTR49" s="344"/>
      <c r="OTS49" s="344"/>
      <c r="OTT49" s="344"/>
      <c r="OTU49" s="344"/>
      <c r="OTV49" s="344"/>
      <c r="OTW49" s="344"/>
      <c r="OTX49" s="344"/>
      <c r="OTY49" s="344"/>
      <c r="OTZ49" s="344"/>
      <c r="OUA49" s="344"/>
      <c r="OUB49" s="344"/>
      <c r="OUC49" s="344"/>
      <c r="OUD49" s="344"/>
      <c r="OUE49" s="344"/>
      <c r="OUF49" s="344"/>
      <c r="OUG49" s="344"/>
      <c r="OUH49" s="344"/>
      <c r="OUI49" s="344"/>
      <c r="OUJ49" s="344"/>
      <c r="OUK49" s="344"/>
      <c r="OUL49" s="344"/>
      <c r="OUM49" s="344"/>
      <c r="OUN49" s="344"/>
      <c r="OUO49" s="344"/>
      <c r="OUP49" s="344"/>
      <c r="OUQ49" s="344"/>
      <c r="OUR49" s="344"/>
      <c r="OUS49" s="344"/>
      <c r="OUT49" s="344"/>
      <c r="OUU49" s="344"/>
      <c r="OUV49" s="344"/>
      <c r="OUW49" s="344"/>
      <c r="OUX49" s="344"/>
      <c r="OUY49" s="344"/>
      <c r="OUZ49" s="344"/>
      <c r="OVA49" s="344"/>
      <c r="OVB49" s="344"/>
      <c r="OVC49" s="344"/>
      <c r="OVD49" s="344"/>
      <c r="OVE49" s="344"/>
      <c r="OVF49" s="344"/>
      <c r="OVG49" s="344"/>
      <c r="OVH49" s="344"/>
      <c r="OVI49" s="344"/>
      <c r="OVJ49" s="344"/>
      <c r="OVK49" s="344"/>
      <c r="OVL49" s="344"/>
      <c r="OVM49" s="344"/>
      <c r="OVN49" s="344"/>
      <c r="OVO49" s="344"/>
      <c r="OVP49" s="344"/>
      <c r="OVQ49" s="344"/>
      <c r="OVR49" s="344"/>
      <c r="OVS49" s="344"/>
      <c r="OVT49" s="344"/>
      <c r="OVU49" s="344"/>
      <c r="OVV49" s="344"/>
      <c r="OVW49" s="344"/>
      <c r="OVX49" s="344"/>
      <c r="OVY49" s="344"/>
      <c r="OVZ49" s="344"/>
      <c r="OWA49" s="344"/>
      <c r="OWB49" s="344"/>
      <c r="OWC49" s="344"/>
      <c r="OWD49" s="344"/>
      <c r="OWE49" s="344"/>
      <c r="OWF49" s="344"/>
      <c r="OWG49" s="344"/>
      <c r="OWH49" s="344"/>
      <c r="OWI49" s="344"/>
      <c r="OWJ49" s="344"/>
      <c r="OWK49" s="344"/>
      <c r="OWL49" s="344"/>
      <c r="OWM49" s="344"/>
      <c r="OWN49" s="344"/>
      <c r="OWO49" s="344"/>
      <c r="OWP49" s="344"/>
      <c r="OWQ49" s="344"/>
      <c r="OWR49" s="344"/>
      <c r="OWS49" s="344"/>
      <c r="OWT49" s="344"/>
      <c r="OWU49" s="344"/>
      <c r="OWV49" s="344"/>
      <c r="OWW49" s="344"/>
      <c r="OWX49" s="344"/>
      <c r="OWY49" s="344"/>
      <c r="OWZ49" s="344"/>
      <c r="OXA49" s="344"/>
      <c r="OXB49" s="344"/>
      <c r="OXC49" s="344"/>
      <c r="OXD49" s="344"/>
      <c r="OXE49" s="344"/>
      <c r="OXF49" s="344"/>
      <c r="OXG49" s="344"/>
      <c r="OXH49" s="344"/>
      <c r="OXI49" s="344"/>
      <c r="OXJ49" s="344"/>
      <c r="OXK49" s="344"/>
      <c r="OXL49" s="344"/>
      <c r="OXM49" s="344"/>
      <c r="OXN49" s="344"/>
      <c r="OXO49" s="344"/>
      <c r="OXP49" s="344"/>
      <c r="OXQ49" s="344"/>
      <c r="OXR49" s="344"/>
      <c r="OXS49" s="344"/>
      <c r="OXT49" s="344"/>
      <c r="OXU49" s="344"/>
      <c r="OXV49" s="344"/>
      <c r="OXW49" s="344"/>
      <c r="OXX49" s="344"/>
      <c r="OXY49" s="344"/>
      <c r="OXZ49" s="344"/>
      <c r="OYA49" s="344"/>
      <c r="OYB49" s="344"/>
      <c r="OYC49" s="344"/>
      <c r="OYD49" s="344"/>
      <c r="OYE49" s="344"/>
      <c r="OYF49" s="344"/>
      <c r="OYG49" s="344"/>
      <c r="OYH49" s="344"/>
      <c r="OYI49" s="344"/>
      <c r="OYJ49" s="344"/>
      <c r="OYK49" s="344"/>
      <c r="OYL49" s="344"/>
      <c r="OYM49" s="344"/>
      <c r="OYN49" s="344"/>
      <c r="OYO49" s="344"/>
      <c r="OYP49" s="344"/>
      <c r="OYQ49" s="344"/>
      <c r="OYR49" s="344"/>
      <c r="OYS49" s="344"/>
      <c r="OYT49" s="344"/>
      <c r="OYU49" s="344"/>
      <c r="OYV49" s="344"/>
      <c r="OYW49" s="344"/>
      <c r="OYX49" s="344"/>
      <c r="OYY49" s="344"/>
      <c r="OYZ49" s="344"/>
      <c r="OZA49" s="344"/>
      <c r="OZB49" s="344"/>
      <c r="OZC49" s="344"/>
      <c r="OZD49" s="344"/>
      <c r="OZE49" s="344"/>
      <c r="OZF49" s="344"/>
      <c r="OZG49" s="344"/>
      <c r="OZH49" s="344"/>
      <c r="OZI49" s="344"/>
      <c r="OZJ49" s="344"/>
      <c r="OZK49" s="344"/>
      <c r="OZL49" s="344"/>
      <c r="OZM49" s="344"/>
      <c r="OZN49" s="344"/>
      <c r="OZO49" s="344"/>
      <c r="OZP49" s="344"/>
      <c r="OZQ49" s="344"/>
      <c r="OZR49" s="344"/>
      <c r="OZS49" s="344"/>
      <c r="OZT49" s="344"/>
      <c r="OZU49" s="344"/>
      <c r="OZV49" s="344"/>
      <c r="OZW49" s="344"/>
      <c r="OZX49" s="344"/>
      <c r="OZY49" s="344"/>
      <c r="OZZ49" s="344"/>
      <c r="PAA49" s="344"/>
      <c r="PAB49" s="344"/>
      <c r="PAC49" s="344"/>
      <c r="PAD49" s="344"/>
      <c r="PAE49" s="344"/>
      <c r="PAF49" s="344"/>
      <c r="PAG49" s="344"/>
      <c r="PAH49" s="344"/>
      <c r="PAI49" s="344"/>
      <c r="PAJ49" s="344"/>
      <c r="PAK49" s="344"/>
      <c r="PAL49" s="344"/>
      <c r="PAM49" s="344"/>
      <c r="PAN49" s="344"/>
      <c r="PAO49" s="344"/>
      <c r="PAP49" s="344"/>
      <c r="PAQ49" s="344"/>
      <c r="PAR49" s="344"/>
      <c r="PAS49" s="344"/>
      <c r="PAT49" s="344"/>
      <c r="PAU49" s="344"/>
      <c r="PAV49" s="344"/>
      <c r="PAW49" s="344"/>
      <c r="PAX49" s="344"/>
      <c r="PAY49" s="344"/>
      <c r="PAZ49" s="344"/>
      <c r="PBA49" s="344"/>
      <c r="PBB49" s="344"/>
      <c r="PBC49" s="344"/>
      <c r="PBD49" s="344"/>
      <c r="PBE49" s="344"/>
      <c r="PBF49" s="344"/>
      <c r="PBG49" s="344"/>
      <c r="PBH49" s="344"/>
      <c r="PBI49" s="344"/>
      <c r="PBJ49" s="344"/>
      <c r="PBK49" s="344"/>
      <c r="PBL49" s="344"/>
      <c r="PBM49" s="344"/>
      <c r="PBN49" s="344"/>
      <c r="PBO49" s="344"/>
      <c r="PBP49" s="344"/>
      <c r="PBQ49" s="344"/>
      <c r="PBR49" s="344"/>
      <c r="PBS49" s="344"/>
      <c r="PBT49" s="344"/>
      <c r="PBU49" s="344"/>
      <c r="PBV49" s="344"/>
      <c r="PBW49" s="344"/>
      <c r="PBX49" s="344"/>
      <c r="PBY49" s="344"/>
      <c r="PBZ49" s="344"/>
      <c r="PCA49" s="344"/>
      <c r="PCB49" s="344"/>
      <c r="PCC49" s="344"/>
      <c r="PCD49" s="344"/>
      <c r="PCE49" s="344"/>
      <c r="PCF49" s="344"/>
      <c r="PCG49" s="344"/>
      <c r="PCH49" s="344"/>
      <c r="PCI49" s="344"/>
      <c r="PCJ49" s="344"/>
      <c r="PCK49" s="344"/>
      <c r="PCL49" s="344"/>
      <c r="PCM49" s="344"/>
      <c r="PCN49" s="344"/>
      <c r="PCO49" s="344"/>
      <c r="PCP49" s="344"/>
      <c r="PCQ49" s="344"/>
      <c r="PCR49" s="344"/>
      <c r="PCS49" s="344"/>
      <c r="PCT49" s="344"/>
      <c r="PCU49" s="344"/>
      <c r="PCV49" s="344"/>
      <c r="PCW49" s="344"/>
      <c r="PCX49" s="344"/>
      <c r="PCY49" s="344"/>
      <c r="PCZ49" s="344"/>
      <c r="PDA49" s="344"/>
      <c r="PDB49" s="344"/>
      <c r="PDC49" s="344"/>
      <c r="PDD49" s="344"/>
      <c r="PDE49" s="344"/>
      <c r="PDF49" s="344"/>
      <c r="PDG49" s="344"/>
      <c r="PDH49" s="344"/>
      <c r="PDI49" s="344"/>
      <c r="PDJ49" s="344"/>
      <c r="PDK49" s="344"/>
      <c r="PDL49" s="344"/>
      <c r="PDM49" s="344"/>
      <c r="PDN49" s="344"/>
      <c r="PDO49" s="344"/>
      <c r="PDP49" s="344"/>
      <c r="PDQ49" s="344"/>
      <c r="PDR49" s="344"/>
      <c r="PDS49" s="344"/>
      <c r="PDT49" s="344"/>
      <c r="PDU49" s="344"/>
      <c r="PDV49" s="344"/>
      <c r="PDW49" s="344"/>
      <c r="PDX49" s="344"/>
      <c r="PDY49" s="344"/>
      <c r="PDZ49" s="344"/>
      <c r="PEA49" s="344"/>
      <c r="PEB49" s="344"/>
      <c r="PEC49" s="344"/>
      <c r="PED49" s="344"/>
      <c r="PEE49" s="344"/>
      <c r="PEF49" s="344"/>
      <c r="PEG49" s="344"/>
      <c r="PEH49" s="344"/>
      <c r="PEI49" s="344"/>
      <c r="PEJ49" s="344"/>
      <c r="PEK49" s="344"/>
      <c r="PEL49" s="344"/>
      <c r="PEM49" s="344"/>
      <c r="PEN49" s="344"/>
      <c r="PEO49" s="344"/>
      <c r="PEP49" s="344"/>
      <c r="PEQ49" s="344"/>
      <c r="PER49" s="344"/>
      <c r="PES49" s="344"/>
      <c r="PET49" s="344"/>
      <c r="PEU49" s="344"/>
      <c r="PEV49" s="344"/>
      <c r="PEW49" s="344"/>
      <c r="PEX49" s="344"/>
      <c r="PEY49" s="344"/>
      <c r="PEZ49" s="344"/>
      <c r="PFA49" s="344"/>
      <c r="PFB49" s="344"/>
      <c r="PFC49" s="344"/>
      <c r="PFD49" s="344"/>
      <c r="PFE49" s="344"/>
      <c r="PFF49" s="344"/>
      <c r="PFG49" s="344"/>
      <c r="PFH49" s="344"/>
      <c r="PFI49" s="344"/>
      <c r="PFJ49" s="344"/>
      <c r="PFK49" s="344"/>
      <c r="PFL49" s="344"/>
      <c r="PFM49" s="344"/>
      <c r="PFN49" s="344"/>
      <c r="PFO49" s="344"/>
      <c r="PFP49" s="344"/>
      <c r="PFQ49" s="344"/>
      <c r="PFR49" s="344"/>
      <c r="PFS49" s="344"/>
      <c r="PFT49" s="344"/>
      <c r="PFU49" s="344"/>
      <c r="PFV49" s="344"/>
      <c r="PFW49" s="344"/>
      <c r="PFX49" s="344"/>
      <c r="PFY49" s="344"/>
      <c r="PFZ49" s="344"/>
      <c r="PGA49" s="344"/>
      <c r="PGB49" s="344"/>
      <c r="PGC49" s="344"/>
      <c r="PGD49" s="344"/>
      <c r="PGE49" s="344"/>
      <c r="PGF49" s="344"/>
      <c r="PGG49" s="344"/>
      <c r="PGH49" s="344"/>
      <c r="PGI49" s="344"/>
      <c r="PGJ49" s="344"/>
      <c r="PGK49" s="344"/>
      <c r="PGL49" s="344"/>
      <c r="PGM49" s="344"/>
      <c r="PGN49" s="344"/>
      <c r="PGO49" s="344"/>
      <c r="PGP49" s="344"/>
      <c r="PGQ49" s="344"/>
      <c r="PGR49" s="344"/>
      <c r="PGS49" s="344"/>
      <c r="PGT49" s="344"/>
      <c r="PGU49" s="344"/>
      <c r="PGV49" s="344"/>
      <c r="PGW49" s="344"/>
      <c r="PGX49" s="344"/>
      <c r="PGY49" s="344"/>
      <c r="PGZ49" s="344"/>
      <c r="PHA49" s="344"/>
      <c r="PHB49" s="344"/>
      <c r="PHC49" s="344"/>
      <c r="PHD49" s="344"/>
      <c r="PHE49" s="344"/>
      <c r="PHF49" s="344"/>
      <c r="PHG49" s="344"/>
      <c r="PHH49" s="344"/>
      <c r="PHI49" s="344"/>
      <c r="PHJ49" s="344"/>
      <c r="PHK49" s="344"/>
      <c r="PHL49" s="344"/>
      <c r="PHM49" s="344"/>
      <c r="PHN49" s="344"/>
      <c r="PHO49" s="344"/>
      <c r="PHP49" s="344"/>
      <c r="PHQ49" s="344"/>
      <c r="PHR49" s="344"/>
      <c r="PHS49" s="344"/>
      <c r="PHT49" s="344"/>
      <c r="PHU49" s="344"/>
      <c r="PHV49" s="344"/>
      <c r="PHW49" s="344"/>
      <c r="PHX49" s="344"/>
      <c r="PHY49" s="344"/>
      <c r="PHZ49" s="344"/>
      <c r="PIA49" s="344"/>
      <c r="PIB49" s="344"/>
      <c r="PIC49" s="344"/>
      <c r="PID49" s="344"/>
      <c r="PIE49" s="344"/>
      <c r="PIF49" s="344"/>
      <c r="PIG49" s="344"/>
      <c r="PIH49" s="344"/>
      <c r="PII49" s="344"/>
      <c r="PIJ49" s="344"/>
      <c r="PIK49" s="344"/>
      <c r="PIL49" s="344"/>
      <c r="PIM49" s="344"/>
      <c r="PIN49" s="344"/>
      <c r="PIO49" s="344"/>
      <c r="PIP49" s="344"/>
      <c r="PIQ49" s="344"/>
      <c r="PIR49" s="344"/>
      <c r="PIS49" s="344"/>
      <c r="PIT49" s="344"/>
      <c r="PIU49" s="344"/>
      <c r="PIV49" s="344"/>
      <c r="PIW49" s="344"/>
      <c r="PIX49" s="344"/>
      <c r="PIY49" s="344"/>
      <c r="PIZ49" s="344"/>
      <c r="PJA49" s="344"/>
      <c r="PJB49" s="344"/>
      <c r="PJC49" s="344"/>
      <c r="PJD49" s="344"/>
      <c r="PJE49" s="344"/>
      <c r="PJF49" s="344"/>
      <c r="PJG49" s="344"/>
      <c r="PJH49" s="344"/>
      <c r="PJI49" s="344"/>
      <c r="PJJ49" s="344"/>
      <c r="PJK49" s="344"/>
      <c r="PJL49" s="344"/>
      <c r="PJM49" s="344"/>
      <c r="PJN49" s="344"/>
      <c r="PJO49" s="344"/>
      <c r="PJP49" s="344"/>
      <c r="PJQ49" s="344"/>
      <c r="PJR49" s="344"/>
      <c r="PJS49" s="344"/>
      <c r="PJT49" s="344"/>
      <c r="PJU49" s="344"/>
      <c r="PJV49" s="344"/>
      <c r="PJW49" s="344"/>
      <c r="PJX49" s="344"/>
      <c r="PJY49" s="344"/>
      <c r="PJZ49" s="344"/>
      <c r="PKA49" s="344"/>
      <c r="PKB49" s="344"/>
      <c r="PKC49" s="344"/>
      <c r="PKD49" s="344"/>
      <c r="PKE49" s="344"/>
      <c r="PKF49" s="344"/>
      <c r="PKG49" s="344"/>
      <c r="PKH49" s="344"/>
      <c r="PKI49" s="344"/>
      <c r="PKJ49" s="344"/>
      <c r="PKK49" s="344"/>
      <c r="PKL49" s="344"/>
      <c r="PKM49" s="344"/>
      <c r="PKN49" s="344"/>
      <c r="PKO49" s="344"/>
      <c r="PKP49" s="344"/>
      <c r="PKQ49" s="344"/>
      <c r="PKR49" s="344"/>
      <c r="PKS49" s="344"/>
      <c r="PKT49" s="344"/>
      <c r="PKU49" s="344"/>
      <c r="PKV49" s="344"/>
      <c r="PKW49" s="344"/>
      <c r="PKX49" s="344"/>
      <c r="PKY49" s="344"/>
      <c r="PKZ49" s="344"/>
      <c r="PLA49" s="344"/>
      <c r="PLB49" s="344"/>
      <c r="PLC49" s="344"/>
      <c r="PLD49" s="344"/>
      <c r="PLE49" s="344"/>
      <c r="PLF49" s="344"/>
      <c r="PLG49" s="344"/>
      <c r="PLH49" s="344"/>
      <c r="PLI49" s="344"/>
      <c r="PLJ49" s="344"/>
      <c r="PLK49" s="344"/>
      <c r="PLL49" s="344"/>
      <c r="PLM49" s="344"/>
      <c r="PLN49" s="344"/>
      <c r="PLO49" s="344"/>
      <c r="PLP49" s="344"/>
      <c r="PLQ49" s="344"/>
      <c r="PLR49" s="344"/>
      <c r="PLS49" s="344"/>
      <c r="PLT49" s="344"/>
      <c r="PLU49" s="344"/>
      <c r="PLV49" s="344"/>
      <c r="PLW49" s="344"/>
      <c r="PLX49" s="344"/>
      <c r="PLY49" s="344"/>
      <c r="PLZ49" s="344"/>
      <c r="PMA49" s="344"/>
      <c r="PMB49" s="344"/>
      <c r="PMC49" s="344"/>
      <c r="PMD49" s="344"/>
      <c r="PME49" s="344"/>
      <c r="PMF49" s="344"/>
      <c r="PMG49" s="344"/>
      <c r="PMH49" s="344"/>
      <c r="PMI49" s="344"/>
      <c r="PMJ49" s="344"/>
      <c r="PMK49" s="344"/>
      <c r="PML49" s="344"/>
      <c r="PMM49" s="344"/>
      <c r="PMN49" s="344"/>
      <c r="PMO49" s="344"/>
      <c r="PMP49" s="344"/>
      <c r="PMQ49" s="344"/>
      <c r="PMR49" s="344"/>
      <c r="PMS49" s="344"/>
      <c r="PMT49" s="344"/>
      <c r="PMU49" s="344"/>
      <c r="PMV49" s="344"/>
      <c r="PMW49" s="344"/>
      <c r="PMX49" s="344"/>
      <c r="PMY49" s="344"/>
      <c r="PMZ49" s="344"/>
      <c r="PNA49" s="344"/>
      <c r="PNB49" s="344"/>
      <c r="PNC49" s="344"/>
      <c r="PND49" s="344"/>
      <c r="PNE49" s="344"/>
      <c r="PNF49" s="344"/>
      <c r="PNG49" s="344"/>
      <c r="PNH49" s="344"/>
      <c r="PNI49" s="344"/>
      <c r="PNJ49" s="344"/>
      <c r="PNK49" s="344"/>
      <c r="PNL49" s="344"/>
      <c r="PNM49" s="344"/>
      <c r="PNN49" s="344"/>
      <c r="PNO49" s="344"/>
      <c r="PNP49" s="344"/>
      <c r="PNQ49" s="344"/>
      <c r="PNR49" s="344"/>
      <c r="PNS49" s="344"/>
      <c r="PNT49" s="344"/>
      <c r="PNU49" s="344"/>
      <c r="PNV49" s="344"/>
      <c r="PNW49" s="344"/>
      <c r="PNX49" s="344"/>
      <c r="PNY49" s="344"/>
      <c r="PNZ49" s="344"/>
      <c r="POA49" s="344"/>
      <c r="POB49" s="344"/>
      <c r="POC49" s="344"/>
      <c r="POD49" s="344"/>
      <c r="POE49" s="344"/>
      <c r="POF49" s="344"/>
      <c r="POG49" s="344"/>
      <c r="POH49" s="344"/>
      <c r="POI49" s="344"/>
      <c r="POJ49" s="344"/>
      <c r="POK49" s="344"/>
      <c r="POL49" s="344"/>
      <c r="POM49" s="344"/>
      <c r="PON49" s="344"/>
      <c r="POO49" s="344"/>
      <c r="POP49" s="344"/>
      <c r="POQ49" s="344"/>
      <c r="POR49" s="344"/>
      <c r="POS49" s="344"/>
      <c r="POT49" s="344"/>
      <c r="POU49" s="344"/>
      <c r="POV49" s="344"/>
      <c r="POW49" s="344"/>
      <c r="POX49" s="344"/>
      <c r="POY49" s="344"/>
      <c r="POZ49" s="344"/>
      <c r="PPA49" s="344"/>
      <c r="PPB49" s="344"/>
      <c r="PPC49" s="344"/>
      <c r="PPD49" s="344"/>
      <c r="PPE49" s="344"/>
      <c r="PPF49" s="344"/>
      <c r="PPG49" s="344"/>
      <c r="PPH49" s="344"/>
      <c r="PPI49" s="344"/>
      <c r="PPJ49" s="344"/>
      <c r="PPK49" s="344"/>
      <c r="PPL49" s="344"/>
      <c r="PPM49" s="344"/>
      <c r="PPN49" s="344"/>
      <c r="PPO49" s="344"/>
      <c r="PPP49" s="344"/>
      <c r="PPQ49" s="344"/>
      <c r="PPR49" s="344"/>
      <c r="PPS49" s="344"/>
      <c r="PPT49" s="344"/>
      <c r="PPU49" s="344"/>
      <c r="PPV49" s="344"/>
      <c r="PPW49" s="344"/>
      <c r="PPX49" s="344"/>
      <c r="PPY49" s="344"/>
      <c r="PPZ49" s="344"/>
      <c r="PQA49" s="344"/>
      <c r="PQB49" s="344"/>
      <c r="PQC49" s="344"/>
      <c r="PQD49" s="344"/>
      <c r="PQE49" s="344"/>
      <c r="PQF49" s="344"/>
      <c r="PQG49" s="344"/>
      <c r="PQH49" s="344"/>
      <c r="PQI49" s="344"/>
      <c r="PQJ49" s="344"/>
      <c r="PQK49" s="344"/>
      <c r="PQL49" s="344"/>
      <c r="PQM49" s="344"/>
      <c r="PQN49" s="344"/>
      <c r="PQO49" s="344"/>
      <c r="PQP49" s="344"/>
      <c r="PQQ49" s="344"/>
      <c r="PQR49" s="344"/>
      <c r="PQS49" s="344"/>
      <c r="PQT49" s="344"/>
      <c r="PQU49" s="344"/>
      <c r="PQV49" s="344"/>
      <c r="PQW49" s="344"/>
      <c r="PQX49" s="344"/>
      <c r="PQY49" s="344"/>
      <c r="PQZ49" s="344"/>
      <c r="PRA49" s="344"/>
      <c r="PRB49" s="344"/>
      <c r="PRC49" s="344"/>
      <c r="PRD49" s="344"/>
      <c r="PRE49" s="344"/>
      <c r="PRF49" s="344"/>
      <c r="PRG49" s="344"/>
      <c r="PRH49" s="344"/>
      <c r="PRI49" s="344"/>
      <c r="PRJ49" s="344"/>
      <c r="PRK49" s="344"/>
      <c r="PRL49" s="344"/>
      <c r="PRM49" s="344"/>
      <c r="PRN49" s="344"/>
      <c r="PRO49" s="344"/>
      <c r="PRP49" s="344"/>
      <c r="PRQ49" s="344"/>
      <c r="PRR49" s="344"/>
      <c r="PRS49" s="344"/>
      <c r="PRT49" s="344"/>
      <c r="PRU49" s="344"/>
      <c r="PRV49" s="344"/>
      <c r="PRW49" s="344"/>
      <c r="PRX49" s="344"/>
      <c r="PRY49" s="344"/>
      <c r="PRZ49" s="344"/>
      <c r="PSA49" s="344"/>
      <c r="PSB49" s="344"/>
      <c r="PSC49" s="344"/>
      <c r="PSD49" s="344"/>
      <c r="PSE49" s="344"/>
      <c r="PSF49" s="344"/>
      <c r="PSG49" s="344"/>
      <c r="PSH49" s="344"/>
      <c r="PSI49" s="344"/>
      <c r="PSJ49" s="344"/>
      <c r="PSK49" s="344"/>
      <c r="PSL49" s="344"/>
      <c r="PSM49" s="344"/>
      <c r="PSN49" s="344"/>
      <c r="PSO49" s="344"/>
      <c r="PSP49" s="344"/>
      <c r="PSQ49" s="344"/>
      <c r="PSR49" s="344"/>
      <c r="PSS49" s="344"/>
      <c r="PST49" s="344"/>
      <c r="PSU49" s="344"/>
      <c r="PSV49" s="344"/>
      <c r="PSW49" s="344"/>
      <c r="PSX49" s="344"/>
      <c r="PSY49" s="344"/>
      <c r="PSZ49" s="344"/>
      <c r="PTA49" s="344"/>
      <c r="PTB49" s="344"/>
      <c r="PTC49" s="344"/>
      <c r="PTD49" s="344"/>
      <c r="PTE49" s="344"/>
      <c r="PTF49" s="344"/>
      <c r="PTG49" s="344"/>
      <c r="PTH49" s="344"/>
      <c r="PTI49" s="344"/>
      <c r="PTJ49" s="344"/>
      <c r="PTK49" s="344"/>
      <c r="PTL49" s="344"/>
      <c r="PTM49" s="344"/>
      <c r="PTN49" s="344"/>
      <c r="PTO49" s="344"/>
      <c r="PTP49" s="344"/>
      <c r="PTQ49" s="344"/>
      <c r="PTR49" s="344"/>
      <c r="PTS49" s="344"/>
      <c r="PTT49" s="344"/>
      <c r="PTU49" s="344"/>
      <c r="PTV49" s="344"/>
      <c r="PTW49" s="344"/>
      <c r="PTX49" s="344"/>
      <c r="PTY49" s="344"/>
      <c r="PTZ49" s="344"/>
      <c r="PUA49" s="344"/>
      <c r="PUB49" s="344"/>
      <c r="PUC49" s="344"/>
      <c r="PUD49" s="344"/>
      <c r="PUE49" s="344"/>
      <c r="PUF49" s="344"/>
      <c r="PUG49" s="344"/>
      <c r="PUH49" s="344"/>
      <c r="PUI49" s="344"/>
      <c r="PUJ49" s="344"/>
      <c r="PUK49" s="344"/>
      <c r="PUL49" s="344"/>
      <c r="PUM49" s="344"/>
      <c r="PUN49" s="344"/>
      <c r="PUO49" s="344"/>
      <c r="PUP49" s="344"/>
      <c r="PUQ49" s="344"/>
      <c r="PUR49" s="344"/>
      <c r="PUS49" s="344"/>
      <c r="PUT49" s="344"/>
      <c r="PUU49" s="344"/>
      <c r="PUV49" s="344"/>
      <c r="PUW49" s="344"/>
      <c r="PUX49" s="344"/>
      <c r="PUY49" s="344"/>
      <c r="PUZ49" s="344"/>
      <c r="PVA49" s="344"/>
      <c r="PVB49" s="344"/>
      <c r="PVC49" s="344"/>
      <c r="PVD49" s="344"/>
      <c r="PVE49" s="344"/>
      <c r="PVF49" s="344"/>
      <c r="PVG49" s="344"/>
      <c r="PVH49" s="344"/>
      <c r="PVI49" s="344"/>
      <c r="PVJ49" s="344"/>
      <c r="PVK49" s="344"/>
      <c r="PVL49" s="344"/>
      <c r="PVM49" s="344"/>
      <c r="PVN49" s="344"/>
      <c r="PVO49" s="344"/>
      <c r="PVP49" s="344"/>
      <c r="PVQ49" s="344"/>
      <c r="PVR49" s="344"/>
      <c r="PVS49" s="344"/>
      <c r="PVT49" s="344"/>
      <c r="PVU49" s="344"/>
      <c r="PVV49" s="344"/>
      <c r="PVW49" s="344"/>
      <c r="PVX49" s="344"/>
      <c r="PVY49" s="344"/>
      <c r="PVZ49" s="344"/>
      <c r="PWA49" s="344"/>
      <c r="PWB49" s="344"/>
      <c r="PWC49" s="344"/>
      <c r="PWD49" s="344"/>
      <c r="PWE49" s="344"/>
      <c r="PWF49" s="344"/>
      <c r="PWG49" s="344"/>
      <c r="PWH49" s="344"/>
      <c r="PWI49" s="344"/>
      <c r="PWJ49" s="344"/>
      <c r="PWK49" s="344"/>
      <c r="PWL49" s="344"/>
      <c r="PWM49" s="344"/>
      <c r="PWN49" s="344"/>
      <c r="PWO49" s="344"/>
      <c r="PWP49" s="344"/>
      <c r="PWQ49" s="344"/>
      <c r="PWR49" s="344"/>
      <c r="PWS49" s="344"/>
      <c r="PWT49" s="344"/>
      <c r="PWU49" s="344"/>
      <c r="PWV49" s="344"/>
      <c r="PWW49" s="344"/>
      <c r="PWX49" s="344"/>
      <c r="PWY49" s="344"/>
      <c r="PWZ49" s="344"/>
      <c r="PXA49" s="344"/>
      <c r="PXB49" s="344"/>
      <c r="PXC49" s="344"/>
      <c r="PXD49" s="344"/>
      <c r="PXE49" s="344"/>
      <c r="PXF49" s="344"/>
      <c r="PXG49" s="344"/>
      <c r="PXH49" s="344"/>
      <c r="PXI49" s="344"/>
      <c r="PXJ49" s="344"/>
      <c r="PXK49" s="344"/>
      <c r="PXL49" s="344"/>
      <c r="PXM49" s="344"/>
      <c r="PXN49" s="344"/>
      <c r="PXO49" s="344"/>
      <c r="PXP49" s="344"/>
      <c r="PXQ49" s="344"/>
      <c r="PXR49" s="344"/>
      <c r="PXS49" s="344"/>
      <c r="PXT49" s="344"/>
      <c r="PXU49" s="344"/>
      <c r="PXV49" s="344"/>
      <c r="PXW49" s="344"/>
      <c r="PXX49" s="344"/>
      <c r="PXY49" s="344"/>
      <c r="PXZ49" s="344"/>
      <c r="PYA49" s="344"/>
      <c r="PYB49" s="344"/>
      <c r="PYC49" s="344"/>
      <c r="PYD49" s="344"/>
      <c r="PYE49" s="344"/>
      <c r="PYF49" s="344"/>
      <c r="PYG49" s="344"/>
      <c r="PYH49" s="344"/>
      <c r="PYI49" s="344"/>
      <c r="PYJ49" s="344"/>
      <c r="PYK49" s="344"/>
      <c r="PYL49" s="344"/>
      <c r="PYM49" s="344"/>
      <c r="PYN49" s="344"/>
      <c r="PYO49" s="344"/>
      <c r="PYP49" s="344"/>
      <c r="PYQ49" s="344"/>
      <c r="PYR49" s="344"/>
      <c r="PYS49" s="344"/>
      <c r="PYT49" s="344"/>
      <c r="PYU49" s="344"/>
      <c r="PYV49" s="344"/>
      <c r="PYW49" s="344"/>
      <c r="PYX49" s="344"/>
      <c r="PYY49" s="344"/>
      <c r="PYZ49" s="344"/>
      <c r="PZA49" s="344"/>
      <c r="PZB49" s="344"/>
      <c r="PZC49" s="344"/>
      <c r="PZD49" s="344"/>
      <c r="PZE49" s="344"/>
      <c r="PZF49" s="344"/>
      <c r="PZG49" s="344"/>
      <c r="PZH49" s="344"/>
      <c r="PZI49" s="344"/>
      <c r="PZJ49" s="344"/>
      <c r="PZK49" s="344"/>
      <c r="PZL49" s="344"/>
      <c r="PZM49" s="344"/>
      <c r="PZN49" s="344"/>
      <c r="PZO49" s="344"/>
      <c r="PZP49" s="344"/>
      <c r="PZQ49" s="344"/>
      <c r="PZR49" s="344"/>
      <c r="PZS49" s="344"/>
      <c r="PZT49" s="344"/>
      <c r="PZU49" s="344"/>
      <c r="PZV49" s="344"/>
      <c r="PZW49" s="344"/>
      <c r="PZX49" s="344"/>
      <c r="PZY49" s="344"/>
      <c r="PZZ49" s="344"/>
      <c r="QAA49" s="344"/>
      <c r="QAB49" s="344"/>
      <c r="QAC49" s="344"/>
      <c r="QAD49" s="344"/>
      <c r="QAE49" s="344"/>
      <c r="QAF49" s="344"/>
      <c r="QAG49" s="344"/>
      <c r="QAH49" s="344"/>
      <c r="QAI49" s="344"/>
      <c r="QAJ49" s="344"/>
      <c r="QAK49" s="344"/>
      <c r="QAL49" s="344"/>
      <c r="QAM49" s="344"/>
      <c r="QAN49" s="344"/>
      <c r="QAO49" s="344"/>
      <c r="QAP49" s="344"/>
      <c r="QAQ49" s="344"/>
      <c r="QAR49" s="344"/>
      <c r="QAS49" s="344"/>
      <c r="QAT49" s="344"/>
      <c r="QAU49" s="344"/>
      <c r="QAV49" s="344"/>
      <c r="QAW49" s="344"/>
      <c r="QAX49" s="344"/>
      <c r="QAY49" s="344"/>
      <c r="QAZ49" s="344"/>
      <c r="QBA49" s="344"/>
      <c r="QBB49" s="344"/>
      <c r="QBC49" s="344"/>
      <c r="QBD49" s="344"/>
      <c r="QBE49" s="344"/>
      <c r="QBF49" s="344"/>
      <c r="QBG49" s="344"/>
      <c r="QBH49" s="344"/>
      <c r="QBI49" s="344"/>
      <c r="QBJ49" s="344"/>
      <c r="QBK49" s="344"/>
      <c r="QBL49" s="344"/>
      <c r="QBM49" s="344"/>
      <c r="QBN49" s="344"/>
      <c r="QBO49" s="344"/>
      <c r="QBP49" s="344"/>
      <c r="QBQ49" s="344"/>
      <c r="QBR49" s="344"/>
      <c r="QBS49" s="344"/>
      <c r="QBT49" s="344"/>
      <c r="QBU49" s="344"/>
      <c r="QBV49" s="344"/>
      <c r="QBW49" s="344"/>
      <c r="QBX49" s="344"/>
      <c r="QBY49" s="344"/>
      <c r="QBZ49" s="344"/>
      <c r="QCA49" s="344"/>
      <c r="QCB49" s="344"/>
      <c r="QCC49" s="344"/>
      <c r="QCD49" s="344"/>
      <c r="QCE49" s="344"/>
      <c r="QCF49" s="344"/>
      <c r="QCG49" s="344"/>
      <c r="QCH49" s="344"/>
      <c r="QCI49" s="344"/>
      <c r="QCJ49" s="344"/>
      <c r="QCK49" s="344"/>
      <c r="QCL49" s="344"/>
      <c r="QCM49" s="344"/>
      <c r="QCN49" s="344"/>
      <c r="QCO49" s="344"/>
      <c r="QCP49" s="344"/>
      <c r="QCQ49" s="344"/>
      <c r="QCR49" s="344"/>
      <c r="QCS49" s="344"/>
      <c r="QCT49" s="344"/>
      <c r="QCU49" s="344"/>
      <c r="QCV49" s="344"/>
      <c r="QCW49" s="344"/>
      <c r="QCX49" s="344"/>
      <c r="QCY49" s="344"/>
      <c r="QCZ49" s="344"/>
      <c r="QDA49" s="344"/>
      <c r="QDB49" s="344"/>
      <c r="QDC49" s="344"/>
      <c r="QDD49" s="344"/>
      <c r="QDE49" s="344"/>
      <c r="QDF49" s="344"/>
      <c r="QDG49" s="344"/>
      <c r="QDH49" s="344"/>
      <c r="QDI49" s="344"/>
      <c r="QDJ49" s="344"/>
      <c r="QDK49" s="344"/>
      <c r="QDL49" s="344"/>
      <c r="QDM49" s="344"/>
      <c r="QDN49" s="344"/>
      <c r="QDO49" s="344"/>
      <c r="QDP49" s="344"/>
      <c r="QDQ49" s="344"/>
      <c r="QDR49" s="344"/>
      <c r="QDS49" s="344"/>
      <c r="QDT49" s="344"/>
      <c r="QDU49" s="344"/>
      <c r="QDV49" s="344"/>
      <c r="QDW49" s="344"/>
      <c r="QDX49" s="344"/>
      <c r="QDY49" s="344"/>
      <c r="QDZ49" s="344"/>
      <c r="QEA49" s="344"/>
      <c r="QEB49" s="344"/>
      <c r="QEC49" s="344"/>
      <c r="QED49" s="344"/>
      <c r="QEE49" s="344"/>
      <c r="QEF49" s="344"/>
      <c r="QEG49" s="344"/>
      <c r="QEH49" s="344"/>
      <c r="QEI49" s="344"/>
      <c r="QEJ49" s="344"/>
      <c r="QEK49" s="344"/>
      <c r="QEL49" s="344"/>
      <c r="QEM49" s="344"/>
      <c r="QEN49" s="344"/>
      <c r="QEO49" s="344"/>
      <c r="QEP49" s="344"/>
      <c r="QEQ49" s="344"/>
      <c r="QER49" s="344"/>
      <c r="QES49" s="344"/>
      <c r="QET49" s="344"/>
      <c r="QEU49" s="344"/>
      <c r="QEV49" s="344"/>
      <c r="QEW49" s="344"/>
      <c r="QEX49" s="344"/>
      <c r="QEY49" s="344"/>
      <c r="QEZ49" s="344"/>
      <c r="QFA49" s="344"/>
      <c r="QFB49" s="344"/>
      <c r="QFC49" s="344"/>
      <c r="QFD49" s="344"/>
      <c r="QFE49" s="344"/>
      <c r="QFF49" s="344"/>
      <c r="QFG49" s="344"/>
      <c r="QFH49" s="344"/>
      <c r="QFI49" s="344"/>
      <c r="QFJ49" s="344"/>
      <c r="QFK49" s="344"/>
      <c r="QFL49" s="344"/>
      <c r="QFM49" s="344"/>
      <c r="QFN49" s="344"/>
      <c r="QFO49" s="344"/>
      <c r="QFP49" s="344"/>
      <c r="QFQ49" s="344"/>
      <c r="QFR49" s="344"/>
      <c r="QFS49" s="344"/>
      <c r="QFT49" s="344"/>
      <c r="QFU49" s="344"/>
      <c r="QFV49" s="344"/>
      <c r="QFW49" s="344"/>
      <c r="QFX49" s="344"/>
      <c r="QFY49" s="344"/>
      <c r="QFZ49" s="344"/>
      <c r="QGA49" s="344"/>
      <c r="QGB49" s="344"/>
      <c r="QGC49" s="344"/>
      <c r="QGD49" s="344"/>
      <c r="QGE49" s="344"/>
      <c r="QGF49" s="344"/>
      <c r="QGG49" s="344"/>
      <c r="QGH49" s="344"/>
      <c r="QGI49" s="344"/>
      <c r="QGJ49" s="344"/>
      <c r="QGK49" s="344"/>
      <c r="QGL49" s="344"/>
      <c r="QGM49" s="344"/>
      <c r="QGN49" s="344"/>
      <c r="QGO49" s="344"/>
      <c r="QGP49" s="344"/>
      <c r="QGQ49" s="344"/>
      <c r="QGR49" s="344"/>
      <c r="QGS49" s="344"/>
      <c r="QGT49" s="344"/>
      <c r="QGU49" s="344"/>
      <c r="QGV49" s="344"/>
      <c r="QGW49" s="344"/>
      <c r="QGX49" s="344"/>
      <c r="QGY49" s="344"/>
      <c r="QGZ49" s="344"/>
      <c r="QHA49" s="344"/>
      <c r="QHB49" s="344"/>
      <c r="QHC49" s="344"/>
      <c r="QHD49" s="344"/>
      <c r="QHE49" s="344"/>
      <c r="QHF49" s="344"/>
      <c r="QHG49" s="344"/>
      <c r="QHH49" s="344"/>
      <c r="QHI49" s="344"/>
      <c r="QHJ49" s="344"/>
      <c r="QHK49" s="344"/>
      <c r="QHL49" s="344"/>
      <c r="QHM49" s="344"/>
      <c r="QHN49" s="344"/>
      <c r="QHO49" s="344"/>
      <c r="QHP49" s="344"/>
      <c r="QHQ49" s="344"/>
      <c r="QHR49" s="344"/>
      <c r="QHS49" s="344"/>
      <c r="QHT49" s="344"/>
      <c r="QHU49" s="344"/>
      <c r="QHV49" s="344"/>
      <c r="QHW49" s="344"/>
      <c r="QHX49" s="344"/>
      <c r="QHY49" s="344"/>
      <c r="QHZ49" s="344"/>
      <c r="QIA49" s="344"/>
      <c r="QIB49" s="344"/>
      <c r="QIC49" s="344"/>
      <c r="QID49" s="344"/>
      <c r="QIE49" s="344"/>
      <c r="QIF49" s="344"/>
      <c r="QIG49" s="344"/>
      <c r="QIH49" s="344"/>
      <c r="QII49" s="344"/>
      <c r="QIJ49" s="344"/>
      <c r="QIK49" s="344"/>
      <c r="QIL49" s="344"/>
      <c r="QIM49" s="344"/>
      <c r="QIN49" s="344"/>
      <c r="QIO49" s="344"/>
      <c r="QIP49" s="344"/>
      <c r="QIQ49" s="344"/>
      <c r="QIR49" s="344"/>
      <c r="QIS49" s="344"/>
      <c r="QIT49" s="344"/>
      <c r="QIU49" s="344"/>
      <c r="QIV49" s="344"/>
      <c r="QIW49" s="344"/>
      <c r="QIX49" s="344"/>
      <c r="QIY49" s="344"/>
      <c r="QIZ49" s="344"/>
      <c r="QJA49" s="344"/>
      <c r="QJB49" s="344"/>
      <c r="QJC49" s="344"/>
      <c r="QJD49" s="344"/>
      <c r="QJE49" s="344"/>
      <c r="QJF49" s="344"/>
      <c r="QJG49" s="344"/>
      <c r="QJH49" s="344"/>
      <c r="QJI49" s="344"/>
      <c r="QJJ49" s="344"/>
      <c r="QJK49" s="344"/>
      <c r="QJL49" s="344"/>
      <c r="QJM49" s="344"/>
      <c r="QJN49" s="344"/>
      <c r="QJO49" s="344"/>
      <c r="QJP49" s="344"/>
      <c r="QJQ49" s="344"/>
      <c r="QJR49" s="344"/>
      <c r="QJS49" s="344"/>
      <c r="QJT49" s="344"/>
      <c r="QJU49" s="344"/>
      <c r="QJV49" s="344"/>
      <c r="QJW49" s="344"/>
      <c r="QJX49" s="344"/>
      <c r="QJY49" s="344"/>
      <c r="QJZ49" s="344"/>
      <c r="QKA49" s="344"/>
      <c r="QKB49" s="344"/>
      <c r="QKC49" s="344"/>
      <c r="QKD49" s="344"/>
      <c r="QKE49" s="344"/>
      <c r="QKF49" s="344"/>
      <c r="QKG49" s="344"/>
      <c r="QKH49" s="344"/>
      <c r="QKI49" s="344"/>
      <c r="QKJ49" s="344"/>
      <c r="QKK49" s="344"/>
      <c r="QKL49" s="344"/>
      <c r="QKM49" s="344"/>
      <c r="QKN49" s="344"/>
      <c r="QKO49" s="344"/>
      <c r="QKP49" s="344"/>
      <c r="QKQ49" s="344"/>
      <c r="QKR49" s="344"/>
      <c r="QKS49" s="344"/>
      <c r="QKT49" s="344"/>
      <c r="QKU49" s="344"/>
      <c r="QKV49" s="344"/>
      <c r="QKW49" s="344"/>
      <c r="QKX49" s="344"/>
      <c r="QKY49" s="344"/>
      <c r="QKZ49" s="344"/>
      <c r="QLA49" s="344"/>
      <c r="QLB49" s="344"/>
      <c r="QLC49" s="344"/>
      <c r="QLD49" s="344"/>
      <c r="QLE49" s="344"/>
      <c r="QLF49" s="344"/>
      <c r="QLG49" s="344"/>
      <c r="QLH49" s="344"/>
      <c r="QLI49" s="344"/>
      <c r="QLJ49" s="344"/>
      <c r="QLK49" s="344"/>
      <c r="QLL49" s="344"/>
      <c r="QLM49" s="344"/>
      <c r="QLN49" s="344"/>
      <c r="QLO49" s="344"/>
      <c r="QLP49" s="344"/>
      <c r="QLQ49" s="344"/>
      <c r="QLR49" s="344"/>
      <c r="QLS49" s="344"/>
      <c r="QLT49" s="344"/>
      <c r="QLU49" s="344"/>
      <c r="QLV49" s="344"/>
      <c r="QLW49" s="344"/>
      <c r="QLX49" s="344"/>
      <c r="QLY49" s="344"/>
      <c r="QLZ49" s="344"/>
      <c r="QMA49" s="344"/>
      <c r="QMB49" s="344"/>
      <c r="QMC49" s="344"/>
      <c r="QMD49" s="344"/>
      <c r="QME49" s="344"/>
      <c r="QMF49" s="344"/>
      <c r="QMG49" s="344"/>
      <c r="QMH49" s="344"/>
      <c r="QMI49" s="344"/>
      <c r="QMJ49" s="344"/>
      <c r="QMK49" s="344"/>
      <c r="QML49" s="344"/>
      <c r="QMM49" s="344"/>
      <c r="QMN49" s="344"/>
      <c r="QMO49" s="344"/>
      <c r="QMP49" s="344"/>
      <c r="QMQ49" s="344"/>
      <c r="QMR49" s="344"/>
      <c r="QMS49" s="344"/>
      <c r="QMT49" s="344"/>
      <c r="QMU49" s="344"/>
      <c r="QMV49" s="344"/>
      <c r="QMW49" s="344"/>
      <c r="QMX49" s="344"/>
      <c r="QMY49" s="344"/>
      <c r="QMZ49" s="344"/>
      <c r="QNA49" s="344"/>
      <c r="QNB49" s="344"/>
      <c r="QNC49" s="344"/>
      <c r="QND49" s="344"/>
      <c r="QNE49" s="344"/>
      <c r="QNF49" s="344"/>
      <c r="QNG49" s="344"/>
      <c r="QNH49" s="344"/>
      <c r="QNI49" s="344"/>
      <c r="QNJ49" s="344"/>
      <c r="QNK49" s="344"/>
      <c r="QNL49" s="344"/>
      <c r="QNM49" s="344"/>
      <c r="QNN49" s="344"/>
      <c r="QNO49" s="344"/>
      <c r="QNP49" s="344"/>
      <c r="QNQ49" s="344"/>
      <c r="QNR49" s="344"/>
      <c r="QNS49" s="344"/>
      <c r="QNT49" s="344"/>
      <c r="QNU49" s="344"/>
      <c r="QNV49" s="344"/>
      <c r="QNW49" s="344"/>
      <c r="QNX49" s="344"/>
      <c r="QNY49" s="344"/>
      <c r="QNZ49" s="344"/>
      <c r="QOA49" s="344"/>
      <c r="QOB49" s="344"/>
      <c r="QOC49" s="344"/>
      <c r="QOD49" s="344"/>
      <c r="QOE49" s="344"/>
      <c r="QOF49" s="344"/>
      <c r="QOG49" s="344"/>
      <c r="QOH49" s="344"/>
      <c r="QOI49" s="344"/>
      <c r="QOJ49" s="344"/>
      <c r="QOK49" s="344"/>
      <c r="QOL49" s="344"/>
      <c r="QOM49" s="344"/>
      <c r="QON49" s="344"/>
      <c r="QOO49" s="344"/>
      <c r="QOP49" s="344"/>
      <c r="QOQ49" s="344"/>
      <c r="QOR49" s="344"/>
      <c r="QOS49" s="344"/>
      <c r="QOT49" s="344"/>
      <c r="QOU49" s="344"/>
      <c r="QOV49" s="344"/>
      <c r="QOW49" s="344"/>
      <c r="QOX49" s="344"/>
      <c r="QOY49" s="344"/>
      <c r="QOZ49" s="344"/>
      <c r="QPA49" s="344"/>
      <c r="QPB49" s="344"/>
      <c r="QPC49" s="344"/>
      <c r="QPD49" s="344"/>
      <c r="QPE49" s="344"/>
      <c r="QPF49" s="344"/>
      <c r="QPG49" s="344"/>
      <c r="QPH49" s="344"/>
      <c r="QPI49" s="344"/>
      <c r="QPJ49" s="344"/>
      <c r="QPK49" s="344"/>
      <c r="QPL49" s="344"/>
      <c r="QPM49" s="344"/>
      <c r="QPN49" s="344"/>
      <c r="QPO49" s="344"/>
      <c r="QPP49" s="344"/>
      <c r="QPQ49" s="344"/>
      <c r="QPR49" s="344"/>
      <c r="QPS49" s="344"/>
      <c r="QPT49" s="344"/>
      <c r="QPU49" s="344"/>
      <c r="QPV49" s="344"/>
      <c r="QPW49" s="344"/>
      <c r="QPX49" s="344"/>
      <c r="QPY49" s="344"/>
      <c r="QPZ49" s="344"/>
      <c r="QQA49" s="344"/>
      <c r="QQB49" s="344"/>
      <c r="QQC49" s="344"/>
      <c r="QQD49" s="344"/>
      <c r="QQE49" s="344"/>
      <c r="QQF49" s="344"/>
      <c r="QQG49" s="344"/>
      <c r="QQH49" s="344"/>
      <c r="QQI49" s="344"/>
      <c r="QQJ49" s="344"/>
      <c r="QQK49" s="344"/>
      <c r="QQL49" s="344"/>
      <c r="QQM49" s="344"/>
      <c r="QQN49" s="344"/>
      <c r="QQO49" s="344"/>
      <c r="QQP49" s="344"/>
      <c r="QQQ49" s="344"/>
      <c r="QQR49" s="344"/>
      <c r="QQS49" s="344"/>
      <c r="QQT49" s="344"/>
      <c r="QQU49" s="344"/>
      <c r="QQV49" s="344"/>
      <c r="QQW49" s="344"/>
      <c r="QQX49" s="344"/>
      <c r="QQY49" s="344"/>
      <c r="QQZ49" s="344"/>
      <c r="QRA49" s="344"/>
      <c r="QRB49" s="344"/>
      <c r="QRC49" s="344"/>
      <c r="QRD49" s="344"/>
      <c r="QRE49" s="344"/>
      <c r="QRF49" s="344"/>
      <c r="QRG49" s="344"/>
      <c r="QRH49" s="344"/>
      <c r="QRI49" s="344"/>
      <c r="QRJ49" s="344"/>
      <c r="QRK49" s="344"/>
      <c r="QRL49" s="344"/>
      <c r="QRM49" s="344"/>
      <c r="QRN49" s="344"/>
      <c r="QRO49" s="344"/>
      <c r="QRP49" s="344"/>
      <c r="QRQ49" s="344"/>
      <c r="QRR49" s="344"/>
      <c r="QRS49" s="344"/>
      <c r="QRT49" s="344"/>
      <c r="QRU49" s="344"/>
      <c r="QRV49" s="344"/>
      <c r="QRW49" s="344"/>
      <c r="QRX49" s="344"/>
      <c r="QRY49" s="344"/>
      <c r="QRZ49" s="344"/>
      <c r="QSA49" s="344"/>
      <c r="QSB49" s="344"/>
      <c r="QSC49" s="344"/>
      <c r="QSD49" s="344"/>
      <c r="QSE49" s="344"/>
      <c r="QSF49" s="344"/>
      <c r="QSG49" s="344"/>
      <c r="QSH49" s="344"/>
      <c r="QSI49" s="344"/>
      <c r="QSJ49" s="344"/>
      <c r="QSK49" s="344"/>
      <c r="QSL49" s="344"/>
      <c r="QSM49" s="344"/>
      <c r="QSN49" s="344"/>
      <c r="QSO49" s="344"/>
      <c r="QSP49" s="344"/>
      <c r="QSQ49" s="344"/>
      <c r="QSR49" s="344"/>
      <c r="QSS49" s="344"/>
      <c r="QST49" s="344"/>
      <c r="QSU49" s="344"/>
      <c r="QSV49" s="344"/>
      <c r="QSW49" s="344"/>
      <c r="QSX49" s="344"/>
      <c r="QSY49" s="344"/>
      <c r="QSZ49" s="344"/>
      <c r="QTA49" s="344"/>
      <c r="QTB49" s="344"/>
      <c r="QTC49" s="344"/>
      <c r="QTD49" s="344"/>
      <c r="QTE49" s="344"/>
      <c r="QTF49" s="344"/>
      <c r="QTG49" s="344"/>
      <c r="QTH49" s="344"/>
      <c r="QTI49" s="344"/>
      <c r="QTJ49" s="344"/>
      <c r="QTK49" s="344"/>
      <c r="QTL49" s="344"/>
      <c r="QTM49" s="344"/>
      <c r="QTN49" s="344"/>
      <c r="QTO49" s="344"/>
      <c r="QTP49" s="344"/>
      <c r="QTQ49" s="344"/>
      <c r="QTR49" s="344"/>
      <c r="QTS49" s="344"/>
      <c r="QTT49" s="344"/>
      <c r="QTU49" s="344"/>
      <c r="QTV49" s="344"/>
      <c r="QTW49" s="344"/>
      <c r="QTX49" s="344"/>
      <c r="QTY49" s="344"/>
      <c r="QTZ49" s="344"/>
      <c r="QUA49" s="344"/>
      <c r="QUB49" s="344"/>
      <c r="QUC49" s="344"/>
      <c r="QUD49" s="344"/>
      <c r="QUE49" s="344"/>
      <c r="QUF49" s="344"/>
      <c r="QUG49" s="344"/>
      <c r="QUH49" s="344"/>
      <c r="QUI49" s="344"/>
      <c r="QUJ49" s="344"/>
      <c r="QUK49" s="344"/>
      <c r="QUL49" s="344"/>
      <c r="QUM49" s="344"/>
      <c r="QUN49" s="344"/>
      <c r="QUO49" s="344"/>
      <c r="QUP49" s="344"/>
      <c r="QUQ49" s="344"/>
      <c r="QUR49" s="344"/>
      <c r="QUS49" s="344"/>
      <c r="QUT49" s="344"/>
      <c r="QUU49" s="344"/>
      <c r="QUV49" s="344"/>
      <c r="QUW49" s="344"/>
      <c r="QUX49" s="344"/>
      <c r="QUY49" s="344"/>
      <c r="QUZ49" s="344"/>
      <c r="QVA49" s="344"/>
      <c r="QVB49" s="344"/>
      <c r="QVC49" s="344"/>
      <c r="QVD49" s="344"/>
      <c r="QVE49" s="344"/>
      <c r="QVF49" s="344"/>
      <c r="QVG49" s="344"/>
      <c r="QVH49" s="344"/>
      <c r="QVI49" s="344"/>
      <c r="QVJ49" s="344"/>
      <c r="QVK49" s="344"/>
      <c r="QVL49" s="344"/>
      <c r="QVM49" s="344"/>
      <c r="QVN49" s="344"/>
      <c r="QVO49" s="344"/>
      <c r="QVP49" s="344"/>
      <c r="QVQ49" s="344"/>
      <c r="QVR49" s="344"/>
      <c r="QVS49" s="344"/>
      <c r="QVT49" s="344"/>
      <c r="QVU49" s="344"/>
      <c r="QVV49" s="344"/>
      <c r="QVW49" s="344"/>
      <c r="QVX49" s="344"/>
      <c r="QVY49" s="344"/>
      <c r="QVZ49" s="344"/>
      <c r="QWA49" s="344"/>
      <c r="QWB49" s="344"/>
      <c r="QWC49" s="344"/>
      <c r="QWD49" s="344"/>
      <c r="QWE49" s="344"/>
      <c r="QWF49" s="344"/>
      <c r="QWG49" s="344"/>
      <c r="QWH49" s="344"/>
      <c r="QWI49" s="344"/>
      <c r="QWJ49" s="344"/>
      <c r="QWK49" s="344"/>
      <c r="QWL49" s="344"/>
      <c r="QWM49" s="344"/>
      <c r="QWN49" s="344"/>
      <c r="QWO49" s="344"/>
      <c r="QWP49" s="344"/>
      <c r="QWQ49" s="344"/>
      <c r="QWR49" s="344"/>
      <c r="QWS49" s="344"/>
      <c r="QWT49" s="344"/>
      <c r="QWU49" s="344"/>
      <c r="QWV49" s="344"/>
      <c r="QWW49" s="344"/>
      <c r="QWX49" s="344"/>
      <c r="QWY49" s="344"/>
      <c r="QWZ49" s="344"/>
      <c r="QXA49" s="344"/>
      <c r="QXB49" s="344"/>
      <c r="QXC49" s="344"/>
      <c r="QXD49" s="344"/>
      <c r="QXE49" s="344"/>
      <c r="QXF49" s="344"/>
      <c r="QXG49" s="344"/>
      <c r="QXH49" s="344"/>
      <c r="QXI49" s="344"/>
      <c r="QXJ49" s="344"/>
      <c r="QXK49" s="344"/>
      <c r="QXL49" s="344"/>
      <c r="QXM49" s="344"/>
      <c r="QXN49" s="344"/>
      <c r="QXO49" s="344"/>
      <c r="QXP49" s="344"/>
      <c r="QXQ49" s="344"/>
      <c r="QXR49" s="344"/>
      <c r="QXS49" s="344"/>
      <c r="QXT49" s="344"/>
      <c r="QXU49" s="344"/>
      <c r="QXV49" s="344"/>
      <c r="QXW49" s="344"/>
      <c r="QXX49" s="344"/>
      <c r="QXY49" s="344"/>
      <c r="QXZ49" s="344"/>
      <c r="QYA49" s="344"/>
      <c r="QYB49" s="344"/>
      <c r="QYC49" s="344"/>
      <c r="QYD49" s="344"/>
      <c r="QYE49" s="344"/>
      <c r="QYF49" s="344"/>
      <c r="QYG49" s="344"/>
      <c r="QYH49" s="344"/>
      <c r="QYI49" s="344"/>
      <c r="QYJ49" s="344"/>
      <c r="QYK49" s="344"/>
      <c r="QYL49" s="344"/>
      <c r="QYM49" s="344"/>
      <c r="QYN49" s="344"/>
      <c r="QYO49" s="344"/>
      <c r="QYP49" s="344"/>
      <c r="QYQ49" s="344"/>
      <c r="QYR49" s="344"/>
      <c r="QYS49" s="344"/>
      <c r="QYT49" s="344"/>
      <c r="QYU49" s="344"/>
      <c r="QYV49" s="344"/>
      <c r="QYW49" s="344"/>
      <c r="QYX49" s="344"/>
      <c r="QYY49" s="344"/>
      <c r="QYZ49" s="344"/>
      <c r="QZA49" s="344"/>
      <c r="QZB49" s="344"/>
      <c r="QZC49" s="344"/>
      <c r="QZD49" s="344"/>
      <c r="QZE49" s="344"/>
      <c r="QZF49" s="344"/>
      <c r="QZG49" s="344"/>
      <c r="QZH49" s="344"/>
      <c r="QZI49" s="344"/>
      <c r="QZJ49" s="344"/>
      <c r="QZK49" s="344"/>
      <c r="QZL49" s="344"/>
      <c r="QZM49" s="344"/>
      <c r="QZN49" s="344"/>
      <c r="QZO49" s="344"/>
      <c r="QZP49" s="344"/>
      <c r="QZQ49" s="344"/>
      <c r="QZR49" s="344"/>
      <c r="QZS49" s="344"/>
      <c r="QZT49" s="344"/>
      <c r="QZU49" s="344"/>
      <c r="QZV49" s="344"/>
      <c r="QZW49" s="344"/>
      <c r="QZX49" s="344"/>
      <c r="QZY49" s="344"/>
      <c r="QZZ49" s="344"/>
      <c r="RAA49" s="344"/>
      <c r="RAB49" s="344"/>
      <c r="RAC49" s="344"/>
      <c r="RAD49" s="344"/>
      <c r="RAE49" s="344"/>
      <c r="RAF49" s="344"/>
      <c r="RAG49" s="344"/>
      <c r="RAH49" s="344"/>
      <c r="RAI49" s="344"/>
      <c r="RAJ49" s="344"/>
      <c r="RAK49" s="344"/>
      <c r="RAL49" s="344"/>
      <c r="RAM49" s="344"/>
      <c r="RAN49" s="344"/>
      <c r="RAO49" s="344"/>
      <c r="RAP49" s="344"/>
      <c r="RAQ49" s="344"/>
      <c r="RAR49" s="344"/>
      <c r="RAS49" s="344"/>
      <c r="RAT49" s="344"/>
      <c r="RAU49" s="344"/>
      <c r="RAV49" s="344"/>
      <c r="RAW49" s="344"/>
      <c r="RAX49" s="344"/>
      <c r="RAY49" s="344"/>
      <c r="RAZ49" s="344"/>
      <c r="RBA49" s="344"/>
      <c r="RBB49" s="344"/>
      <c r="RBC49" s="344"/>
      <c r="RBD49" s="344"/>
      <c r="RBE49" s="344"/>
      <c r="RBF49" s="344"/>
      <c r="RBG49" s="344"/>
      <c r="RBH49" s="344"/>
      <c r="RBI49" s="344"/>
      <c r="RBJ49" s="344"/>
      <c r="RBK49" s="344"/>
      <c r="RBL49" s="344"/>
      <c r="RBM49" s="344"/>
      <c r="RBN49" s="344"/>
      <c r="RBO49" s="344"/>
      <c r="RBP49" s="344"/>
      <c r="RBQ49" s="344"/>
      <c r="RBR49" s="344"/>
      <c r="RBS49" s="344"/>
      <c r="RBT49" s="344"/>
      <c r="RBU49" s="344"/>
      <c r="RBV49" s="344"/>
      <c r="RBW49" s="344"/>
      <c r="RBX49" s="344"/>
      <c r="RBY49" s="344"/>
      <c r="RBZ49" s="344"/>
      <c r="RCA49" s="344"/>
      <c r="RCB49" s="344"/>
      <c r="RCC49" s="344"/>
      <c r="RCD49" s="344"/>
      <c r="RCE49" s="344"/>
      <c r="RCF49" s="344"/>
      <c r="RCG49" s="344"/>
      <c r="RCH49" s="344"/>
      <c r="RCI49" s="344"/>
      <c r="RCJ49" s="344"/>
      <c r="RCK49" s="344"/>
      <c r="RCL49" s="344"/>
      <c r="RCM49" s="344"/>
      <c r="RCN49" s="344"/>
      <c r="RCO49" s="344"/>
      <c r="RCP49" s="344"/>
      <c r="RCQ49" s="344"/>
      <c r="RCR49" s="344"/>
      <c r="RCS49" s="344"/>
      <c r="RCT49" s="344"/>
      <c r="RCU49" s="344"/>
      <c r="RCV49" s="344"/>
      <c r="RCW49" s="344"/>
      <c r="RCX49" s="344"/>
      <c r="RCY49" s="344"/>
      <c r="RCZ49" s="344"/>
      <c r="RDA49" s="344"/>
      <c r="RDB49" s="344"/>
      <c r="RDC49" s="344"/>
      <c r="RDD49" s="344"/>
      <c r="RDE49" s="344"/>
      <c r="RDF49" s="344"/>
      <c r="RDG49" s="344"/>
      <c r="RDH49" s="344"/>
      <c r="RDI49" s="344"/>
      <c r="RDJ49" s="344"/>
      <c r="RDK49" s="344"/>
      <c r="RDL49" s="344"/>
      <c r="RDM49" s="344"/>
      <c r="RDN49" s="344"/>
      <c r="RDO49" s="344"/>
      <c r="RDP49" s="344"/>
      <c r="RDQ49" s="344"/>
      <c r="RDR49" s="344"/>
      <c r="RDS49" s="344"/>
      <c r="RDT49" s="344"/>
      <c r="RDU49" s="344"/>
      <c r="RDV49" s="344"/>
      <c r="RDW49" s="344"/>
      <c r="RDX49" s="344"/>
      <c r="RDY49" s="344"/>
      <c r="RDZ49" s="344"/>
      <c r="REA49" s="344"/>
      <c r="REB49" s="344"/>
      <c r="REC49" s="344"/>
      <c r="RED49" s="344"/>
      <c r="REE49" s="344"/>
      <c r="REF49" s="344"/>
      <c r="REG49" s="344"/>
      <c r="REH49" s="344"/>
      <c r="REI49" s="344"/>
      <c r="REJ49" s="344"/>
      <c r="REK49" s="344"/>
      <c r="REL49" s="344"/>
      <c r="REM49" s="344"/>
      <c r="REN49" s="344"/>
      <c r="REO49" s="344"/>
      <c r="REP49" s="344"/>
      <c r="REQ49" s="344"/>
      <c r="RER49" s="344"/>
      <c r="RES49" s="344"/>
      <c r="RET49" s="344"/>
      <c r="REU49" s="344"/>
      <c r="REV49" s="344"/>
      <c r="REW49" s="344"/>
      <c r="REX49" s="344"/>
      <c r="REY49" s="344"/>
      <c r="REZ49" s="344"/>
      <c r="RFA49" s="344"/>
      <c r="RFB49" s="344"/>
      <c r="RFC49" s="344"/>
      <c r="RFD49" s="344"/>
      <c r="RFE49" s="344"/>
      <c r="RFF49" s="344"/>
      <c r="RFG49" s="344"/>
      <c r="RFH49" s="344"/>
      <c r="RFI49" s="344"/>
      <c r="RFJ49" s="344"/>
      <c r="RFK49" s="344"/>
      <c r="RFL49" s="344"/>
      <c r="RFM49" s="344"/>
      <c r="RFN49" s="344"/>
      <c r="RFO49" s="344"/>
      <c r="RFP49" s="344"/>
      <c r="RFQ49" s="344"/>
      <c r="RFR49" s="344"/>
      <c r="RFS49" s="344"/>
      <c r="RFT49" s="344"/>
      <c r="RFU49" s="344"/>
      <c r="RFV49" s="344"/>
      <c r="RFW49" s="344"/>
      <c r="RFX49" s="344"/>
      <c r="RFY49" s="344"/>
      <c r="RFZ49" s="344"/>
      <c r="RGA49" s="344"/>
      <c r="RGB49" s="344"/>
      <c r="RGC49" s="344"/>
      <c r="RGD49" s="344"/>
      <c r="RGE49" s="344"/>
      <c r="RGF49" s="344"/>
      <c r="RGG49" s="344"/>
      <c r="RGH49" s="344"/>
      <c r="RGI49" s="344"/>
      <c r="RGJ49" s="344"/>
      <c r="RGK49" s="344"/>
      <c r="RGL49" s="344"/>
      <c r="RGM49" s="344"/>
      <c r="RGN49" s="344"/>
      <c r="RGO49" s="344"/>
      <c r="RGP49" s="344"/>
      <c r="RGQ49" s="344"/>
      <c r="RGR49" s="344"/>
      <c r="RGS49" s="344"/>
      <c r="RGT49" s="344"/>
      <c r="RGU49" s="344"/>
      <c r="RGV49" s="344"/>
      <c r="RGW49" s="344"/>
      <c r="RGX49" s="344"/>
      <c r="RGY49" s="344"/>
      <c r="RGZ49" s="344"/>
      <c r="RHA49" s="344"/>
      <c r="RHB49" s="344"/>
      <c r="RHC49" s="344"/>
      <c r="RHD49" s="344"/>
      <c r="RHE49" s="344"/>
      <c r="RHF49" s="344"/>
      <c r="RHG49" s="344"/>
      <c r="RHH49" s="344"/>
      <c r="RHI49" s="344"/>
      <c r="RHJ49" s="344"/>
      <c r="RHK49" s="344"/>
      <c r="RHL49" s="344"/>
      <c r="RHM49" s="344"/>
      <c r="RHN49" s="344"/>
      <c r="RHO49" s="344"/>
      <c r="RHP49" s="344"/>
      <c r="RHQ49" s="344"/>
      <c r="RHR49" s="344"/>
      <c r="RHS49" s="344"/>
      <c r="RHT49" s="344"/>
      <c r="RHU49" s="344"/>
      <c r="RHV49" s="344"/>
      <c r="RHW49" s="344"/>
      <c r="RHX49" s="344"/>
      <c r="RHY49" s="344"/>
      <c r="RHZ49" s="344"/>
      <c r="RIA49" s="344"/>
      <c r="RIB49" s="344"/>
      <c r="RIC49" s="344"/>
      <c r="RID49" s="344"/>
      <c r="RIE49" s="344"/>
      <c r="RIF49" s="344"/>
      <c r="RIG49" s="344"/>
      <c r="RIH49" s="344"/>
      <c r="RII49" s="344"/>
      <c r="RIJ49" s="344"/>
      <c r="RIK49" s="344"/>
      <c r="RIL49" s="344"/>
      <c r="RIM49" s="344"/>
      <c r="RIN49" s="344"/>
      <c r="RIO49" s="344"/>
      <c r="RIP49" s="344"/>
      <c r="RIQ49" s="344"/>
      <c r="RIR49" s="344"/>
      <c r="RIS49" s="344"/>
      <c r="RIT49" s="344"/>
      <c r="RIU49" s="344"/>
      <c r="RIV49" s="344"/>
      <c r="RIW49" s="344"/>
      <c r="RIX49" s="344"/>
      <c r="RIY49" s="344"/>
      <c r="RIZ49" s="344"/>
      <c r="RJA49" s="344"/>
      <c r="RJB49" s="344"/>
      <c r="RJC49" s="344"/>
      <c r="RJD49" s="344"/>
      <c r="RJE49" s="344"/>
      <c r="RJF49" s="344"/>
      <c r="RJG49" s="344"/>
      <c r="RJH49" s="344"/>
      <c r="RJI49" s="344"/>
      <c r="RJJ49" s="344"/>
      <c r="RJK49" s="344"/>
      <c r="RJL49" s="344"/>
      <c r="RJM49" s="344"/>
      <c r="RJN49" s="344"/>
      <c r="RJO49" s="344"/>
      <c r="RJP49" s="344"/>
      <c r="RJQ49" s="344"/>
      <c r="RJR49" s="344"/>
      <c r="RJS49" s="344"/>
      <c r="RJT49" s="344"/>
      <c r="RJU49" s="344"/>
      <c r="RJV49" s="344"/>
      <c r="RJW49" s="344"/>
      <c r="RJX49" s="344"/>
      <c r="RJY49" s="344"/>
      <c r="RJZ49" s="344"/>
      <c r="RKA49" s="344"/>
      <c r="RKB49" s="344"/>
      <c r="RKC49" s="344"/>
      <c r="RKD49" s="344"/>
      <c r="RKE49" s="344"/>
      <c r="RKF49" s="344"/>
      <c r="RKG49" s="344"/>
      <c r="RKH49" s="344"/>
      <c r="RKI49" s="344"/>
      <c r="RKJ49" s="344"/>
      <c r="RKK49" s="344"/>
      <c r="RKL49" s="344"/>
      <c r="RKM49" s="344"/>
      <c r="RKN49" s="344"/>
      <c r="RKO49" s="344"/>
      <c r="RKP49" s="344"/>
      <c r="RKQ49" s="344"/>
      <c r="RKR49" s="344"/>
      <c r="RKS49" s="344"/>
      <c r="RKT49" s="344"/>
      <c r="RKU49" s="344"/>
      <c r="RKV49" s="344"/>
      <c r="RKW49" s="344"/>
      <c r="RKX49" s="344"/>
      <c r="RKY49" s="344"/>
      <c r="RKZ49" s="344"/>
      <c r="RLA49" s="344"/>
      <c r="RLB49" s="344"/>
      <c r="RLC49" s="344"/>
      <c r="RLD49" s="344"/>
      <c r="RLE49" s="344"/>
      <c r="RLF49" s="344"/>
      <c r="RLG49" s="344"/>
      <c r="RLH49" s="344"/>
      <c r="RLI49" s="344"/>
      <c r="RLJ49" s="344"/>
      <c r="RLK49" s="344"/>
      <c r="RLL49" s="344"/>
      <c r="RLM49" s="344"/>
      <c r="RLN49" s="344"/>
      <c r="RLO49" s="344"/>
      <c r="RLP49" s="344"/>
      <c r="RLQ49" s="344"/>
      <c r="RLR49" s="344"/>
      <c r="RLS49" s="344"/>
      <c r="RLT49" s="344"/>
      <c r="RLU49" s="344"/>
      <c r="RLV49" s="344"/>
      <c r="RLW49" s="344"/>
      <c r="RLX49" s="344"/>
      <c r="RLY49" s="344"/>
      <c r="RLZ49" s="344"/>
      <c r="RMA49" s="344"/>
      <c r="RMB49" s="344"/>
      <c r="RMC49" s="344"/>
      <c r="RMD49" s="344"/>
      <c r="RME49" s="344"/>
      <c r="RMF49" s="344"/>
      <c r="RMG49" s="344"/>
      <c r="RMH49" s="344"/>
      <c r="RMI49" s="344"/>
      <c r="RMJ49" s="344"/>
      <c r="RMK49" s="344"/>
      <c r="RML49" s="344"/>
      <c r="RMM49" s="344"/>
      <c r="RMN49" s="344"/>
      <c r="RMO49" s="344"/>
      <c r="RMP49" s="344"/>
      <c r="RMQ49" s="344"/>
      <c r="RMR49" s="344"/>
      <c r="RMS49" s="344"/>
      <c r="RMT49" s="344"/>
      <c r="RMU49" s="344"/>
      <c r="RMV49" s="344"/>
      <c r="RMW49" s="344"/>
      <c r="RMX49" s="344"/>
      <c r="RMY49" s="344"/>
      <c r="RMZ49" s="344"/>
      <c r="RNA49" s="344"/>
      <c r="RNB49" s="344"/>
      <c r="RNC49" s="344"/>
      <c r="RND49" s="344"/>
      <c r="RNE49" s="344"/>
      <c r="RNF49" s="344"/>
      <c r="RNG49" s="344"/>
      <c r="RNH49" s="344"/>
      <c r="RNI49" s="344"/>
      <c r="RNJ49" s="344"/>
      <c r="RNK49" s="344"/>
      <c r="RNL49" s="344"/>
      <c r="RNM49" s="344"/>
      <c r="RNN49" s="344"/>
      <c r="RNO49" s="344"/>
      <c r="RNP49" s="344"/>
      <c r="RNQ49" s="344"/>
      <c r="RNR49" s="344"/>
      <c r="RNS49" s="344"/>
      <c r="RNT49" s="344"/>
      <c r="RNU49" s="344"/>
      <c r="RNV49" s="344"/>
      <c r="RNW49" s="344"/>
      <c r="RNX49" s="344"/>
      <c r="RNY49" s="344"/>
      <c r="RNZ49" s="344"/>
      <c r="ROA49" s="344"/>
      <c r="ROB49" s="344"/>
      <c r="ROC49" s="344"/>
      <c r="ROD49" s="344"/>
      <c r="ROE49" s="344"/>
      <c r="ROF49" s="344"/>
      <c r="ROG49" s="344"/>
      <c r="ROH49" s="344"/>
      <c r="ROI49" s="344"/>
      <c r="ROJ49" s="344"/>
      <c r="ROK49" s="344"/>
      <c r="ROL49" s="344"/>
      <c r="ROM49" s="344"/>
      <c r="RON49" s="344"/>
      <c r="ROO49" s="344"/>
      <c r="ROP49" s="344"/>
      <c r="ROQ49" s="344"/>
      <c r="ROR49" s="344"/>
      <c r="ROS49" s="344"/>
      <c r="ROT49" s="344"/>
      <c r="ROU49" s="344"/>
      <c r="ROV49" s="344"/>
      <c r="ROW49" s="344"/>
      <c r="ROX49" s="344"/>
      <c r="ROY49" s="344"/>
      <c r="ROZ49" s="344"/>
      <c r="RPA49" s="344"/>
      <c r="RPB49" s="344"/>
      <c r="RPC49" s="344"/>
      <c r="RPD49" s="344"/>
      <c r="RPE49" s="344"/>
      <c r="RPF49" s="344"/>
      <c r="RPG49" s="344"/>
      <c r="RPH49" s="344"/>
      <c r="RPI49" s="344"/>
      <c r="RPJ49" s="344"/>
      <c r="RPK49" s="344"/>
      <c r="RPL49" s="344"/>
      <c r="RPM49" s="344"/>
      <c r="RPN49" s="344"/>
      <c r="RPO49" s="344"/>
      <c r="RPP49" s="344"/>
      <c r="RPQ49" s="344"/>
      <c r="RPR49" s="344"/>
      <c r="RPS49" s="344"/>
      <c r="RPT49" s="344"/>
      <c r="RPU49" s="344"/>
      <c r="RPV49" s="344"/>
      <c r="RPW49" s="344"/>
      <c r="RPX49" s="344"/>
      <c r="RPY49" s="344"/>
      <c r="RPZ49" s="344"/>
      <c r="RQA49" s="344"/>
      <c r="RQB49" s="344"/>
      <c r="RQC49" s="344"/>
      <c r="RQD49" s="344"/>
      <c r="RQE49" s="344"/>
      <c r="RQF49" s="344"/>
      <c r="RQG49" s="344"/>
      <c r="RQH49" s="344"/>
      <c r="RQI49" s="344"/>
      <c r="RQJ49" s="344"/>
      <c r="RQK49" s="344"/>
      <c r="RQL49" s="344"/>
      <c r="RQM49" s="344"/>
      <c r="RQN49" s="344"/>
      <c r="RQO49" s="344"/>
      <c r="RQP49" s="344"/>
      <c r="RQQ49" s="344"/>
      <c r="RQR49" s="344"/>
      <c r="RQS49" s="344"/>
      <c r="RQT49" s="344"/>
      <c r="RQU49" s="344"/>
      <c r="RQV49" s="344"/>
      <c r="RQW49" s="344"/>
      <c r="RQX49" s="344"/>
      <c r="RQY49" s="344"/>
      <c r="RQZ49" s="344"/>
      <c r="RRA49" s="344"/>
      <c r="RRB49" s="344"/>
      <c r="RRC49" s="344"/>
      <c r="RRD49" s="344"/>
      <c r="RRE49" s="344"/>
      <c r="RRF49" s="344"/>
      <c r="RRG49" s="344"/>
      <c r="RRH49" s="344"/>
      <c r="RRI49" s="344"/>
      <c r="RRJ49" s="344"/>
      <c r="RRK49" s="344"/>
      <c r="RRL49" s="344"/>
      <c r="RRM49" s="344"/>
      <c r="RRN49" s="344"/>
      <c r="RRO49" s="344"/>
      <c r="RRP49" s="344"/>
      <c r="RRQ49" s="344"/>
      <c r="RRR49" s="344"/>
      <c r="RRS49" s="344"/>
      <c r="RRT49" s="344"/>
      <c r="RRU49" s="344"/>
      <c r="RRV49" s="344"/>
      <c r="RRW49" s="344"/>
      <c r="RRX49" s="344"/>
      <c r="RRY49" s="344"/>
      <c r="RRZ49" s="344"/>
      <c r="RSA49" s="344"/>
      <c r="RSB49" s="344"/>
      <c r="RSC49" s="344"/>
      <c r="RSD49" s="344"/>
      <c r="RSE49" s="344"/>
      <c r="RSF49" s="344"/>
      <c r="RSG49" s="344"/>
      <c r="RSH49" s="344"/>
      <c r="RSI49" s="344"/>
      <c r="RSJ49" s="344"/>
      <c r="RSK49" s="344"/>
      <c r="RSL49" s="344"/>
      <c r="RSM49" s="344"/>
      <c r="RSN49" s="344"/>
      <c r="RSO49" s="344"/>
      <c r="RSP49" s="344"/>
      <c r="RSQ49" s="344"/>
      <c r="RSR49" s="344"/>
      <c r="RSS49" s="344"/>
      <c r="RST49" s="344"/>
      <c r="RSU49" s="344"/>
      <c r="RSV49" s="344"/>
      <c r="RSW49" s="344"/>
      <c r="RSX49" s="344"/>
      <c r="RSY49" s="344"/>
      <c r="RSZ49" s="344"/>
      <c r="RTA49" s="344"/>
      <c r="RTB49" s="344"/>
      <c r="RTC49" s="344"/>
      <c r="RTD49" s="344"/>
      <c r="RTE49" s="344"/>
      <c r="RTF49" s="344"/>
      <c r="RTG49" s="344"/>
      <c r="RTH49" s="344"/>
      <c r="RTI49" s="344"/>
      <c r="RTJ49" s="344"/>
      <c r="RTK49" s="344"/>
      <c r="RTL49" s="344"/>
      <c r="RTM49" s="344"/>
      <c r="RTN49" s="344"/>
      <c r="RTO49" s="344"/>
      <c r="RTP49" s="344"/>
      <c r="RTQ49" s="344"/>
      <c r="RTR49" s="344"/>
      <c r="RTS49" s="344"/>
      <c r="RTT49" s="344"/>
      <c r="RTU49" s="344"/>
      <c r="RTV49" s="344"/>
      <c r="RTW49" s="344"/>
      <c r="RTX49" s="344"/>
      <c r="RTY49" s="344"/>
      <c r="RTZ49" s="344"/>
      <c r="RUA49" s="344"/>
      <c r="RUB49" s="344"/>
      <c r="RUC49" s="344"/>
      <c r="RUD49" s="344"/>
      <c r="RUE49" s="344"/>
      <c r="RUF49" s="344"/>
      <c r="RUG49" s="344"/>
      <c r="RUH49" s="344"/>
      <c r="RUI49" s="344"/>
      <c r="RUJ49" s="344"/>
      <c r="RUK49" s="344"/>
      <c r="RUL49" s="344"/>
      <c r="RUM49" s="344"/>
      <c r="RUN49" s="344"/>
      <c r="RUO49" s="344"/>
      <c r="RUP49" s="344"/>
      <c r="RUQ49" s="344"/>
      <c r="RUR49" s="344"/>
      <c r="RUS49" s="344"/>
      <c r="RUT49" s="344"/>
      <c r="RUU49" s="344"/>
      <c r="RUV49" s="344"/>
      <c r="RUW49" s="344"/>
      <c r="RUX49" s="344"/>
      <c r="RUY49" s="344"/>
      <c r="RUZ49" s="344"/>
      <c r="RVA49" s="344"/>
      <c r="RVB49" s="344"/>
      <c r="RVC49" s="344"/>
      <c r="RVD49" s="344"/>
      <c r="RVE49" s="344"/>
      <c r="RVF49" s="344"/>
      <c r="RVG49" s="344"/>
      <c r="RVH49" s="344"/>
      <c r="RVI49" s="344"/>
      <c r="RVJ49" s="344"/>
      <c r="RVK49" s="344"/>
      <c r="RVL49" s="344"/>
      <c r="RVM49" s="344"/>
      <c r="RVN49" s="344"/>
      <c r="RVO49" s="344"/>
      <c r="RVP49" s="344"/>
      <c r="RVQ49" s="344"/>
      <c r="RVR49" s="344"/>
      <c r="RVS49" s="344"/>
      <c r="RVT49" s="344"/>
      <c r="RVU49" s="344"/>
      <c r="RVV49" s="344"/>
      <c r="RVW49" s="344"/>
      <c r="RVX49" s="344"/>
      <c r="RVY49" s="344"/>
      <c r="RVZ49" s="344"/>
      <c r="RWA49" s="344"/>
      <c r="RWB49" s="344"/>
      <c r="RWC49" s="344"/>
      <c r="RWD49" s="344"/>
      <c r="RWE49" s="344"/>
      <c r="RWF49" s="344"/>
      <c r="RWG49" s="344"/>
      <c r="RWH49" s="344"/>
      <c r="RWI49" s="344"/>
      <c r="RWJ49" s="344"/>
      <c r="RWK49" s="344"/>
      <c r="RWL49" s="344"/>
      <c r="RWM49" s="344"/>
      <c r="RWN49" s="344"/>
      <c r="RWO49" s="344"/>
      <c r="RWP49" s="344"/>
      <c r="RWQ49" s="344"/>
      <c r="RWR49" s="344"/>
      <c r="RWS49" s="344"/>
      <c r="RWT49" s="344"/>
      <c r="RWU49" s="344"/>
      <c r="RWV49" s="344"/>
      <c r="RWW49" s="344"/>
      <c r="RWX49" s="344"/>
      <c r="RWY49" s="344"/>
      <c r="RWZ49" s="344"/>
      <c r="RXA49" s="344"/>
      <c r="RXB49" s="344"/>
      <c r="RXC49" s="344"/>
      <c r="RXD49" s="344"/>
      <c r="RXE49" s="344"/>
      <c r="RXF49" s="344"/>
      <c r="RXG49" s="344"/>
      <c r="RXH49" s="344"/>
      <c r="RXI49" s="344"/>
      <c r="RXJ49" s="344"/>
      <c r="RXK49" s="344"/>
      <c r="RXL49" s="344"/>
      <c r="RXM49" s="344"/>
      <c r="RXN49" s="344"/>
      <c r="RXO49" s="344"/>
      <c r="RXP49" s="344"/>
      <c r="RXQ49" s="344"/>
      <c r="RXR49" s="344"/>
      <c r="RXS49" s="344"/>
      <c r="RXT49" s="344"/>
      <c r="RXU49" s="344"/>
      <c r="RXV49" s="344"/>
      <c r="RXW49" s="344"/>
      <c r="RXX49" s="344"/>
      <c r="RXY49" s="344"/>
      <c r="RXZ49" s="344"/>
      <c r="RYA49" s="344"/>
      <c r="RYB49" s="344"/>
      <c r="RYC49" s="344"/>
      <c r="RYD49" s="344"/>
      <c r="RYE49" s="344"/>
      <c r="RYF49" s="344"/>
      <c r="RYG49" s="344"/>
      <c r="RYH49" s="344"/>
      <c r="RYI49" s="344"/>
      <c r="RYJ49" s="344"/>
      <c r="RYK49" s="344"/>
      <c r="RYL49" s="344"/>
      <c r="RYM49" s="344"/>
      <c r="RYN49" s="344"/>
      <c r="RYO49" s="344"/>
      <c r="RYP49" s="344"/>
      <c r="RYQ49" s="344"/>
      <c r="RYR49" s="344"/>
      <c r="RYS49" s="344"/>
      <c r="RYT49" s="344"/>
      <c r="RYU49" s="344"/>
      <c r="RYV49" s="344"/>
      <c r="RYW49" s="344"/>
      <c r="RYX49" s="344"/>
      <c r="RYY49" s="344"/>
      <c r="RYZ49" s="344"/>
      <c r="RZA49" s="344"/>
      <c r="RZB49" s="344"/>
      <c r="RZC49" s="344"/>
      <c r="RZD49" s="344"/>
      <c r="RZE49" s="344"/>
      <c r="RZF49" s="344"/>
      <c r="RZG49" s="344"/>
      <c r="RZH49" s="344"/>
      <c r="RZI49" s="344"/>
      <c r="RZJ49" s="344"/>
      <c r="RZK49" s="344"/>
      <c r="RZL49" s="344"/>
      <c r="RZM49" s="344"/>
      <c r="RZN49" s="344"/>
      <c r="RZO49" s="344"/>
      <c r="RZP49" s="344"/>
      <c r="RZQ49" s="344"/>
      <c r="RZR49" s="344"/>
      <c r="RZS49" s="344"/>
      <c r="RZT49" s="344"/>
      <c r="RZU49" s="344"/>
      <c r="RZV49" s="344"/>
      <c r="RZW49" s="344"/>
      <c r="RZX49" s="344"/>
      <c r="RZY49" s="344"/>
      <c r="RZZ49" s="344"/>
      <c r="SAA49" s="344"/>
      <c r="SAB49" s="344"/>
      <c r="SAC49" s="344"/>
      <c r="SAD49" s="344"/>
      <c r="SAE49" s="344"/>
      <c r="SAF49" s="344"/>
      <c r="SAG49" s="344"/>
      <c r="SAH49" s="344"/>
      <c r="SAI49" s="344"/>
      <c r="SAJ49" s="344"/>
      <c r="SAK49" s="344"/>
      <c r="SAL49" s="344"/>
      <c r="SAM49" s="344"/>
      <c r="SAN49" s="344"/>
      <c r="SAO49" s="344"/>
      <c r="SAP49" s="344"/>
      <c r="SAQ49" s="344"/>
      <c r="SAR49" s="344"/>
      <c r="SAS49" s="344"/>
      <c r="SAT49" s="344"/>
      <c r="SAU49" s="344"/>
      <c r="SAV49" s="344"/>
      <c r="SAW49" s="344"/>
      <c r="SAX49" s="344"/>
      <c r="SAY49" s="344"/>
      <c r="SAZ49" s="344"/>
      <c r="SBA49" s="344"/>
      <c r="SBB49" s="344"/>
      <c r="SBC49" s="344"/>
      <c r="SBD49" s="344"/>
      <c r="SBE49" s="344"/>
      <c r="SBF49" s="344"/>
      <c r="SBG49" s="344"/>
      <c r="SBH49" s="344"/>
      <c r="SBI49" s="344"/>
      <c r="SBJ49" s="344"/>
      <c r="SBK49" s="344"/>
      <c r="SBL49" s="344"/>
      <c r="SBM49" s="344"/>
      <c r="SBN49" s="344"/>
      <c r="SBO49" s="344"/>
      <c r="SBP49" s="344"/>
      <c r="SBQ49" s="344"/>
      <c r="SBR49" s="344"/>
      <c r="SBS49" s="344"/>
      <c r="SBT49" s="344"/>
      <c r="SBU49" s="344"/>
      <c r="SBV49" s="344"/>
      <c r="SBW49" s="344"/>
      <c r="SBX49" s="344"/>
      <c r="SBY49" s="344"/>
      <c r="SBZ49" s="344"/>
      <c r="SCA49" s="344"/>
      <c r="SCB49" s="344"/>
      <c r="SCC49" s="344"/>
      <c r="SCD49" s="344"/>
      <c r="SCE49" s="344"/>
      <c r="SCF49" s="344"/>
      <c r="SCG49" s="344"/>
      <c r="SCH49" s="344"/>
      <c r="SCI49" s="344"/>
      <c r="SCJ49" s="344"/>
      <c r="SCK49" s="344"/>
      <c r="SCL49" s="344"/>
      <c r="SCM49" s="344"/>
      <c r="SCN49" s="344"/>
      <c r="SCO49" s="344"/>
      <c r="SCP49" s="344"/>
      <c r="SCQ49" s="344"/>
      <c r="SCR49" s="344"/>
      <c r="SCS49" s="344"/>
      <c r="SCT49" s="344"/>
      <c r="SCU49" s="344"/>
      <c r="SCV49" s="344"/>
      <c r="SCW49" s="344"/>
      <c r="SCX49" s="344"/>
      <c r="SCY49" s="344"/>
      <c r="SCZ49" s="344"/>
      <c r="SDA49" s="344"/>
      <c r="SDB49" s="344"/>
      <c r="SDC49" s="344"/>
      <c r="SDD49" s="344"/>
      <c r="SDE49" s="344"/>
      <c r="SDF49" s="344"/>
      <c r="SDG49" s="344"/>
      <c r="SDH49" s="344"/>
      <c r="SDI49" s="344"/>
      <c r="SDJ49" s="344"/>
      <c r="SDK49" s="344"/>
      <c r="SDL49" s="344"/>
      <c r="SDM49" s="344"/>
      <c r="SDN49" s="344"/>
      <c r="SDO49" s="344"/>
      <c r="SDP49" s="344"/>
      <c r="SDQ49" s="344"/>
      <c r="SDR49" s="344"/>
      <c r="SDS49" s="344"/>
      <c r="SDT49" s="344"/>
      <c r="SDU49" s="344"/>
      <c r="SDV49" s="344"/>
      <c r="SDW49" s="344"/>
      <c r="SDX49" s="344"/>
      <c r="SDY49" s="344"/>
      <c r="SDZ49" s="344"/>
      <c r="SEA49" s="344"/>
      <c r="SEB49" s="344"/>
      <c r="SEC49" s="344"/>
      <c r="SED49" s="344"/>
      <c r="SEE49" s="344"/>
      <c r="SEF49" s="344"/>
      <c r="SEG49" s="344"/>
      <c r="SEH49" s="344"/>
      <c r="SEI49" s="344"/>
      <c r="SEJ49" s="344"/>
      <c r="SEK49" s="344"/>
      <c r="SEL49" s="344"/>
      <c r="SEM49" s="344"/>
      <c r="SEN49" s="344"/>
      <c r="SEO49" s="344"/>
      <c r="SEP49" s="344"/>
      <c r="SEQ49" s="344"/>
      <c r="SER49" s="344"/>
      <c r="SES49" s="344"/>
      <c r="SET49" s="344"/>
      <c r="SEU49" s="344"/>
      <c r="SEV49" s="344"/>
      <c r="SEW49" s="344"/>
      <c r="SEX49" s="344"/>
      <c r="SEY49" s="344"/>
      <c r="SEZ49" s="344"/>
      <c r="SFA49" s="344"/>
      <c r="SFB49" s="344"/>
      <c r="SFC49" s="344"/>
      <c r="SFD49" s="344"/>
      <c r="SFE49" s="344"/>
      <c r="SFF49" s="344"/>
      <c r="SFG49" s="344"/>
      <c r="SFH49" s="344"/>
      <c r="SFI49" s="344"/>
      <c r="SFJ49" s="344"/>
      <c r="SFK49" s="344"/>
      <c r="SFL49" s="344"/>
      <c r="SFM49" s="344"/>
      <c r="SFN49" s="344"/>
      <c r="SFO49" s="344"/>
      <c r="SFP49" s="344"/>
      <c r="SFQ49" s="344"/>
      <c r="SFR49" s="344"/>
      <c r="SFS49" s="344"/>
      <c r="SFT49" s="344"/>
      <c r="SFU49" s="344"/>
      <c r="SFV49" s="344"/>
      <c r="SFW49" s="344"/>
      <c r="SFX49" s="344"/>
      <c r="SFY49" s="344"/>
      <c r="SFZ49" s="344"/>
      <c r="SGA49" s="344"/>
      <c r="SGB49" s="344"/>
      <c r="SGC49" s="344"/>
      <c r="SGD49" s="344"/>
      <c r="SGE49" s="344"/>
      <c r="SGF49" s="344"/>
      <c r="SGG49" s="344"/>
      <c r="SGH49" s="344"/>
      <c r="SGI49" s="344"/>
      <c r="SGJ49" s="344"/>
      <c r="SGK49" s="344"/>
      <c r="SGL49" s="344"/>
      <c r="SGM49" s="344"/>
      <c r="SGN49" s="344"/>
      <c r="SGO49" s="344"/>
      <c r="SGP49" s="344"/>
      <c r="SGQ49" s="344"/>
      <c r="SGR49" s="344"/>
      <c r="SGS49" s="344"/>
      <c r="SGT49" s="344"/>
      <c r="SGU49" s="344"/>
      <c r="SGV49" s="344"/>
      <c r="SGW49" s="344"/>
      <c r="SGX49" s="344"/>
      <c r="SGY49" s="344"/>
      <c r="SGZ49" s="344"/>
      <c r="SHA49" s="344"/>
      <c r="SHB49" s="344"/>
      <c r="SHC49" s="344"/>
      <c r="SHD49" s="344"/>
      <c r="SHE49" s="344"/>
      <c r="SHF49" s="344"/>
      <c r="SHG49" s="344"/>
      <c r="SHH49" s="344"/>
      <c r="SHI49" s="344"/>
      <c r="SHJ49" s="344"/>
      <c r="SHK49" s="344"/>
      <c r="SHL49" s="344"/>
      <c r="SHM49" s="344"/>
      <c r="SHN49" s="344"/>
      <c r="SHO49" s="344"/>
      <c r="SHP49" s="344"/>
      <c r="SHQ49" s="344"/>
      <c r="SHR49" s="344"/>
      <c r="SHS49" s="344"/>
      <c r="SHT49" s="344"/>
      <c r="SHU49" s="344"/>
      <c r="SHV49" s="344"/>
      <c r="SHW49" s="344"/>
      <c r="SHX49" s="344"/>
      <c r="SHY49" s="344"/>
      <c r="SHZ49" s="344"/>
      <c r="SIA49" s="344"/>
      <c r="SIB49" s="344"/>
      <c r="SIC49" s="344"/>
      <c r="SID49" s="344"/>
      <c r="SIE49" s="344"/>
      <c r="SIF49" s="344"/>
      <c r="SIG49" s="344"/>
      <c r="SIH49" s="344"/>
      <c r="SII49" s="344"/>
      <c r="SIJ49" s="344"/>
      <c r="SIK49" s="344"/>
      <c r="SIL49" s="344"/>
      <c r="SIM49" s="344"/>
      <c r="SIN49" s="344"/>
      <c r="SIO49" s="344"/>
      <c r="SIP49" s="344"/>
      <c r="SIQ49" s="344"/>
      <c r="SIR49" s="344"/>
      <c r="SIS49" s="344"/>
      <c r="SIT49" s="344"/>
      <c r="SIU49" s="344"/>
      <c r="SIV49" s="344"/>
      <c r="SIW49" s="344"/>
      <c r="SIX49" s="344"/>
      <c r="SIY49" s="344"/>
      <c r="SIZ49" s="344"/>
      <c r="SJA49" s="344"/>
      <c r="SJB49" s="344"/>
      <c r="SJC49" s="344"/>
      <c r="SJD49" s="344"/>
      <c r="SJE49" s="344"/>
      <c r="SJF49" s="344"/>
      <c r="SJG49" s="344"/>
      <c r="SJH49" s="344"/>
      <c r="SJI49" s="344"/>
      <c r="SJJ49" s="344"/>
      <c r="SJK49" s="344"/>
      <c r="SJL49" s="344"/>
      <c r="SJM49" s="344"/>
      <c r="SJN49" s="344"/>
      <c r="SJO49" s="344"/>
      <c r="SJP49" s="344"/>
      <c r="SJQ49" s="344"/>
      <c r="SJR49" s="344"/>
      <c r="SJS49" s="344"/>
      <c r="SJT49" s="344"/>
      <c r="SJU49" s="344"/>
      <c r="SJV49" s="344"/>
      <c r="SJW49" s="344"/>
      <c r="SJX49" s="344"/>
      <c r="SJY49" s="344"/>
      <c r="SJZ49" s="344"/>
      <c r="SKA49" s="344"/>
      <c r="SKB49" s="344"/>
      <c r="SKC49" s="344"/>
      <c r="SKD49" s="344"/>
      <c r="SKE49" s="344"/>
      <c r="SKF49" s="344"/>
      <c r="SKG49" s="344"/>
      <c r="SKH49" s="344"/>
      <c r="SKI49" s="344"/>
      <c r="SKJ49" s="344"/>
      <c r="SKK49" s="344"/>
      <c r="SKL49" s="344"/>
      <c r="SKM49" s="344"/>
      <c r="SKN49" s="344"/>
      <c r="SKO49" s="344"/>
      <c r="SKP49" s="344"/>
      <c r="SKQ49" s="344"/>
      <c r="SKR49" s="344"/>
      <c r="SKS49" s="344"/>
      <c r="SKT49" s="344"/>
      <c r="SKU49" s="344"/>
      <c r="SKV49" s="344"/>
      <c r="SKW49" s="344"/>
      <c r="SKX49" s="344"/>
      <c r="SKY49" s="344"/>
      <c r="SKZ49" s="344"/>
      <c r="SLA49" s="344"/>
      <c r="SLB49" s="344"/>
      <c r="SLC49" s="344"/>
      <c r="SLD49" s="344"/>
      <c r="SLE49" s="344"/>
      <c r="SLF49" s="344"/>
      <c r="SLG49" s="344"/>
      <c r="SLH49" s="344"/>
      <c r="SLI49" s="344"/>
      <c r="SLJ49" s="344"/>
      <c r="SLK49" s="344"/>
      <c r="SLL49" s="344"/>
      <c r="SLM49" s="344"/>
      <c r="SLN49" s="344"/>
      <c r="SLO49" s="344"/>
      <c r="SLP49" s="344"/>
      <c r="SLQ49" s="344"/>
      <c r="SLR49" s="344"/>
      <c r="SLS49" s="344"/>
      <c r="SLT49" s="344"/>
      <c r="SLU49" s="344"/>
      <c r="SLV49" s="344"/>
      <c r="SLW49" s="344"/>
      <c r="SLX49" s="344"/>
      <c r="SLY49" s="344"/>
      <c r="SLZ49" s="344"/>
      <c r="SMA49" s="344"/>
      <c r="SMB49" s="344"/>
      <c r="SMC49" s="344"/>
      <c r="SMD49" s="344"/>
      <c r="SME49" s="344"/>
      <c r="SMF49" s="344"/>
      <c r="SMG49" s="344"/>
      <c r="SMH49" s="344"/>
      <c r="SMI49" s="344"/>
      <c r="SMJ49" s="344"/>
      <c r="SMK49" s="344"/>
      <c r="SML49" s="344"/>
      <c r="SMM49" s="344"/>
      <c r="SMN49" s="344"/>
      <c r="SMO49" s="344"/>
      <c r="SMP49" s="344"/>
      <c r="SMQ49" s="344"/>
      <c r="SMR49" s="344"/>
      <c r="SMS49" s="344"/>
      <c r="SMT49" s="344"/>
      <c r="SMU49" s="344"/>
      <c r="SMV49" s="344"/>
      <c r="SMW49" s="344"/>
      <c r="SMX49" s="344"/>
      <c r="SMY49" s="344"/>
      <c r="SMZ49" s="344"/>
      <c r="SNA49" s="344"/>
      <c r="SNB49" s="344"/>
      <c r="SNC49" s="344"/>
      <c r="SND49" s="344"/>
      <c r="SNE49" s="344"/>
      <c r="SNF49" s="344"/>
      <c r="SNG49" s="344"/>
      <c r="SNH49" s="344"/>
      <c r="SNI49" s="344"/>
      <c r="SNJ49" s="344"/>
      <c r="SNK49" s="344"/>
      <c r="SNL49" s="344"/>
      <c r="SNM49" s="344"/>
      <c r="SNN49" s="344"/>
      <c r="SNO49" s="344"/>
      <c r="SNP49" s="344"/>
      <c r="SNQ49" s="344"/>
      <c r="SNR49" s="344"/>
      <c r="SNS49" s="344"/>
      <c r="SNT49" s="344"/>
      <c r="SNU49" s="344"/>
      <c r="SNV49" s="344"/>
      <c r="SNW49" s="344"/>
      <c r="SNX49" s="344"/>
      <c r="SNY49" s="344"/>
      <c r="SNZ49" s="344"/>
      <c r="SOA49" s="344"/>
      <c r="SOB49" s="344"/>
      <c r="SOC49" s="344"/>
      <c r="SOD49" s="344"/>
      <c r="SOE49" s="344"/>
      <c r="SOF49" s="344"/>
      <c r="SOG49" s="344"/>
      <c r="SOH49" s="344"/>
      <c r="SOI49" s="344"/>
      <c r="SOJ49" s="344"/>
      <c r="SOK49" s="344"/>
      <c r="SOL49" s="344"/>
      <c r="SOM49" s="344"/>
      <c r="SON49" s="344"/>
      <c r="SOO49" s="344"/>
      <c r="SOP49" s="344"/>
      <c r="SOQ49" s="344"/>
      <c r="SOR49" s="344"/>
      <c r="SOS49" s="344"/>
      <c r="SOT49" s="344"/>
      <c r="SOU49" s="344"/>
      <c r="SOV49" s="344"/>
      <c r="SOW49" s="344"/>
      <c r="SOX49" s="344"/>
      <c r="SOY49" s="344"/>
      <c r="SOZ49" s="344"/>
      <c r="SPA49" s="344"/>
      <c r="SPB49" s="344"/>
      <c r="SPC49" s="344"/>
      <c r="SPD49" s="344"/>
      <c r="SPE49" s="344"/>
      <c r="SPF49" s="344"/>
      <c r="SPG49" s="344"/>
      <c r="SPH49" s="344"/>
      <c r="SPI49" s="344"/>
      <c r="SPJ49" s="344"/>
      <c r="SPK49" s="344"/>
      <c r="SPL49" s="344"/>
      <c r="SPM49" s="344"/>
      <c r="SPN49" s="344"/>
      <c r="SPO49" s="344"/>
      <c r="SPP49" s="344"/>
      <c r="SPQ49" s="344"/>
      <c r="SPR49" s="344"/>
      <c r="SPS49" s="344"/>
      <c r="SPT49" s="344"/>
      <c r="SPU49" s="344"/>
      <c r="SPV49" s="344"/>
      <c r="SPW49" s="344"/>
      <c r="SPX49" s="344"/>
      <c r="SPY49" s="344"/>
      <c r="SPZ49" s="344"/>
      <c r="SQA49" s="344"/>
      <c r="SQB49" s="344"/>
      <c r="SQC49" s="344"/>
      <c r="SQD49" s="344"/>
      <c r="SQE49" s="344"/>
      <c r="SQF49" s="344"/>
      <c r="SQG49" s="344"/>
      <c r="SQH49" s="344"/>
      <c r="SQI49" s="344"/>
      <c r="SQJ49" s="344"/>
      <c r="SQK49" s="344"/>
      <c r="SQL49" s="344"/>
      <c r="SQM49" s="344"/>
      <c r="SQN49" s="344"/>
      <c r="SQO49" s="344"/>
      <c r="SQP49" s="344"/>
      <c r="SQQ49" s="344"/>
      <c r="SQR49" s="344"/>
      <c r="SQS49" s="344"/>
      <c r="SQT49" s="344"/>
      <c r="SQU49" s="344"/>
      <c r="SQV49" s="344"/>
      <c r="SQW49" s="344"/>
      <c r="SQX49" s="344"/>
      <c r="SQY49" s="344"/>
      <c r="SQZ49" s="344"/>
      <c r="SRA49" s="344"/>
      <c r="SRB49" s="344"/>
      <c r="SRC49" s="344"/>
      <c r="SRD49" s="344"/>
      <c r="SRE49" s="344"/>
      <c r="SRF49" s="344"/>
      <c r="SRG49" s="344"/>
      <c r="SRH49" s="344"/>
      <c r="SRI49" s="344"/>
      <c r="SRJ49" s="344"/>
      <c r="SRK49" s="344"/>
      <c r="SRL49" s="344"/>
      <c r="SRM49" s="344"/>
      <c r="SRN49" s="344"/>
      <c r="SRO49" s="344"/>
      <c r="SRP49" s="344"/>
      <c r="SRQ49" s="344"/>
      <c r="SRR49" s="344"/>
      <c r="SRS49" s="344"/>
      <c r="SRT49" s="344"/>
      <c r="SRU49" s="344"/>
      <c r="SRV49" s="344"/>
      <c r="SRW49" s="344"/>
      <c r="SRX49" s="344"/>
      <c r="SRY49" s="344"/>
      <c r="SRZ49" s="344"/>
      <c r="SSA49" s="344"/>
      <c r="SSB49" s="344"/>
      <c r="SSC49" s="344"/>
      <c r="SSD49" s="344"/>
      <c r="SSE49" s="344"/>
      <c r="SSF49" s="344"/>
      <c r="SSG49" s="344"/>
      <c r="SSH49" s="344"/>
      <c r="SSI49" s="344"/>
      <c r="SSJ49" s="344"/>
      <c r="SSK49" s="344"/>
      <c r="SSL49" s="344"/>
      <c r="SSM49" s="344"/>
      <c r="SSN49" s="344"/>
      <c r="SSO49" s="344"/>
      <c r="SSP49" s="344"/>
      <c r="SSQ49" s="344"/>
      <c r="SSR49" s="344"/>
      <c r="SSS49" s="344"/>
      <c r="SST49" s="344"/>
      <c r="SSU49" s="344"/>
      <c r="SSV49" s="344"/>
      <c r="SSW49" s="344"/>
      <c r="SSX49" s="344"/>
      <c r="SSY49" s="344"/>
      <c r="SSZ49" s="344"/>
      <c r="STA49" s="344"/>
      <c r="STB49" s="344"/>
      <c r="STC49" s="344"/>
      <c r="STD49" s="344"/>
      <c r="STE49" s="344"/>
      <c r="STF49" s="344"/>
      <c r="STG49" s="344"/>
      <c r="STH49" s="344"/>
      <c r="STI49" s="344"/>
      <c r="STJ49" s="344"/>
      <c r="STK49" s="344"/>
      <c r="STL49" s="344"/>
      <c r="STM49" s="344"/>
      <c r="STN49" s="344"/>
      <c r="STO49" s="344"/>
      <c r="STP49" s="344"/>
      <c r="STQ49" s="344"/>
      <c r="STR49" s="344"/>
      <c r="STS49" s="344"/>
      <c r="STT49" s="344"/>
      <c r="STU49" s="344"/>
      <c r="STV49" s="344"/>
      <c r="STW49" s="344"/>
      <c r="STX49" s="344"/>
      <c r="STY49" s="344"/>
      <c r="STZ49" s="344"/>
      <c r="SUA49" s="344"/>
      <c r="SUB49" s="344"/>
      <c r="SUC49" s="344"/>
      <c r="SUD49" s="344"/>
      <c r="SUE49" s="344"/>
      <c r="SUF49" s="344"/>
      <c r="SUG49" s="344"/>
      <c r="SUH49" s="344"/>
      <c r="SUI49" s="344"/>
      <c r="SUJ49" s="344"/>
      <c r="SUK49" s="344"/>
      <c r="SUL49" s="344"/>
      <c r="SUM49" s="344"/>
      <c r="SUN49" s="344"/>
      <c r="SUO49" s="344"/>
      <c r="SUP49" s="344"/>
      <c r="SUQ49" s="344"/>
      <c r="SUR49" s="344"/>
      <c r="SUS49" s="344"/>
      <c r="SUT49" s="344"/>
      <c r="SUU49" s="344"/>
      <c r="SUV49" s="344"/>
      <c r="SUW49" s="344"/>
      <c r="SUX49" s="344"/>
      <c r="SUY49" s="344"/>
      <c r="SUZ49" s="344"/>
      <c r="SVA49" s="344"/>
      <c r="SVB49" s="344"/>
      <c r="SVC49" s="344"/>
      <c r="SVD49" s="344"/>
      <c r="SVE49" s="344"/>
      <c r="SVF49" s="344"/>
      <c r="SVG49" s="344"/>
      <c r="SVH49" s="344"/>
      <c r="SVI49" s="344"/>
      <c r="SVJ49" s="344"/>
      <c r="SVK49" s="344"/>
      <c r="SVL49" s="344"/>
      <c r="SVM49" s="344"/>
      <c r="SVN49" s="344"/>
      <c r="SVO49" s="344"/>
      <c r="SVP49" s="344"/>
      <c r="SVQ49" s="344"/>
      <c r="SVR49" s="344"/>
      <c r="SVS49" s="344"/>
      <c r="SVT49" s="344"/>
      <c r="SVU49" s="344"/>
      <c r="SVV49" s="344"/>
      <c r="SVW49" s="344"/>
      <c r="SVX49" s="344"/>
      <c r="SVY49" s="344"/>
      <c r="SVZ49" s="344"/>
      <c r="SWA49" s="344"/>
      <c r="SWB49" s="344"/>
      <c r="SWC49" s="344"/>
      <c r="SWD49" s="344"/>
      <c r="SWE49" s="344"/>
      <c r="SWF49" s="344"/>
      <c r="SWG49" s="344"/>
      <c r="SWH49" s="344"/>
      <c r="SWI49" s="344"/>
      <c r="SWJ49" s="344"/>
      <c r="SWK49" s="344"/>
      <c r="SWL49" s="344"/>
      <c r="SWM49" s="344"/>
      <c r="SWN49" s="344"/>
      <c r="SWO49" s="344"/>
      <c r="SWP49" s="344"/>
      <c r="SWQ49" s="344"/>
      <c r="SWR49" s="344"/>
      <c r="SWS49" s="344"/>
      <c r="SWT49" s="344"/>
      <c r="SWU49" s="344"/>
      <c r="SWV49" s="344"/>
      <c r="SWW49" s="344"/>
      <c r="SWX49" s="344"/>
      <c r="SWY49" s="344"/>
      <c r="SWZ49" s="344"/>
      <c r="SXA49" s="344"/>
      <c r="SXB49" s="344"/>
      <c r="SXC49" s="344"/>
      <c r="SXD49" s="344"/>
      <c r="SXE49" s="344"/>
      <c r="SXF49" s="344"/>
      <c r="SXG49" s="344"/>
      <c r="SXH49" s="344"/>
      <c r="SXI49" s="344"/>
      <c r="SXJ49" s="344"/>
      <c r="SXK49" s="344"/>
      <c r="SXL49" s="344"/>
      <c r="SXM49" s="344"/>
      <c r="SXN49" s="344"/>
      <c r="SXO49" s="344"/>
      <c r="SXP49" s="344"/>
      <c r="SXQ49" s="344"/>
      <c r="SXR49" s="344"/>
      <c r="SXS49" s="344"/>
      <c r="SXT49" s="344"/>
      <c r="SXU49" s="344"/>
      <c r="SXV49" s="344"/>
      <c r="SXW49" s="344"/>
      <c r="SXX49" s="344"/>
      <c r="SXY49" s="344"/>
      <c r="SXZ49" s="344"/>
      <c r="SYA49" s="344"/>
      <c r="SYB49" s="344"/>
      <c r="SYC49" s="344"/>
      <c r="SYD49" s="344"/>
      <c r="SYE49" s="344"/>
      <c r="SYF49" s="344"/>
      <c r="SYG49" s="344"/>
      <c r="SYH49" s="344"/>
      <c r="SYI49" s="344"/>
      <c r="SYJ49" s="344"/>
      <c r="SYK49" s="344"/>
      <c r="SYL49" s="344"/>
      <c r="SYM49" s="344"/>
      <c r="SYN49" s="344"/>
      <c r="SYO49" s="344"/>
      <c r="SYP49" s="344"/>
      <c r="SYQ49" s="344"/>
      <c r="SYR49" s="344"/>
      <c r="SYS49" s="344"/>
      <c r="SYT49" s="344"/>
      <c r="SYU49" s="344"/>
      <c r="SYV49" s="344"/>
      <c r="SYW49" s="344"/>
      <c r="SYX49" s="344"/>
      <c r="SYY49" s="344"/>
      <c r="SYZ49" s="344"/>
      <c r="SZA49" s="344"/>
      <c r="SZB49" s="344"/>
      <c r="SZC49" s="344"/>
      <c r="SZD49" s="344"/>
      <c r="SZE49" s="344"/>
      <c r="SZF49" s="344"/>
      <c r="SZG49" s="344"/>
      <c r="SZH49" s="344"/>
      <c r="SZI49" s="344"/>
      <c r="SZJ49" s="344"/>
      <c r="SZK49" s="344"/>
      <c r="SZL49" s="344"/>
      <c r="SZM49" s="344"/>
      <c r="SZN49" s="344"/>
      <c r="SZO49" s="344"/>
      <c r="SZP49" s="344"/>
      <c r="SZQ49" s="344"/>
      <c r="SZR49" s="344"/>
      <c r="SZS49" s="344"/>
      <c r="SZT49" s="344"/>
      <c r="SZU49" s="344"/>
      <c r="SZV49" s="344"/>
      <c r="SZW49" s="344"/>
      <c r="SZX49" s="344"/>
      <c r="SZY49" s="344"/>
      <c r="SZZ49" s="344"/>
      <c r="TAA49" s="344"/>
      <c r="TAB49" s="344"/>
      <c r="TAC49" s="344"/>
      <c r="TAD49" s="344"/>
      <c r="TAE49" s="344"/>
      <c r="TAF49" s="344"/>
      <c r="TAG49" s="344"/>
      <c r="TAH49" s="344"/>
      <c r="TAI49" s="344"/>
      <c r="TAJ49" s="344"/>
      <c r="TAK49" s="344"/>
      <c r="TAL49" s="344"/>
      <c r="TAM49" s="344"/>
      <c r="TAN49" s="344"/>
      <c r="TAO49" s="344"/>
      <c r="TAP49" s="344"/>
      <c r="TAQ49" s="344"/>
      <c r="TAR49" s="344"/>
      <c r="TAS49" s="344"/>
      <c r="TAT49" s="344"/>
      <c r="TAU49" s="344"/>
      <c r="TAV49" s="344"/>
      <c r="TAW49" s="344"/>
      <c r="TAX49" s="344"/>
      <c r="TAY49" s="344"/>
      <c r="TAZ49" s="344"/>
      <c r="TBA49" s="344"/>
      <c r="TBB49" s="344"/>
      <c r="TBC49" s="344"/>
      <c r="TBD49" s="344"/>
      <c r="TBE49" s="344"/>
      <c r="TBF49" s="344"/>
      <c r="TBG49" s="344"/>
      <c r="TBH49" s="344"/>
      <c r="TBI49" s="344"/>
      <c r="TBJ49" s="344"/>
      <c r="TBK49" s="344"/>
      <c r="TBL49" s="344"/>
      <c r="TBM49" s="344"/>
      <c r="TBN49" s="344"/>
      <c r="TBO49" s="344"/>
      <c r="TBP49" s="344"/>
      <c r="TBQ49" s="344"/>
      <c r="TBR49" s="344"/>
      <c r="TBS49" s="344"/>
      <c r="TBT49" s="344"/>
      <c r="TBU49" s="344"/>
      <c r="TBV49" s="344"/>
      <c r="TBW49" s="344"/>
      <c r="TBX49" s="344"/>
      <c r="TBY49" s="344"/>
      <c r="TBZ49" s="344"/>
      <c r="TCA49" s="344"/>
      <c r="TCB49" s="344"/>
      <c r="TCC49" s="344"/>
      <c r="TCD49" s="344"/>
      <c r="TCE49" s="344"/>
      <c r="TCF49" s="344"/>
      <c r="TCG49" s="344"/>
      <c r="TCH49" s="344"/>
      <c r="TCI49" s="344"/>
      <c r="TCJ49" s="344"/>
      <c r="TCK49" s="344"/>
      <c r="TCL49" s="344"/>
      <c r="TCM49" s="344"/>
      <c r="TCN49" s="344"/>
      <c r="TCO49" s="344"/>
      <c r="TCP49" s="344"/>
      <c r="TCQ49" s="344"/>
      <c r="TCR49" s="344"/>
      <c r="TCS49" s="344"/>
      <c r="TCT49" s="344"/>
      <c r="TCU49" s="344"/>
      <c r="TCV49" s="344"/>
      <c r="TCW49" s="344"/>
      <c r="TCX49" s="344"/>
      <c r="TCY49" s="344"/>
      <c r="TCZ49" s="344"/>
      <c r="TDA49" s="344"/>
      <c r="TDB49" s="344"/>
      <c r="TDC49" s="344"/>
      <c r="TDD49" s="344"/>
      <c r="TDE49" s="344"/>
      <c r="TDF49" s="344"/>
      <c r="TDG49" s="344"/>
      <c r="TDH49" s="344"/>
      <c r="TDI49" s="344"/>
      <c r="TDJ49" s="344"/>
      <c r="TDK49" s="344"/>
      <c r="TDL49" s="344"/>
      <c r="TDM49" s="344"/>
      <c r="TDN49" s="344"/>
      <c r="TDO49" s="344"/>
      <c r="TDP49" s="344"/>
      <c r="TDQ49" s="344"/>
      <c r="TDR49" s="344"/>
      <c r="TDS49" s="344"/>
      <c r="TDT49" s="344"/>
      <c r="TDU49" s="344"/>
      <c r="TDV49" s="344"/>
      <c r="TDW49" s="344"/>
      <c r="TDX49" s="344"/>
      <c r="TDY49" s="344"/>
      <c r="TDZ49" s="344"/>
      <c r="TEA49" s="344"/>
      <c r="TEB49" s="344"/>
      <c r="TEC49" s="344"/>
      <c r="TED49" s="344"/>
      <c r="TEE49" s="344"/>
      <c r="TEF49" s="344"/>
      <c r="TEG49" s="344"/>
      <c r="TEH49" s="344"/>
      <c r="TEI49" s="344"/>
      <c r="TEJ49" s="344"/>
      <c r="TEK49" s="344"/>
      <c r="TEL49" s="344"/>
      <c r="TEM49" s="344"/>
      <c r="TEN49" s="344"/>
      <c r="TEO49" s="344"/>
      <c r="TEP49" s="344"/>
      <c r="TEQ49" s="344"/>
      <c r="TER49" s="344"/>
      <c r="TES49" s="344"/>
      <c r="TET49" s="344"/>
      <c r="TEU49" s="344"/>
      <c r="TEV49" s="344"/>
      <c r="TEW49" s="344"/>
      <c r="TEX49" s="344"/>
      <c r="TEY49" s="344"/>
      <c r="TEZ49" s="344"/>
      <c r="TFA49" s="344"/>
      <c r="TFB49" s="344"/>
      <c r="TFC49" s="344"/>
      <c r="TFD49" s="344"/>
      <c r="TFE49" s="344"/>
      <c r="TFF49" s="344"/>
      <c r="TFG49" s="344"/>
      <c r="TFH49" s="344"/>
      <c r="TFI49" s="344"/>
      <c r="TFJ49" s="344"/>
      <c r="TFK49" s="344"/>
      <c r="TFL49" s="344"/>
      <c r="TFM49" s="344"/>
      <c r="TFN49" s="344"/>
      <c r="TFO49" s="344"/>
      <c r="TFP49" s="344"/>
      <c r="TFQ49" s="344"/>
      <c r="TFR49" s="344"/>
      <c r="TFS49" s="344"/>
      <c r="TFT49" s="344"/>
      <c r="TFU49" s="344"/>
      <c r="TFV49" s="344"/>
      <c r="TFW49" s="344"/>
      <c r="TFX49" s="344"/>
      <c r="TFY49" s="344"/>
      <c r="TFZ49" s="344"/>
      <c r="TGA49" s="344"/>
      <c r="TGB49" s="344"/>
      <c r="TGC49" s="344"/>
      <c r="TGD49" s="344"/>
      <c r="TGE49" s="344"/>
      <c r="TGF49" s="344"/>
      <c r="TGG49" s="344"/>
      <c r="TGH49" s="344"/>
      <c r="TGI49" s="344"/>
      <c r="TGJ49" s="344"/>
      <c r="TGK49" s="344"/>
      <c r="TGL49" s="344"/>
      <c r="TGM49" s="344"/>
      <c r="TGN49" s="344"/>
      <c r="TGO49" s="344"/>
      <c r="TGP49" s="344"/>
      <c r="TGQ49" s="344"/>
      <c r="TGR49" s="344"/>
      <c r="TGS49" s="344"/>
      <c r="TGT49" s="344"/>
      <c r="TGU49" s="344"/>
      <c r="TGV49" s="344"/>
      <c r="TGW49" s="344"/>
      <c r="TGX49" s="344"/>
      <c r="TGY49" s="344"/>
      <c r="TGZ49" s="344"/>
      <c r="THA49" s="344"/>
      <c r="THB49" s="344"/>
      <c r="THC49" s="344"/>
      <c r="THD49" s="344"/>
      <c r="THE49" s="344"/>
      <c r="THF49" s="344"/>
      <c r="THG49" s="344"/>
      <c r="THH49" s="344"/>
      <c r="THI49" s="344"/>
      <c r="THJ49" s="344"/>
      <c r="THK49" s="344"/>
      <c r="THL49" s="344"/>
      <c r="THM49" s="344"/>
      <c r="THN49" s="344"/>
      <c r="THO49" s="344"/>
      <c r="THP49" s="344"/>
      <c r="THQ49" s="344"/>
      <c r="THR49" s="344"/>
      <c r="THS49" s="344"/>
      <c r="THT49" s="344"/>
      <c r="THU49" s="344"/>
      <c r="THV49" s="344"/>
      <c r="THW49" s="344"/>
      <c r="THX49" s="344"/>
      <c r="THY49" s="344"/>
      <c r="THZ49" s="344"/>
      <c r="TIA49" s="344"/>
      <c r="TIB49" s="344"/>
      <c r="TIC49" s="344"/>
      <c r="TID49" s="344"/>
      <c r="TIE49" s="344"/>
      <c r="TIF49" s="344"/>
      <c r="TIG49" s="344"/>
      <c r="TIH49" s="344"/>
      <c r="TII49" s="344"/>
      <c r="TIJ49" s="344"/>
      <c r="TIK49" s="344"/>
      <c r="TIL49" s="344"/>
      <c r="TIM49" s="344"/>
      <c r="TIN49" s="344"/>
      <c r="TIO49" s="344"/>
      <c r="TIP49" s="344"/>
      <c r="TIQ49" s="344"/>
      <c r="TIR49" s="344"/>
      <c r="TIS49" s="344"/>
      <c r="TIT49" s="344"/>
      <c r="TIU49" s="344"/>
      <c r="TIV49" s="344"/>
      <c r="TIW49" s="344"/>
      <c r="TIX49" s="344"/>
      <c r="TIY49" s="344"/>
      <c r="TIZ49" s="344"/>
      <c r="TJA49" s="344"/>
      <c r="TJB49" s="344"/>
      <c r="TJC49" s="344"/>
      <c r="TJD49" s="344"/>
      <c r="TJE49" s="344"/>
      <c r="TJF49" s="344"/>
      <c r="TJG49" s="344"/>
      <c r="TJH49" s="344"/>
      <c r="TJI49" s="344"/>
      <c r="TJJ49" s="344"/>
      <c r="TJK49" s="344"/>
      <c r="TJL49" s="344"/>
      <c r="TJM49" s="344"/>
      <c r="TJN49" s="344"/>
      <c r="TJO49" s="344"/>
      <c r="TJP49" s="344"/>
      <c r="TJQ49" s="344"/>
      <c r="TJR49" s="344"/>
      <c r="TJS49" s="344"/>
      <c r="TJT49" s="344"/>
      <c r="TJU49" s="344"/>
      <c r="TJV49" s="344"/>
      <c r="TJW49" s="344"/>
      <c r="TJX49" s="344"/>
      <c r="TJY49" s="344"/>
      <c r="TJZ49" s="344"/>
      <c r="TKA49" s="344"/>
      <c r="TKB49" s="344"/>
      <c r="TKC49" s="344"/>
      <c r="TKD49" s="344"/>
      <c r="TKE49" s="344"/>
      <c r="TKF49" s="344"/>
      <c r="TKG49" s="344"/>
      <c r="TKH49" s="344"/>
      <c r="TKI49" s="344"/>
      <c r="TKJ49" s="344"/>
      <c r="TKK49" s="344"/>
      <c r="TKL49" s="344"/>
      <c r="TKM49" s="344"/>
      <c r="TKN49" s="344"/>
      <c r="TKO49" s="344"/>
      <c r="TKP49" s="344"/>
      <c r="TKQ49" s="344"/>
      <c r="TKR49" s="344"/>
      <c r="TKS49" s="344"/>
      <c r="TKT49" s="344"/>
      <c r="TKU49" s="344"/>
      <c r="TKV49" s="344"/>
      <c r="TKW49" s="344"/>
      <c r="TKX49" s="344"/>
      <c r="TKY49" s="344"/>
      <c r="TKZ49" s="344"/>
      <c r="TLA49" s="344"/>
      <c r="TLB49" s="344"/>
      <c r="TLC49" s="344"/>
      <c r="TLD49" s="344"/>
      <c r="TLE49" s="344"/>
      <c r="TLF49" s="344"/>
      <c r="TLG49" s="344"/>
      <c r="TLH49" s="344"/>
      <c r="TLI49" s="344"/>
      <c r="TLJ49" s="344"/>
      <c r="TLK49" s="344"/>
      <c r="TLL49" s="344"/>
      <c r="TLM49" s="344"/>
      <c r="TLN49" s="344"/>
      <c r="TLO49" s="344"/>
      <c r="TLP49" s="344"/>
      <c r="TLQ49" s="344"/>
      <c r="TLR49" s="344"/>
      <c r="TLS49" s="344"/>
      <c r="TLT49" s="344"/>
      <c r="TLU49" s="344"/>
      <c r="TLV49" s="344"/>
      <c r="TLW49" s="344"/>
      <c r="TLX49" s="344"/>
      <c r="TLY49" s="344"/>
      <c r="TLZ49" s="344"/>
      <c r="TMA49" s="344"/>
      <c r="TMB49" s="344"/>
      <c r="TMC49" s="344"/>
      <c r="TMD49" s="344"/>
      <c r="TME49" s="344"/>
      <c r="TMF49" s="344"/>
      <c r="TMG49" s="344"/>
      <c r="TMH49" s="344"/>
      <c r="TMI49" s="344"/>
      <c r="TMJ49" s="344"/>
      <c r="TMK49" s="344"/>
      <c r="TML49" s="344"/>
      <c r="TMM49" s="344"/>
      <c r="TMN49" s="344"/>
      <c r="TMO49" s="344"/>
      <c r="TMP49" s="344"/>
      <c r="TMQ49" s="344"/>
      <c r="TMR49" s="344"/>
      <c r="TMS49" s="344"/>
      <c r="TMT49" s="344"/>
      <c r="TMU49" s="344"/>
      <c r="TMV49" s="344"/>
      <c r="TMW49" s="344"/>
      <c r="TMX49" s="344"/>
      <c r="TMY49" s="344"/>
      <c r="TMZ49" s="344"/>
      <c r="TNA49" s="344"/>
      <c r="TNB49" s="344"/>
      <c r="TNC49" s="344"/>
      <c r="TND49" s="344"/>
      <c r="TNE49" s="344"/>
      <c r="TNF49" s="344"/>
      <c r="TNG49" s="344"/>
      <c r="TNH49" s="344"/>
      <c r="TNI49" s="344"/>
      <c r="TNJ49" s="344"/>
      <c r="TNK49" s="344"/>
      <c r="TNL49" s="344"/>
      <c r="TNM49" s="344"/>
      <c r="TNN49" s="344"/>
      <c r="TNO49" s="344"/>
      <c r="TNP49" s="344"/>
      <c r="TNQ49" s="344"/>
      <c r="TNR49" s="344"/>
      <c r="TNS49" s="344"/>
      <c r="TNT49" s="344"/>
      <c r="TNU49" s="344"/>
      <c r="TNV49" s="344"/>
      <c r="TNW49" s="344"/>
      <c r="TNX49" s="344"/>
      <c r="TNY49" s="344"/>
      <c r="TNZ49" s="344"/>
      <c r="TOA49" s="344"/>
      <c r="TOB49" s="344"/>
      <c r="TOC49" s="344"/>
      <c r="TOD49" s="344"/>
      <c r="TOE49" s="344"/>
      <c r="TOF49" s="344"/>
      <c r="TOG49" s="344"/>
      <c r="TOH49" s="344"/>
      <c r="TOI49" s="344"/>
      <c r="TOJ49" s="344"/>
      <c r="TOK49" s="344"/>
      <c r="TOL49" s="344"/>
      <c r="TOM49" s="344"/>
      <c r="TON49" s="344"/>
      <c r="TOO49" s="344"/>
      <c r="TOP49" s="344"/>
      <c r="TOQ49" s="344"/>
      <c r="TOR49" s="344"/>
      <c r="TOS49" s="344"/>
      <c r="TOT49" s="344"/>
      <c r="TOU49" s="344"/>
      <c r="TOV49" s="344"/>
      <c r="TOW49" s="344"/>
      <c r="TOX49" s="344"/>
      <c r="TOY49" s="344"/>
      <c r="TOZ49" s="344"/>
      <c r="TPA49" s="344"/>
      <c r="TPB49" s="344"/>
      <c r="TPC49" s="344"/>
      <c r="TPD49" s="344"/>
      <c r="TPE49" s="344"/>
      <c r="TPF49" s="344"/>
      <c r="TPG49" s="344"/>
      <c r="TPH49" s="344"/>
      <c r="TPI49" s="344"/>
      <c r="TPJ49" s="344"/>
      <c r="TPK49" s="344"/>
      <c r="TPL49" s="344"/>
      <c r="TPM49" s="344"/>
      <c r="TPN49" s="344"/>
      <c r="TPO49" s="344"/>
      <c r="TPP49" s="344"/>
      <c r="TPQ49" s="344"/>
      <c r="TPR49" s="344"/>
      <c r="TPS49" s="344"/>
      <c r="TPT49" s="344"/>
      <c r="TPU49" s="344"/>
      <c r="TPV49" s="344"/>
      <c r="TPW49" s="344"/>
      <c r="TPX49" s="344"/>
      <c r="TPY49" s="344"/>
      <c r="TPZ49" s="344"/>
      <c r="TQA49" s="344"/>
      <c r="TQB49" s="344"/>
      <c r="TQC49" s="344"/>
      <c r="TQD49" s="344"/>
      <c r="TQE49" s="344"/>
      <c r="TQF49" s="344"/>
      <c r="TQG49" s="344"/>
      <c r="TQH49" s="344"/>
      <c r="TQI49" s="344"/>
      <c r="TQJ49" s="344"/>
      <c r="TQK49" s="344"/>
      <c r="TQL49" s="344"/>
      <c r="TQM49" s="344"/>
      <c r="TQN49" s="344"/>
      <c r="TQO49" s="344"/>
      <c r="TQP49" s="344"/>
      <c r="TQQ49" s="344"/>
      <c r="TQR49" s="344"/>
      <c r="TQS49" s="344"/>
      <c r="TQT49" s="344"/>
      <c r="TQU49" s="344"/>
      <c r="TQV49" s="344"/>
      <c r="TQW49" s="344"/>
      <c r="TQX49" s="344"/>
      <c r="TQY49" s="344"/>
      <c r="TQZ49" s="344"/>
      <c r="TRA49" s="344"/>
      <c r="TRB49" s="344"/>
      <c r="TRC49" s="344"/>
      <c r="TRD49" s="344"/>
      <c r="TRE49" s="344"/>
      <c r="TRF49" s="344"/>
      <c r="TRG49" s="344"/>
      <c r="TRH49" s="344"/>
      <c r="TRI49" s="344"/>
      <c r="TRJ49" s="344"/>
      <c r="TRK49" s="344"/>
      <c r="TRL49" s="344"/>
      <c r="TRM49" s="344"/>
      <c r="TRN49" s="344"/>
      <c r="TRO49" s="344"/>
      <c r="TRP49" s="344"/>
      <c r="TRQ49" s="344"/>
      <c r="TRR49" s="344"/>
      <c r="TRS49" s="344"/>
      <c r="TRT49" s="344"/>
      <c r="TRU49" s="344"/>
      <c r="TRV49" s="344"/>
      <c r="TRW49" s="344"/>
      <c r="TRX49" s="344"/>
      <c r="TRY49" s="344"/>
      <c r="TRZ49" s="344"/>
      <c r="TSA49" s="344"/>
      <c r="TSB49" s="344"/>
      <c r="TSC49" s="344"/>
      <c r="TSD49" s="344"/>
      <c r="TSE49" s="344"/>
      <c r="TSF49" s="344"/>
      <c r="TSG49" s="344"/>
      <c r="TSH49" s="344"/>
      <c r="TSI49" s="344"/>
      <c r="TSJ49" s="344"/>
      <c r="TSK49" s="344"/>
      <c r="TSL49" s="344"/>
      <c r="TSM49" s="344"/>
      <c r="TSN49" s="344"/>
      <c r="TSO49" s="344"/>
      <c r="TSP49" s="344"/>
      <c r="TSQ49" s="344"/>
      <c r="TSR49" s="344"/>
      <c r="TSS49" s="344"/>
      <c r="TST49" s="344"/>
      <c r="TSU49" s="344"/>
      <c r="TSV49" s="344"/>
      <c r="TSW49" s="344"/>
      <c r="TSX49" s="344"/>
      <c r="TSY49" s="344"/>
      <c r="TSZ49" s="344"/>
      <c r="TTA49" s="344"/>
      <c r="TTB49" s="344"/>
      <c r="TTC49" s="344"/>
      <c r="TTD49" s="344"/>
      <c r="TTE49" s="344"/>
      <c r="TTF49" s="344"/>
      <c r="TTG49" s="344"/>
      <c r="TTH49" s="344"/>
      <c r="TTI49" s="344"/>
      <c r="TTJ49" s="344"/>
      <c r="TTK49" s="344"/>
      <c r="TTL49" s="344"/>
      <c r="TTM49" s="344"/>
      <c r="TTN49" s="344"/>
      <c r="TTO49" s="344"/>
      <c r="TTP49" s="344"/>
      <c r="TTQ49" s="344"/>
      <c r="TTR49" s="344"/>
      <c r="TTS49" s="344"/>
      <c r="TTT49" s="344"/>
      <c r="TTU49" s="344"/>
      <c r="TTV49" s="344"/>
      <c r="TTW49" s="344"/>
      <c r="TTX49" s="344"/>
      <c r="TTY49" s="344"/>
      <c r="TTZ49" s="344"/>
      <c r="TUA49" s="344"/>
      <c r="TUB49" s="344"/>
      <c r="TUC49" s="344"/>
      <c r="TUD49" s="344"/>
      <c r="TUE49" s="344"/>
      <c r="TUF49" s="344"/>
      <c r="TUG49" s="344"/>
      <c r="TUH49" s="344"/>
      <c r="TUI49" s="344"/>
      <c r="TUJ49" s="344"/>
      <c r="TUK49" s="344"/>
      <c r="TUL49" s="344"/>
      <c r="TUM49" s="344"/>
      <c r="TUN49" s="344"/>
      <c r="TUO49" s="344"/>
      <c r="TUP49" s="344"/>
      <c r="TUQ49" s="344"/>
      <c r="TUR49" s="344"/>
      <c r="TUS49" s="344"/>
      <c r="TUT49" s="344"/>
      <c r="TUU49" s="344"/>
      <c r="TUV49" s="344"/>
      <c r="TUW49" s="344"/>
      <c r="TUX49" s="344"/>
      <c r="TUY49" s="344"/>
      <c r="TUZ49" s="344"/>
      <c r="TVA49" s="344"/>
      <c r="TVB49" s="344"/>
      <c r="TVC49" s="344"/>
      <c r="TVD49" s="344"/>
      <c r="TVE49" s="344"/>
      <c r="TVF49" s="344"/>
      <c r="TVG49" s="344"/>
      <c r="TVH49" s="344"/>
      <c r="TVI49" s="344"/>
      <c r="TVJ49" s="344"/>
      <c r="TVK49" s="344"/>
      <c r="TVL49" s="344"/>
      <c r="TVM49" s="344"/>
      <c r="TVN49" s="344"/>
      <c r="TVO49" s="344"/>
      <c r="TVP49" s="344"/>
      <c r="TVQ49" s="344"/>
      <c r="TVR49" s="344"/>
      <c r="TVS49" s="344"/>
      <c r="TVT49" s="344"/>
      <c r="TVU49" s="344"/>
      <c r="TVV49" s="344"/>
      <c r="TVW49" s="344"/>
      <c r="TVX49" s="344"/>
      <c r="TVY49" s="344"/>
      <c r="TVZ49" s="344"/>
      <c r="TWA49" s="344"/>
      <c r="TWB49" s="344"/>
      <c r="TWC49" s="344"/>
      <c r="TWD49" s="344"/>
      <c r="TWE49" s="344"/>
      <c r="TWF49" s="344"/>
      <c r="TWG49" s="344"/>
      <c r="TWH49" s="344"/>
      <c r="TWI49" s="344"/>
      <c r="TWJ49" s="344"/>
      <c r="TWK49" s="344"/>
      <c r="TWL49" s="344"/>
      <c r="TWM49" s="344"/>
      <c r="TWN49" s="344"/>
      <c r="TWO49" s="344"/>
      <c r="TWP49" s="344"/>
      <c r="TWQ49" s="344"/>
      <c r="TWR49" s="344"/>
      <c r="TWS49" s="344"/>
      <c r="TWT49" s="344"/>
      <c r="TWU49" s="344"/>
      <c r="TWV49" s="344"/>
      <c r="TWW49" s="344"/>
      <c r="TWX49" s="344"/>
      <c r="TWY49" s="344"/>
      <c r="TWZ49" s="344"/>
      <c r="TXA49" s="344"/>
      <c r="TXB49" s="344"/>
      <c r="TXC49" s="344"/>
      <c r="TXD49" s="344"/>
      <c r="TXE49" s="344"/>
      <c r="TXF49" s="344"/>
      <c r="TXG49" s="344"/>
      <c r="TXH49" s="344"/>
      <c r="TXI49" s="344"/>
      <c r="TXJ49" s="344"/>
      <c r="TXK49" s="344"/>
      <c r="TXL49" s="344"/>
      <c r="TXM49" s="344"/>
      <c r="TXN49" s="344"/>
      <c r="TXO49" s="344"/>
      <c r="TXP49" s="344"/>
      <c r="TXQ49" s="344"/>
      <c r="TXR49" s="344"/>
      <c r="TXS49" s="344"/>
      <c r="TXT49" s="344"/>
      <c r="TXU49" s="344"/>
      <c r="TXV49" s="344"/>
      <c r="TXW49" s="344"/>
      <c r="TXX49" s="344"/>
      <c r="TXY49" s="344"/>
      <c r="TXZ49" s="344"/>
      <c r="TYA49" s="344"/>
      <c r="TYB49" s="344"/>
      <c r="TYC49" s="344"/>
      <c r="TYD49" s="344"/>
      <c r="TYE49" s="344"/>
      <c r="TYF49" s="344"/>
      <c r="TYG49" s="344"/>
      <c r="TYH49" s="344"/>
      <c r="TYI49" s="344"/>
      <c r="TYJ49" s="344"/>
      <c r="TYK49" s="344"/>
      <c r="TYL49" s="344"/>
      <c r="TYM49" s="344"/>
      <c r="TYN49" s="344"/>
      <c r="TYO49" s="344"/>
      <c r="TYP49" s="344"/>
      <c r="TYQ49" s="344"/>
      <c r="TYR49" s="344"/>
      <c r="TYS49" s="344"/>
      <c r="TYT49" s="344"/>
      <c r="TYU49" s="344"/>
      <c r="TYV49" s="344"/>
      <c r="TYW49" s="344"/>
      <c r="TYX49" s="344"/>
      <c r="TYY49" s="344"/>
      <c r="TYZ49" s="344"/>
      <c r="TZA49" s="344"/>
      <c r="TZB49" s="344"/>
      <c r="TZC49" s="344"/>
      <c r="TZD49" s="344"/>
      <c r="TZE49" s="344"/>
      <c r="TZF49" s="344"/>
      <c r="TZG49" s="344"/>
      <c r="TZH49" s="344"/>
      <c r="TZI49" s="344"/>
      <c r="TZJ49" s="344"/>
      <c r="TZK49" s="344"/>
      <c r="TZL49" s="344"/>
      <c r="TZM49" s="344"/>
      <c r="TZN49" s="344"/>
      <c r="TZO49" s="344"/>
      <c r="TZP49" s="344"/>
      <c r="TZQ49" s="344"/>
      <c r="TZR49" s="344"/>
      <c r="TZS49" s="344"/>
      <c r="TZT49" s="344"/>
      <c r="TZU49" s="344"/>
      <c r="TZV49" s="344"/>
      <c r="TZW49" s="344"/>
      <c r="TZX49" s="344"/>
      <c r="TZY49" s="344"/>
      <c r="TZZ49" s="344"/>
      <c r="UAA49" s="344"/>
      <c r="UAB49" s="344"/>
      <c r="UAC49" s="344"/>
      <c r="UAD49" s="344"/>
      <c r="UAE49" s="344"/>
      <c r="UAF49" s="344"/>
      <c r="UAG49" s="344"/>
      <c r="UAH49" s="344"/>
      <c r="UAI49" s="344"/>
      <c r="UAJ49" s="344"/>
      <c r="UAK49" s="344"/>
      <c r="UAL49" s="344"/>
      <c r="UAM49" s="344"/>
      <c r="UAN49" s="344"/>
      <c r="UAO49" s="344"/>
      <c r="UAP49" s="344"/>
      <c r="UAQ49" s="344"/>
      <c r="UAR49" s="344"/>
      <c r="UAS49" s="344"/>
      <c r="UAT49" s="344"/>
      <c r="UAU49" s="344"/>
      <c r="UAV49" s="344"/>
      <c r="UAW49" s="344"/>
      <c r="UAX49" s="344"/>
      <c r="UAY49" s="344"/>
      <c r="UAZ49" s="344"/>
      <c r="UBA49" s="344"/>
      <c r="UBB49" s="344"/>
      <c r="UBC49" s="344"/>
      <c r="UBD49" s="344"/>
      <c r="UBE49" s="344"/>
      <c r="UBF49" s="344"/>
      <c r="UBG49" s="344"/>
      <c r="UBH49" s="344"/>
      <c r="UBI49" s="344"/>
      <c r="UBJ49" s="344"/>
      <c r="UBK49" s="344"/>
      <c r="UBL49" s="344"/>
      <c r="UBM49" s="344"/>
      <c r="UBN49" s="344"/>
      <c r="UBO49" s="344"/>
      <c r="UBP49" s="344"/>
      <c r="UBQ49" s="344"/>
      <c r="UBR49" s="344"/>
      <c r="UBS49" s="344"/>
      <c r="UBT49" s="344"/>
      <c r="UBU49" s="344"/>
      <c r="UBV49" s="344"/>
      <c r="UBW49" s="344"/>
      <c r="UBX49" s="344"/>
      <c r="UBY49" s="344"/>
      <c r="UBZ49" s="344"/>
      <c r="UCA49" s="344"/>
      <c r="UCB49" s="344"/>
      <c r="UCC49" s="344"/>
      <c r="UCD49" s="344"/>
      <c r="UCE49" s="344"/>
      <c r="UCF49" s="344"/>
      <c r="UCG49" s="344"/>
      <c r="UCH49" s="344"/>
      <c r="UCI49" s="344"/>
      <c r="UCJ49" s="344"/>
      <c r="UCK49" s="344"/>
      <c r="UCL49" s="344"/>
      <c r="UCM49" s="344"/>
      <c r="UCN49" s="344"/>
      <c r="UCO49" s="344"/>
      <c r="UCP49" s="344"/>
      <c r="UCQ49" s="344"/>
      <c r="UCR49" s="344"/>
      <c r="UCS49" s="344"/>
      <c r="UCT49" s="344"/>
      <c r="UCU49" s="344"/>
      <c r="UCV49" s="344"/>
      <c r="UCW49" s="344"/>
      <c r="UCX49" s="344"/>
      <c r="UCY49" s="344"/>
      <c r="UCZ49" s="344"/>
      <c r="UDA49" s="344"/>
      <c r="UDB49" s="344"/>
      <c r="UDC49" s="344"/>
      <c r="UDD49" s="344"/>
      <c r="UDE49" s="344"/>
      <c r="UDF49" s="344"/>
      <c r="UDG49" s="344"/>
      <c r="UDH49" s="344"/>
      <c r="UDI49" s="344"/>
      <c r="UDJ49" s="344"/>
      <c r="UDK49" s="344"/>
      <c r="UDL49" s="344"/>
      <c r="UDM49" s="344"/>
      <c r="UDN49" s="344"/>
      <c r="UDO49" s="344"/>
      <c r="UDP49" s="344"/>
      <c r="UDQ49" s="344"/>
      <c r="UDR49" s="344"/>
      <c r="UDS49" s="344"/>
      <c r="UDT49" s="344"/>
      <c r="UDU49" s="344"/>
      <c r="UDV49" s="344"/>
      <c r="UDW49" s="344"/>
      <c r="UDX49" s="344"/>
      <c r="UDY49" s="344"/>
      <c r="UDZ49" s="344"/>
      <c r="UEA49" s="344"/>
      <c r="UEB49" s="344"/>
      <c r="UEC49" s="344"/>
      <c r="UED49" s="344"/>
      <c r="UEE49" s="344"/>
      <c r="UEF49" s="344"/>
      <c r="UEG49" s="344"/>
      <c r="UEH49" s="344"/>
      <c r="UEI49" s="344"/>
      <c r="UEJ49" s="344"/>
      <c r="UEK49" s="344"/>
      <c r="UEL49" s="344"/>
      <c r="UEM49" s="344"/>
      <c r="UEN49" s="344"/>
      <c r="UEO49" s="344"/>
      <c r="UEP49" s="344"/>
      <c r="UEQ49" s="344"/>
      <c r="UER49" s="344"/>
      <c r="UES49" s="344"/>
      <c r="UET49" s="344"/>
      <c r="UEU49" s="344"/>
      <c r="UEV49" s="344"/>
      <c r="UEW49" s="344"/>
      <c r="UEX49" s="344"/>
      <c r="UEY49" s="344"/>
      <c r="UEZ49" s="344"/>
      <c r="UFA49" s="344"/>
      <c r="UFB49" s="344"/>
      <c r="UFC49" s="344"/>
      <c r="UFD49" s="344"/>
      <c r="UFE49" s="344"/>
      <c r="UFF49" s="344"/>
      <c r="UFG49" s="344"/>
      <c r="UFH49" s="344"/>
      <c r="UFI49" s="344"/>
      <c r="UFJ49" s="344"/>
      <c r="UFK49" s="344"/>
      <c r="UFL49" s="344"/>
      <c r="UFM49" s="344"/>
      <c r="UFN49" s="344"/>
      <c r="UFO49" s="344"/>
      <c r="UFP49" s="344"/>
      <c r="UFQ49" s="344"/>
      <c r="UFR49" s="344"/>
      <c r="UFS49" s="344"/>
      <c r="UFT49" s="344"/>
      <c r="UFU49" s="344"/>
      <c r="UFV49" s="344"/>
      <c r="UFW49" s="344"/>
      <c r="UFX49" s="344"/>
      <c r="UFY49" s="344"/>
      <c r="UFZ49" s="344"/>
      <c r="UGA49" s="344"/>
      <c r="UGB49" s="344"/>
      <c r="UGC49" s="344"/>
      <c r="UGD49" s="344"/>
      <c r="UGE49" s="344"/>
      <c r="UGF49" s="344"/>
      <c r="UGG49" s="344"/>
      <c r="UGH49" s="344"/>
      <c r="UGI49" s="344"/>
      <c r="UGJ49" s="344"/>
      <c r="UGK49" s="344"/>
      <c r="UGL49" s="344"/>
      <c r="UGM49" s="344"/>
      <c r="UGN49" s="344"/>
      <c r="UGO49" s="344"/>
      <c r="UGP49" s="344"/>
      <c r="UGQ49" s="344"/>
      <c r="UGR49" s="344"/>
      <c r="UGS49" s="344"/>
      <c r="UGT49" s="344"/>
      <c r="UGU49" s="344"/>
      <c r="UGV49" s="344"/>
      <c r="UGW49" s="344"/>
      <c r="UGX49" s="344"/>
      <c r="UGY49" s="344"/>
      <c r="UGZ49" s="344"/>
      <c r="UHA49" s="344"/>
      <c r="UHB49" s="344"/>
      <c r="UHC49" s="344"/>
      <c r="UHD49" s="344"/>
      <c r="UHE49" s="344"/>
      <c r="UHF49" s="344"/>
      <c r="UHG49" s="344"/>
      <c r="UHH49" s="344"/>
      <c r="UHI49" s="344"/>
      <c r="UHJ49" s="344"/>
      <c r="UHK49" s="344"/>
      <c r="UHL49" s="344"/>
      <c r="UHM49" s="344"/>
      <c r="UHN49" s="344"/>
      <c r="UHO49" s="344"/>
      <c r="UHP49" s="344"/>
      <c r="UHQ49" s="344"/>
      <c r="UHR49" s="344"/>
      <c r="UHS49" s="344"/>
      <c r="UHT49" s="344"/>
      <c r="UHU49" s="344"/>
      <c r="UHV49" s="344"/>
      <c r="UHW49" s="344"/>
      <c r="UHX49" s="344"/>
      <c r="UHY49" s="344"/>
      <c r="UHZ49" s="344"/>
      <c r="UIA49" s="344"/>
      <c r="UIB49" s="344"/>
      <c r="UIC49" s="344"/>
      <c r="UID49" s="344"/>
      <c r="UIE49" s="344"/>
      <c r="UIF49" s="344"/>
      <c r="UIG49" s="344"/>
      <c r="UIH49" s="344"/>
      <c r="UII49" s="344"/>
      <c r="UIJ49" s="344"/>
      <c r="UIK49" s="344"/>
      <c r="UIL49" s="344"/>
      <c r="UIM49" s="344"/>
      <c r="UIN49" s="344"/>
      <c r="UIO49" s="344"/>
      <c r="UIP49" s="344"/>
      <c r="UIQ49" s="344"/>
      <c r="UIR49" s="344"/>
      <c r="UIS49" s="344"/>
      <c r="UIT49" s="344"/>
      <c r="UIU49" s="344"/>
      <c r="UIV49" s="344"/>
      <c r="UIW49" s="344"/>
      <c r="UIX49" s="344"/>
      <c r="UIY49" s="344"/>
      <c r="UIZ49" s="344"/>
      <c r="UJA49" s="344"/>
      <c r="UJB49" s="344"/>
      <c r="UJC49" s="344"/>
      <c r="UJD49" s="344"/>
      <c r="UJE49" s="344"/>
      <c r="UJF49" s="344"/>
      <c r="UJG49" s="344"/>
      <c r="UJH49" s="344"/>
      <c r="UJI49" s="344"/>
      <c r="UJJ49" s="344"/>
      <c r="UJK49" s="344"/>
      <c r="UJL49" s="344"/>
      <c r="UJM49" s="344"/>
      <c r="UJN49" s="344"/>
      <c r="UJO49" s="344"/>
      <c r="UJP49" s="344"/>
      <c r="UJQ49" s="344"/>
      <c r="UJR49" s="344"/>
      <c r="UJS49" s="344"/>
      <c r="UJT49" s="344"/>
      <c r="UJU49" s="344"/>
      <c r="UJV49" s="344"/>
      <c r="UJW49" s="344"/>
      <c r="UJX49" s="344"/>
      <c r="UJY49" s="344"/>
      <c r="UJZ49" s="344"/>
      <c r="UKA49" s="344"/>
      <c r="UKB49" s="344"/>
      <c r="UKC49" s="344"/>
      <c r="UKD49" s="344"/>
      <c r="UKE49" s="344"/>
      <c r="UKF49" s="344"/>
      <c r="UKG49" s="344"/>
      <c r="UKH49" s="344"/>
      <c r="UKI49" s="344"/>
      <c r="UKJ49" s="344"/>
      <c r="UKK49" s="344"/>
      <c r="UKL49" s="344"/>
      <c r="UKM49" s="344"/>
      <c r="UKN49" s="344"/>
      <c r="UKO49" s="344"/>
      <c r="UKP49" s="344"/>
      <c r="UKQ49" s="344"/>
      <c r="UKR49" s="344"/>
      <c r="UKS49" s="344"/>
      <c r="UKT49" s="344"/>
      <c r="UKU49" s="344"/>
      <c r="UKV49" s="344"/>
      <c r="UKW49" s="344"/>
      <c r="UKX49" s="344"/>
      <c r="UKY49" s="344"/>
      <c r="UKZ49" s="344"/>
      <c r="ULA49" s="344"/>
      <c r="ULB49" s="344"/>
      <c r="ULC49" s="344"/>
      <c r="ULD49" s="344"/>
      <c r="ULE49" s="344"/>
      <c r="ULF49" s="344"/>
      <c r="ULG49" s="344"/>
      <c r="ULH49" s="344"/>
      <c r="ULI49" s="344"/>
      <c r="ULJ49" s="344"/>
      <c r="ULK49" s="344"/>
      <c r="ULL49" s="344"/>
      <c r="ULM49" s="344"/>
      <c r="ULN49" s="344"/>
      <c r="ULO49" s="344"/>
      <c r="ULP49" s="344"/>
      <c r="ULQ49" s="344"/>
      <c r="ULR49" s="344"/>
      <c r="ULS49" s="344"/>
      <c r="ULT49" s="344"/>
      <c r="ULU49" s="344"/>
      <c r="ULV49" s="344"/>
      <c r="ULW49" s="344"/>
      <c r="ULX49" s="344"/>
      <c r="ULY49" s="344"/>
      <c r="ULZ49" s="344"/>
      <c r="UMA49" s="344"/>
      <c r="UMB49" s="344"/>
      <c r="UMC49" s="344"/>
      <c r="UMD49" s="344"/>
      <c r="UME49" s="344"/>
      <c r="UMF49" s="344"/>
      <c r="UMG49" s="344"/>
      <c r="UMH49" s="344"/>
      <c r="UMI49" s="344"/>
      <c r="UMJ49" s="344"/>
      <c r="UMK49" s="344"/>
      <c r="UML49" s="344"/>
      <c r="UMM49" s="344"/>
      <c r="UMN49" s="344"/>
      <c r="UMO49" s="344"/>
      <c r="UMP49" s="344"/>
      <c r="UMQ49" s="344"/>
      <c r="UMR49" s="344"/>
      <c r="UMS49" s="344"/>
      <c r="UMT49" s="344"/>
      <c r="UMU49" s="344"/>
      <c r="UMV49" s="344"/>
      <c r="UMW49" s="344"/>
      <c r="UMX49" s="344"/>
      <c r="UMY49" s="344"/>
      <c r="UMZ49" s="344"/>
      <c r="UNA49" s="344"/>
      <c r="UNB49" s="344"/>
      <c r="UNC49" s="344"/>
      <c r="UND49" s="344"/>
      <c r="UNE49" s="344"/>
      <c r="UNF49" s="344"/>
      <c r="UNG49" s="344"/>
      <c r="UNH49" s="344"/>
      <c r="UNI49" s="344"/>
      <c r="UNJ49" s="344"/>
      <c r="UNK49" s="344"/>
      <c r="UNL49" s="344"/>
      <c r="UNM49" s="344"/>
      <c r="UNN49" s="344"/>
      <c r="UNO49" s="344"/>
      <c r="UNP49" s="344"/>
      <c r="UNQ49" s="344"/>
      <c r="UNR49" s="344"/>
      <c r="UNS49" s="344"/>
      <c r="UNT49" s="344"/>
      <c r="UNU49" s="344"/>
      <c r="UNV49" s="344"/>
      <c r="UNW49" s="344"/>
      <c r="UNX49" s="344"/>
      <c r="UNY49" s="344"/>
      <c r="UNZ49" s="344"/>
      <c r="UOA49" s="344"/>
      <c r="UOB49" s="344"/>
      <c r="UOC49" s="344"/>
      <c r="UOD49" s="344"/>
      <c r="UOE49" s="344"/>
      <c r="UOF49" s="344"/>
      <c r="UOG49" s="344"/>
      <c r="UOH49" s="344"/>
      <c r="UOI49" s="344"/>
      <c r="UOJ49" s="344"/>
      <c r="UOK49" s="344"/>
      <c r="UOL49" s="344"/>
      <c r="UOM49" s="344"/>
      <c r="UON49" s="344"/>
      <c r="UOO49" s="344"/>
      <c r="UOP49" s="344"/>
      <c r="UOQ49" s="344"/>
      <c r="UOR49" s="344"/>
      <c r="UOS49" s="344"/>
      <c r="UOT49" s="344"/>
      <c r="UOU49" s="344"/>
      <c r="UOV49" s="344"/>
      <c r="UOW49" s="344"/>
      <c r="UOX49" s="344"/>
      <c r="UOY49" s="344"/>
      <c r="UOZ49" s="344"/>
      <c r="UPA49" s="344"/>
      <c r="UPB49" s="344"/>
      <c r="UPC49" s="344"/>
      <c r="UPD49" s="344"/>
      <c r="UPE49" s="344"/>
      <c r="UPF49" s="344"/>
      <c r="UPG49" s="344"/>
      <c r="UPH49" s="344"/>
      <c r="UPI49" s="344"/>
      <c r="UPJ49" s="344"/>
      <c r="UPK49" s="344"/>
      <c r="UPL49" s="344"/>
      <c r="UPM49" s="344"/>
      <c r="UPN49" s="344"/>
      <c r="UPO49" s="344"/>
      <c r="UPP49" s="344"/>
      <c r="UPQ49" s="344"/>
      <c r="UPR49" s="344"/>
      <c r="UPS49" s="344"/>
      <c r="UPT49" s="344"/>
      <c r="UPU49" s="344"/>
      <c r="UPV49" s="344"/>
      <c r="UPW49" s="344"/>
      <c r="UPX49" s="344"/>
      <c r="UPY49" s="344"/>
      <c r="UPZ49" s="344"/>
      <c r="UQA49" s="344"/>
      <c r="UQB49" s="344"/>
      <c r="UQC49" s="344"/>
      <c r="UQD49" s="344"/>
      <c r="UQE49" s="344"/>
      <c r="UQF49" s="344"/>
      <c r="UQG49" s="344"/>
      <c r="UQH49" s="344"/>
      <c r="UQI49" s="344"/>
      <c r="UQJ49" s="344"/>
      <c r="UQK49" s="344"/>
      <c r="UQL49" s="344"/>
      <c r="UQM49" s="344"/>
      <c r="UQN49" s="344"/>
      <c r="UQO49" s="344"/>
      <c r="UQP49" s="344"/>
      <c r="UQQ49" s="344"/>
      <c r="UQR49" s="344"/>
      <c r="UQS49" s="344"/>
      <c r="UQT49" s="344"/>
      <c r="UQU49" s="344"/>
      <c r="UQV49" s="344"/>
      <c r="UQW49" s="344"/>
      <c r="UQX49" s="344"/>
      <c r="UQY49" s="344"/>
      <c r="UQZ49" s="344"/>
      <c r="URA49" s="344"/>
      <c r="URB49" s="344"/>
      <c r="URC49" s="344"/>
      <c r="URD49" s="344"/>
      <c r="URE49" s="344"/>
      <c r="URF49" s="344"/>
      <c r="URG49" s="344"/>
      <c r="URH49" s="344"/>
      <c r="URI49" s="344"/>
      <c r="URJ49" s="344"/>
      <c r="URK49" s="344"/>
      <c r="URL49" s="344"/>
      <c r="URM49" s="344"/>
      <c r="URN49" s="344"/>
      <c r="URO49" s="344"/>
      <c r="URP49" s="344"/>
      <c r="URQ49" s="344"/>
      <c r="URR49" s="344"/>
      <c r="URS49" s="344"/>
      <c r="URT49" s="344"/>
      <c r="URU49" s="344"/>
      <c r="URV49" s="344"/>
      <c r="URW49" s="344"/>
      <c r="URX49" s="344"/>
      <c r="URY49" s="344"/>
      <c r="URZ49" s="344"/>
      <c r="USA49" s="344"/>
      <c r="USB49" s="344"/>
      <c r="USC49" s="344"/>
      <c r="USD49" s="344"/>
      <c r="USE49" s="344"/>
      <c r="USF49" s="344"/>
      <c r="USG49" s="344"/>
      <c r="USH49" s="344"/>
      <c r="USI49" s="344"/>
      <c r="USJ49" s="344"/>
      <c r="USK49" s="344"/>
      <c r="USL49" s="344"/>
      <c r="USM49" s="344"/>
      <c r="USN49" s="344"/>
      <c r="USO49" s="344"/>
      <c r="USP49" s="344"/>
      <c r="USQ49" s="344"/>
      <c r="USR49" s="344"/>
      <c r="USS49" s="344"/>
      <c r="UST49" s="344"/>
      <c r="USU49" s="344"/>
      <c r="USV49" s="344"/>
      <c r="USW49" s="344"/>
      <c r="USX49" s="344"/>
      <c r="USY49" s="344"/>
      <c r="USZ49" s="344"/>
      <c r="UTA49" s="344"/>
      <c r="UTB49" s="344"/>
      <c r="UTC49" s="344"/>
      <c r="UTD49" s="344"/>
      <c r="UTE49" s="344"/>
      <c r="UTF49" s="344"/>
      <c r="UTG49" s="344"/>
      <c r="UTH49" s="344"/>
      <c r="UTI49" s="344"/>
      <c r="UTJ49" s="344"/>
      <c r="UTK49" s="344"/>
      <c r="UTL49" s="344"/>
      <c r="UTM49" s="344"/>
      <c r="UTN49" s="344"/>
      <c r="UTO49" s="344"/>
      <c r="UTP49" s="344"/>
      <c r="UTQ49" s="344"/>
      <c r="UTR49" s="344"/>
      <c r="UTS49" s="344"/>
      <c r="UTT49" s="344"/>
      <c r="UTU49" s="344"/>
      <c r="UTV49" s="344"/>
      <c r="UTW49" s="344"/>
      <c r="UTX49" s="344"/>
      <c r="UTY49" s="344"/>
      <c r="UTZ49" s="344"/>
      <c r="UUA49" s="344"/>
      <c r="UUB49" s="344"/>
      <c r="UUC49" s="344"/>
      <c r="UUD49" s="344"/>
      <c r="UUE49" s="344"/>
      <c r="UUF49" s="344"/>
      <c r="UUG49" s="344"/>
      <c r="UUH49" s="344"/>
      <c r="UUI49" s="344"/>
      <c r="UUJ49" s="344"/>
      <c r="UUK49" s="344"/>
      <c r="UUL49" s="344"/>
      <c r="UUM49" s="344"/>
      <c r="UUN49" s="344"/>
      <c r="UUO49" s="344"/>
      <c r="UUP49" s="344"/>
      <c r="UUQ49" s="344"/>
      <c r="UUR49" s="344"/>
      <c r="UUS49" s="344"/>
      <c r="UUT49" s="344"/>
      <c r="UUU49" s="344"/>
      <c r="UUV49" s="344"/>
      <c r="UUW49" s="344"/>
      <c r="UUX49" s="344"/>
      <c r="UUY49" s="344"/>
      <c r="UUZ49" s="344"/>
      <c r="UVA49" s="344"/>
      <c r="UVB49" s="344"/>
      <c r="UVC49" s="344"/>
      <c r="UVD49" s="344"/>
      <c r="UVE49" s="344"/>
      <c r="UVF49" s="344"/>
      <c r="UVG49" s="344"/>
      <c r="UVH49" s="344"/>
      <c r="UVI49" s="344"/>
      <c r="UVJ49" s="344"/>
      <c r="UVK49" s="344"/>
      <c r="UVL49" s="344"/>
      <c r="UVM49" s="344"/>
      <c r="UVN49" s="344"/>
      <c r="UVO49" s="344"/>
      <c r="UVP49" s="344"/>
      <c r="UVQ49" s="344"/>
      <c r="UVR49" s="344"/>
      <c r="UVS49" s="344"/>
      <c r="UVT49" s="344"/>
      <c r="UVU49" s="344"/>
      <c r="UVV49" s="344"/>
      <c r="UVW49" s="344"/>
      <c r="UVX49" s="344"/>
      <c r="UVY49" s="344"/>
      <c r="UVZ49" s="344"/>
      <c r="UWA49" s="344"/>
      <c r="UWB49" s="344"/>
      <c r="UWC49" s="344"/>
      <c r="UWD49" s="344"/>
      <c r="UWE49" s="344"/>
      <c r="UWF49" s="344"/>
      <c r="UWG49" s="344"/>
      <c r="UWH49" s="344"/>
      <c r="UWI49" s="344"/>
      <c r="UWJ49" s="344"/>
      <c r="UWK49" s="344"/>
      <c r="UWL49" s="344"/>
      <c r="UWM49" s="344"/>
      <c r="UWN49" s="344"/>
      <c r="UWO49" s="344"/>
      <c r="UWP49" s="344"/>
      <c r="UWQ49" s="344"/>
      <c r="UWR49" s="344"/>
      <c r="UWS49" s="344"/>
      <c r="UWT49" s="344"/>
      <c r="UWU49" s="344"/>
      <c r="UWV49" s="344"/>
      <c r="UWW49" s="344"/>
      <c r="UWX49" s="344"/>
      <c r="UWY49" s="344"/>
      <c r="UWZ49" s="344"/>
      <c r="UXA49" s="344"/>
      <c r="UXB49" s="344"/>
      <c r="UXC49" s="344"/>
      <c r="UXD49" s="344"/>
      <c r="UXE49" s="344"/>
      <c r="UXF49" s="344"/>
      <c r="UXG49" s="344"/>
      <c r="UXH49" s="344"/>
      <c r="UXI49" s="344"/>
      <c r="UXJ49" s="344"/>
      <c r="UXK49" s="344"/>
      <c r="UXL49" s="344"/>
      <c r="UXM49" s="344"/>
      <c r="UXN49" s="344"/>
      <c r="UXO49" s="344"/>
      <c r="UXP49" s="344"/>
      <c r="UXQ49" s="344"/>
      <c r="UXR49" s="344"/>
      <c r="UXS49" s="344"/>
      <c r="UXT49" s="344"/>
      <c r="UXU49" s="344"/>
      <c r="UXV49" s="344"/>
      <c r="UXW49" s="344"/>
      <c r="UXX49" s="344"/>
      <c r="UXY49" s="344"/>
      <c r="UXZ49" s="344"/>
      <c r="UYA49" s="344"/>
      <c r="UYB49" s="344"/>
      <c r="UYC49" s="344"/>
      <c r="UYD49" s="344"/>
      <c r="UYE49" s="344"/>
      <c r="UYF49" s="344"/>
      <c r="UYG49" s="344"/>
      <c r="UYH49" s="344"/>
      <c r="UYI49" s="344"/>
      <c r="UYJ49" s="344"/>
      <c r="UYK49" s="344"/>
      <c r="UYL49" s="344"/>
      <c r="UYM49" s="344"/>
      <c r="UYN49" s="344"/>
      <c r="UYO49" s="344"/>
      <c r="UYP49" s="344"/>
      <c r="UYQ49" s="344"/>
      <c r="UYR49" s="344"/>
      <c r="UYS49" s="344"/>
      <c r="UYT49" s="344"/>
      <c r="UYU49" s="344"/>
      <c r="UYV49" s="344"/>
      <c r="UYW49" s="344"/>
      <c r="UYX49" s="344"/>
      <c r="UYY49" s="344"/>
      <c r="UYZ49" s="344"/>
      <c r="UZA49" s="344"/>
      <c r="UZB49" s="344"/>
      <c r="UZC49" s="344"/>
      <c r="UZD49" s="344"/>
      <c r="UZE49" s="344"/>
      <c r="UZF49" s="344"/>
      <c r="UZG49" s="344"/>
      <c r="UZH49" s="344"/>
      <c r="UZI49" s="344"/>
      <c r="UZJ49" s="344"/>
      <c r="UZK49" s="344"/>
      <c r="UZL49" s="344"/>
      <c r="UZM49" s="344"/>
      <c r="UZN49" s="344"/>
      <c r="UZO49" s="344"/>
      <c r="UZP49" s="344"/>
      <c r="UZQ49" s="344"/>
      <c r="UZR49" s="344"/>
      <c r="UZS49" s="344"/>
      <c r="UZT49" s="344"/>
      <c r="UZU49" s="344"/>
      <c r="UZV49" s="344"/>
      <c r="UZW49" s="344"/>
      <c r="UZX49" s="344"/>
      <c r="UZY49" s="344"/>
      <c r="UZZ49" s="344"/>
      <c r="VAA49" s="344"/>
      <c r="VAB49" s="344"/>
      <c r="VAC49" s="344"/>
      <c r="VAD49" s="344"/>
      <c r="VAE49" s="344"/>
      <c r="VAF49" s="344"/>
      <c r="VAG49" s="344"/>
      <c r="VAH49" s="344"/>
      <c r="VAI49" s="344"/>
      <c r="VAJ49" s="344"/>
      <c r="VAK49" s="344"/>
      <c r="VAL49" s="344"/>
      <c r="VAM49" s="344"/>
      <c r="VAN49" s="344"/>
      <c r="VAO49" s="344"/>
      <c r="VAP49" s="344"/>
      <c r="VAQ49" s="344"/>
      <c r="VAR49" s="344"/>
      <c r="VAS49" s="344"/>
      <c r="VAT49" s="344"/>
      <c r="VAU49" s="344"/>
      <c r="VAV49" s="344"/>
      <c r="VAW49" s="344"/>
      <c r="VAX49" s="344"/>
      <c r="VAY49" s="344"/>
      <c r="VAZ49" s="344"/>
      <c r="VBA49" s="344"/>
      <c r="VBB49" s="344"/>
      <c r="VBC49" s="344"/>
      <c r="VBD49" s="344"/>
      <c r="VBE49" s="344"/>
      <c r="VBF49" s="344"/>
      <c r="VBG49" s="344"/>
      <c r="VBH49" s="344"/>
      <c r="VBI49" s="344"/>
      <c r="VBJ49" s="344"/>
      <c r="VBK49" s="344"/>
      <c r="VBL49" s="344"/>
      <c r="VBM49" s="344"/>
      <c r="VBN49" s="344"/>
      <c r="VBO49" s="344"/>
      <c r="VBP49" s="344"/>
      <c r="VBQ49" s="344"/>
      <c r="VBR49" s="344"/>
      <c r="VBS49" s="344"/>
      <c r="VBT49" s="344"/>
      <c r="VBU49" s="344"/>
      <c r="VBV49" s="344"/>
      <c r="VBW49" s="344"/>
      <c r="VBX49" s="344"/>
      <c r="VBY49" s="344"/>
      <c r="VBZ49" s="344"/>
      <c r="VCA49" s="344"/>
      <c r="VCB49" s="344"/>
      <c r="VCC49" s="344"/>
      <c r="VCD49" s="344"/>
      <c r="VCE49" s="344"/>
      <c r="VCF49" s="344"/>
      <c r="VCG49" s="344"/>
      <c r="VCH49" s="344"/>
      <c r="VCI49" s="344"/>
      <c r="VCJ49" s="344"/>
      <c r="VCK49" s="344"/>
      <c r="VCL49" s="344"/>
      <c r="VCM49" s="344"/>
      <c r="VCN49" s="344"/>
      <c r="VCO49" s="344"/>
      <c r="VCP49" s="344"/>
      <c r="VCQ49" s="344"/>
      <c r="VCR49" s="344"/>
      <c r="VCS49" s="344"/>
      <c r="VCT49" s="344"/>
      <c r="VCU49" s="344"/>
      <c r="VCV49" s="344"/>
      <c r="VCW49" s="344"/>
      <c r="VCX49" s="344"/>
      <c r="VCY49" s="344"/>
      <c r="VCZ49" s="344"/>
      <c r="VDA49" s="344"/>
      <c r="VDB49" s="344"/>
      <c r="VDC49" s="344"/>
      <c r="VDD49" s="344"/>
      <c r="VDE49" s="344"/>
      <c r="VDF49" s="344"/>
      <c r="VDG49" s="344"/>
      <c r="VDH49" s="344"/>
      <c r="VDI49" s="344"/>
      <c r="VDJ49" s="344"/>
      <c r="VDK49" s="344"/>
      <c r="VDL49" s="344"/>
      <c r="VDM49" s="344"/>
      <c r="VDN49" s="344"/>
      <c r="VDO49" s="344"/>
      <c r="VDP49" s="344"/>
      <c r="VDQ49" s="344"/>
      <c r="VDR49" s="344"/>
      <c r="VDS49" s="344"/>
      <c r="VDT49" s="344"/>
      <c r="VDU49" s="344"/>
      <c r="VDV49" s="344"/>
      <c r="VDW49" s="344"/>
      <c r="VDX49" s="344"/>
      <c r="VDY49" s="344"/>
      <c r="VDZ49" s="344"/>
      <c r="VEA49" s="344"/>
      <c r="VEB49" s="344"/>
      <c r="VEC49" s="344"/>
      <c r="VED49" s="344"/>
      <c r="VEE49" s="344"/>
      <c r="VEF49" s="344"/>
      <c r="VEG49" s="344"/>
      <c r="VEH49" s="344"/>
      <c r="VEI49" s="344"/>
      <c r="VEJ49" s="344"/>
      <c r="VEK49" s="344"/>
      <c r="VEL49" s="344"/>
      <c r="VEM49" s="344"/>
      <c r="VEN49" s="344"/>
      <c r="VEO49" s="344"/>
      <c r="VEP49" s="344"/>
      <c r="VEQ49" s="344"/>
      <c r="VER49" s="344"/>
      <c r="VES49" s="344"/>
      <c r="VET49" s="344"/>
      <c r="VEU49" s="344"/>
      <c r="VEV49" s="344"/>
      <c r="VEW49" s="344"/>
      <c r="VEX49" s="344"/>
      <c r="VEY49" s="344"/>
      <c r="VEZ49" s="344"/>
      <c r="VFA49" s="344"/>
      <c r="VFB49" s="344"/>
      <c r="VFC49" s="344"/>
      <c r="VFD49" s="344"/>
      <c r="VFE49" s="344"/>
      <c r="VFF49" s="344"/>
      <c r="VFG49" s="344"/>
      <c r="VFH49" s="344"/>
      <c r="VFI49" s="344"/>
      <c r="VFJ49" s="344"/>
      <c r="VFK49" s="344"/>
      <c r="VFL49" s="344"/>
      <c r="VFM49" s="344"/>
      <c r="VFN49" s="344"/>
      <c r="VFO49" s="344"/>
      <c r="VFP49" s="344"/>
      <c r="VFQ49" s="344"/>
      <c r="VFR49" s="344"/>
      <c r="VFS49" s="344"/>
      <c r="VFT49" s="344"/>
      <c r="VFU49" s="344"/>
      <c r="VFV49" s="344"/>
      <c r="VFW49" s="344"/>
      <c r="VFX49" s="344"/>
      <c r="VFY49" s="344"/>
      <c r="VFZ49" s="344"/>
      <c r="VGA49" s="344"/>
      <c r="VGB49" s="344"/>
      <c r="VGC49" s="344"/>
      <c r="VGD49" s="344"/>
      <c r="VGE49" s="344"/>
      <c r="VGF49" s="344"/>
      <c r="VGG49" s="344"/>
      <c r="VGH49" s="344"/>
      <c r="VGI49" s="344"/>
      <c r="VGJ49" s="344"/>
      <c r="VGK49" s="344"/>
      <c r="VGL49" s="344"/>
      <c r="VGM49" s="344"/>
      <c r="VGN49" s="344"/>
      <c r="VGO49" s="344"/>
      <c r="VGP49" s="344"/>
      <c r="VGQ49" s="344"/>
      <c r="VGR49" s="344"/>
      <c r="VGS49" s="344"/>
      <c r="VGT49" s="344"/>
      <c r="VGU49" s="344"/>
      <c r="VGV49" s="344"/>
      <c r="VGW49" s="344"/>
      <c r="VGX49" s="344"/>
      <c r="VGY49" s="344"/>
      <c r="VGZ49" s="344"/>
      <c r="VHA49" s="344"/>
      <c r="VHB49" s="344"/>
      <c r="VHC49" s="344"/>
      <c r="VHD49" s="344"/>
      <c r="VHE49" s="344"/>
      <c r="VHF49" s="344"/>
      <c r="VHG49" s="344"/>
      <c r="VHH49" s="344"/>
      <c r="VHI49" s="344"/>
      <c r="VHJ49" s="344"/>
      <c r="VHK49" s="344"/>
      <c r="VHL49" s="344"/>
      <c r="VHM49" s="344"/>
      <c r="VHN49" s="344"/>
      <c r="VHO49" s="344"/>
      <c r="VHP49" s="344"/>
      <c r="VHQ49" s="344"/>
      <c r="VHR49" s="344"/>
      <c r="VHS49" s="344"/>
      <c r="VHT49" s="344"/>
      <c r="VHU49" s="344"/>
      <c r="VHV49" s="344"/>
      <c r="VHW49" s="344"/>
      <c r="VHX49" s="344"/>
      <c r="VHY49" s="344"/>
      <c r="VHZ49" s="344"/>
      <c r="VIA49" s="344"/>
      <c r="VIB49" s="344"/>
      <c r="VIC49" s="344"/>
      <c r="VID49" s="344"/>
      <c r="VIE49" s="344"/>
      <c r="VIF49" s="344"/>
      <c r="VIG49" s="344"/>
      <c r="VIH49" s="344"/>
      <c r="VII49" s="344"/>
      <c r="VIJ49" s="344"/>
      <c r="VIK49" s="344"/>
      <c r="VIL49" s="344"/>
      <c r="VIM49" s="344"/>
      <c r="VIN49" s="344"/>
      <c r="VIO49" s="344"/>
      <c r="VIP49" s="344"/>
      <c r="VIQ49" s="344"/>
      <c r="VIR49" s="344"/>
      <c r="VIS49" s="344"/>
      <c r="VIT49" s="344"/>
      <c r="VIU49" s="344"/>
      <c r="VIV49" s="344"/>
      <c r="VIW49" s="344"/>
      <c r="VIX49" s="344"/>
      <c r="VIY49" s="344"/>
      <c r="VIZ49" s="344"/>
      <c r="VJA49" s="344"/>
      <c r="VJB49" s="344"/>
      <c r="VJC49" s="344"/>
      <c r="VJD49" s="344"/>
      <c r="VJE49" s="344"/>
      <c r="VJF49" s="344"/>
      <c r="VJG49" s="344"/>
      <c r="VJH49" s="344"/>
      <c r="VJI49" s="344"/>
      <c r="VJJ49" s="344"/>
      <c r="VJK49" s="344"/>
      <c r="VJL49" s="344"/>
      <c r="VJM49" s="344"/>
      <c r="VJN49" s="344"/>
      <c r="VJO49" s="344"/>
      <c r="VJP49" s="344"/>
      <c r="VJQ49" s="344"/>
      <c r="VJR49" s="344"/>
      <c r="VJS49" s="344"/>
      <c r="VJT49" s="344"/>
      <c r="VJU49" s="344"/>
      <c r="VJV49" s="344"/>
      <c r="VJW49" s="344"/>
      <c r="VJX49" s="344"/>
      <c r="VJY49" s="344"/>
      <c r="VJZ49" s="344"/>
      <c r="VKA49" s="344"/>
      <c r="VKB49" s="344"/>
      <c r="VKC49" s="344"/>
      <c r="VKD49" s="344"/>
      <c r="VKE49" s="344"/>
      <c r="VKF49" s="344"/>
      <c r="VKG49" s="344"/>
      <c r="VKH49" s="344"/>
      <c r="VKI49" s="344"/>
      <c r="VKJ49" s="344"/>
      <c r="VKK49" s="344"/>
      <c r="VKL49" s="344"/>
      <c r="VKM49" s="344"/>
      <c r="VKN49" s="344"/>
      <c r="VKO49" s="344"/>
      <c r="VKP49" s="344"/>
      <c r="VKQ49" s="344"/>
      <c r="VKR49" s="344"/>
      <c r="VKS49" s="344"/>
      <c r="VKT49" s="344"/>
      <c r="VKU49" s="344"/>
      <c r="VKV49" s="344"/>
      <c r="VKW49" s="344"/>
      <c r="VKX49" s="344"/>
      <c r="VKY49" s="344"/>
      <c r="VKZ49" s="344"/>
      <c r="VLA49" s="344"/>
      <c r="VLB49" s="344"/>
      <c r="VLC49" s="344"/>
      <c r="VLD49" s="344"/>
      <c r="VLE49" s="344"/>
      <c r="VLF49" s="344"/>
      <c r="VLG49" s="344"/>
      <c r="VLH49" s="344"/>
      <c r="VLI49" s="344"/>
      <c r="VLJ49" s="344"/>
      <c r="VLK49" s="344"/>
      <c r="VLL49" s="344"/>
      <c r="VLM49" s="344"/>
      <c r="VLN49" s="344"/>
      <c r="VLO49" s="344"/>
      <c r="VLP49" s="344"/>
      <c r="VLQ49" s="344"/>
      <c r="VLR49" s="344"/>
      <c r="VLS49" s="344"/>
      <c r="VLT49" s="344"/>
      <c r="VLU49" s="344"/>
      <c r="VLV49" s="344"/>
      <c r="VLW49" s="344"/>
      <c r="VLX49" s="344"/>
      <c r="VLY49" s="344"/>
      <c r="VLZ49" s="344"/>
      <c r="VMA49" s="344"/>
      <c r="VMB49" s="344"/>
      <c r="VMC49" s="344"/>
      <c r="VMD49" s="344"/>
      <c r="VME49" s="344"/>
      <c r="VMF49" s="344"/>
      <c r="VMG49" s="344"/>
      <c r="VMH49" s="344"/>
      <c r="VMI49" s="344"/>
      <c r="VMJ49" s="344"/>
      <c r="VMK49" s="344"/>
      <c r="VML49" s="344"/>
      <c r="VMM49" s="344"/>
      <c r="VMN49" s="344"/>
      <c r="VMO49" s="344"/>
      <c r="VMP49" s="344"/>
      <c r="VMQ49" s="344"/>
      <c r="VMR49" s="344"/>
      <c r="VMS49" s="344"/>
      <c r="VMT49" s="344"/>
      <c r="VMU49" s="344"/>
      <c r="VMV49" s="344"/>
      <c r="VMW49" s="344"/>
      <c r="VMX49" s="344"/>
      <c r="VMY49" s="344"/>
      <c r="VMZ49" s="344"/>
      <c r="VNA49" s="344"/>
      <c r="VNB49" s="344"/>
      <c r="VNC49" s="344"/>
      <c r="VND49" s="344"/>
      <c r="VNE49" s="344"/>
      <c r="VNF49" s="344"/>
      <c r="VNG49" s="344"/>
      <c r="VNH49" s="344"/>
      <c r="VNI49" s="344"/>
      <c r="VNJ49" s="344"/>
      <c r="VNK49" s="344"/>
      <c r="VNL49" s="344"/>
      <c r="VNM49" s="344"/>
      <c r="VNN49" s="344"/>
      <c r="VNO49" s="344"/>
      <c r="VNP49" s="344"/>
      <c r="VNQ49" s="344"/>
      <c r="VNR49" s="344"/>
      <c r="VNS49" s="344"/>
      <c r="VNT49" s="344"/>
      <c r="VNU49" s="344"/>
      <c r="VNV49" s="344"/>
      <c r="VNW49" s="344"/>
      <c r="VNX49" s="344"/>
      <c r="VNY49" s="344"/>
      <c r="VNZ49" s="344"/>
      <c r="VOA49" s="344"/>
      <c r="VOB49" s="344"/>
      <c r="VOC49" s="344"/>
      <c r="VOD49" s="344"/>
      <c r="VOE49" s="344"/>
      <c r="VOF49" s="344"/>
      <c r="VOG49" s="344"/>
      <c r="VOH49" s="344"/>
      <c r="VOI49" s="344"/>
      <c r="VOJ49" s="344"/>
      <c r="VOK49" s="344"/>
      <c r="VOL49" s="344"/>
      <c r="VOM49" s="344"/>
      <c r="VON49" s="344"/>
      <c r="VOO49" s="344"/>
      <c r="VOP49" s="344"/>
      <c r="VOQ49" s="344"/>
      <c r="VOR49" s="344"/>
      <c r="VOS49" s="344"/>
      <c r="VOT49" s="344"/>
      <c r="VOU49" s="344"/>
      <c r="VOV49" s="344"/>
      <c r="VOW49" s="344"/>
      <c r="VOX49" s="344"/>
      <c r="VOY49" s="344"/>
      <c r="VOZ49" s="344"/>
      <c r="VPA49" s="344"/>
      <c r="VPB49" s="344"/>
      <c r="VPC49" s="344"/>
      <c r="VPD49" s="344"/>
      <c r="VPE49" s="344"/>
      <c r="VPF49" s="344"/>
      <c r="VPG49" s="344"/>
      <c r="VPH49" s="344"/>
      <c r="VPI49" s="344"/>
      <c r="VPJ49" s="344"/>
      <c r="VPK49" s="344"/>
      <c r="VPL49" s="344"/>
      <c r="VPM49" s="344"/>
      <c r="VPN49" s="344"/>
      <c r="VPO49" s="344"/>
      <c r="VPP49" s="344"/>
      <c r="VPQ49" s="344"/>
      <c r="VPR49" s="344"/>
      <c r="VPS49" s="344"/>
      <c r="VPT49" s="344"/>
      <c r="VPU49" s="344"/>
      <c r="VPV49" s="344"/>
      <c r="VPW49" s="344"/>
      <c r="VPX49" s="344"/>
      <c r="VPY49" s="344"/>
      <c r="VPZ49" s="344"/>
      <c r="VQA49" s="344"/>
      <c r="VQB49" s="344"/>
      <c r="VQC49" s="344"/>
      <c r="VQD49" s="344"/>
      <c r="VQE49" s="344"/>
      <c r="VQF49" s="344"/>
      <c r="VQG49" s="344"/>
      <c r="VQH49" s="344"/>
      <c r="VQI49" s="344"/>
      <c r="VQJ49" s="344"/>
      <c r="VQK49" s="344"/>
      <c r="VQL49" s="344"/>
      <c r="VQM49" s="344"/>
      <c r="VQN49" s="344"/>
      <c r="VQO49" s="344"/>
      <c r="VQP49" s="344"/>
      <c r="VQQ49" s="344"/>
      <c r="VQR49" s="344"/>
      <c r="VQS49" s="344"/>
      <c r="VQT49" s="344"/>
      <c r="VQU49" s="344"/>
      <c r="VQV49" s="344"/>
      <c r="VQW49" s="344"/>
      <c r="VQX49" s="344"/>
      <c r="VQY49" s="344"/>
      <c r="VQZ49" s="344"/>
      <c r="VRA49" s="344"/>
      <c r="VRB49" s="344"/>
      <c r="VRC49" s="344"/>
      <c r="VRD49" s="344"/>
      <c r="VRE49" s="344"/>
      <c r="VRF49" s="344"/>
      <c r="VRG49" s="344"/>
      <c r="VRH49" s="344"/>
      <c r="VRI49" s="344"/>
      <c r="VRJ49" s="344"/>
      <c r="VRK49" s="344"/>
      <c r="VRL49" s="344"/>
      <c r="VRM49" s="344"/>
      <c r="VRN49" s="344"/>
      <c r="VRO49" s="344"/>
      <c r="VRP49" s="344"/>
      <c r="VRQ49" s="344"/>
      <c r="VRR49" s="344"/>
      <c r="VRS49" s="344"/>
      <c r="VRT49" s="344"/>
      <c r="VRU49" s="344"/>
      <c r="VRV49" s="344"/>
      <c r="VRW49" s="344"/>
      <c r="VRX49" s="344"/>
      <c r="VRY49" s="344"/>
      <c r="VRZ49" s="344"/>
      <c r="VSA49" s="344"/>
      <c r="VSB49" s="344"/>
      <c r="VSC49" s="344"/>
      <c r="VSD49" s="344"/>
      <c r="VSE49" s="344"/>
      <c r="VSF49" s="344"/>
      <c r="VSG49" s="344"/>
      <c r="VSH49" s="344"/>
      <c r="VSI49" s="344"/>
      <c r="VSJ49" s="344"/>
      <c r="VSK49" s="344"/>
      <c r="VSL49" s="344"/>
      <c r="VSM49" s="344"/>
      <c r="VSN49" s="344"/>
      <c r="VSO49" s="344"/>
      <c r="VSP49" s="344"/>
      <c r="VSQ49" s="344"/>
      <c r="VSR49" s="344"/>
      <c r="VSS49" s="344"/>
      <c r="VST49" s="344"/>
      <c r="VSU49" s="344"/>
      <c r="VSV49" s="344"/>
      <c r="VSW49" s="344"/>
      <c r="VSX49" s="344"/>
      <c r="VSY49" s="344"/>
      <c r="VSZ49" s="344"/>
      <c r="VTA49" s="344"/>
      <c r="VTB49" s="344"/>
      <c r="VTC49" s="344"/>
      <c r="VTD49" s="344"/>
      <c r="VTE49" s="344"/>
      <c r="VTF49" s="344"/>
      <c r="VTG49" s="344"/>
      <c r="VTH49" s="344"/>
      <c r="VTI49" s="344"/>
      <c r="VTJ49" s="344"/>
      <c r="VTK49" s="344"/>
      <c r="VTL49" s="344"/>
      <c r="VTM49" s="344"/>
      <c r="VTN49" s="344"/>
      <c r="VTO49" s="344"/>
      <c r="VTP49" s="344"/>
      <c r="VTQ49" s="344"/>
      <c r="VTR49" s="344"/>
      <c r="VTS49" s="344"/>
      <c r="VTT49" s="344"/>
      <c r="VTU49" s="344"/>
      <c r="VTV49" s="344"/>
      <c r="VTW49" s="344"/>
      <c r="VTX49" s="344"/>
      <c r="VTY49" s="344"/>
      <c r="VTZ49" s="344"/>
      <c r="VUA49" s="344"/>
      <c r="VUB49" s="344"/>
      <c r="VUC49" s="344"/>
      <c r="VUD49" s="344"/>
      <c r="VUE49" s="344"/>
      <c r="VUF49" s="344"/>
      <c r="VUG49" s="344"/>
      <c r="VUH49" s="344"/>
      <c r="VUI49" s="344"/>
      <c r="VUJ49" s="344"/>
      <c r="VUK49" s="344"/>
      <c r="VUL49" s="344"/>
      <c r="VUM49" s="344"/>
      <c r="VUN49" s="344"/>
      <c r="VUO49" s="344"/>
      <c r="VUP49" s="344"/>
      <c r="VUQ49" s="344"/>
      <c r="VUR49" s="344"/>
      <c r="VUS49" s="344"/>
      <c r="VUT49" s="344"/>
      <c r="VUU49" s="344"/>
      <c r="VUV49" s="344"/>
      <c r="VUW49" s="344"/>
      <c r="VUX49" s="344"/>
      <c r="VUY49" s="344"/>
      <c r="VUZ49" s="344"/>
      <c r="VVA49" s="344"/>
      <c r="VVB49" s="344"/>
      <c r="VVC49" s="344"/>
      <c r="VVD49" s="344"/>
      <c r="VVE49" s="344"/>
      <c r="VVF49" s="344"/>
      <c r="VVG49" s="344"/>
      <c r="VVH49" s="344"/>
      <c r="VVI49" s="344"/>
      <c r="VVJ49" s="344"/>
      <c r="VVK49" s="344"/>
      <c r="VVL49" s="344"/>
      <c r="VVM49" s="344"/>
      <c r="VVN49" s="344"/>
      <c r="VVO49" s="344"/>
      <c r="VVP49" s="344"/>
      <c r="VVQ49" s="344"/>
      <c r="VVR49" s="344"/>
      <c r="VVS49" s="344"/>
      <c r="VVT49" s="344"/>
      <c r="VVU49" s="344"/>
      <c r="VVV49" s="344"/>
      <c r="VVW49" s="344"/>
      <c r="VVX49" s="344"/>
      <c r="VVY49" s="344"/>
      <c r="VVZ49" s="344"/>
      <c r="VWA49" s="344"/>
      <c r="VWB49" s="344"/>
      <c r="VWC49" s="344"/>
      <c r="VWD49" s="344"/>
      <c r="VWE49" s="344"/>
      <c r="VWF49" s="344"/>
      <c r="VWG49" s="344"/>
      <c r="VWH49" s="344"/>
      <c r="VWI49" s="344"/>
      <c r="VWJ49" s="344"/>
      <c r="VWK49" s="344"/>
      <c r="VWL49" s="344"/>
      <c r="VWM49" s="344"/>
      <c r="VWN49" s="344"/>
      <c r="VWO49" s="344"/>
      <c r="VWP49" s="344"/>
      <c r="VWQ49" s="344"/>
      <c r="VWR49" s="344"/>
      <c r="VWS49" s="344"/>
      <c r="VWT49" s="344"/>
      <c r="VWU49" s="344"/>
      <c r="VWV49" s="344"/>
      <c r="VWW49" s="344"/>
      <c r="VWX49" s="344"/>
      <c r="VWY49" s="344"/>
      <c r="VWZ49" s="344"/>
      <c r="VXA49" s="344"/>
      <c r="VXB49" s="344"/>
      <c r="VXC49" s="344"/>
      <c r="VXD49" s="344"/>
      <c r="VXE49" s="344"/>
      <c r="VXF49" s="344"/>
      <c r="VXG49" s="344"/>
      <c r="VXH49" s="344"/>
      <c r="VXI49" s="344"/>
      <c r="VXJ49" s="344"/>
      <c r="VXK49" s="344"/>
      <c r="VXL49" s="344"/>
      <c r="VXM49" s="344"/>
      <c r="VXN49" s="344"/>
      <c r="VXO49" s="344"/>
      <c r="VXP49" s="344"/>
      <c r="VXQ49" s="344"/>
      <c r="VXR49" s="344"/>
      <c r="VXS49" s="344"/>
      <c r="VXT49" s="344"/>
      <c r="VXU49" s="344"/>
      <c r="VXV49" s="344"/>
      <c r="VXW49" s="344"/>
      <c r="VXX49" s="344"/>
      <c r="VXY49" s="344"/>
      <c r="VXZ49" s="344"/>
      <c r="VYA49" s="344"/>
      <c r="VYB49" s="344"/>
      <c r="VYC49" s="344"/>
      <c r="VYD49" s="344"/>
      <c r="VYE49" s="344"/>
      <c r="VYF49" s="344"/>
      <c r="VYG49" s="344"/>
      <c r="VYH49" s="344"/>
      <c r="VYI49" s="344"/>
      <c r="VYJ49" s="344"/>
      <c r="VYK49" s="344"/>
      <c r="VYL49" s="344"/>
      <c r="VYM49" s="344"/>
      <c r="VYN49" s="344"/>
      <c r="VYO49" s="344"/>
      <c r="VYP49" s="344"/>
      <c r="VYQ49" s="344"/>
      <c r="VYR49" s="344"/>
      <c r="VYS49" s="344"/>
      <c r="VYT49" s="344"/>
      <c r="VYU49" s="344"/>
      <c r="VYV49" s="344"/>
      <c r="VYW49" s="344"/>
      <c r="VYX49" s="344"/>
      <c r="VYY49" s="344"/>
      <c r="VYZ49" s="344"/>
      <c r="VZA49" s="344"/>
      <c r="VZB49" s="344"/>
      <c r="VZC49" s="344"/>
      <c r="VZD49" s="344"/>
      <c r="VZE49" s="344"/>
      <c r="VZF49" s="344"/>
      <c r="VZG49" s="344"/>
      <c r="VZH49" s="344"/>
      <c r="VZI49" s="344"/>
      <c r="VZJ49" s="344"/>
      <c r="VZK49" s="344"/>
      <c r="VZL49" s="344"/>
      <c r="VZM49" s="344"/>
      <c r="VZN49" s="344"/>
      <c r="VZO49" s="344"/>
      <c r="VZP49" s="344"/>
      <c r="VZQ49" s="344"/>
      <c r="VZR49" s="344"/>
      <c r="VZS49" s="344"/>
      <c r="VZT49" s="344"/>
      <c r="VZU49" s="344"/>
      <c r="VZV49" s="344"/>
      <c r="VZW49" s="344"/>
      <c r="VZX49" s="344"/>
      <c r="VZY49" s="344"/>
      <c r="VZZ49" s="344"/>
      <c r="WAA49" s="344"/>
      <c r="WAB49" s="344"/>
      <c r="WAC49" s="344"/>
      <c r="WAD49" s="344"/>
      <c r="WAE49" s="344"/>
      <c r="WAF49" s="344"/>
      <c r="WAG49" s="344"/>
      <c r="WAH49" s="344"/>
      <c r="WAI49" s="344"/>
      <c r="WAJ49" s="344"/>
      <c r="WAK49" s="344"/>
      <c r="WAL49" s="344"/>
      <c r="WAM49" s="344"/>
      <c r="WAN49" s="344"/>
      <c r="WAO49" s="344"/>
      <c r="WAP49" s="344"/>
      <c r="WAQ49" s="344"/>
      <c r="WAR49" s="344"/>
      <c r="WAS49" s="344"/>
      <c r="WAT49" s="344"/>
      <c r="WAU49" s="344"/>
      <c r="WAV49" s="344"/>
      <c r="WAW49" s="344"/>
      <c r="WAX49" s="344"/>
      <c r="WAY49" s="344"/>
      <c r="WAZ49" s="344"/>
      <c r="WBA49" s="344"/>
      <c r="WBB49" s="344"/>
      <c r="WBC49" s="344"/>
      <c r="WBD49" s="344"/>
      <c r="WBE49" s="344"/>
      <c r="WBF49" s="344"/>
      <c r="WBG49" s="344"/>
      <c r="WBH49" s="344"/>
      <c r="WBI49" s="344"/>
      <c r="WBJ49" s="344"/>
      <c r="WBK49" s="344"/>
      <c r="WBL49" s="344"/>
      <c r="WBM49" s="344"/>
      <c r="WBN49" s="344"/>
      <c r="WBO49" s="344"/>
      <c r="WBP49" s="344"/>
      <c r="WBQ49" s="344"/>
      <c r="WBR49" s="344"/>
      <c r="WBS49" s="344"/>
      <c r="WBT49" s="344"/>
      <c r="WBU49" s="344"/>
      <c r="WBV49" s="344"/>
      <c r="WBW49" s="344"/>
      <c r="WBX49" s="344"/>
      <c r="WBY49" s="344"/>
      <c r="WBZ49" s="344"/>
      <c r="WCA49" s="344"/>
      <c r="WCB49" s="344"/>
      <c r="WCC49" s="344"/>
      <c r="WCD49" s="344"/>
      <c r="WCE49" s="344"/>
      <c r="WCF49" s="344"/>
      <c r="WCG49" s="344"/>
      <c r="WCH49" s="344"/>
      <c r="WCI49" s="344"/>
      <c r="WCJ49" s="344"/>
      <c r="WCK49" s="344"/>
      <c r="WCL49" s="344"/>
      <c r="WCM49" s="344"/>
      <c r="WCN49" s="344"/>
      <c r="WCO49" s="344"/>
      <c r="WCP49" s="344"/>
      <c r="WCQ49" s="344"/>
      <c r="WCR49" s="344"/>
      <c r="WCS49" s="344"/>
      <c r="WCT49" s="344"/>
      <c r="WCU49" s="344"/>
      <c r="WCV49" s="344"/>
      <c r="WCW49" s="344"/>
      <c r="WCX49" s="344"/>
      <c r="WCY49" s="344"/>
      <c r="WCZ49" s="344"/>
      <c r="WDA49" s="344"/>
      <c r="WDB49" s="344"/>
      <c r="WDC49" s="344"/>
      <c r="WDD49" s="344"/>
      <c r="WDE49" s="344"/>
      <c r="WDF49" s="344"/>
      <c r="WDG49" s="344"/>
      <c r="WDH49" s="344"/>
      <c r="WDI49" s="344"/>
      <c r="WDJ49" s="344"/>
      <c r="WDK49" s="344"/>
      <c r="WDL49" s="344"/>
      <c r="WDM49" s="344"/>
      <c r="WDN49" s="344"/>
      <c r="WDO49" s="344"/>
      <c r="WDP49" s="344"/>
      <c r="WDQ49" s="344"/>
      <c r="WDR49" s="344"/>
      <c r="WDS49" s="344"/>
      <c r="WDT49" s="344"/>
      <c r="WDU49" s="344"/>
      <c r="WDV49" s="344"/>
      <c r="WDW49" s="344"/>
      <c r="WDX49" s="344"/>
      <c r="WDY49" s="344"/>
      <c r="WDZ49" s="344"/>
      <c r="WEA49" s="344"/>
      <c r="WEB49" s="344"/>
      <c r="WEC49" s="344"/>
      <c r="WED49" s="344"/>
      <c r="WEE49" s="344"/>
      <c r="WEF49" s="344"/>
      <c r="WEG49" s="344"/>
      <c r="WEH49" s="344"/>
      <c r="WEI49" s="344"/>
      <c r="WEJ49" s="344"/>
      <c r="WEK49" s="344"/>
      <c r="WEL49" s="344"/>
      <c r="WEM49" s="344"/>
      <c r="WEN49" s="344"/>
      <c r="WEO49" s="344"/>
      <c r="WEP49" s="344"/>
      <c r="WEQ49" s="344"/>
      <c r="WER49" s="344"/>
      <c r="WES49" s="344"/>
      <c r="WET49" s="344"/>
      <c r="WEU49" s="344"/>
      <c r="WEV49" s="344"/>
      <c r="WEW49" s="344"/>
      <c r="WEX49" s="344"/>
      <c r="WEY49" s="344"/>
      <c r="WEZ49" s="344"/>
      <c r="WFA49" s="344"/>
      <c r="WFB49" s="344"/>
      <c r="WFC49" s="344"/>
      <c r="WFD49" s="344"/>
      <c r="WFE49" s="344"/>
      <c r="WFF49" s="344"/>
      <c r="WFG49" s="344"/>
      <c r="WFH49" s="344"/>
      <c r="WFI49" s="344"/>
      <c r="WFJ49" s="344"/>
      <c r="WFK49" s="344"/>
      <c r="WFL49" s="344"/>
      <c r="WFM49" s="344"/>
      <c r="WFN49" s="344"/>
      <c r="WFO49" s="344"/>
      <c r="WFP49" s="344"/>
      <c r="WFQ49" s="344"/>
      <c r="WFR49" s="344"/>
      <c r="WFS49" s="344"/>
      <c r="WFT49" s="344"/>
      <c r="WFU49" s="344"/>
      <c r="WFV49" s="344"/>
      <c r="WFW49" s="344"/>
      <c r="WFX49" s="344"/>
      <c r="WFY49" s="344"/>
      <c r="WFZ49" s="344"/>
      <c r="WGA49" s="344"/>
      <c r="WGB49" s="344"/>
      <c r="WGC49" s="344"/>
      <c r="WGD49" s="344"/>
      <c r="WGE49" s="344"/>
      <c r="WGF49" s="344"/>
      <c r="WGG49" s="344"/>
      <c r="WGH49" s="344"/>
      <c r="WGI49" s="344"/>
      <c r="WGJ49" s="344"/>
      <c r="WGK49" s="344"/>
      <c r="WGL49" s="344"/>
      <c r="WGM49" s="344"/>
      <c r="WGN49" s="344"/>
      <c r="WGO49" s="344"/>
      <c r="WGP49" s="344"/>
      <c r="WGQ49" s="344"/>
      <c r="WGR49" s="344"/>
      <c r="WGS49" s="344"/>
      <c r="WGT49" s="344"/>
      <c r="WGU49" s="344"/>
      <c r="WGV49" s="344"/>
      <c r="WGW49" s="344"/>
      <c r="WGX49" s="344"/>
      <c r="WGY49" s="344"/>
      <c r="WGZ49" s="344"/>
      <c r="WHA49" s="344"/>
      <c r="WHB49" s="344"/>
      <c r="WHC49" s="344"/>
      <c r="WHD49" s="344"/>
      <c r="WHE49" s="344"/>
      <c r="WHF49" s="344"/>
      <c r="WHG49" s="344"/>
      <c r="WHH49" s="344"/>
      <c r="WHI49" s="344"/>
      <c r="WHJ49" s="344"/>
      <c r="WHK49" s="344"/>
      <c r="WHL49" s="344"/>
      <c r="WHM49" s="344"/>
      <c r="WHN49" s="344"/>
      <c r="WHO49" s="344"/>
      <c r="WHP49" s="344"/>
      <c r="WHQ49" s="344"/>
      <c r="WHR49" s="344"/>
      <c r="WHS49" s="344"/>
      <c r="WHT49" s="344"/>
      <c r="WHU49" s="344"/>
      <c r="WHV49" s="344"/>
      <c r="WHW49" s="344"/>
      <c r="WHX49" s="344"/>
      <c r="WHY49" s="344"/>
      <c r="WHZ49" s="344"/>
      <c r="WIA49" s="344"/>
      <c r="WIB49" s="344"/>
      <c r="WIC49" s="344"/>
      <c r="WID49" s="344"/>
      <c r="WIE49" s="344"/>
      <c r="WIF49" s="344"/>
      <c r="WIG49" s="344"/>
      <c r="WIH49" s="344"/>
      <c r="WII49" s="344"/>
      <c r="WIJ49" s="344"/>
      <c r="WIK49" s="344"/>
      <c r="WIL49" s="344"/>
      <c r="WIM49" s="344"/>
      <c r="WIN49" s="344"/>
      <c r="WIO49" s="344"/>
      <c r="WIP49" s="344"/>
      <c r="WIQ49" s="344"/>
      <c r="WIR49" s="344"/>
      <c r="WIS49" s="344"/>
      <c r="WIT49" s="344"/>
      <c r="WIU49" s="344"/>
      <c r="WIV49" s="344"/>
      <c r="WIW49" s="344"/>
      <c r="WIX49" s="344"/>
      <c r="WIY49" s="344"/>
      <c r="WIZ49" s="344"/>
      <c r="WJA49" s="344"/>
      <c r="WJB49" s="344"/>
      <c r="WJC49" s="344"/>
      <c r="WJD49" s="344"/>
      <c r="WJE49" s="344"/>
      <c r="WJF49" s="344"/>
      <c r="WJG49" s="344"/>
      <c r="WJH49" s="344"/>
      <c r="WJI49" s="344"/>
      <c r="WJJ49" s="344"/>
      <c r="WJK49" s="344"/>
      <c r="WJL49" s="344"/>
      <c r="WJM49" s="344"/>
      <c r="WJN49" s="344"/>
      <c r="WJO49" s="344"/>
      <c r="WJP49" s="344"/>
      <c r="WJQ49" s="344"/>
      <c r="WJR49" s="344"/>
      <c r="WJS49" s="344"/>
      <c r="WJT49" s="344"/>
      <c r="WJU49" s="344"/>
      <c r="WJV49" s="344"/>
      <c r="WJW49" s="344"/>
      <c r="WJX49" s="344"/>
      <c r="WJY49" s="344"/>
      <c r="WJZ49" s="344"/>
      <c r="WKA49" s="344"/>
      <c r="WKB49" s="344"/>
      <c r="WKC49" s="344"/>
      <c r="WKD49" s="344"/>
      <c r="WKE49" s="344"/>
      <c r="WKF49" s="344"/>
      <c r="WKG49" s="344"/>
      <c r="WKH49" s="344"/>
      <c r="WKI49" s="344"/>
      <c r="WKJ49" s="344"/>
      <c r="WKK49" s="344"/>
      <c r="WKL49" s="344"/>
      <c r="WKM49" s="344"/>
      <c r="WKN49" s="344"/>
      <c r="WKO49" s="344"/>
      <c r="WKP49" s="344"/>
      <c r="WKQ49" s="344"/>
      <c r="WKR49" s="344"/>
      <c r="WKS49" s="344"/>
      <c r="WKT49" s="344"/>
      <c r="WKU49" s="344"/>
      <c r="WKV49" s="344"/>
      <c r="WKW49" s="344"/>
      <c r="WKX49" s="344"/>
      <c r="WKY49" s="344"/>
      <c r="WKZ49" s="344"/>
      <c r="WLA49" s="344"/>
      <c r="WLB49" s="344"/>
      <c r="WLC49" s="344"/>
      <c r="WLD49" s="344"/>
      <c r="WLE49" s="344"/>
      <c r="WLF49" s="344"/>
      <c r="WLG49" s="344"/>
      <c r="WLH49" s="344"/>
      <c r="WLI49" s="344"/>
      <c r="WLJ49" s="344"/>
      <c r="WLK49" s="344"/>
      <c r="WLL49" s="344"/>
      <c r="WLM49" s="344"/>
      <c r="WLN49" s="344"/>
      <c r="WLO49" s="344"/>
      <c r="WLP49" s="344"/>
      <c r="WLQ49" s="344"/>
      <c r="WLR49" s="344"/>
      <c r="WLS49" s="344"/>
      <c r="WLT49" s="344"/>
      <c r="WLU49" s="344"/>
      <c r="WLV49" s="344"/>
      <c r="WLW49" s="344"/>
      <c r="WLX49" s="344"/>
      <c r="WLY49" s="344"/>
      <c r="WLZ49" s="344"/>
      <c r="WMA49" s="344"/>
      <c r="WMB49" s="344"/>
      <c r="WMC49" s="344"/>
      <c r="WMD49" s="344"/>
      <c r="WME49" s="344"/>
      <c r="WMF49" s="344"/>
      <c r="WMG49" s="344"/>
      <c r="WMH49" s="344"/>
      <c r="WMI49" s="344"/>
      <c r="WMJ49" s="344"/>
      <c r="WMK49" s="344"/>
      <c r="WML49" s="344"/>
      <c r="WMM49" s="344"/>
      <c r="WMN49" s="344"/>
      <c r="WMO49" s="344"/>
      <c r="WMP49" s="344"/>
      <c r="WMQ49" s="344"/>
      <c r="WMR49" s="344"/>
      <c r="WMS49" s="344"/>
      <c r="WMT49" s="344"/>
      <c r="WMU49" s="344"/>
      <c r="WMV49" s="344"/>
      <c r="WMW49" s="344"/>
      <c r="WMX49" s="344"/>
      <c r="WMY49" s="344"/>
      <c r="WMZ49" s="344"/>
      <c r="WNA49" s="344"/>
      <c r="WNB49" s="344"/>
      <c r="WNC49" s="344"/>
      <c r="WND49" s="344"/>
      <c r="WNE49" s="344"/>
      <c r="WNF49" s="344"/>
      <c r="WNG49" s="344"/>
      <c r="WNH49" s="344"/>
      <c r="WNI49" s="344"/>
      <c r="WNJ49" s="344"/>
      <c r="WNK49" s="344"/>
      <c r="WNL49" s="344"/>
      <c r="WNM49" s="344"/>
      <c r="WNN49" s="344"/>
      <c r="WNO49" s="344"/>
      <c r="WNP49" s="344"/>
      <c r="WNQ49" s="344"/>
      <c r="WNR49" s="344"/>
      <c r="WNS49" s="344"/>
      <c r="WNT49" s="344"/>
      <c r="WNU49" s="344"/>
      <c r="WNV49" s="344"/>
      <c r="WNW49" s="344"/>
      <c r="WNX49" s="344"/>
      <c r="WNY49" s="344"/>
      <c r="WNZ49" s="344"/>
      <c r="WOA49" s="344"/>
      <c r="WOB49" s="344"/>
      <c r="WOC49" s="344"/>
      <c r="WOD49" s="344"/>
      <c r="WOE49" s="344"/>
      <c r="WOF49" s="344"/>
      <c r="WOG49" s="344"/>
      <c r="WOH49" s="344"/>
      <c r="WOI49" s="344"/>
      <c r="WOJ49" s="344"/>
      <c r="WOK49" s="344"/>
      <c r="WOL49" s="344"/>
      <c r="WOM49" s="344"/>
      <c r="WON49" s="344"/>
      <c r="WOO49" s="344"/>
      <c r="WOP49" s="344"/>
      <c r="WOQ49" s="344"/>
      <c r="WOR49" s="344"/>
      <c r="WOS49" s="344"/>
      <c r="WOT49" s="344"/>
      <c r="WOU49" s="344"/>
      <c r="WOV49" s="344"/>
      <c r="WOW49" s="344"/>
      <c r="WOX49" s="344"/>
      <c r="WOY49" s="344"/>
      <c r="WOZ49" s="344"/>
      <c r="WPA49" s="344"/>
      <c r="WPB49" s="344"/>
      <c r="WPC49" s="344"/>
      <c r="WPD49" s="344"/>
      <c r="WPE49" s="344"/>
      <c r="WPF49" s="344"/>
      <c r="WPG49" s="344"/>
      <c r="WPH49" s="344"/>
      <c r="WPI49" s="344"/>
      <c r="WPJ49" s="344"/>
      <c r="WPK49" s="344"/>
      <c r="WPL49" s="344"/>
      <c r="WPM49" s="344"/>
      <c r="WPN49" s="344"/>
      <c r="WPO49" s="344"/>
      <c r="WPP49" s="344"/>
      <c r="WPQ49" s="344"/>
      <c r="WPR49" s="344"/>
      <c r="WPS49" s="344"/>
      <c r="WPT49" s="344"/>
      <c r="WPU49" s="344"/>
      <c r="WPV49" s="344"/>
      <c r="WPW49" s="344"/>
      <c r="WPX49" s="344"/>
      <c r="WPY49" s="344"/>
      <c r="WPZ49" s="344"/>
      <c r="WQA49" s="344"/>
      <c r="WQB49" s="344"/>
      <c r="WQC49" s="344"/>
      <c r="WQD49" s="344"/>
      <c r="WQE49" s="344"/>
      <c r="WQF49" s="344"/>
      <c r="WQG49" s="344"/>
      <c r="WQH49" s="344"/>
      <c r="WQI49" s="344"/>
      <c r="WQJ49" s="344"/>
      <c r="WQK49" s="344"/>
      <c r="WQL49" s="344"/>
      <c r="WQM49" s="344"/>
      <c r="WQN49" s="344"/>
      <c r="WQO49" s="344"/>
      <c r="WQP49" s="344"/>
      <c r="WQQ49" s="344"/>
      <c r="WQR49" s="344"/>
      <c r="WQS49" s="344"/>
      <c r="WQT49" s="344"/>
      <c r="WQU49" s="344"/>
      <c r="WQV49" s="344"/>
      <c r="WQW49" s="344"/>
      <c r="WQX49" s="344"/>
      <c r="WQY49" s="344"/>
      <c r="WQZ49" s="344"/>
      <c r="WRA49" s="344"/>
      <c r="WRB49" s="344"/>
      <c r="WRC49" s="344"/>
      <c r="WRD49" s="344"/>
      <c r="WRE49" s="344"/>
      <c r="WRF49" s="344"/>
      <c r="WRG49" s="344"/>
      <c r="WRH49" s="344"/>
      <c r="WRI49" s="344"/>
      <c r="WRJ49" s="344"/>
      <c r="WRK49" s="344"/>
      <c r="WRL49" s="344"/>
      <c r="WRM49" s="344"/>
      <c r="WRN49" s="344"/>
      <c r="WRO49" s="344"/>
      <c r="WRP49" s="344"/>
      <c r="WRQ49" s="344"/>
      <c r="WRR49" s="344"/>
      <c r="WRS49" s="344"/>
      <c r="WRT49" s="344"/>
      <c r="WRU49" s="344"/>
      <c r="WRV49" s="344"/>
      <c r="WRW49" s="344"/>
      <c r="WRX49" s="344"/>
      <c r="WRY49" s="344"/>
      <c r="WRZ49" s="344"/>
      <c r="WSA49" s="344"/>
      <c r="WSB49" s="344"/>
      <c r="WSC49" s="344"/>
      <c r="WSD49" s="344"/>
      <c r="WSE49" s="344"/>
      <c r="WSF49" s="344"/>
      <c r="WSG49" s="344"/>
      <c r="WSH49" s="344"/>
      <c r="WSI49" s="344"/>
      <c r="WSJ49" s="344"/>
      <c r="WSK49" s="344"/>
      <c r="WSL49" s="344"/>
      <c r="WSM49" s="344"/>
      <c r="WSN49" s="344"/>
      <c r="WSO49" s="344"/>
      <c r="WSP49" s="344"/>
      <c r="WSQ49" s="344"/>
      <c r="WSR49" s="344"/>
      <c r="WSS49" s="344"/>
      <c r="WST49" s="344"/>
      <c r="WSU49" s="344"/>
      <c r="WSV49" s="344"/>
      <c r="WSW49" s="344"/>
      <c r="WSX49" s="344"/>
      <c r="WSY49" s="344"/>
      <c r="WSZ49" s="344"/>
      <c r="WTA49" s="344"/>
      <c r="WTB49" s="344"/>
      <c r="WTC49" s="344"/>
      <c r="WTD49" s="344"/>
      <c r="WTE49" s="344"/>
      <c r="WTF49" s="344"/>
      <c r="WTG49" s="344"/>
      <c r="WTH49" s="344"/>
      <c r="WTI49" s="344"/>
      <c r="WTJ49" s="344"/>
      <c r="WTK49" s="344"/>
      <c r="WTL49" s="344"/>
      <c r="WTM49" s="344"/>
      <c r="WTN49" s="344"/>
      <c r="WTO49" s="344"/>
      <c r="WTP49" s="344"/>
      <c r="WTQ49" s="344"/>
      <c r="WTR49" s="344"/>
      <c r="WTS49" s="344"/>
      <c r="WTT49" s="344"/>
      <c r="WTU49" s="344"/>
      <c r="WTV49" s="344"/>
      <c r="WTW49" s="344"/>
      <c r="WTX49" s="344"/>
      <c r="WTY49" s="344"/>
      <c r="WTZ49" s="344"/>
      <c r="WUA49" s="344"/>
      <c r="WUB49" s="344"/>
      <c r="WUC49" s="344"/>
      <c r="WUD49" s="344"/>
      <c r="WUE49" s="344"/>
      <c r="WUF49" s="344"/>
      <c r="WUG49" s="344"/>
      <c r="WUH49" s="344"/>
      <c r="WUI49" s="344"/>
      <c r="WUJ49" s="344"/>
      <c r="WUK49" s="344"/>
      <c r="WUL49" s="344"/>
      <c r="WUM49" s="344"/>
      <c r="WUN49" s="344"/>
      <c r="WUO49" s="344"/>
      <c r="WUP49" s="344"/>
      <c r="WUQ49" s="344"/>
      <c r="WUR49" s="344"/>
      <c r="WUS49" s="344"/>
      <c r="WUT49" s="344"/>
      <c r="WUU49" s="344"/>
      <c r="WUV49" s="344"/>
      <c r="WUW49" s="344"/>
      <c r="WUX49" s="344"/>
      <c r="WUY49" s="344"/>
      <c r="WUZ49" s="344"/>
      <c r="WVA49" s="344"/>
      <c r="WVB49" s="344"/>
      <c r="WVC49" s="344"/>
      <c r="WVD49" s="344"/>
      <c r="WVE49" s="344"/>
      <c r="WVF49" s="344"/>
      <c r="WVG49" s="344"/>
      <c r="WVH49" s="344"/>
      <c r="WVI49" s="344"/>
      <c r="WVJ49" s="344"/>
      <c r="WVK49" s="344"/>
      <c r="WVL49" s="344"/>
      <c r="WVM49" s="344"/>
      <c r="WVN49" s="344"/>
      <c r="WVO49" s="344"/>
      <c r="WVP49" s="344"/>
      <c r="WVQ49" s="344"/>
      <c r="WVR49" s="344"/>
      <c r="WVS49" s="344"/>
      <c r="WVT49" s="344"/>
      <c r="WVU49" s="344"/>
      <c r="WVV49" s="344"/>
      <c r="WVW49" s="344"/>
      <c r="WVX49" s="344"/>
      <c r="WVY49" s="344"/>
      <c r="WVZ49" s="344"/>
      <c r="WWA49" s="344"/>
      <c r="WWB49" s="344"/>
      <c r="WWC49" s="344"/>
      <c r="WWD49" s="344"/>
      <c r="WWE49" s="344"/>
      <c r="WWF49" s="344"/>
      <c r="WWG49" s="344"/>
      <c r="WWH49" s="344"/>
      <c r="WWI49" s="344"/>
      <c r="WWJ49" s="344"/>
      <c r="WWK49" s="344"/>
      <c r="WWL49" s="344"/>
      <c r="WWM49" s="344"/>
      <c r="WWN49" s="344"/>
      <c r="WWO49" s="344"/>
      <c r="WWP49" s="344"/>
      <c r="WWQ49" s="344"/>
      <c r="WWR49" s="344"/>
      <c r="WWS49" s="344"/>
      <c r="WWT49" s="344"/>
      <c r="WWU49" s="344"/>
      <c r="WWV49" s="344"/>
      <c r="WWW49" s="344"/>
      <c r="WWX49" s="344"/>
      <c r="WWY49" s="344"/>
      <c r="WWZ49" s="344"/>
      <c r="WXA49" s="344"/>
      <c r="WXB49" s="344"/>
      <c r="WXC49" s="344"/>
      <c r="WXD49" s="344"/>
      <c r="WXE49" s="344"/>
      <c r="WXF49" s="344"/>
      <c r="WXG49" s="344"/>
      <c r="WXH49" s="344"/>
      <c r="WXI49" s="344"/>
      <c r="WXJ49" s="344"/>
      <c r="WXK49" s="344"/>
      <c r="WXL49" s="344"/>
      <c r="WXM49" s="344"/>
      <c r="WXN49" s="344"/>
      <c r="WXO49" s="344"/>
      <c r="WXP49" s="344"/>
      <c r="WXQ49" s="344"/>
      <c r="WXR49" s="344"/>
      <c r="WXS49" s="344"/>
      <c r="WXT49" s="344"/>
      <c r="WXU49" s="344"/>
      <c r="WXV49" s="344"/>
      <c r="WXW49" s="344"/>
      <c r="WXX49" s="344"/>
      <c r="WXY49" s="344"/>
      <c r="WXZ49" s="344"/>
      <c r="WYA49" s="344"/>
      <c r="WYB49" s="344"/>
      <c r="WYC49" s="344"/>
      <c r="WYD49" s="344"/>
      <c r="WYE49" s="344"/>
      <c r="WYF49" s="344"/>
      <c r="WYG49" s="344"/>
      <c r="WYH49" s="344"/>
      <c r="WYI49" s="344"/>
      <c r="WYJ49" s="344"/>
      <c r="WYK49" s="344"/>
      <c r="WYL49" s="344"/>
      <c r="WYM49" s="344"/>
      <c r="WYN49" s="344"/>
      <c r="WYO49" s="344"/>
      <c r="WYP49" s="344"/>
      <c r="WYQ49" s="344"/>
      <c r="WYR49" s="344"/>
      <c r="WYS49" s="344"/>
      <c r="WYT49" s="344"/>
      <c r="WYU49" s="344"/>
      <c r="WYV49" s="344"/>
      <c r="WYW49" s="344"/>
      <c r="WYX49" s="344"/>
      <c r="WYY49" s="344"/>
      <c r="WYZ49" s="344"/>
      <c r="WZA49" s="344"/>
      <c r="WZB49" s="344"/>
      <c r="WZC49" s="344"/>
      <c r="WZD49" s="344"/>
      <c r="WZE49" s="344"/>
      <c r="WZF49" s="344"/>
      <c r="WZG49" s="344"/>
      <c r="WZH49" s="344"/>
      <c r="WZI49" s="344"/>
      <c r="WZJ49" s="344"/>
      <c r="WZK49" s="344"/>
      <c r="WZL49" s="344"/>
      <c r="WZM49" s="344"/>
      <c r="WZN49" s="344"/>
      <c r="WZO49" s="344"/>
      <c r="WZP49" s="344"/>
      <c r="WZQ49" s="344"/>
      <c r="WZR49" s="344"/>
      <c r="WZS49" s="344"/>
      <c r="WZT49" s="344"/>
      <c r="WZU49" s="344"/>
      <c r="WZV49" s="344"/>
      <c r="WZW49" s="344"/>
      <c r="WZX49" s="344"/>
      <c r="WZY49" s="344"/>
      <c r="WZZ49" s="344"/>
      <c r="XAA49" s="344"/>
      <c r="XAB49" s="344"/>
      <c r="XAC49" s="344"/>
      <c r="XAD49" s="344"/>
      <c r="XAE49" s="344"/>
      <c r="XAF49" s="344"/>
      <c r="XAG49" s="344"/>
      <c r="XAH49" s="344"/>
      <c r="XAI49" s="344"/>
      <c r="XAJ49" s="344"/>
      <c r="XAK49" s="344"/>
      <c r="XAL49" s="344"/>
      <c r="XAM49" s="344"/>
      <c r="XAN49" s="344"/>
      <c r="XAO49" s="344"/>
      <c r="XAP49" s="344"/>
      <c r="XAQ49" s="344"/>
      <c r="XAR49" s="344"/>
      <c r="XAS49" s="344"/>
      <c r="XAT49" s="344"/>
      <c r="XAU49" s="344"/>
      <c r="XAV49" s="344"/>
      <c r="XAW49" s="344"/>
      <c r="XAX49" s="344"/>
      <c r="XAY49" s="344"/>
      <c r="XAZ49" s="344"/>
      <c r="XBA49" s="344"/>
      <c r="XBB49" s="344"/>
      <c r="XBC49" s="344"/>
      <c r="XBD49" s="344"/>
      <c r="XBE49" s="344"/>
      <c r="XBF49" s="344"/>
      <c r="XBG49" s="344"/>
      <c r="XBH49" s="344"/>
      <c r="XBI49" s="344"/>
      <c r="XBJ49" s="344"/>
      <c r="XBK49" s="344"/>
      <c r="XBL49" s="344"/>
      <c r="XBM49" s="344"/>
      <c r="XBN49" s="344"/>
      <c r="XBO49" s="344"/>
      <c r="XBP49" s="344"/>
      <c r="XBQ49" s="344"/>
      <c r="XBR49" s="344"/>
      <c r="XBS49" s="344"/>
      <c r="XBT49" s="344"/>
      <c r="XBU49" s="344"/>
      <c r="XBV49" s="344"/>
      <c r="XBW49" s="344"/>
      <c r="XBX49" s="344"/>
      <c r="XBY49" s="344"/>
      <c r="XBZ49" s="344"/>
      <c r="XCA49" s="344"/>
      <c r="XCB49" s="344"/>
      <c r="XCC49" s="344"/>
      <c r="XCD49" s="344"/>
      <c r="XCE49" s="344"/>
      <c r="XCF49" s="344"/>
      <c r="XCG49" s="344"/>
      <c r="XCH49" s="344"/>
      <c r="XCI49" s="344"/>
      <c r="XCJ49" s="344"/>
      <c r="XCK49" s="344"/>
      <c r="XCL49" s="344"/>
      <c r="XCM49" s="344"/>
      <c r="XCN49" s="344"/>
      <c r="XCO49" s="344"/>
      <c r="XCP49" s="344"/>
      <c r="XCQ49" s="344"/>
      <c r="XCR49" s="344"/>
      <c r="XCS49" s="344"/>
      <c r="XCT49" s="344"/>
      <c r="XCU49" s="344"/>
      <c r="XCV49" s="344"/>
      <c r="XCW49" s="344"/>
      <c r="XCX49" s="344"/>
      <c r="XCY49" s="344"/>
      <c r="XCZ49" s="344"/>
      <c r="XDA49" s="344"/>
      <c r="XDB49" s="344"/>
      <c r="XDC49" s="344"/>
      <c r="XDD49" s="344"/>
      <c r="XDE49" s="344"/>
      <c r="XDF49" s="344"/>
      <c r="XDG49" s="344"/>
      <c r="XDH49" s="344"/>
      <c r="XDI49" s="344"/>
      <c r="XDJ49" s="344"/>
      <c r="XDK49" s="344"/>
      <c r="XDL49" s="344"/>
      <c r="XDM49" s="344"/>
      <c r="XDN49" s="344"/>
      <c r="XDO49" s="344"/>
      <c r="XDP49" s="344"/>
      <c r="XDQ49" s="344"/>
      <c r="XDR49" s="344"/>
      <c r="XDS49" s="344"/>
      <c r="XDT49" s="344"/>
      <c r="XDU49" s="344"/>
      <c r="XDV49" s="344"/>
      <c r="XDW49" s="344"/>
      <c r="XDX49" s="344"/>
      <c r="XDY49" s="344"/>
      <c r="XDZ49" s="344"/>
      <c r="XEA49" s="344"/>
      <c r="XEB49" s="344"/>
      <c r="XEC49" s="344"/>
      <c r="XED49" s="344"/>
      <c r="XEE49" s="344"/>
      <c r="XEF49" s="344"/>
      <c r="XEG49" s="344"/>
      <c r="XEH49" s="344"/>
      <c r="XEI49" s="344"/>
      <c r="XEJ49" s="344"/>
      <c r="XEK49" s="344"/>
      <c r="XEL49" s="344"/>
      <c r="XEM49" s="344"/>
      <c r="XEN49" s="344"/>
      <c r="XEO49" s="344"/>
      <c r="XEP49" s="344"/>
      <c r="XEQ49" s="344"/>
      <c r="XER49" s="344"/>
      <c r="XES49" s="344"/>
      <c r="XET49" s="344"/>
      <c r="XEU49" s="344"/>
      <c r="XEV49" s="344"/>
      <c r="XEW49" s="344"/>
      <c r="XEX49" s="344"/>
      <c r="XEY49" s="344"/>
      <c r="XEZ49" s="344"/>
      <c r="XFA49" s="344"/>
    </row>
    <row r="50" s="338" customFormat="1" ht="29.25" customHeight="1" spans="1:1024 1025:16381">
      <c r="A50" s="344"/>
      <c r="B50" s="382">
        <v>40</v>
      </c>
      <c r="C50" s="380" t="e">
        <f>_xlfn.XLOOKUP(D50,商品汇总表!$B:$B,商品汇总表!$A:$A,"")</f>
        <v>#N/A</v>
      </c>
      <c r="D50" s="362" t="e" cm="1">
        <f t="array" ref="D50">LOOKUP(1,0/(('5.21出货明细'!AR:AR=$D$52)*('5.21出货明细'!A:A=B50)),'5.21出货明细'!E:E)</f>
        <v>#N/A</v>
      </c>
      <c r="E50" s="358" t="e">
        <f>_xlfn.XLOOKUP(D50,商品汇总表!$B:$B,商品汇总表!$D:$D,"")</f>
        <v>#N/A</v>
      </c>
      <c r="F50" s="363" t="e" cm="1">
        <f t="array" ref="F50">_xlfn.LET(_xlpm.数组,B50&amp;D50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50" s="373"/>
      <c r="H50" s="364"/>
      <c r="I50" s="365"/>
      <c r="J50" s="366"/>
      <c r="K50" s="367"/>
      <c r="L50" s="368"/>
      <c r="M50" s="369" t="s">
        <v>2953</v>
      </c>
      <c r="N50" s="370"/>
      <c r="O50" s="370"/>
      <c r="P50" s="383"/>
      <c r="Q50" s="372"/>
      <c r="R50" s="372"/>
      <c r="S50" s="372"/>
      <c r="T50" s="372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  <c r="AJ50" s="344"/>
      <c r="AK50" s="344"/>
      <c r="AL50" s="344"/>
      <c r="AM50" s="344"/>
      <c r="AN50" s="344"/>
      <c r="AO50" s="344"/>
      <c r="AP50" s="344"/>
      <c r="AQ50" s="344"/>
      <c r="AR50" s="344"/>
      <c r="AS50" s="344"/>
      <c r="AT50" s="344"/>
      <c r="AU50" s="344"/>
      <c r="AV50" s="344"/>
      <c r="AW50" s="344"/>
      <c r="AX50" s="344"/>
      <c r="AY50" s="344"/>
      <c r="AZ50" s="344"/>
      <c r="BA50" s="344"/>
      <c r="BB50" s="344"/>
      <c r="BC50" s="344"/>
      <c r="BD50" s="344"/>
      <c r="BE50" s="344"/>
      <c r="BF50" s="344"/>
      <c r="BG50" s="344"/>
      <c r="BH50" s="344"/>
      <c r="BI50" s="344"/>
      <c r="BJ50" s="344"/>
      <c r="BK50" s="344"/>
      <c r="BL50" s="344"/>
      <c r="BM50" s="344"/>
      <c r="BN50" s="344"/>
      <c r="BO50" s="344"/>
      <c r="BP50" s="344"/>
      <c r="BQ50" s="344"/>
      <c r="BR50" s="344"/>
      <c r="BS50" s="344"/>
      <c r="BT50" s="344"/>
      <c r="BU50" s="344"/>
      <c r="BV50" s="344"/>
      <c r="BW50" s="344"/>
      <c r="BX50" s="344"/>
      <c r="BY50" s="344"/>
      <c r="BZ50" s="344"/>
      <c r="CA50" s="344"/>
      <c r="CB50" s="344"/>
      <c r="CC50" s="344"/>
      <c r="CD50" s="344"/>
      <c r="CE50" s="344"/>
      <c r="CF50" s="344"/>
      <c r="CG50" s="344"/>
      <c r="CH50" s="344"/>
      <c r="CI50" s="344"/>
      <c r="CJ50" s="344"/>
      <c r="CK50" s="344"/>
      <c r="CL50" s="344"/>
      <c r="CM50" s="344"/>
      <c r="CN50" s="344"/>
      <c r="CO50" s="344"/>
      <c r="CP50" s="344"/>
      <c r="CQ50" s="344"/>
      <c r="CR50" s="344"/>
      <c r="CS50" s="344"/>
      <c r="CT50" s="344"/>
      <c r="CU50" s="344"/>
      <c r="CV50" s="344"/>
      <c r="CW50" s="344"/>
      <c r="CX50" s="344"/>
      <c r="CY50" s="344"/>
      <c r="CZ50" s="344"/>
      <c r="DA50" s="344"/>
      <c r="DB50" s="344"/>
      <c r="DC50" s="344"/>
      <c r="DD50" s="344"/>
      <c r="DE50" s="344"/>
      <c r="DF50" s="344"/>
      <c r="DG50" s="344"/>
      <c r="DH50" s="344"/>
      <c r="DI50" s="344"/>
      <c r="DJ50" s="344"/>
      <c r="DK50" s="344"/>
      <c r="DL50" s="344"/>
      <c r="DM50" s="344"/>
      <c r="DN50" s="344"/>
      <c r="DO50" s="344"/>
      <c r="DP50" s="344"/>
      <c r="DQ50" s="344"/>
      <c r="DR50" s="344"/>
      <c r="DS50" s="344"/>
      <c r="DT50" s="344"/>
      <c r="DU50" s="344"/>
      <c r="DV50" s="344"/>
      <c r="DW50" s="344"/>
      <c r="DX50" s="344"/>
      <c r="DY50" s="344"/>
      <c r="DZ50" s="344"/>
      <c r="EA50" s="344"/>
      <c r="EB50" s="344"/>
      <c r="EC50" s="344"/>
      <c r="ED50" s="344"/>
      <c r="EE50" s="344"/>
      <c r="EF50" s="344"/>
      <c r="EG50" s="344"/>
      <c r="EH50" s="344"/>
      <c r="EI50" s="344"/>
      <c r="EJ50" s="344"/>
      <c r="EK50" s="344"/>
      <c r="EL50" s="344"/>
      <c r="EM50" s="344"/>
      <c r="EN50" s="344"/>
      <c r="EO50" s="344"/>
      <c r="EP50" s="344"/>
      <c r="EQ50" s="344"/>
      <c r="ER50" s="344"/>
      <c r="ES50" s="344"/>
      <c r="ET50" s="344"/>
      <c r="EU50" s="344"/>
      <c r="EV50" s="344"/>
      <c r="EW50" s="344"/>
      <c r="EX50" s="344"/>
      <c r="EY50" s="344"/>
      <c r="EZ50" s="344"/>
      <c r="FA50" s="344"/>
      <c r="FB50" s="344"/>
      <c r="FC50" s="344"/>
      <c r="FD50" s="344"/>
      <c r="FE50" s="344"/>
      <c r="FF50" s="344"/>
      <c r="FG50" s="344"/>
      <c r="FH50" s="344"/>
      <c r="FI50" s="344"/>
      <c r="FJ50" s="344"/>
      <c r="FK50" s="344"/>
      <c r="FL50" s="344"/>
      <c r="FM50" s="344"/>
      <c r="FN50" s="344"/>
      <c r="FO50" s="344"/>
      <c r="FP50" s="344"/>
      <c r="FQ50" s="344"/>
      <c r="FR50" s="344"/>
      <c r="FS50" s="344"/>
      <c r="FT50" s="344"/>
      <c r="FU50" s="344"/>
      <c r="FV50" s="344"/>
      <c r="FW50" s="344"/>
      <c r="FX50" s="344"/>
      <c r="FY50" s="344"/>
      <c r="FZ50" s="344"/>
      <c r="GA50" s="344"/>
      <c r="GB50" s="344"/>
      <c r="GC50" s="344"/>
      <c r="GD50" s="344"/>
      <c r="GE50" s="344"/>
      <c r="GF50" s="344"/>
      <c r="GG50" s="344"/>
      <c r="GH50" s="344"/>
      <c r="GI50" s="344"/>
      <c r="GJ50" s="344"/>
      <c r="GK50" s="344"/>
      <c r="GL50" s="344"/>
      <c r="GM50" s="344"/>
      <c r="GN50" s="344"/>
      <c r="GO50" s="344"/>
      <c r="GP50" s="344"/>
      <c r="GQ50" s="344"/>
      <c r="GR50" s="344"/>
      <c r="GS50" s="344"/>
      <c r="GT50" s="344"/>
      <c r="GU50" s="344"/>
      <c r="GV50" s="344"/>
      <c r="GW50" s="344"/>
      <c r="GX50" s="344"/>
      <c r="GY50" s="344"/>
      <c r="GZ50" s="344"/>
      <c r="HA50" s="344"/>
      <c r="HB50" s="344"/>
      <c r="HC50" s="344"/>
      <c r="HD50" s="344"/>
      <c r="HE50" s="344"/>
      <c r="HF50" s="344"/>
      <c r="HG50" s="344"/>
      <c r="HH50" s="344"/>
      <c r="HI50" s="344"/>
      <c r="HJ50" s="344"/>
      <c r="HK50" s="344"/>
      <c r="HL50" s="344"/>
      <c r="HM50" s="344"/>
      <c r="HN50" s="344"/>
      <c r="HO50" s="344"/>
      <c r="HP50" s="344"/>
      <c r="HQ50" s="344"/>
      <c r="HR50" s="344"/>
      <c r="HS50" s="344"/>
      <c r="HT50" s="344"/>
      <c r="HU50" s="344"/>
      <c r="HV50" s="344"/>
      <c r="HW50" s="344"/>
      <c r="HX50" s="344"/>
      <c r="HY50" s="344"/>
      <c r="HZ50" s="344"/>
      <c r="IA50" s="344"/>
      <c r="IB50" s="344"/>
      <c r="IC50" s="344"/>
      <c r="ID50" s="344"/>
      <c r="IE50" s="344"/>
      <c r="IF50" s="344"/>
      <c r="IG50" s="344"/>
      <c r="IH50" s="344"/>
      <c r="II50" s="344"/>
      <c r="IJ50" s="344"/>
      <c r="IK50" s="344"/>
      <c r="IL50" s="344"/>
      <c r="IM50" s="344"/>
      <c r="IN50" s="344"/>
      <c r="IO50" s="344"/>
      <c r="IP50" s="344"/>
      <c r="IQ50" s="344"/>
      <c r="IR50" s="344"/>
      <c r="IS50" s="344"/>
      <c r="IT50" s="344"/>
      <c r="IU50" s="344"/>
      <c r="IV50" s="344"/>
      <c r="IW50" s="344"/>
      <c r="IX50" s="344"/>
      <c r="IY50" s="344"/>
      <c r="IZ50" s="344"/>
      <c r="JA50" s="344"/>
      <c r="JB50" s="344"/>
      <c r="JC50" s="344"/>
      <c r="JD50" s="344"/>
      <c r="JE50" s="344"/>
      <c r="JF50" s="344"/>
      <c r="JG50" s="344"/>
      <c r="JH50" s="344"/>
      <c r="JI50" s="344"/>
      <c r="JJ50" s="344"/>
      <c r="JK50" s="344"/>
      <c r="JL50" s="344"/>
      <c r="JM50" s="344"/>
      <c r="JN50" s="344"/>
      <c r="JO50" s="344"/>
      <c r="JP50" s="344"/>
      <c r="JQ50" s="344"/>
      <c r="JR50" s="344"/>
      <c r="JS50" s="344"/>
      <c r="JT50" s="344"/>
      <c r="JU50" s="344"/>
      <c r="JV50" s="344"/>
      <c r="JW50" s="344"/>
      <c r="JX50" s="344"/>
      <c r="JY50" s="344"/>
      <c r="JZ50" s="344"/>
      <c r="KA50" s="344"/>
      <c r="KB50" s="344"/>
      <c r="KC50" s="344"/>
      <c r="KD50" s="344"/>
      <c r="KE50" s="344"/>
      <c r="KF50" s="344"/>
      <c r="KG50" s="344"/>
      <c r="KH50" s="344"/>
      <c r="KI50" s="344"/>
      <c r="KJ50" s="344"/>
      <c r="KK50" s="344"/>
      <c r="KL50" s="344"/>
      <c r="KM50" s="344"/>
      <c r="KN50" s="344"/>
      <c r="KO50" s="344"/>
      <c r="KP50" s="344"/>
      <c r="KQ50" s="344"/>
      <c r="KR50" s="344"/>
      <c r="KS50" s="344"/>
      <c r="KT50" s="344"/>
      <c r="KU50" s="344"/>
      <c r="KV50" s="344"/>
      <c r="KW50" s="344"/>
      <c r="KX50" s="344"/>
      <c r="KY50" s="344"/>
      <c r="KZ50" s="344"/>
      <c r="LA50" s="344"/>
      <c r="LB50" s="344"/>
      <c r="LC50" s="344"/>
      <c r="LD50" s="344"/>
      <c r="LE50" s="344"/>
      <c r="LF50" s="344"/>
      <c r="LG50" s="344"/>
      <c r="LH50" s="344"/>
      <c r="LI50" s="344"/>
      <c r="LJ50" s="344"/>
      <c r="LK50" s="344"/>
      <c r="LL50" s="344"/>
      <c r="LM50" s="344"/>
      <c r="LN50" s="344"/>
      <c r="LO50" s="344"/>
      <c r="LP50" s="344"/>
      <c r="LQ50" s="344"/>
      <c r="LR50" s="344"/>
      <c r="LS50" s="344"/>
      <c r="LT50" s="344"/>
      <c r="LU50" s="344"/>
      <c r="LV50" s="344"/>
      <c r="LW50" s="344"/>
      <c r="LX50" s="344"/>
      <c r="LY50" s="344"/>
      <c r="LZ50" s="344"/>
      <c r="MA50" s="344"/>
      <c r="MB50" s="344"/>
      <c r="MC50" s="344"/>
      <c r="MD50" s="344"/>
      <c r="ME50" s="344"/>
      <c r="MF50" s="344"/>
      <c r="MG50" s="344"/>
      <c r="MH50" s="344"/>
      <c r="MI50" s="344"/>
      <c r="MJ50" s="344"/>
      <c r="MK50" s="344"/>
      <c r="ML50" s="344"/>
      <c r="MM50" s="344"/>
      <c r="MN50" s="344"/>
      <c r="MO50" s="344"/>
      <c r="MP50" s="344"/>
      <c r="MQ50" s="344"/>
      <c r="MR50" s="344"/>
      <c r="MS50" s="344"/>
      <c r="MT50" s="344"/>
      <c r="MU50" s="344"/>
      <c r="MV50" s="344"/>
      <c r="MW50" s="344"/>
      <c r="MX50" s="344"/>
      <c r="MY50" s="344"/>
      <c r="MZ50" s="344"/>
      <c r="NA50" s="344"/>
      <c r="NB50" s="344"/>
      <c r="NC50" s="344"/>
      <c r="ND50" s="344"/>
      <c r="NE50" s="344"/>
      <c r="NF50" s="344"/>
      <c r="NG50" s="344"/>
      <c r="NH50" s="344"/>
      <c r="NI50" s="344"/>
      <c r="NJ50" s="344"/>
      <c r="NK50" s="344"/>
      <c r="NL50" s="344"/>
      <c r="NM50" s="344"/>
      <c r="NN50" s="344"/>
      <c r="NO50" s="344"/>
      <c r="NP50" s="344"/>
      <c r="NQ50" s="344"/>
      <c r="NR50" s="344"/>
      <c r="NS50" s="344"/>
      <c r="NT50" s="344"/>
      <c r="NU50" s="344"/>
      <c r="NV50" s="344"/>
      <c r="NW50" s="344"/>
      <c r="NX50" s="344"/>
      <c r="NY50" s="344"/>
      <c r="NZ50" s="344"/>
      <c r="OA50" s="344"/>
      <c r="OB50" s="344"/>
      <c r="OC50" s="344"/>
      <c r="OD50" s="344"/>
      <c r="OE50" s="344"/>
      <c r="OF50" s="344"/>
      <c r="OG50" s="344"/>
      <c r="OH50" s="344"/>
      <c r="OI50" s="344"/>
      <c r="OJ50" s="344"/>
      <c r="OK50" s="344"/>
      <c r="OL50" s="344"/>
      <c r="OM50" s="344"/>
      <c r="ON50" s="344"/>
      <c r="OO50" s="344"/>
      <c r="OP50" s="344"/>
      <c r="OQ50" s="344"/>
      <c r="OR50" s="344"/>
      <c r="OS50" s="344"/>
      <c r="OT50" s="344"/>
      <c r="OU50" s="344"/>
      <c r="OV50" s="344"/>
      <c r="OW50" s="344"/>
      <c r="OX50" s="344"/>
      <c r="OY50" s="344"/>
      <c r="OZ50" s="344"/>
      <c r="PA50" s="344"/>
      <c r="PB50" s="344"/>
      <c r="PC50" s="344"/>
      <c r="PD50" s="344"/>
      <c r="PE50" s="344"/>
      <c r="PF50" s="344"/>
      <c r="PG50" s="344"/>
      <c r="PH50" s="344"/>
      <c r="PI50" s="344"/>
      <c r="PJ50" s="344"/>
      <c r="PK50" s="344"/>
      <c r="PL50" s="344"/>
      <c r="PM50" s="344"/>
      <c r="PN50" s="344"/>
      <c r="PO50" s="344"/>
      <c r="PP50" s="344"/>
      <c r="PQ50" s="344"/>
      <c r="PR50" s="344"/>
      <c r="PS50" s="344"/>
      <c r="PT50" s="344"/>
      <c r="PU50" s="344"/>
      <c r="PV50" s="344"/>
      <c r="PW50" s="344"/>
      <c r="PX50" s="344"/>
      <c r="PY50" s="344"/>
      <c r="PZ50" s="344"/>
      <c r="QA50" s="344"/>
      <c r="QB50" s="344"/>
      <c r="QC50" s="344"/>
      <c r="QD50" s="344"/>
      <c r="QE50" s="344"/>
      <c r="QF50" s="344"/>
      <c r="QG50" s="344"/>
      <c r="QH50" s="344"/>
      <c r="QI50" s="344"/>
      <c r="QJ50" s="344"/>
      <c r="QK50" s="344"/>
      <c r="QL50" s="344"/>
      <c r="QM50" s="344"/>
      <c r="QN50" s="344"/>
      <c r="QO50" s="344"/>
      <c r="QP50" s="344"/>
      <c r="QQ50" s="344"/>
      <c r="QR50" s="344"/>
      <c r="QS50" s="344"/>
      <c r="QT50" s="344"/>
      <c r="QU50" s="344"/>
      <c r="QV50" s="344"/>
      <c r="QW50" s="344"/>
      <c r="QX50" s="344"/>
      <c r="QY50" s="344"/>
      <c r="QZ50" s="344"/>
      <c r="RA50" s="344"/>
      <c r="RB50" s="344"/>
      <c r="RC50" s="344"/>
      <c r="RD50" s="344"/>
      <c r="RE50" s="344"/>
      <c r="RF50" s="344"/>
      <c r="RG50" s="344"/>
      <c r="RH50" s="344"/>
      <c r="RI50" s="344"/>
      <c r="RJ50" s="344"/>
      <c r="RK50" s="344"/>
      <c r="RL50" s="344"/>
      <c r="RM50" s="344"/>
      <c r="RN50" s="344"/>
      <c r="RO50" s="344"/>
      <c r="RP50" s="344"/>
      <c r="RQ50" s="344"/>
      <c r="RR50" s="344"/>
      <c r="RS50" s="344"/>
      <c r="RT50" s="344"/>
      <c r="RU50" s="344"/>
      <c r="RV50" s="344"/>
      <c r="RW50" s="344"/>
      <c r="RX50" s="344"/>
      <c r="RY50" s="344"/>
      <c r="RZ50" s="344"/>
      <c r="SA50" s="344"/>
      <c r="SB50" s="344"/>
      <c r="SC50" s="344"/>
      <c r="SD50" s="344"/>
      <c r="SE50" s="344"/>
      <c r="SF50" s="344"/>
      <c r="SG50" s="344"/>
      <c r="SH50" s="344"/>
      <c r="SI50" s="344"/>
      <c r="SJ50" s="344"/>
      <c r="SK50" s="344"/>
      <c r="SL50" s="344"/>
      <c r="SM50" s="344"/>
      <c r="SN50" s="344"/>
      <c r="SO50" s="344"/>
      <c r="SP50" s="344"/>
      <c r="SQ50" s="344"/>
      <c r="SR50" s="344"/>
      <c r="SS50" s="344"/>
      <c r="ST50" s="344"/>
      <c r="SU50" s="344"/>
      <c r="SV50" s="344"/>
      <c r="SW50" s="344"/>
      <c r="SX50" s="344"/>
      <c r="SY50" s="344"/>
      <c r="SZ50" s="344"/>
      <c r="TA50" s="344"/>
      <c r="TB50" s="344"/>
      <c r="TC50" s="344"/>
      <c r="TD50" s="344"/>
      <c r="TE50" s="344"/>
      <c r="TF50" s="344"/>
      <c r="TG50" s="344"/>
      <c r="TH50" s="344"/>
      <c r="TI50" s="344"/>
      <c r="TJ50" s="344"/>
      <c r="TK50" s="344"/>
      <c r="TL50" s="344"/>
      <c r="TM50" s="344"/>
      <c r="TN50" s="344"/>
      <c r="TO50" s="344"/>
      <c r="TP50" s="344"/>
      <c r="TQ50" s="344"/>
      <c r="TR50" s="344"/>
      <c r="TS50" s="344"/>
      <c r="TT50" s="344"/>
      <c r="TU50" s="344"/>
      <c r="TV50" s="344"/>
      <c r="TW50" s="344"/>
      <c r="TX50" s="344"/>
      <c r="TY50" s="344"/>
      <c r="TZ50" s="344"/>
      <c r="UA50" s="344"/>
      <c r="UB50" s="344"/>
      <c r="UC50" s="344"/>
      <c r="UD50" s="344"/>
      <c r="UE50" s="344"/>
      <c r="UF50" s="344"/>
      <c r="UG50" s="344"/>
      <c r="UH50" s="344"/>
      <c r="UI50" s="344"/>
      <c r="UJ50" s="344"/>
      <c r="UK50" s="344"/>
      <c r="UL50" s="344"/>
      <c r="UM50" s="344"/>
      <c r="UN50" s="344"/>
      <c r="UO50" s="344"/>
      <c r="UP50" s="344"/>
      <c r="UQ50" s="344"/>
      <c r="UR50" s="344"/>
      <c r="US50" s="344"/>
      <c r="UT50" s="344"/>
      <c r="UU50" s="344"/>
      <c r="UV50" s="344"/>
      <c r="UW50" s="344"/>
      <c r="UX50" s="344"/>
      <c r="UY50" s="344"/>
      <c r="UZ50" s="344"/>
      <c r="VA50" s="344"/>
      <c r="VB50" s="344"/>
      <c r="VC50" s="344"/>
      <c r="VD50" s="344"/>
      <c r="VE50" s="344"/>
      <c r="VF50" s="344"/>
      <c r="VG50" s="344"/>
      <c r="VH50" s="344"/>
      <c r="VI50" s="344"/>
      <c r="VJ50" s="344"/>
      <c r="VK50" s="344"/>
      <c r="VL50" s="344"/>
      <c r="VM50" s="344"/>
      <c r="VN50" s="344"/>
      <c r="VO50" s="344"/>
      <c r="VP50" s="344"/>
      <c r="VQ50" s="344"/>
      <c r="VR50" s="344"/>
      <c r="VS50" s="344"/>
      <c r="VT50" s="344"/>
      <c r="VU50" s="344"/>
      <c r="VV50" s="344"/>
      <c r="VW50" s="344"/>
      <c r="VX50" s="344"/>
      <c r="VY50" s="344"/>
      <c r="VZ50" s="344"/>
      <c r="WA50" s="344"/>
      <c r="WB50" s="344"/>
      <c r="WC50" s="344"/>
      <c r="WD50" s="344"/>
      <c r="WE50" s="344"/>
      <c r="WF50" s="344"/>
      <c r="WG50" s="344"/>
      <c r="WH50" s="344"/>
      <c r="WI50" s="344"/>
      <c r="WJ50" s="344"/>
      <c r="WK50" s="344"/>
      <c r="WL50" s="344"/>
      <c r="WM50" s="344"/>
      <c r="WN50" s="344"/>
      <c r="WO50" s="344"/>
      <c r="WP50" s="344"/>
      <c r="WQ50" s="344"/>
      <c r="WR50" s="344"/>
      <c r="WS50" s="344"/>
      <c r="WT50" s="344"/>
      <c r="WU50" s="344"/>
      <c r="WV50" s="344"/>
      <c r="WW50" s="344"/>
      <c r="WX50" s="344"/>
      <c r="WY50" s="344"/>
      <c r="WZ50" s="344"/>
      <c r="XA50" s="344"/>
      <c r="XB50" s="344"/>
      <c r="XC50" s="344"/>
      <c r="XD50" s="344"/>
      <c r="XE50" s="344"/>
      <c r="XF50" s="344"/>
      <c r="XG50" s="344"/>
      <c r="XH50" s="344"/>
      <c r="XI50" s="344"/>
      <c r="XJ50" s="344"/>
      <c r="XK50" s="344"/>
      <c r="XL50" s="344"/>
      <c r="XM50" s="344"/>
      <c r="XN50" s="344"/>
      <c r="XO50" s="344"/>
      <c r="XP50" s="344"/>
      <c r="XQ50" s="344"/>
      <c r="XR50" s="344"/>
      <c r="XS50" s="344"/>
      <c r="XT50" s="344"/>
      <c r="XU50" s="344"/>
      <c r="XV50" s="344"/>
      <c r="XW50" s="344"/>
      <c r="XX50" s="344"/>
      <c r="XY50" s="344"/>
      <c r="XZ50" s="344"/>
      <c r="YA50" s="344"/>
      <c r="YB50" s="344"/>
      <c r="YC50" s="344"/>
      <c r="YD50" s="344"/>
      <c r="YE50" s="344"/>
      <c r="YF50" s="344"/>
      <c r="YG50" s="344"/>
      <c r="YH50" s="344"/>
      <c r="YI50" s="344"/>
      <c r="YJ50" s="344"/>
      <c r="YK50" s="344"/>
      <c r="YL50" s="344"/>
      <c r="YM50" s="344"/>
      <c r="YN50" s="344"/>
      <c r="YO50" s="344"/>
      <c r="YP50" s="344"/>
      <c r="YQ50" s="344"/>
      <c r="YR50" s="344"/>
      <c r="YS50" s="344"/>
      <c r="YT50" s="344"/>
      <c r="YU50" s="344"/>
      <c r="YV50" s="344"/>
      <c r="YW50" s="344"/>
      <c r="YX50" s="344"/>
      <c r="YY50" s="344"/>
      <c r="YZ50" s="344"/>
      <c r="ZA50" s="344"/>
      <c r="ZB50" s="344"/>
      <c r="ZC50" s="344"/>
      <c r="ZD50" s="344"/>
      <c r="ZE50" s="344"/>
      <c r="ZF50" s="344"/>
      <c r="ZG50" s="344"/>
      <c r="ZH50" s="344"/>
      <c r="ZI50" s="344"/>
      <c r="ZJ50" s="344"/>
      <c r="ZK50" s="344"/>
      <c r="ZL50" s="344"/>
      <c r="ZM50" s="344"/>
      <c r="ZN50" s="344"/>
      <c r="ZO50" s="344"/>
      <c r="ZP50" s="344"/>
      <c r="ZQ50" s="344"/>
      <c r="ZR50" s="344"/>
      <c r="ZS50" s="344"/>
      <c r="ZT50" s="344"/>
      <c r="ZU50" s="344"/>
      <c r="ZV50" s="344"/>
      <c r="ZW50" s="344"/>
      <c r="ZX50" s="344"/>
      <c r="ZY50" s="344"/>
      <c r="ZZ50" s="344"/>
      <c r="AAA50" s="344"/>
      <c r="AAB50" s="344"/>
      <c r="AAC50" s="344"/>
      <c r="AAD50" s="344"/>
      <c r="AAE50" s="344"/>
      <c r="AAF50" s="344"/>
      <c r="AAG50" s="344"/>
      <c r="AAH50" s="344"/>
      <c r="AAI50" s="344"/>
      <c r="AAJ50" s="344"/>
      <c r="AAK50" s="344"/>
      <c r="AAL50" s="344"/>
      <c r="AAM50" s="344"/>
      <c r="AAN50" s="344"/>
      <c r="AAO50" s="344"/>
      <c r="AAP50" s="344"/>
      <c r="AAQ50" s="344"/>
      <c r="AAR50" s="344"/>
      <c r="AAS50" s="344"/>
      <c r="AAT50" s="344"/>
      <c r="AAU50" s="344"/>
      <c r="AAV50" s="344"/>
      <c r="AAW50" s="344"/>
      <c r="AAX50" s="344"/>
      <c r="AAY50" s="344"/>
      <c r="AAZ50" s="344"/>
      <c r="ABA50" s="344"/>
      <c r="ABB50" s="344"/>
      <c r="ABC50" s="344"/>
      <c r="ABD50" s="344"/>
      <c r="ABE50" s="344"/>
      <c r="ABF50" s="344"/>
      <c r="ABG50" s="344"/>
      <c r="ABH50" s="344"/>
      <c r="ABI50" s="344"/>
      <c r="ABJ50" s="344"/>
      <c r="ABK50" s="344"/>
      <c r="ABL50" s="344"/>
      <c r="ABM50" s="344"/>
      <c r="ABN50" s="344"/>
      <c r="ABO50" s="344"/>
      <c r="ABP50" s="344"/>
      <c r="ABQ50" s="344"/>
      <c r="ABR50" s="344"/>
      <c r="ABS50" s="344"/>
      <c r="ABT50" s="344"/>
      <c r="ABU50" s="344"/>
      <c r="ABV50" s="344"/>
      <c r="ABW50" s="344"/>
      <c r="ABX50" s="344"/>
      <c r="ABY50" s="344"/>
      <c r="ABZ50" s="344"/>
      <c r="ACA50" s="344"/>
      <c r="ACB50" s="344"/>
      <c r="ACC50" s="344"/>
      <c r="ACD50" s="344"/>
      <c r="ACE50" s="344"/>
      <c r="ACF50" s="344"/>
      <c r="ACG50" s="344"/>
      <c r="ACH50" s="344"/>
      <c r="ACI50" s="344"/>
      <c r="ACJ50" s="344"/>
      <c r="ACK50" s="344"/>
      <c r="ACL50" s="344"/>
      <c r="ACM50" s="344"/>
      <c r="ACN50" s="344"/>
      <c r="ACO50" s="344"/>
      <c r="ACP50" s="344"/>
      <c r="ACQ50" s="344"/>
      <c r="ACR50" s="344"/>
      <c r="ACS50" s="344"/>
      <c r="ACT50" s="344"/>
      <c r="ACU50" s="344"/>
      <c r="ACV50" s="344"/>
      <c r="ACW50" s="344"/>
      <c r="ACX50" s="344"/>
      <c r="ACY50" s="344"/>
      <c r="ACZ50" s="344"/>
      <c r="ADA50" s="344"/>
      <c r="ADB50" s="344"/>
      <c r="ADC50" s="344"/>
      <c r="ADD50" s="344"/>
      <c r="ADE50" s="344"/>
      <c r="ADF50" s="344"/>
      <c r="ADG50" s="344"/>
      <c r="ADH50" s="344"/>
      <c r="ADI50" s="344"/>
      <c r="ADJ50" s="344"/>
      <c r="ADK50" s="344"/>
      <c r="ADL50" s="344"/>
      <c r="ADM50" s="344"/>
      <c r="ADN50" s="344"/>
      <c r="ADO50" s="344"/>
      <c r="ADP50" s="344"/>
      <c r="ADQ50" s="344"/>
      <c r="ADR50" s="344"/>
      <c r="ADS50" s="344"/>
      <c r="ADT50" s="344"/>
      <c r="ADU50" s="344"/>
      <c r="ADV50" s="344"/>
      <c r="ADW50" s="344"/>
      <c r="ADX50" s="344"/>
      <c r="ADY50" s="344"/>
      <c r="ADZ50" s="344"/>
      <c r="AEA50" s="344"/>
      <c r="AEB50" s="344"/>
      <c r="AEC50" s="344"/>
      <c r="AED50" s="344"/>
      <c r="AEE50" s="344"/>
      <c r="AEF50" s="344"/>
      <c r="AEG50" s="344"/>
      <c r="AEH50" s="344"/>
      <c r="AEI50" s="344"/>
      <c r="AEJ50" s="344"/>
      <c r="AEK50" s="344"/>
      <c r="AEL50" s="344"/>
      <c r="AEM50" s="344"/>
      <c r="AEN50" s="344"/>
      <c r="AEO50" s="344"/>
      <c r="AEP50" s="344"/>
      <c r="AEQ50" s="344"/>
      <c r="AER50" s="344"/>
      <c r="AES50" s="344"/>
      <c r="AET50" s="344"/>
      <c r="AEU50" s="344"/>
      <c r="AEV50" s="344"/>
      <c r="AEW50" s="344"/>
      <c r="AEX50" s="344"/>
      <c r="AEY50" s="344"/>
      <c r="AEZ50" s="344"/>
      <c r="AFA50" s="344"/>
      <c r="AFB50" s="344"/>
      <c r="AFC50" s="344"/>
      <c r="AFD50" s="344"/>
      <c r="AFE50" s="344"/>
      <c r="AFF50" s="344"/>
      <c r="AFG50" s="344"/>
      <c r="AFH50" s="344"/>
      <c r="AFI50" s="344"/>
      <c r="AFJ50" s="344"/>
      <c r="AFK50" s="344"/>
      <c r="AFL50" s="344"/>
      <c r="AFM50" s="344"/>
      <c r="AFN50" s="344"/>
      <c r="AFO50" s="344"/>
      <c r="AFP50" s="344"/>
      <c r="AFQ50" s="344"/>
      <c r="AFR50" s="344"/>
      <c r="AFS50" s="344"/>
      <c r="AFT50" s="344"/>
      <c r="AFU50" s="344"/>
      <c r="AFV50" s="344"/>
      <c r="AFW50" s="344"/>
      <c r="AFX50" s="344"/>
      <c r="AFY50" s="344"/>
      <c r="AFZ50" s="344"/>
      <c r="AGA50" s="344"/>
      <c r="AGB50" s="344"/>
      <c r="AGC50" s="344"/>
      <c r="AGD50" s="344"/>
      <c r="AGE50" s="344"/>
      <c r="AGF50" s="344"/>
      <c r="AGG50" s="344"/>
      <c r="AGH50" s="344"/>
      <c r="AGI50" s="344"/>
      <c r="AGJ50" s="344"/>
      <c r="AGK50" s="344"/>
      <c r="AGL50" s="344"/>
      <c r="AGM50" s="344"/>
      <c r="AGN50" s="344"/>
      <c r="AGO50" s="344"/>
      <c r="AGP50" s="344"/>
      <c r="AGQ50" s="344"/>
      <c r="AGR50" s="344"/>
      <c r="AGS50" s="344"/>
      <c r="AGT50" s="344"/>
      <c r="AGU50" s="344"/>
      <c r="AGV50" s="344"/>
      <c r="AGW50" s="344"/>
      <c r="AGX50" s="344"/>
      <c r="AGY50" s="344"/>
      <c r="AGZ50" s="344"/>
      <c r="AHA50" s="344"/>
      <c r="AHB50" s="344"/>
      <c r="AHC50" s="344"/>
      <c r="AHD50" s="344"/>
      <c r="AHE50" s="344"/>
      <c r="AHF50" s="344"/>
      <c r="AHG50" s="344"/>
      <c r="AHH50" s="344"/>
      <c r="AHI50" s="344"/>
      <c r="AHJ50" s="344"/>
      <c r="AHK50" s="344"/>
      <c r="AHL50" s="344"/>
      <c r="AHM50" s="344"/>
      <c r="AHN50" s="344"/>
      <c r="AHO50" s="344"/>
      <c r="AHP50" s="344"/>
      <c r="AHQ50" s="344"/>
      <c r="AHR50" s="344"/>
      <c r="AHS50" s="344"/>
      <c r="AHT50" s="344"/>
      <c r="AHU50" s="344"/>
      <c r="AHV50" s="344"/>
      <c r="AHW50" s="344"/>
      <c r="AHX50" s="344"/>
      <c r="AHY50" s="344"/>
      <c r="AHZ50" s="344"/>
      <c r="AIA50" s="344"/>
      <c r="AIB50" s="344"/>
      <c r="AIC50" s="344"/>
      <c r="AID50" s="344"/>
      <c r="AIE50" s="344"/>
      <c r="AIF50" s="344"/>
      <c r="AIG50" s="344"/>
      <c r="AIH50" s="344"/>
      <c r="AII50" s="344"/>
      <c r="AIJ50" s="344"/>
      <c r="AIK50" s="344"/>
      <c r="AIL50" s="344"/>
      <c r="AIM50" s="344"/>
      <c r="AIN50" s="344"/>
      <c r="AIO50" s="344"/>
      <c r="AIP50" s="344"/>
      <c r="AIQ50" s="344"/>
      <c r="AIR50" s="344"/>
      <c r="AIS50" s="344"/>
      <c r="AIT50" s="344"/>
      <c r="AIU50" s="344"/>
      <c r="AIV50" s="344"/>
      <c r="AIW50" s="344"/>
      <c r="AIX50" s="344"/>
      <c r="AIY50" s="344"/>
      <c r="AIZ50" s="344"/>
      <c r="AJA50" s="344"/>
      <c r="AJB50" s="344"/>
      <c r="AJC50" s="344"/>
      <c r="AJD50" s="344"/>
      <c r="AJE50" s="344"/>
      <c r="AJF50" s="344"/>
      <c r="AJG50" s="344"/>
      <c r="AJH50" s="344"/>
      <c r="AJI50" s="344"/>
      <c r="AJJ50" s="344"/>
      <c r="AJK50" s="344"/>
      <c r="AJL50" s="344"/>
      <c r="AJM50" s="344"/>
      <c r="AJN50" s="344"/>
      <c r="AJO50" s="344"/>
      <c r="AJP50" s="344"/>
      <c r="AJQ50" s="344"/>
      <c r="AJR50" s="344"/>
      <c r="AJS50" s="344"/>
      <c r="AJT50" s="344"/>
      <c r="AJU50" s="344"/>
      <c r="AJV50" s="344"/>
      <c r="AJW50" s="344"/>
      <c r="AJX50" s="344"/>
      <c r="AJY50" s="344"/>
      <c r="AJZ50" s="344"/>
      <c r="AKA50" s="344"/>
      <c r="AKB50" s="344"/>
      <c r="AKC50" s="344"/>
      <c r="AKD50" s="344"/>
      <c r="AKE50" s="344"/>
      <c r="AKF50" s="344"/>
      <c r="AKG50" s="344"/>
      <c r="AKH50" s="344"/>
      <c r="AKI50" s="344"/>
      <c r="AKJ50" s="344"/>
      <c r="AKK50" s="344"/>
      <c r="AKL50" s="344"/>
      <c r="AKM50" s="344"/>
      <c r="AKN50" s="344"/>
      <c r="AKO50" s="344"/>
      <c r="AKP50" s="344"/>
      <c r="AKQ50" s="344"/>
      <c r="AKR50" s="344"/>
      <c r="AKS50" s="344"/>
      <c r="AKT50" s="344"/>
      <c r="AKU50" s="344"/>
      <c r="AKV50" s="344"/>
      <c r="AKW50" s="344"/>
      <c r="AKX50" s="344"/>
      <c r="AKY50" s="344"/>
      <c r="AKZ50" s="344"/>
      <c r="ALA50" s="344"/>
      <c r="ALB50" s="344"/>
      <c r="ALC50" s="344"/>
      <c r="ALD50" s="344"/>
      <c r="ALE50" s="344"/>
      <c r="ALF50" s="344"/>
      <c r="ALG50" s="344"/>
      <c r="ALH50" s="344"/>
      <c r="ALI50" s="344"/>
      <c r="ALJ50" s="344"/>
      <c r="ALK50" s="344"/>
      <c r="ALL50" s="344"/>
      <c r="ALM50" s="344"/>
      <c r="ALN50" s="344"/>
      <c r="ALO50" s="344"/>
      <c r="ALP50" s="344"/>
      <c r="ALQ50" s="344"/>
      <c r="ALR50" s="344"/>
      <c r="ALS50" s="344"/>
      <c r="ALT50" s="344"/>
      <c r="ALU50" s="344"/>
      <c r="ALV50" s="344"/>
      <c r="ALW50" s="344"/>
      <c r="ALX50" s="344"/>
      <c r="ALY50" s="344"/>
      <c r="ALZ50" s="344"/>
      <c r="AMA50" s="344"/>
      <c r="AMB50" s="344"/>
      <c r="AMC50" s="344"/>
      <c r="AMD50" s="344"/>
      <c r="AME50" s="344"/>
      <c r="AMF50" s="344"/>
      <c r="AMG50" s="344"/>
      <c r="AMH50" s="344"/>
      <c r="AMI50" s="344"/>
      <c r="AMJ50" s="344"/>
      <c r="AMK50" s="344"/>
      <c r="AML50" s="344"/>
      <c r="AMM50" s="344"/>
      <c r="AMN50" s="344"/>
      <c r="AMO50" s="344"/>
      <c r="AMP50" s="344"/>
      <c r="AMQ50" s="344"/>
      <c r="AMR50" s="344"/>
      <c r="AMS50" s="344"/>
      <c r="AMT50" s="344"/>
      <c r="AMU50" s="344"/>
      <c r="AMV50" s="344"/>
      <c r="AMW50" s="344"/>
      <c r="AMX50" s="344"/>
      <c r="AMY50" s="344"/>
      <c r="AMZ50" s="344"/>
      <c r="ANA50" s="344"/>
      <c r="ANB50" s="344"/>
      <c r="ANC50" s="344"/>
      <c r="AND50" s="344"/>
      <c r="ANE50" s="344"/>
      <c r="ANF50" s="344"/>
      <c r="ANG50" s="344"/>
      <c r="ANH50" s="344"/>
      <c r="ANI50" s="344"/>
      <c r="ANJ50" s="344"/>
      <c r="ANK50" s="344"/>
      <c r="ANL50" s="344"/>
      <c r="ANM50" s="344"/>
      <c r="ANN50" s="344"/>
      <c r="ANO50" s="344"/>
      <c r="ANP50" s="344"/>
      <c r="ANQ50" s="344"/>
      <c r="ANR50" s="344"/>
      <c r="ANS50" s="344"/>
      <c r="ANT50" s="344"/>
      <c r="ANU50" s="344"/>
      <c r="ANV50" s="344"/>
      <c r="ANW50" s="344"/>
      <c r="ANX50" s="344"/>
      <c r="ANY50" s="344"/>
      <c r="ANZ50" s="344"/>
      <c r="AOA50" s="344"/>
      <c r="AOB50" s="344"/>
      <c r="AOC50" s="344"/>
      <c r="AOD50" s="344"/>
      <c r="AOE50" s="344"/>
      <c r="AOF50" s="344"/>
      <c r="AOG50" s="344"/>
      <c r="AOH50" s="344"/>
      <c r="AOI50" s="344"/>
      <c r="AOJ50" s="344"/>
      <c r="AOK50" s="344"/>
      <c r="AOL50" s="344"/>
      <c r="AOM50" s="344"/>
      <c r="AON50" s="344"/>
      <c r="AOO50" s="344"/>
      <c r="AOP50" s="344"/>
      <c r="AOQ50" s="344"/>
      <c r="AOR50" s="344"/>
      <c r="AOS50" s="344"/>
      <c r="AOT50" s="344"/>
      <c r="AOU50" s="344"/>
      <c r="AOV50" s="344"/>
      <c r="AOW50" s="344"/>
      <c r="AOX50" s="344"/>
      <c r="AOY50" s="344"/>
      <c r="AOZ50" s="344"/>
      <c r="APA50" s="344"/>
      <c r="APB50" s="344"/>
      <c r="APC50" s="344"/>
      <c r="APD50" s="344"/>
      <c r="APE50" s="344"/>
      <c r="APF50" s="344"/>
      <c r="APG50" s="344"/>
      <c r="APH50" s="344"/>
      <c r="API50" s="344"/>
      <c r="APJ50" s="344"/>
      <c r="APK50" s="344"/>
      <c r="APL50" s="344"/>
      <c r="APM50" s="344"/>
      <c r="APN50" s="344"/>
      <c r="APO50" s="344"/>
      <c r="APP50" s="344"/>
      <c r="APQ50" s="344"/>
      <c r="APR50" s="344"/>
      <c r="APS50" s="344"/>
      <c r="APT50" s="344"/>
      <c r="APU50" s="344"/>
      <c r="APV50" s="344"/>
      <c r="APW50" s="344"/>
      <c r="APX50" s="344"/>
      <c r="APY50" s="344"/>
      <c r="APZ50" s="344"/>
      <c r="AQA50" s="344"/>
      <c r="AQB50" s="344"/>
      <c r="AQC50" s="344"/>
      <c r="AQD50" s="344"/>
      <c r="AQE50" s="344"/>
      <c r="AQF50" s="344"/>
      <c r="AQG50" s="344"/>
      <c r="AQH50" s="344"/>
      <c r="AQI50" s="344"/>
      <c r="AQJ50" s="344"/>
      <c r="AQK50" s="344"/>
      <c r="AQL50" s="344"/>
      <c r="AQM50" s="344"/>
      <c r="AQN50" s="344"/>
      <c r="AQO50" s="344"/>
      <c r="AQP50" s="344"/>
      <c r="AQQ50" s="344"/>
      <c r="AQR50" s="344"/>
      <c r="AQS50" s="344"/>
      <c r="AQT50" s="344"/>
      <c r="AQU50" s="344"/>
      <c r="AQV50" s="344"/>
      <c r="AQW50" s="344"/>
      <c r="AQX50" s="344"/>
      <c r="AQY50" s="344"/>
      <c r="AQZ50" s="344"/>
      <c r="ARA50" s="344"/>
      <c r="ARB50" s="344"/>
      <c r="ARC50" s="344"/>
      <c r="ARD50" s="344"/>
      <c r="ARE50" s="344"/>
      <c r="ARF50" s="344"/>
      <c r="ARG50" s="344"/>
      <c r="ARH50" s="344"/>
      <c r="ARI50" s="344"/>
      <c r="ARJ50" s="344"/>
      <c r="ARK50" s="344"/>
      <c r="ARL50" s="344"/>
      <c r="ARM50" s="344"/>
      <c r="ARN50" s="344"/>
      <c r="ARO50" s="344"/>
      <c r="ARP50" s="344"/>
      <c r="ARQ50" s="344"/>
      <c r="ARR50" s="344"/>
      <c r="ARS50" s="344"/>
      <c r="ART50" s="344"/>
      <c r="ARU50" s="344"/>
      <c r="ARV50" s="344"/>
      <c r="ARW50" s="344"/>
      <c r="ARX50" s="344"/>
      <c r="ARY50" s="344"/>
      <c r="ARZ50" s="344"/>
      <c r="ASA50" s="344"/>
      <c r="ASB50" s="344"/>
      <c r="ASC50" s="344"/>
      <c r="ASD50" s="344"/>
      <c r="ASE50" s="344"/>
      <c r="ASF50" s="344"/>
      <c r="ASG50" s="344"/>
      <c r="ASH50" s="344"/>
      <c r="ASI50" s="344"/>
      <c r="ASJ50" s="344"/>
      <c r="ASK50" s="344"/>
      <c r="ASL50" s="344"/>
      <c r="ASM50" s="344"/>
      <c r="ASN50" s="344"/>
      <c r="ASO50" s="344"/>
      <c r="ASP50" s="344"/>
      <c r="ASQ50" s="344"/>
      <c r="ASR50" s="344"/>
      <c r="ASS50" s="344"/>
      <c r="AST50" s="344"/>
      <c r="ASU50" s="344"/>
      <c r="ASV50" s="344"/>
      <c r="ASW50" s="344"/>
      <c r="ASX50" s="344"/>
      <c r="ASY50" s="344"/>
      <c r="ASZ50" s="344"/>
      <c r="ATA50" s="344"/>
      <c r="ATB50" s="344"/>
      <c r="ATC50" s="344"/>
      <c r="ATD50" s="344"/>
      <c r="ATE50" s="344"/>
      <c r="ATF50" s="344"/>
      <c r="ATG50" s="344"/>
      <c r="ATH50" s="344"/>
      <c r="ATI50" s="344"/>
      <c r="ATJ50" s="344"/>
      <c r="ATK50" s="344"/>
      <c r="ATL50" s="344"/>
      <c r="ATM50" s="344"/>
      <c r="ATN50" s="344"/>
      <c r="ATO50" s="344"/>
      <c r="ATP50" s="344"/>
      <c r="ATQ50" s="344"/>
      <c r="ATR50" s="344"/>
      <c r="ATS50" s="344"/>
      <c r="ATT50" s="344"/>
      <c r="ATU50" s="344"/>
      <c r="ATV50" s="344"/>
      <c r="ATW50" s="344"/>
      <c r="ATX50" s="344"/>
      <c r="ATY50" s="344"/>
      <c r="ATZ50" s="344"/>
      <c r="AUA50" s="344"/>
      <c r="AUB50" s="344"/>
      <c r="AUC50" s="344"/>
      <c r="AUD50" s="344"/>
      <c r="AUE50" s="344"/>
      <c r="AUF50" s="344"/>
      <c r="AUG50" s="344"/>
      <c r="AUH50" s="344"/>
      <c r="AUI50" s="344"/>
      <c r="AUJ50" s="344"/>
      <c r="AUK50" s="344"/>
      <c r="AUL50" s="344"/>
      <c r="AUM50" s="344"/>
      <c r="AUN50" s="344"/>
      <c r="AUO50" s="344"/>
      <c r="AUP50" s="344"/>
      <c r="AUQ50" s="344"/>
      <c r="AUR50" s="344"/>
      <c r="AUS50" s="344"/>
      <c r="AUT50" s="344"/>
      <c r="AUU50" s="344"/>
      <c r="AUV50" s="344"/>
      <c r="AUW50" s="344"/>
      <c r="AUX50" s="344"/>
      <c r="AUY50" s="344"/>
      <c r="AUZ50" s="344"/>
      <c r="AVA50" s="344"/>
      <c r="AVB50" s="344"/>
      <c r="AVC50" s="344"/>
      <c r="AVD50" s="344"/>
      <c r="AVE50" s="344"/>
      <c r="AVF50" s="344"/>
      <c r="AVG50" s="344"/>
      <c r="AVH50" s="344"/>
      <c r="AVI50" s="344"/>
      <c r="AVJ50" s="344"/>
      <c r="AVK50" s="344"/>
      <c r="AVL50" s="344"/>
      <c r="AVM50" s="344"/>
      <c r="AVN50" s="344"/>
      <c r="AVO50" s="344"/>
      <c r="AVP50" s="344"/>
      <c r="AVQ50" s="344"/>
      <c r="AVR50" s="344"/>
      <c r="AVS50" s="344"/>
      <c r="AVT50" s="344"/>
      <c r="AVU50" s="344"/>
      <c r="AVV50" s="344"/>
      <c r="AVW50" s="344"/>
      <c r="AVX50" s="344"/>
      <c r="AVY50" s="344"/>
      <c r="AVZ50" s="344"/>
      <c r="AWA50" s="344"/>
      <c r="AWB50" s="344"/>
      <c r="AWC50" s="344"/>
      <c r="AWD50" s="344"/>
      <c r="AWE50" s="344"/>
      <c r="AWF50" s="344"/>
      <c r="AWG50" s="344"/>
      <c r="AWH50" s="344"/>
      <c r="AWI50" s="344"/>
      <c r="AWJ50" s="344"/>
      <c r="AWK50" s="344"/>
      <c r="AWL50" s="344"/>
      <c r="AWM50" s="344"/>
      <c r="AWN50" s="344"/>
      <c r="AWO50" s="344"/>
      <c r="AWP50" s="344"/>
      <c r="AWQ50" s="344"/>
      <c r="AWR50" s="344"/>
      <c r="AWS50" s="344"/>
      <c r="AWT50" s="344"/>
      <c r="AWU50" s="344"/>
      <c r="AWV50" s="344"/>
      <c r="AWW50" s="344"/>
      <c r="AWX50" s="344"/>
      <c r="AWY50" s="344"/>
      <c r="AWZ50" s="344"/>
      <c r="AXA50" s="344"/>
      <c r="AXB50" s="344"/>
      <c r="AXC50" s="344"/>
      <c r="AXD50" s="344"/>
      <c r="AXE50" s="344"/>
      <c r="AXF50" s="344"/>
      <c r="AXG50" s="344"/>
      <c r="AXH50" s="344"/>
      <c r="AXI50" s="344"/>
      <c r="AXJ50" s="344"/>
      <c r="AXK50" s="344"/>
      <c r="AXL50" s="344"/>
      <c r="AXM50" s="344"/>
      <c r="AXN50" s="344"/>
      <c r="AXO50" s="344"/>
      <c r="AXP50" s="344"/>
      <c r="AXQ50" s="344"/>
      <c r="AXR50" s="344"/>
      <c r="AXS50" s="344"/>
      <c r="AXT50" s="344"/>
      <c r="AXU50" s="344"/>
      <c r="AXV50" s="344"/>
      <c r="AXW50" s="344"/>
      <c r="AXX50" s="344"/>
      <c r="AXY50" s="344"/>
      <c r="AXZ50" s="344"/>
      <c r="AYA50" s="344"/>
      <c r="AYB50" s="344"/>
      <c r="AYC50" s="344"/>
      <c r="AYD50" s="344"/>
      <c r="AYE50" s="344"/>
      <c r="AYF50" s="344"/>
      <c r="AYG50" s="344"/>
      <c r="AYH50" s="344"/>
      <c r="AYI50" s="344"/>
      <c r="AYJ50" s="344"/>
      <c r="AYK50" s="344"/>
      <c r="AYL50" s="344"/>
      <c r="AYM50" s="344"/>
      <c r="AYN50" s="344"/>
      <c r="AYO50" s="344"/>
      <c r="AYP50" s="344"/>
      <c r="AYQ50" s="344"/>
      <c r="AYR50" s="344"/>
      <c r="AYS50" s="344"/>
      <c r="AYT50" s="344"/>
      <c r="AYU50" s="344"/>
      <c r="AYV50" s="344"/>
      <c r="AYW50" s="344"/>
      <c r="AYX50" s="344"/>
      <c r="AYY50" s="344"/>
      <c r="AYZ50" s="344"/>
      <c r="AZA50" s="344"/>
      <c r="AZB50" s="344"/>
      <c r="AZC50" s="344"/>
      <c r="AZD50" s="344"/>
      <c r="AZE50" s="344"/>
      <c r="AZF50" s="344"/>
      <c r="AZG50" s="344"/>
      <c r="AZH50" s="344"/>
      <c r="AZI50" s="344"/>
      <c r="AZJ50" s="344"/>
      <c r="AZK50" s="344"/>
      <c r="AZL50" s="344"/>
      <c r="AZM50" s="344"/>
      <c r="AZN50" s="344"/>
      <c r="AZO50" s="344"/>
      <c r="AZP50" s="344"/>
      <c r="AZQ50" s="344"/>
      <c r="AZR50" s="344"/>
      <c r="AZS50" s="344"/>
      <c r="AZT50" s="344"/>
      <c r="AZU50" s="344"/>
      <c r="AZV50" s="344"/>
      <c r="AZW50" s="344"/>
      <c r="AZX50" s="344"/>
      <c r="AZY50" s="344"/>
      <c r="AZZ50" s="344"/>
      <c r="BAA50" s="344"/>
      <c r="BAB50" s="344"/>
      <c r="BAC50" s="344"/>
      <c r="BAD50" s="344"/>
      <c r="BAE50" s="344"/>
      <c r="BAF50" s="344"/>
      <c r="BAG50" s="344"/>
      <c r="BAH50" s="344"/>
      <c r="BAI50" s="344"/>
      <c r="BAJ50" s="344"/>
      <c r="BAK50" s="344"/>
      <c r="BAL50" s="344"/>
      <c r="BAM50" s="344"/>
      <c r="BAN50" s="344"/>
      <c r="BAO50" s="344"/>
      <c r="BAP50" s="344"/>
      <c r="BAQ50" s="344"/>
      <c r="BAR50" s="344"/>
      <c r="BAS50" s="344"/>
      <c r="BAT50" s="344"/>
      <c r="BAU50" s="344"/>
      <c r="BAV50" s="344"/>
      <c r="BAW50" s="344"/>
      <c r="BAX50" s="344"/>
      <c r="BAY50" s="344"/>
      <c r="BAZ50" s="344"/>
      <c r="BBA50" s="344"/>
      <c r="BBB50" s="344"/>
      <c r="BBC50" s="344"/>
      <c r="BBD50" s="344"/>
      <c r="BBE50" s="344"/>
      <c r="BBF50" s="344"/>
      <c r="BBG50" s="344"/>
      <c r="BBH50" s="344"/>
      <c r="BBI50" s="344"/>
      <c r="BBJ50" s="344"/>
      <c r="BBK50" s="344"/>
      <c r="BBL50" s="344"/>
      <c r="BBM50" s="344"/>
      <c r="BBN50" s="344"/>
      <c r="BBO50" s="344"/>
      <c r="BBP50" s="344"/>
      <c r="BBQ50" s="344"/>
      <c r="BBR50" s="344"/>
      <c r="BBS50" s="344"/>
      <c r="BBT50" s="344"/>
      <c r="BBU50" s="344"/>
      <c r="BBV50" s="344"/>
      <c r="BBW50" s="344"/>
      <c r="BBX50" s="344"/>
      <c r="BBY50" s="344"/>
      <c r="BBZ50" s="344"/>
      <c r="BCA50" s="344"/>
      <c r="BCB50" s="344"/>
      <c r="BCC50" s="344"/>
      <c r="BCD50" s="344"/>
      <c r="BCE50" s="344"/>
      <c r="BCF50" s="344"/>
      <c r="BCG50" s="344"/>
      <c r="BCH50" s="344"/>
      <c r="BCI50" s="344"/>
      <c r="BCJ50" s="344"/>
      <c r="BCK50" s="344"/>
      <c r="BCL50" s="344"/>
      <c r="BCM50" s="344"/>
      <c r="BCN50" s="344"/>
      <c r="BCO50" s="344"/>
      <c r="BCP50" s="344"/>
      <c r="BCQ50" s="344"/>
      <c r="BCR50" s="344"/>
      <c r="BCS50" s="344"/>
      <c r="BCT50" s="344"/>
      <c r="BCU50" s="344"/>
      <c r="BCV50" s="344"/>
      <c r="BCW50" s="344"/>
      <c r="BCX50" s="344"/>
      <c r="BCY50" s="344"/>
      <c r="BCZ50" s="344"/>
      <c r="BDA50" s="344"/>
      <c r="BDB50" s="344"/>
      <c r="BDC50" s="344"/>
      <c r="BDD50" s="344"/>
      <c r="BDE50" s="344"/>
      <c r="BDF50" s="344"/>
      <c r="BDG50" s="344"/>
      <c r="BDH50" s="344"/>
      <c r="BDI50" s="344"/>
      <c r="BDJ50" s="344"/>
      <c r="BDK50" s="344"/>
      <c r="BDL50" s="344"/>
      <c r="BDM50" s="344"/>
      <c r="BDN50" s="344"/>
      <c r="BDO50" s="344"/>
      <c r="BDP50" s="344"/>
      <c r="BDQ50" s="344"/>
      <c r="BDR50" s="344"/>
      <c r="BDS50" s="344"/>
      <c r="BDT50" s="344"/>
      <c r="BDU50" s="344"/>
      <c r="BDV50" s="344"/>
      <c r="BDW50" s="344"/>
      <c r="BDX50" s="344"/>
      <c r="BDY50" s="344"/>
      <c r="BDZ50" s="344"/>
      <c r="BEA50" s="344"/>
      <c r="BEB50" s="344"/>
      <c r="BEC50" s="344"/>
      <c r="BED50" s="344"/>
      <c r="BEE50" s="344"/>
      <c r="BEF50" s="344"/>
      <c r="BEG50" s="344"/>
      <c r="BEH50" s="344"/>
      <c r="BEI50" s="344"/>
      <c r="BEJ50" s="344"/>
      <c r="BEK50" s="344"/>
      <c r="BEL50" s="344"/>
      <c r="BEM50" s="344"/>
      <c r="BEN50" s="344"/>
      <c r="BEO50" s="344"/>
      <c r="BEP50" s="344"/>
      <c r="BEQ50" s="344"/>
      <c r="BER50" s="344"/>
      <c r="BES50" s="344"/>
      <c r="BET50" s="344"/>
      <c r="BEU50" s="344"/>
      <c r="BEV50" s="344"/>
      <c r="BEW50" s="344"/>
      <c r="BEX50" s="344"/>
      <c r="BEY50" s="344"/>
      <c r="BEZ50" s="344"/>
      <c r="BFA50" s="344"/>
      <c r="BFB50" s="344"/>
      <c r="BFC50" s="344"/>
      <c r="BFD50" s="344"/>
      <c r="BFE50" s="344"/>
      <c r="BFF50" s="344"/>
      <c r="BFG50" s="344"/>
      <c r="BFH50" s="344"/>
      <c r="BFI50" s="344"/>
      <c r="BFJ50" s="344"/>
      <c r="BFK50" s="344"/>
      <c r="BFL50" s="344"/>
      <c r="BFM50" s="344"/>
      <c r="BFN50" s="344"/>
      <c r="BFO50" s="344"/>
      <c r="BFP50" s="344"/>
      <c r="BFQ50" s="344"/>
      <c r="BFR50" s="344"/>
      <c r="BFS50" s="344"/>
      <c r="BFT50" s="344"/>
      <c r="BFU50" s="344"/>
      <c r="BFV50" s="344"/>
      <c r="BFW50" s="344"/>
      <c r="BFX50" s="344"/>
      <c r="BFY50" s="344"/>
      <c r="BFZ50" s="344"/>
      <c r="BGA50" s="344"/>
      <c r="BGB50" s="344"/>
      <c r="BGC50" s="344"/>
      <c r="BGD50" s="344"/>
      <c r="BGE50" s="344"/>
      <c r="BGF50" s="344"/>
      <c r="BGG50" s="344"/>
      <c r="BGH50" s="344"/>
      <c r="BGI50" s="344"/>
      <c r="BGJ50" s="344"/>
      <c r="BGK50" s="344"/>
      <c r="BGL50" s="344"/>
      <c r="BGM50" s="344"/>
      <c r="BGN50" s="344"/>
      <c r="BGO50" s="344"/>
      <c r="BGP50" s="344"/>
      <c r="BGQ50" s="344"/>
      <c r="BGR50" s="344"/>
      <c r="BGS50" s="344"/>
      <c r="BGT50" s="344"/>
      <c r="BGU50" s="344"/>
      <c r="BGV50" s="344"/>
      <c r="BGW50" s="344"/>
      <c r="BGX50" s="344"/>
      <c r="BGY50" s="344"/>
      <c r="BGZ50" s="344"/>
      <c r="BHA50" s="344"/>
      <c r="BHB50" s="344"/>
      <c r="BHC50" s="344"/>
      <c r="BHD50" s="344"/>
      <c r="BHE50" s="344"/>
      <c r="BHF50" s="344"/>
      <c r="BHG50" s="344"/>
      <c r="BHH50" s="344"/>
      <c r="BHI50" s="344"/>
      <c r="BHJ50" s="344"/>
      <c r="BHK50" s="344"/>
      <c r="BHL50" s="344"/>
      <c r="BHM50" s="344"/>
      <c r="BHN50" s="344"/>
      <c r="BHO50" s="344"/>
      <c r="BHP50" s="344"/>
      <c r="BHQ50" s="344"/>
      <c r="BHR50" s="344"/>
      <c r="BHS50" s="344"/>
      <c r="BHT50" s="344"/>
      <c r="BHU50" s="344"/>
      <c r="BHV50" s="344"/>
      <c r="BHW50" s="344"/>
      <c r="BHX50" s="344"/>
      <c r="BHY50" s="344"/>
      <c r="BHZ50" s="344"/>
      <c r="BIA50" s="344"/>
      <c r="BIB50" s="344"/>
      <c r="BIC50" s="344"/>
      <c r="BID50" s="344"/>
      <c r="BIE50" s="344"/>
      <c r="BIF50" s="344"/>
      <c r="BIG50" s="344"/>
      <c r="BIH50" s="344"/>
      <c r="BII50" s="344"/>
      <c r="BIJ50" s="344"/>
      <c r="BIK50" s="344"/>
      <c r="BIL50" s="344"/>
      <c r="BIM50" s="344"/>
      <c r="BIN50" s="344"/>
      <c r="BIO50" s="344"/>
      <c r="BIP50" s="344"/>
      <c r="BIQ50" s="344"/>
      <c r="BIR50" s="344"/>
      <c r="BIS50" s="344"/>
      <c r="BIT50" s="344"/>
      <c r="BIU50" s="344"/>
      <c r="BIV50" s="344"/>
      <c r="BIW50" s="344"/>
      <c r="BIX50" s="344"/>
      <c r="BIY50" s="344"/>
      <c r="BIZ50" s="344"/>
      <c r="BJA50" s="344"/>
      <c r="BJB50" s="344"/>
      <c r="BJC50" s="344"/>
      <c r="BJD50" s="344"/>
      <c r="BJE50" s="344"/>
      <c r="BJF50" s="344"/>
      <c r="BJG50" s="344"/>
      <c r="BJH50" s="344"/>
      <c r="BJI50" s="344"/>
      <c r="BJJ50" s="344"/>
      <c r="BJK50" s="344"/>
      <c r="BJL50" s="344"/>
      <c r="BJM50" s="344"/>
      <c r="BJN50" s="344"/>
      <c r="BJO50" s="344"/>
      <c r="BJP50" s="344"/>
      <c r="BJQ50" s="344"/>
      <c r="BJR50" s="344"/>
      <c r="BJS50" s="344"/>
      <c r="BJT50" s="344"/>
      <c r="BJU50" s="344"/>
      <c r="BJV50" s="344"/>
      <c r="BJW50" s="344"/>
      <c r="BJX50" s="344"/>
      <c r="BJY50" s="344"/>
      <c r="BJZ50" s="344"/>
      <c r="BKA50" s="344"/>
      <c r="BKB50" s="344"/>
      <c r="BKC50" s="344"/>
      <c r="BKD50" s="344"/>
      <c r="BKE50" s="344"/>
      <c r="BKF50" s="344"/>
      <c r="BKG50" s="344"/>
      <c r="BKH50" s="344"/>
      <c r="BKI50" s="344"/>
      <c r="BKJ50" s="344"/>
      <c r="BKK50" s="344"/>
      <c r="BKL50" s="344"/>
      <c r="BKM50" s="344"/>
      <c r="BKN50" s="344"/>
      <c r="BKO50" s="344"/>
      <c r="BKP50" s="344"/>
      <c r="BKQ50" s="344"/>
      <c r="BKR50" s="344"/>
      <c r="BKS50" s="344"/>
      <c r="BKT50" s="344"/>
      <c r="BKU50" s="344"/>
      <c r="BKV50" s="344"/>
      <c r="BKW50" s="344"/>
      <c r="BKX50" s="344"/>
      <c r="BKY50" s="344"/>
      <c r="BKZ50" s="344"/>
      <c r="BLA50" s="344"/>
      <c r="BLB50" s="344"/>
      <c r="BLC50" s="344"/>
      <c r="BLD50" s="344"/>
      <c r="BLE50" s="344"/>
      <c r="BLF50" s="344"/>
      <c r="BLG50" s="344"/>
      <c r="BLH50" s="344"/>
      <c r="BLI50" s="344"/>
      <c r="BLJ50" s="344"/>
      <c r="BLK50" s="344"/>
      <c r="BLL50" s="344"/>
      <c r="BLM50" s="344"/>
      <c r="BLN50" s="344"/>
      <c r="BLO50" s="344"/>
      <c r="BLP50" s="344"/>
      <c r="BLQ50" s="344"/>
      <c r="BLR50" s="344"/>
      <c r="BLS50" s="344"/>
      <c r="BLT50" s="344"/>
      <c r="BLU50" s="344"/>
      <c r="BLV50" s="344"/>
      <c r="BLW50" s="344"/>
      <c r="BLX50" s="344"/>
      <c r="BLY50" s="344"/>
      <c r="BLZ50" s="344"/>
      <c r="BMA50" s="344"/>
      <c r="BMB50" s="344"/>
      <c r="BMC50" s="344"/>
      <c r="BMD50" s="344"/>
      <c r="BME50" s="344"/>
      <c r="BMF50" s="344"/>
      <c r="BMG50" s="344"/>
      <c r="BMH50" s="344"/>
      <c r="BMI50" s="344"/>
      <c r="BMJ50" s="344"/>
      <c r="BMK50" s="344"/>
      <c r="BML50" s="344"/>
      <c r="BMM50" s="344"/>
      <c r="BMN50" s="344"/>
      <c r="BMO50" s="344"/>
      <c r="BMP50" s="344"/>
      <c r="BMQ50" s="344"/>
      <c r="BMR50" s="344"/>
      <c r="BMS50" s="344"/>
      <c r="BMT50" s="344"/>
      <c r="BMU50" s="344"/>
      <c r="BMV50" s="344"/>
      <c r="BMW50" s="344"/>
      <c r="BMX50" s="344"/>
      <c r="BMY50" s="344"/>
      <c r="BMZ50" s="344"/>
      <c r="BNA50" s="344"/>
      <c r="BNB50" s="344"/>
      <c r="BNC50" s="344"/>
      <c r="BND50" s="344"/>
      <c r="BNE50" s="344"/>
      <c r="BNF50" s="344"/>
      <c r="BNG50" s="344"/>
      <c r="BNH50" s="344"/>
      <c r="BNI50" s="344"/>
      <c r="BNJ50" s="344"/>
      <c r="BNK50" s="344"/>
      <c r="BNL50" s="344"/>
      <c r="BNM50" s="344"/>
      <c r="BNN50" s="344"/>
      <c r="BNO50" s="344"/>
      <c r="BNP50" s="344"/>
      <c r="BNQ50" s="344"/>
      <c r="BNR50" s="344"/>
      <c r="BNS50" s="344"/>
      <c r="BNT50" s="344"/>
      <c r="BNU50" s="344"/>
      <c r="BNV50" s="344"/>
      <c r="BNW50" s="344"/>
      <c r="BNX50" s="344"/>
      <c r="BNY50" s="344"/>
      <c r="BNZ50" s="344"/>
      <c r="BOA50" s="344"/>
      <c r="BOB50" s="344"/>
      <c r="BOC50" s="344"/>
      <c r="BOD50" s="344"/>
      <c r="BOE50" s="344"/>
      <c r="BOF50" s="344"/>
      <c r="BOG50" s="344"/>
      <c r="BOH50" s="344"/>
      <c r="BOI50" s="344"/>
      <c r="BOJ50" s="344"/>
      <c r="BOK50" s="344"/>
      <c r="BOL50" s="344"/>
      <c r="BOM50" s="344"/>
      <c r="BON50" s="344"/>
      <c r="BOO50" s="344"/>
      <c r="BOP50" s="344"/>
      <c r="BOQ50" s="344"/>
      <c r="BOR50" s="344"/>
      <c r="BOS50" s="344"/>
      <c r="BOT50" s="344"/>
      <c r="BOU50" s="344"/>
      <c r="BOV50" s="344"/>
      <c r="BOW50" s="344"/>
      <c r="BOX50" s="344"/>
      <c r="BOY50" s="344"/>
      <c r="BOZ50" s="344"/>
      <c r="BPA50" s="344"/>
      <c r="BPB50" s="344"/>
      <c r="BPC50" s="344"/>
      <c r="BPD50" s="344"/>
      <c r="BPE50" s="344"/>
      <c r="BPF50" s="344"/>
      <c r="BPG50" s="344"/>
      <c r="BPH50" s="344"/>
      <c r="BPI50" s="344"/>
      <c r="BPJ50" s="344"/>
      <c r="BPK50" s="344"/>
      <c r="BPL50" s="344"/>
      <c r="BPM50" s="344"/>
      <c r="BPN50" s="344"/>
      <c r="BPO50" s="344"/>
      <c r="BPP50" s="344"/>
      <c r="BPQ50" s="344"/>
      <c r="BPR50" s="344"/>
      <c r="BPS50" s="344"/>
      <c r="BPT50" s="344"/>
      <c r="BPU50" s="344"/>
      <c r="BPV50" s="344"/>
      <c r="BPW50" s="344"/>
      <c r="BPX50" s="344"/>
      <c r="BPY50" s="344"/>
      <c r="BPZ50" s="344"/>
      <c r="BQA50" s="344"/>
      <c r="BQB50" s="344"/>
      <c r="BQC50" s="344"/>
      <c r="BQD50" s="344"/>
      <c r="BQE50" s="344"/>
      <c r="BQF50" s="344"/>
      <c r="BQG50" s="344"/>
      <c r="BQH50" s="344"/>
      <c r="BQI50" s="344"/>
      <c r="BQJ50" s="344"/>
      <c r="BQK50" s="344"/>
      <c r="BQL50" s="344"/>
      <c r="BQM50" s="344"/>
      <c r="BQN50" s="344"/>
      <c r="BQO50" s="344"/>
      <c r="BQP50" s="344"/>
      <c r="BQQ50" s="344"/>
      <c r="BQR50" s="344"/>
      <c r="BQS50" s="344"/>
      <c r="BQT50" s="344"/>
      <c r="BQU50" s="344"/>
      <c r="BQV50" s="344"/>
      <c r="BQW50" s="344"/>
      <c r="BQX50" s="344"/>
      <c r="BQY50" s="344"/>
      <c r="BQZ50" s="344"/>
      <c r="BRA50" s="344"/>
      <c r="BRB50" s="344"/>
      <c r="BRC50" s="344"/>
      <c r="BRD50" s="344"/>
      <c r="BRE50" s="344"/>
      <c r="BRF50" s="344"/>
      <c r="BRG50" s="344"/>
      <c r="BRH50" s="344"/>
      <c r="BRI50" s="344"/>
      <c r="BRJ50" s="344"/>
      <c r="BRK50" s="344"/>
      <c r="BRL50" s="344"/>
      <c r="BRM50" s="344"/>
      <c r="BRN50" s="344"/>
      <c r="BRO50" s="344"/>
      <c r="BRP50" s="344"/>
      <c r="BRQ50" s="344"/>
      <c r="BRR50" s="344"/>
      <c r="BRS50" s="344"/>
      <c r="BRT50" s="344"/>
      <c r="BRU50" s="344"/>
      <c r="BRV50" s="344"/>
      <c r="BRW50" s="344"/>
      <c r="BRX50" s="344"/>
      <c r="BRY50" s="344"/>
      <c r="BRZ50" s="344"/>
      <c r="BSA50" s="344"/>
      <c r="BSB50" s="344"/>
      <c r="BSC50" s="344"/>
      <c r="BSD50" s="344"/>
      <c r="BSE50" s="344"/>
      <c r="BSF50" s="344"/>
      <c r="BSG50" s="344"/>
      <c r="BSH50" s="344"/>
      <c r="BSI50" s="344"/>
      <c r="BSJ50" s="344"/>
      <c r="BSK50" s="344"/>
      <c r="BSL50" s="344"/>
      <c r="BSM50" s="344"/>
      <c r="BSN50" s="344"/>
      <c r="BSO50" s="344"/>
      <c r="BSP50" s="344"/>
      <c r="BSQ50" s="344"/>
      <c r="BSR50" s="344"/>
      <c r="BSS50" s="344"/>
      <c r="BST50" s="344"/>
      <c r="BSU50" s="344"/>
      <c r="BSV50" s="344"/>
      <c r="BSW50" s="344"/>
      <c r="BSX50" s="344"/>
      <c r="BSY50" s="344"/>
      <c r="BSZ50" s="344"/>
      <c r="BTA50" s="344"/>
      <c r="BTB50" s="344"/>
      <c r="BTC50" s="344"/>
      <c r="BTD50" s="344"/>
      <c r="BTE50" s="344"/>
      <c r="BTF50" s="344"/>
      <c r="BTG50" s="344"/>
      <c r="BTH50" s="344"/>
      <c r="BTI50" s="344"/>
      <c r="BTJ50" s="344"/>
      <c r="BTK50" s="344"/>
      <c r="BTL50" s="344"/>
      <c r="BTM50" s="344"/>
      <c r="BTN50" s="344"/>
      <c r="BTO50" s="344"/>
      <c r="BTP50" s="344"/>
      <c r="BTQ50" s="344"/>
      <c r="BTR50" s="344"/>
      <c r="BTS50" s="344"/>
      <c r="BTT50" s="344"/>
      <c r="BTU50" s="344"/>
      <c r="BTV50" s="344"/>
      <c r="BTW50" s="344"/>
      <c r="BTX50" s="344"/>
      <c r="BTY50" s="344"/>
      <c r="BTZ50" s="344"/>
      <c r="BUA50" s="344"/>
      <c r="BUB50" s="344"/>
      <c r="BUC50" s="344"/>
      <c r="BUD50" s="344"/>
      <c r="BUE50" s="344"/>
      <c r="BUF50" s="344"/>
      <c r="BUG50" s="344"/>
      <c r="BUH50" s="344"/>
      <c r="BUI50" s="344"/>
      <c r="BUJ50" s="344"/>
      <c r="BUK50" s="344"/>
      <c r="BUL50" s="344"/>
      <c r="BUM50" s="344"/>
      <c r="BUN50" s="344"/>
      <c r="BUO50" s="344"/>
      <c r="BUP50" s="344"/>
      <c r="BUQ50" s="344"/>
      <c r="BUR50" s="344"/>
      <c r="BUS50" s="344"/>
      <c r="BUT50" s="344"/>
      <c r="BUU50" s="344"/>
      <c r="BUV50" s="344"/>
      <c r="BUW50" s="344"/>
      <c r="BUX50" s="344"/>
      <c r="BUY50" s="344"/>
      <c r="BUZ50" s="344"/>
      <c r="BVA50" s="344"/>
      <c r="BVB50" s="344"/>
      <c r="BVC50" s="344"/>
      <c r="BVD50" s="344"/>
      <c r="BVE50" s="344"/>
      <c r="BVF50" s="344"/>
      <c r="BVG50" s="344"/>
      <c r="BVH50" s="344"/>
      <c r="BVI50" s="344"/>
      <c r="BVJ50" s="344"/>
      <c r="BVK50" s="344"/>
      <c r="BVL50" s="344"/>
      <c r="BVM50" s="344"/>
      <c r="BVN50" s="344"/>
      <c r="BVO50" s="344"/>
      <c r="BVP50" s="344"/>
      <c r="BVQ50" s="344"/>
      <c r="BVR50" s="344"/>
      <c r="BVS50" s="344"/>
      <c r="BVT50" s="344"/>
      <c r="BVU50" s="344"/>
      <c r="BVV50" s="344"/>
      <c r="BVW50" s="344"/>
      <c r="BVX50" s="344"/>
      <c r="BVY50" s="344"/>
      <c r="BVZ50" s="344"/>
      <c r="BWA50" s="344"/>
      <c r="BWB50" s="344"/>
      <c r="BWC50" s="344"/>
      <c r="BWD50" s="344"/>
      <c r="BWE50" s="344"/>
      <c r="BWF50" s="344"/>
      <c r="BWG50" s="344"/>
      <c r="BWH50" s="344"/>
      <c r="BWI50" s="344"/>
      <c r="BWJ50" s="344"/>
      <c r="BWK50" s="344"/>
      <c r="BWL50" s="344"/>
      <c r="BWM50" s="344"/>
      <c r="BWN50" s="344"/>
      <c r="BWO50" s="344"/>
      <c r="BWP50" s="344"/>
      <c r="BWQ50" s="344"/>
      <c r="BWR50" s="344"/>
      <c r="BWS50" s="344"/>
      <c r="BWT50" s="344"/>
      <c r="BWU50" s="344"/>
      <c r="BWV50" s="344"/>
      <c r="BWW50" s="344"/>
      <c r="BWX50" s="344"/>
      <c r="BWY50" s="344"/>
      <c r="BWZ50" s="344"/>
      <c r="BXA50" s="344"/>
      <c r="BXB50" s="344"/>
      <c r="BXC50" s="344"/>
      <c r="BXD50" s="344"/>
      <c r="BXE50" s="344"/>
      <c r="BXF50" s="344"/>
      <c r="BXG50" s="344"/>
      <c r="BXH50" s="344"/>
      <c r="BXI50" s="344"/>
      <c r="BXJ50" s="344"/>
      <c r="BXK50" s="344"/>
      <c r="BXL50" s="344"/>
      <c r="BXM50" s="344"/>
      <c r="BXN50" s="344"/>
      <c r="BXO50" s="344"/>
      <c r="BXP50" s="344"/>
      <c r="BXQ50" s="344"/>
      <c r="BXR50" s="344"/>
      <c r="BXS50" s="344"/>
      <c r="BXT50" s="344"/>
      <c r="BXU50" s="344"/>
      <c r="BXV50" s="344"/>
      <c r="BXW50" s="344"/>
      <c r="BXX50" s="344"/>
      <c r="BXY50" s="344"/>
      <c r="BXZ50" s="344"/>
      <c r="BYA50" s="344"/>
      <c r="BYB50" s="344"/>
      <c r="BYC50" s="344"/>
      <c r="BYD50" s="344"/>
      <c r="BYE50" s="344"/>
      <c r="BYF50" s="344"/>
      <c r="BYG50" s="344"/>
      <c r="BYH50" s="344"/>
      <c r="BYI50" s="344"/>
      <c r="BYJ50" s="344"/>
      <c r="BYK50" s="344"/>
      <c r="BYL50" s="344"/>
      <c r="BYM50" s="344"/>
      <c r="BYN50" s="344"/>
      <c r="BYO50" s="344"/>
      <c r="BYP50" s="344"/>
      <c r="BYQ50" s="344"/>
      <c r="BYR50" s="344"/>
      <c r="BYS50" s="344"/>
      <c r="BYT50" s="344"/>
      <c r="BYU50" s="344"/>
      <c r="BYV50" s="344"/>
      <c r="BYW50" s="344"/>
      <c r="BYX50" s="344"/>
      <c r="BYY50" s="344"/>
      <c r="BYZ50" s="344"/>
      <c r="BZA50" s="344"/>
      <c r="BZB50" s="344"/>
      <c r="BZC50" s="344"/>
      <c r="BZD50" s="344"/>
      <c r="BZE50" s="344"/>
      <c r="BZF50" s="344"/>
      <c r="BZG50" s="344"/>
      <c r="BZH50" s="344"/>
      <c r="BZI50" s="344"/>
      <c r="BZJ50" s="344"/>
      <c r="BZK50" s="344"/>
      <c r="BZL50" s="344"/>
      <c r="BZM50" s="344"/>
      <c r="BZN50" s="344"/>
      <c r="BZO50" s="344"/>
      <c r="BZP50" s="344"/>
      <c r="BZQ50" s="344"/>
      <c r="BZR50" s="344"/>
      <c r="BZS50" s="344"/>
      <c r="BZT50" s="344"/>
      <c r="BZU50" s="344"/>
      <c r="BZV50" s="344"/>
      <c r="BZW50" s="344"/>
      <c r="BZX50" s="344"/>
      <c r="BZY50" s="344"/>
      <c r="BZZ50" s="344"/>
      <c r="CAA50" s="344"/>
      <c r="CAB50" s="344"/>
      <c r="CAC50" s="344"/>
      <c r="CAD50" s="344"/>
      <c r="CAE50" s="344"/>
      <c r="CAF50" s="344"/>
      <c r="CAG50" s="344"/>
      <c r="CAH50" s="344"/>
      <c r="CAI50" s="344"/>
      <c r="CAJ50" s="344"/>
      <c r="CAK50" s="344"/>
      <c r="CAL50" s="344"/>
      <c r="CAM50" s="344"/>
      <c r="CAN50" s="344"/>
      <c r="CAO50" s="344"/>
      <c r="CAP50" s="344"/>
      <c r="CAQ50" s="344"/>
      <c r="CAR50" s="344"/>
      <c r="CAS50" s="344"/>
      <c r="CAT50" s="344"/>
      <c r="CAU50" s="344"/>
      <c r="CAV50" s="344"/>
      <c r="CAW50" s="344"/>
      <c r="CAX50" s="344"/>
      <c r="CAY50" s="344"/>
      <c r="CAZ50" s="344"/>
      <c r="CBA50" s="344"/>
      <c r="CBB50" s="344"/>
      <c r="CBC50" s="344"/>
      <c r="CBD50" s="344"/>
      <c r="CBE50" s="344"/>
      <c r="CBF50" s="344"/>
      <c r="CBG50" s="344"/>
      <c r="CBH50" s="344"/>
      <c r="CBI50" s="344"/>
      <c r="CBJ50" s="344"/>
      <c r="CBK50" s="344"/>
      <c r="CBL50" s="344"/>
      <c r="CBM50" s="344"/>
      <c r="CBN50" s="344"/>
      <c r="CBO50" s="344"/>
      <c r="CBP50" s="344"/>
      <c r="CBQ50" s="344"/>
      <c r="CBR50" s="344"/>
      <c r="CBS50" s="344"/>
      <c r="CBT50" s="344"/>
      <c r="CBU50" s="344"/>
      <c r="CBV50" s="344"/>
      <c r="CBW50" s="344"/>
      <c r="CBX50" s="344"/>
      <c r="CBY50" s="344"/>
      <c r="CBZ50" s="344"/>
      <c r="CCA50" s="344"/>
      <c r="CCB50" s="344"/>
      <c r="CCC50" s="344"/>
      <c r="CCD50" s="344"/>
      <c r="CCE50" s="344"/>
      <c r="CCF50" s="344"/>
      <c r="CCG50" s="344"/>
      <c r="CCH50" s="344"/>
      <c r="CCI50" s="344"/>
      <c r="CCJ50" s="344"/>
      <c r="CCK50" s="344"/>
      <c r="CCL50" s="344"/>
      <c r="CCM50" s="344"/>
      <c r="CCN50" s="344"/>
      <c r="CCO50" s="344"/>
      <c r="CCP50" s="344"/>
      <c r="CCQ50" s="344"/>
      <c r="CCR50" s="344"/>
      <c r="CCS50" s="344"/>
      <c r="CCT50" s="344"/>
      <c r="CCU50" s="344"/>
      <c r="CCV50" s="344"/>
      <c r="CCW50" s="344"/>
      <c r="CCX50" s="344"/>
      <c r="CCY50" s="344"/>
      <c r="CCZ50" s="344"/>
      <c r="CDA50" s="344"/>
      <c r="CDB50" s="344"/>
      <c r="CDC50" s="344"/>
      <c r="CDD50" s="344"/>
      <c r="CDE50" s="344"/>
      <c r="CDF50" s="344"/>
      <c r="CDG50" s="344"/>
      <c r="CDH50" s="344"/>
      <c r="CDI50" s="344"/>
      <c r="CDJ50" s="344"/>
      <c r="CDK50" s="344"/>
      <c r="CDL50" s="344"/>
      <c r="CDM50" s="344"/>
      <c r="CDN50" s="344"/>
      <c r="CDO50" s="344"/>
      <c r="CDP50" s="344"/>
      <c r="CDQ50" s="344"/>
      <c r="CDR50" s="344"/>
      <c r="CDS50" s="344"/>
      <c r="CDT50" s="344"/>
      <c r="CDU50" s="344"/>
      <c r="CDV50" s="344"/>
      <c r="CDW50" s="344"/>
      <c r="CDX50" s="344"/>
      <c r="CDY50" s="344"/>
      <c r="CDZ50" s="344"/>
      <c r="CEA50" s="344"/>
      <c r="CEB50" s="344"/>
      <c r="CEC50" s="344"/>
      <c r="CED50" s="344"/>
      <c r="CEE50" s="344"/>
      <c r="CEF50" s="344"/>
      <c r="CEG50" s="344"/>
      <c r="CEH50" s="344"/>
      <c r="CEI50" s="344"/>
      <c r="CEJ50" s="344"/>
      <c r="CEK50" s="344"/>
      <c r="CEL50" s="344"/>
      <c r="CEM50" s="344"/>
      <c r="CEN50" s="344"/>
      <c r="CEO50" s="344"/>
      <c r="CEP50" s="344"/>
      <c r="CEQ50" s="344"/>
      <c r="CER50" s="344"/>
      <c r="CES50" s="344"/>
      <c r="CET50" s="344"/>
      <c r="CEU50" s="344"/>
      <c r="CEV50" s="344"/>
      <c r="CEW50" s="344"/>
      <c r="CEX50" s="344"/>
      <c r="CEY50" s="344"/>
      <c r="CEZ50" s="344"/>
      <c r="CFA50" s="344"/>
      <c r="CFB50" s="344"/>
      <c r="CFC50" s="344"/>
      <c r="CFD50" s="344"/>
      <c r="CFE50" s="344"/>
      <c r="CFF50" s="344"/>
      <c r="CFG50" s="344"/>
      <c r="CFH50" s="344"/>
      <c r="CFI50" s="344"/>
      <c r="CFJ50" s="344"/>
      <c r="CFK50" s="344"/>
      <c r="CFL50" s="344"/>
      <c r="CFM50" s="344"/>
      <c r="CFN50" s="344"/>
      <c r="CFO50" s="344"/>
      <c r="CFP50" s="344"/>
      <c r="CFQ50" s="344"/>
      <c r="CFR50" s="344"/>
      <c r="CFS50" s="344"/>
      <c r="CFT50" s="344"/>
      <c r="CFU50" s="344"/>
      <c r="CFV50" s="344"/>
      <c r="CFW50" s="344"/>
      <c r="CFX50" s="344"/>
      <c r="CFY50" s="344"/>
      <c r="CFZ50" s="344"/>
      <c r="CGA50" s="344"/>
      <c r="CGB50" s="344"/>
      <c r="CGC50" s="344"/>
      <c r="CGD50" s="344"/>
      <c r="CGE50" s="344"/>
      <c r="CGF50" s="344"/>
      <c r="CGG50" s="344"/>
      <c r="CGH50" s="344"/>
      <c r="CGI50" s="344"/>
      <c r="CGJ50" s="344"/>
      <c r="CGK50" s="344"/>
      <c r="CGL50" s="344"/>
      <c r="CGM50" s="344"/>
      <c r="CGN50" s="344"/>
      <c r="CGO50" s="344"/>
      <c r="CGP50" s="344"/>
      <c r="CGQ50" s="344"/>
      <c r="CGR50" s="344"/>
      <c r="CGS50" s="344"/>
      <c r="CGT50" s="344"/>
      <c r="CGU50" s="344"/>
      <c r="CGV50" s="344"/>
      <c r="CGW50" s="344"/>
      <c r="CGX50" s="344"/>
      <c r="CGY50" s="344"/>
      <c r="CGZ50" s="344"/>
      <c r="CHA50" s="344"/>
      <c r="CHB50" s="344"/>
      <c r="CHC50" s="344"/>
      <c r="CHD50" s="344"/>
      <c r="CHE50" s="344"/>
      <c r="CHF50" s="344"/>
      <c r="CHG50" s="344"/>
      <c r="CHH50" s="344"/>
      <c r="CHI50" s="344"/>
      <c r="CHJ50" s="344"/>
      <c r="CHK50" s="344"/>
      <c r="CHL50" s="344"/>
      <c r="CHM50" s="344"/>
      <c r="CHN50" s="344"/>
      <c r="CHO50" s="344"/>
      <c r="CHP50" s="344"/>
      <c r="CHQ50" s="344"/>
      <c r="CHR50" s="344"/>
      <c r="CHS50" s="344"/>
      <c r="CHT50" s="344"/>
      <c r="CHU50" s="344"/>
      <c r="CHV50" s="344"/>
      <c r="CHW50" s="344"/>
      <c r="CHX50" s="344"/>
      <c r="CHY50" s="344"/>
      <c r="CHZ50" s="344"/>
      <c r="CIA50" s="344"/>
      <c r="CIB50" s="344"/>
      <c r="CIC50" s="344"/>
      <c r="CID50" s="344"/>
      <c r="CIE50" s="344"/>
      <c r="CIF50" s="344"/>
      <c r="CIG50" s="344"/>
      <c r="CIH50" s="344"/>
      <c r="CII50" s="344"/>
      <c r="CIJ50" s="344"/>
      <c r="CIK50" s="344"/>
      <c r="CIL50" s="344"/>
      <c r="CIM50" s="344"/>
      <c r="CIN50" s="344"/>
      <c r="CIO50" s="344"/>
      <c r="CIP50" s="344"/>
      <c r="CIQ50" s="344"/>
      <c r="CIR50" s="344"/>
      <c r="CIS50" s="344"/>
      <c r="CIT50" s="344"/>
      <c r="CIU50" s="344"/>
      <c r="CIV50" s="344"/>
      <c r="CIW50" s="344"/>
      <c r="CIX50" s="344"/>
      <c r="CIY50" s="344"/>
      <c r="CIZ50" s="344"/>
      <c r="CJA50" s="344"/>
      <c r="CJB50" s="344"/>
      <c r="CJC50" s="344"/>
      <c r="CJD50" s="344"/>
      <c r="CJE50" s="344"/>
      <c r="CJF50" s="344"/>
      <c r="CJG50" s="344"/>
      <c r="CJH50" s="344"/>
      <c r="CJI50" s="344"/>
      <c r="CJJ50" s="344"/>
      <c r="CJK50" s="344"/>
      <c r="CJL50" s="344"/>
      <c r="CJM50" s="344"/>
      <c r="CJN50" s="344"/>
      <c r="CJO50" s="344"/>
      <c r="CJP50" s="344"/>
      <c r="CJQ50" s="344"/>
      <c r="CJR50" s="344"/>
      <c r="CJS50" s="344"/>
      <c r="CJT50" s="344"/>
      <c r="CJU50" s="344"/>
      <c r="CJV50" s="344"/>
      <c r="CJW50" s="344"/>
      <c r="CJX50" s="344"/>
      <c r="CJY50" s="344"/>
      <c r="CJZ50" s="344"/>
      <c r="CKA50" s="344"/>
      <c r="CKB50" s="344"/>
      <c r="CKC50" s="344"/>
      <c r="CKD50" s="344"/>
      <c r="CKE50" s="344"/>
      <c r="CKF50" s="344"/>
      <c r="CKG50" s="344"/>
      <c r="CKH50" s="344"/>
      <c r="CKI50" s="344"/>
      <c r="CKJ50" s="344"/>
      <c r="CKK50" s="344"/>
      <c r="CKL50" s="344"/>
      <c r="CKM50" s="344"/>
      <c r="CKN50" s="344"/>
      <c r="CKO50" s="344"/>
      <c r="CKP50" s="344"/>
      <c r="CKQ50" s="344"/>
      <c r="CKR50" s="344"/>
      <c r="CKS50" s="344"/>
      <c r="CKT50" s="344"/>
      <c r="CKU50" s="344"/>
      <c r="CKV50" s="344"/>
      <c r="CKW50" s="344"/>
      <c r="CKX50" s="344"/>
      <c r="CKY50" s="344"/>
      <c r="CKZ50" s="344"/>
      <c r="CLA50" s="344"/>
      <c r="CLB50" s="344"/>
      <c r="CLC50" s="344"/>
      <c r="CLD50" s="344"/>
      <c r="CLE50" s="344"/>
      <c r="CLF50" s="344"/>
      <c r="CLG50" s="344"/>
      <c r="CLH50" s="344"/>
      <c r="CLI50" s="344"/>
      <c r="CLJ50" s="344"/>
      <c r="CLK50" s="344"/>
      <c r="CLL50" s="344"/>
      <c r="CLM50" s="344"/>
      <c r="CLN50" s="344"/>
      <c r="CLO50" s="344"/>
      <c r="CLP50" s="344"/>
      <c r="CLQ50" s="344"/>
      <c r="CLR50" s="344"/>
      <c r="CLS50" s="344"/>
      <c r="CLT50" s="344"/>
      <c r="CLU50" s="344"/>
      <c r="CLV50" s="344"/>
      <c r="CLW50" s="344"/>
      <c r="CLX50" s="344"/>
      <c r="CLY50" s="344"/>
      <c r="CLZ50" s="344"/>
      <c r="CMA50" s="344"/>
      <c r="CMB50" s="344"/>
      <c r="CMC50" s="344"/>
      <c r="CMD50" s="344"/>
      <c r="CME50" s="344"/>
      <c r="CMF50" s="344"/>
      <c r="CMG50" s="344"/>
      <c r="CMH50" s="344"/>
      <c r="CMI50" s="344"/>
      <c r="CMJ50" s="344"/>
      <c r="CMK50" s="344"/>
      <c r="CML50" s="344"/>
      <c r="CMM50" s="344"/>
      <c r="CMN50" s="344"/>
      <c r="CMO50" s="344"/>
      <c r="CMP50" s="344"/>
      <c r="CMQ50" s="344"/>
      <c r="CMR50" s="344"/>
      <c r="CMS50" s="344"/>
      <c r="CMT50" s="344"/>
      <c r="CMU50" s="344"/>
      <c r="CMV50" s="344"/>
      <c r="CMW50" s="344"/>
      <c r="CMX50" s="344"/>
      <c r="CMY50" s="344"/>
      <c r="CMZ50" s="344"/>
      <c r="CNA50" s="344"/>
      <c r="CNB50" s="344"/>
      <c r="CNC50" s="344"/>
      <c r="CND50" s="344"/>
      <c r="CNE50" s="344"/>
      <c r="CNF50" s="344"/>
      <c r="CNG50" s="344"/>
      <c r="CNH50" s="344"/>
      <c r="CNI50" s="344"/>
      <c r="CNJ50" s="344"/>
      <c r="CNK50" s="344"/>
      <c r="CNL50" s="344"/>
      <c r="CNM50" s="344"/>
      <c r="CNN50" s="344"/>
      <c r="CNO50" s="344"/>
      <c r="CNP50" s="344"/>
      <c r="CNQ50" s="344"/>
      <c r="CNR50" s="344"/>
      <c r="CNS50" s="344"/>
      <c r="CNT50" s="344"/>
      <c r="CNU50" s="344"/>
      <c r="CNV50" s="344"/>
      <c r="CNW50" s="344"/>
      <c r="CNX50" s="344"/>
      <c r="CNY50" s="344"/>
      <c r="CNZ50" s="344"/>
      <c r="COA50" s="344"/>
      <c r="COB50" s="344"/>
      <c r="COC50" s="344"/>
      <c r="COD50" s="344"/>
      <c r="COE50" s="344"/>
      <c r="COF50" s="344"/>
      <c r="COG50" s="344"/>
      <c r="COH50" s="344"/>
      <c r="COI50" s="344"/>
      <c r="COJ50" s="344"/>
      <c r="COK50" s="344"/>
      <c r="COL50" s="344"/>
      <c r="COM50" s="344"/>
      <c r="CON50" s="344"/>
      <c r="COO50" s="344"/>
      <c r="COP50" s="344"/>
      <c r="COQ50" s="344"/>
      <c r="COR50" s="344"/>
      <c r="COS50" s="344"/>
      <c r="COT50" s="344"/>
      <c r="COU50" s="344"/>
      <c r="COV50" s="344"/>
      <c r="COW50" s="344"/>
      <c r="COX50" s="344"/>
      <c r="COY50" s="344"/>
      <c r="COZ50" s="344"/>
      <c r="CPA50" s="344"/>
      <c r="CPB50" s="344"/>
      <c r="CPC50" s="344"/>
      <c r="CPD50" s="344"/>
      <c r="CPE50" s="344"/>
      <c r="CPF50" s="344"/>
      <c r="CPG50" s="344"/>
      <c r="CPH50" s="344"/>
      <c r="CPI50" s="344"/>
      <c r="CPJ50" s="344"/>
      <c r="CPK50" s="344"/>
      <c r="CPL50" s="344"/>
      <c r="CPM50" s="344"/>
      <c r="CPN50" s="344"/>
      <c r="CPO50" s="344"/>
      <c r="CPP50" s="344"/>
      <c r="CPQ50" s="344"/>
      <c r="CPR50" s="344"/>
      <c r="CPS50" s="344"/>
      <c r="CPT50" s="344"/>
      <c r="CPU50" s="344"/>
      <c r="CPV50" s="344"/>
      <c r="CPW50" s="344"/>
      <c r="CPX50" s="344"/>
      <c r="CPY50" s="344"/>
      <c r="CPZ50" s="344"/>
      <c r="CQA50" s="344"/>
      <c r="CQB50" s="344"/>
      <c r="CQC50" s="344"/>
      <c r="CQD50" s="344"/>
      <c r="CQE50" s="344"/>
      <c r="CQF50" s="344"/>
      <c r="CQG50" s="344"/>
      <c r="CQH50" s="344"/>
      <c r="CQI50" s="344"/>
      <c r="CQJ50" s="344"/>
      <c r="CQK50" s="344"/>
      <c r="CQL50" s="344"/>
      <c r="CQM50" s="344"/>
      <c r="CQN50" s="344"/>
      <c r="CQO50" s="344"/>
      <c r="CQP50" s="344"/>
      <c r="CQQ50" s="344"/>
      <c r="CQR50" s="344"/>
      <c r="CQS50" s="344"/>
      <c r="CQT50" s="344"/>
      <c r="CQU50" s="344"/>
      <c r="CQV50" s="344"/>
      <c r="CQW50" s="344"/>
      <c r="CQX50" s="344"/>
      <c r="CQY50" s="344"/>
      <c r="CQZ50" s="344"/>
      <c r="CRA50" s="344"/>
      <c r="CRB50" s="344"/>
      <c r="CRC50" s="344"/>
      <c r="CRD50" s="344"/>
      <c r="CRE50" s="344"/>
      <c r="CRF50" s="344"/>
      <c r="CRG50" s="344"/>
      <c r="CRH50" s="344"/>
      <c r="CRI50" s="344"/>
      <c r="CRJ50" s="344"/>
      <c r="CRK50" s="344"/>
      <c r="CRL50" s="344"/>
      <c r="CRM50" s="344"/>
      <c r="CRN50" s="344"/>
      <c r="CRO50" s="344"/>
      <c r="CRP50" s="344"/>
      <c r="CRQ50" s="344"/>
      <c r="CRR50" s="344"/>
      <c r="CRS50" s="344"/>
      <c r="CRT50" s="344"/>
      <c r="CRU50" s="344"/>
      <c r="CRV50" s="344"/>
      <c r="CRW50" s="344"/>
      <c r="CRX50" s="344"/>
      <c r="CRY50" s="344"/>
      <c r="CRZ50" s="344"/>
      <c r="CSA50" s="344"/>
      <c r="CSB50" s="344"/>
      <c r="CSC50" s="344"/>
      <c r="CSD50" s="344"/>
      <c r="CSE50" s="344"/>
      <c r="CSF50" s="344"/>
      <c r="CSG50" s="344"/>
      <c r="CSH50" s="344"/>
      <c r="CSI50" s="344"/>
      <c r="CSJ50" s="344"/>
      <c r="CSK50" s="344"/>
      <c r="CSL50" s="344"/>
      <c r="CSM50" s="344"/>
      <c r="CSN50" s="344"/>
      <c r="CSO50" s="344"/>
      <c r="CSP50" s="344"/>
      <c r="CSQ50" s="344"/>
      <c r="CSR50" s="344"/>
      <c r="CSS50" s="344"/>
      <c r="CST50" s="344"/>
      <c r="CSU50" s="344"/>
      <c r="CSV50" s="344"/>
      <c r="CSW50" s="344"/>
      <c r="CSX50" s="344"/>
      <c r="CSY50" s="344"/>
      <c r="CSZ50" s="344"/>
      <c r="CTA50" s="344"/>
      <c r="CTB50" s="344"/>
      <c r="CTC50" s="344"/>
      <c r="CTD50" s="344"/>
      <c r="CTE50" s="344"/>
      <c r="CTF50" s="344"/>
      <c r="CTG50" s="344"/>
      <c r="CTH50" s="344"/>
      <c r="CTI50" s="344"/>
      <c r="CTJ50" s="344"/>
      <c r="CTK50" s="344"/>
      <c r="CTL50" s="344"/>
      <c r="CTM50" s="344"/>
      <c r="CTN50" s="344"/>
      <c r="CTO50" s="344"/>
      <c r="CTP50" s="344"/>
      <c r="CTQ50" s="344"/>
      <c r="CTR50" s="344"/>
      <c r="CTS50" s="344"/>
      <c r="CTT50" s="344"/>
      <c r="CTU50" s="344"/>
      <c r="CTV50" s="344"/>
      <c r="CTW50" s="344"/>
      <c r="CTX50" s="344"/>
      <c r="CTY50" s="344"/>
      <c r="CTZ50" s="344"/>
      <c r="CUA50" s="344"/>
      <c r="CUB50" s="344"/>
      <c r="CUC50" s="344"/>
      <c r="CUD50" s="344"/>
      <c r="CUE50" s="344"/>
      <c r="CUF50" s="344"/>
      <c r="CUG50" s="344"/>
      <c r="CUH50" s="344"/>
      <c r="CUI50" s="344"/>
      <c r="CUJ50" s="344"/>
      <c r="CUK50" s="344"/>
      <c r="CUL50" s="344"/>
      <c r="CUM50" s="344"/>
      <c r="CUN50" s="344"/>
      <c r="CUO50" s="344"/>
      <c r="CUP50" s="344"/>
      <c r="CUQ50" s="344"/>
      <c r="CUR50" s="344"/>
      <c r="CUS50" s="344"/>
      <c r="CUT50" s="344"/>
      <c r="CUU50" s="344"/>
      <c r="CUV50" s="344"/>
      <c r="CUW50" s="344"/>
      <c r="CUX50" s="344"/>
      <c r="CUY50" s="344"/>
      <c r="CUZ50" s="344"/>
      <c r="CVA50" s="344"/>
      <c r="CVB50" s="344"/>
      <c r="CVC50" s="344"/>
      <c r="CVD50" s="344"/>
      <c r="CVE50" s="344"/>
      <c r="CVF50" s="344"/>
      <c r="CVG50" s="344"/>
      <c r="CVH50" s="344"/>
      <c r="CVI50" s="344"/>
      <c r="CVJ50" s="344"/>
      <c r="CVK50" s="344"/>
      <c r="CVL50" s="344"/>
      <c r="CVM50" s="344"/>
      <c r="CVN50" s="344"/>
      <c r="CVO50" s="344"/>
      <c r="CVP50" s="344"/>
      <c r="CVQ50" s="344"/>
      <c r="CVR50" s="344"/>
      <c r="CVS50" s="344"/>
      <c r="CVT50" s="344"/>
      <c r="CVU50" s="344"/>
      <c r="CVV50" s="344"/>
      <c r="CVW50" s="344"/>
      <c r="CVX50" s="344"/>
      <c r="CVY50" s="344"/>
      <c r="CVZ50" s="344"/>
      <c r="CWA50" s="344"/>
      <c r="CWB50" s="344"/>
      <c r="CWC50" s="344"/>
      <c r="CWD50" s="344"/>
      <c r="CWE50" s="344"/>
      <c r="CWF50" s="344"/>
      <c r="CWG50" s="344"/>
      <c r="CWH50" s="344"/>
      <c r="CWI50" s="344"/>
      <c r="CWJ50" s="344"/>
      <c r="CWK50" s="344"/>
      <c r="CWL50" s="344"/>
      <c r="CWM50" s="344"/>
      <c r="CWN50" s="344"/>
      <c r="CWO50" s="344"/>
      <c r="CWP50" s="344"/>
      <c r="CWQ50" s="344"/>
      <c r="CWR50" s="344"/>
      <c r="CWS50" s="344"/>
      <c r="CWT50" s="344"/>
      <c r="CWU50" s="344"/>
      <c r="CWV50" s="344"/>
      <c r="CWW50" s="344"/>
      <c r="CWX50" s="344"/>
      <c r="CWY50" s="344"/>
      <c r="CWZ50" s="344"/>
      <c r="CXA50" s="344"/>
      <c r="CXB50" s="344"/>
      <c r="CXC50" s="344"/>
      <c r="CXD50" s="344"/>
      <c r="CXE50" s="344"/>
      <c r="CXF50" s="344"/>
      <c r="CXG50" s="344"/>
      <c r="CXH50" s="344"/>
      <c r="CXI50" s="344"/>
      <c r="CXJ50" s="344"/>
      <c r="CXK50" s="344"/>
      <c r="CXL50" s="344"/>
      <c r="CXM50" s="344"/>
      <c r="CXN50" s="344"/>
      <c r="CXO50" s="344"/>
      <c r="CXP50" s="344"/>
      <c r="CXQ50" s="344"/>
      <c r="CXR50" s="344"/>
      <c r="CXS50" s="344"/>
      <c r="CXT50" s="344"/>
      <c r="CXU50" s="344"/>
      <c r="CXV50" s="344"/>
      <c r="CXW50" s="344"/>
      <c r="CXX50" s="344"/>
      <c r="CXY50" s="344"/>
      <c r="CXZ50" s="344"/>
      <c r="CYA50" s="344"/>
      <c r="CYB50" s="344"/>
      <c r="CYC50" s="344"/>
      <c r="CYD50" s="344"/>
      <c r="CYE50" s="344"/>
      <c r="CYF50" s="344"/>
      <c r="CYG50" s="344"/>
      <c r="CYH50" s="344"/>
      <c r="CYI50" s="344"/>
      <c r="CYJ50" s="344"/>
      <c r="CYK50" s="344"/>
      <c r="CYL50" s="344"/>
      <c r="CYM50" s="344"/>
      <c r="CYN50" s="344"/>
      <c r="CYO50" s="344"/>
      <c r="CYP50" s="344"/>
      <c r="CYQ50" s="344"/>
      <c r="CYR50" s="344"/>
      <c r="CYS50" s="344"/>
      <c r="CYT50" s="344"/>
      <c r="CYU50" s="344"/>
      <c r="CYV50" s="344"/>
      <c r="CYW50" s="344"/>
      <c r="CYX50" s="344"/>
      <c r="CYY50" s="344"/>
      <c r="CYZ50" s="344"/>
      <c r="CZA50" s="344"/>
      <c r="CZB50" s="344"/>
      <c r="CZC50" s="344"/>
      <c r="CZD50" s="344"/>
      <c r="CZE50" s="344"/>
      <c r="CZF50" s="344"/>
      <c r="CZG50" s="344"/>
      <c r="CZH50" s="344"/>
      <c r="CZI50" s="344"/>
      <c r="CZJ50" s="344"/>
      <c r="CZK50" s="344"/>
      <c r="CZL50" s="344"/>
      <c r="CZM50" s="344"/>
      <c r="CZN50" s="344"/>
      <c r="CZO50" s="344"/>
      <c r="CZP50" s="344"/>
      <c r="CZQ50" s="344"/>
      <c r="CZR50" s="344"/>
      <c r="CZS50" s="344"/>
      <c r="CZT50" s="344"/>
      <c r="CZU50" s="344"/>
      <c r="CZV50" s="344"/>
      <c r="CZW50" s="344"/>
      <c r="CZX50" s="344"/>
      <c r="CZY50" s="344"/>
      <c r="CZZ50" s="344"/>
      <c r="DAA50" s="344"/>
      <c r="DAB50" s="344"/>
      <c r="DAC50" s="344"/>
      <c r="DAD50" s="344"/>
      <c r="DAE50" s="344"/>
      <c r="DAF50" s="344"/>
      <c r="DAG50" s="344"/>
      <c r="DAH50" s="344"/>
      <c r="DAI50" s="344"/>
      <c r="DAJ50" s="344"/>
      <c r="DAK50" s="344"/>
      <c r="DAL50" s="344"/>
      <c r="DAM50" s="344"/>
      <c r="DAN50" s="344"/>
      <c r="DAO50" s="344"/>
      <c r="DAP50" s="344"/>
      <c r="DAQ50" s="344"/>
      <c r="DAR50" s="344"/>
      <c r="DAS50" s="344"/>
      <c r="DAT50" s="344"/>
      <c r="DAU50" s="344"/>
      <c r="DAV50" s="344"/>
      <c r="DAW50" s="344"/>
      <c r="DAX50" s="344"/>
      <c r="DAY50" s="344"/>
      <c r="DAZ50" s="344"/>
      <c r="DBA50" s="344"/>
      <c r="DBB50" s="344"/>
      <c r="DBC50" s="344"/>
      <c r="DBD50" s="344"/>
      <c r="DBE50" s="344"/>
      <c r="DBF50" s="344"/>
      <c r="DBG50" s="344"/>
      <c r="DBH50" s="344"/>
      <c r="DBI50" s="344"/>
      <c r="DBJ50" s="344"/>
      <c r="DBK50" s="344"/>
      <c r="DBL50" s="344"/>
      <c r="DBM50" s="344"/>
      <c r="DBN50" s="344"/>
      <c r="DBO50" s="344"/>
      <c r="DBP50" s="344"/>
      <c r="DBQ50" s="344"/>
      <c r="DBR50" s="344"/>
      <c r="DBS50" s="344"/>
      <c r="DBT50" s="344"/>
      <c r="DBU50" s="344"/>
      <c r="DBV50" s="344"/>
      <c r="DBW50" s="344"/>
      <c r="DBX50" s="344"/>
      <c r="DBY50" s="344"/>
      <c r="DBZ50" s="344"/>
      <c r="DCA50" s="344"/>
      <c r="DCB50" s="344"/>
      <c r="DCC50" s="344"/>
      <c r="DCD50" s="344"/>
      <c r="DCE50" s="344"/>
      <c r="DCF50" s="344"/>
      <c r="DCG50" s="344"/>
      <c r="DCH50" s="344"/>
      <c r="DCI50" s="344"/>
      <c r="DCJ50" s="344"/>
      <c r="DCK50" s="344"/>
      <c r="DCL50" s="344"/>
      <c r="DCM50" s="344"/>
      <c r="DCN50" s="344"/>
      <c r="DCO50" s="344"/>
      <c r="DCP50" s="344"/>
      <c r="DCQ50" s="344"/>
      <c r="DCR50" s="344"/>
      <c r="DCS50" s="344"/>
      <c r="DCT50" s="344"/>
      <c r="DCU50" s="344"/>
      <c r="DCV50" s="344"/>
      <c r="DCW50" s="344"/>
      <c r="DCX50" s="344"/>
      <c r="DCY50" s="344"/>
      <c r="DCZ50" s="344"/>
      <c r="DDA50" s="344"/>
      <c r="DDB50" s="344"/>
      <c r="DDC50" s="344"/>
      <c r="DDD50" s="344"/>
      <c r="DDE50" s="344"/>
      <c r="DDF50" s="344"/>
      <c r="DDG50" s="344"/>
      <c r="DDH50" s="344"/>
      <c r="DDI50" s="344"/>
      <c r="DDJ50" s="344"/>
      <c r="DDK50" s="344"/>
      <c r="DDL50" s="344"/>
      <c r="DDM50" s="344"/>
      <c r="DDN50" s="344"/>
      <c r="DDO50" s="344"/>
      <c r="DDP50" s="344"/>
      <c r="DDQ50" s="344"/>
      <c r="DDR50" s="344"/>
      <c r="DDS50" s="344"/>
      <c r="DDT50" s="344"/>
      <c r="DDU50" s="344"/>
      <c r="DDV50" s="344"/>
      <c r="DDW50" s="344"/>
      <c r="DDX50" s="344"/>
      <c r="DDY50" s="344"/>
      <c r="DDZ50" s="344"/>
      <c r="DEA50" s="344"/>
      <c r="DEB50" s="344"/>
      <c r="DEC50" s="344"/>
      <c r="DED50" s="344"/>
      <c r="DEE50" s="344"/>
      <c r="DEF50" s="344"/>
      <c r="DEG50" s="344"/>
      <c r="DEH50" s="344"/>
      <c r="DEI50" s="344"/>
      <c r="DEJ50" s="344"/>
      <c r="DEK50" s="344"/>
      <c r="DEL50" s="344"/>
      <c r="DEM50" s="344"/>
      <c r="DEN50" s="344"/>
      <c r="DEO50" s="344"/>
      <c r="DEP50" s="344"/>
      <c r="DEQ50" s="344"/>
      <c r="DER50" s="344"/>
      <c r="DES50" s="344"/>
      <c r="DET50" s="344"/>
      <c r="DEU50" s="344"/>
      <c r="DEV50" s="344"/>
      <c r="DEW50" s="344"/>
      <c r="DEX50" s="344"/>
      <c r="DEY50" s="344"/>
      <c r="DEZ50" s="344"/>
      <c r="DFA50" s="344"/>
      <c r="DFB50" s="344"/>
      <c r="DFC50" s="344"/>
      <c r="DFD50" s="344"/>
      <c r="DFE50" s="344"/>
      <c r="DFF50" s="344"/>
      <c r="DFG50" s="344"/>
      <c r="DFH50" s="344"/>
      <c r="DFI50" s="344"/>
      <c r="DFJ50" s="344"/>
      <c r="DFK50" s="344"/>
      <c r="DFL50" s="344"/>
      <c r="DFM50" s="344"/>
      <c r="DFN50" s="344"/>
      <c r="DFO50" s="344"/>
      <c r="DFP50" s="344"/>
      <c r="DFQ50" s="344"/>
      <c r="DFR50" s="344"/>
      <c r="DFS50" s="344"/>
      <c r="DFT50" s="344"/>
      <c r="DFU50" s="344"/>
      <c r="DFV50" s="344"/>
      <c r="DFW50" s="344"/>
      <c r="DFX50" s="344"/>
      <c r="DFY50" s="344"/>
      <c r="DFZ50" s="344"/>
      <c r="DGA50" s="344"/>
      <c r="DGB50" s="344"/>
      <c r="DGC50" s="344"/>
      <c r="DGD50" s="344"/>
      <c r="DGE50" s="344"/>
      <c r="DGF50" s="344"/>
      <c r="DGG50" s="344"/>
      <c r="DGH50" s="344"/>
      <c r="DGI50" s="344"/>
      <c r="DGJ50" s="344"/>
      <c r="DGK50" s="344"/>
      <c r="DGL50" s="344"/>
      <c r="DGM50" s="344"/>
      <c r="DGN50" s="344"/>
      <c r="DGO50" s="344"/>
      <c r="DGP50" s="344"/>
      <c r="DGQ50" s="344"/>
      <c r="DGR50" s="344"/>
      <c r="DGS50" s="344"/>
      <c r="DGT50" s="344"/>
      <c r="DGU50" s="344"/>
      <c r="DGV50" s="344"/>
      <c r="DGW50" s="344"/>
      <c r="DGX50" s="344"/>
      <c r="DGY50" s="344"/>
      <c r="DGZ50" s="344"/>
      <c r="DHA50" s="344"/>
      <c r="DHB50" s="344"/>
      <c r="DHC50" s="344"/>
      <c r="DHD50" s="344"/>
      <c r="DHE50" s="344"/>
      <c r="DHF50" s="344"/>
      <c r="DHG50" s="344"/>
      <c r="DHH50" s="344"/>
      <c r="DHI50" s="344"/>
      <c r="DHJ50" s="344"/>
      <c r="DHK50" s="344"/>
      <c r="DHL50" s="344"/>
      <c r="DHM50" s="344"/>
      <c r="DHN50" s="344"/>
      <c r="DHO50" s="344"/>
      <c r="DHP50" s="344"/>
      <c r="DHQ50" s="344"/>
      <c r="DHR50" s="344"/>
      <c r="DHS50" s="344"/>
      <c r="DHT50" s="344"/>
      <c r="DHU50" s="344"/>
      <c r="DHV50" s="344"/>
      <c r="DHW50" s="344"/>
      <c r="DHX50" s="344"/>
      <c r="DHY50" s="344"/>
      <c r="DHZ50" s="344"/>
      <c r="DIA50" s="344"/>
      <c r="DIB50" s="344"/>
      <c r="DIC50" s="344"/>
      <c r="DID50" s="344"/>
      <c r="DIE50" s="344"/>
      <c r="DIF50" s="344"/>
      <c r="DIG50" s="344"/>
      <c r="DIH50" s="344"/>
      <c r="DII50" s="344"/>
      <c r="DIJ50" s="344"/>
      <c r="DIK50" s="344"/>
      <c r="DIL50" s="344"/>
      <c r="DIM50" s="344"/>
      <c r="DIN50" s="344"/>
      <c r="DIO50" s="344"/>
      <c r="DIP50" s="344"/>
      <c r="DIQ50" s="344"/>
      <c r="DIR50" s="344"/>
      <c r="DIS50" s="344"/>
      <c r="DIT50" s="344"/>
      <c r="DIU50" s="344"/>
      <c r="DIV50" s="344"/>
      <c r="DIW50" s="344"/>
      <c r="DIX50" s="344"/>
      <c r="DIY50" s="344"/>
      <c r="DIZ50" s="344"/>
      <c r="DJA50" s="344"/>
      <c r="DJB50" s="344"/>
      <c r="DJC50" s="344"/>
      <c r="DJD50" s="344"/>
      <c r="DJE50" s="344"/>
      <c r="DJF50" s="344"/>
      <c r="DJG50" s="344"/>
      <c r="DJH50" s="344"/>
      <c r="DJI50" s="344"/>
      <c r="DJJ50" s="344"/>
      <c r="DJK50" s="344"/>
      <c r="DJL50" s="344"/>
      <c r="DJM50" s="344"/>
      <c r="DJN50" s="344"/>
      <c r="DJO50" s="344"/>
      <c r="DJP50" s="344"/>
      <c r="DJQ50" s="344"/>
      <c r="DJR50" s="344"/>
      <c r="DJS50" s="344"/>
      <c r="DJT50" s="344"/>
      <c r="DJU50" s="344"/>
      <c r="DJV50" s="344"/>
      <c r="DJW50" s="344"/>
      <c r="DJX50" s="344"/>
      <c r="DJY50" s="344"/>
      <c r="DJZ50" s="344"/>
      <c r="DKA50" s="344"/>
      <c r="DKB50" s="344"/>
      <c r="DKC50" s="344"/>
      <c r="DKD50" s="344"/>
      <c r="DKE50" s="344"/>
      <c r="DKF50" s="344"/>
      <c r="DKG50" s="344"/>
      <c r="DKH50" s="344"/>
      <c r="DKI50" s="344"/>
      <c r="DKJ50" s="344"/>
      <c r="DKK50" s="344"/>
      <c r="DKL50" s="344"/>
      <c r="DKM50" s="344"/>
      <c r="DKN50" s="344"/>
      <c r="DKO50" s="344"/>
      <c r="DKP50" s="344"/>
      <c r="DKQ50" s="344"/>
      <c r="DKR50" s="344"/>
      <c r="DKS50" s="344"/>
      <c r="DKT50" s="344"/>
      <c r="DKU50" s="344"/>
      <c r="DKV50" s="344"/>
      <c r="DKW50" s="344"/>
      <c r="DKX50" s="344"/>
      <c r="DKY50" s="344"/>
      <c r="DKZ50" s="344"/>
      <c r="DLA50" s="344"/>
      <c r="DLB50" s="344"/>
      <c r="DLC50" s="344"/>
      <c r="DLD50" s="344"/>
      <c r="DLE50" s="344"/>
      <c r="DLF50" s="344"/>
      <c r="DLG50" s="344"/>
      <c r="DLH50" s="344"/>
      <c r="DLI50" s="344"/>
      <c r="DLJ50" s="344"/>
      <c r="DLK50" s="344"/>
      <c r="DLL50" s="344"/>
      <c r="DLM50" s="344"/>
      <c r="DLN50" s="344"/>
      <c r="DLO50" s="344"/>
      <c r="DLP50" s="344"/>
      <c r="DLQ50" s="344"/>
      <c r="DLR50" s="344"/>
      <c r="DLS50" s="344"/>
      <c r="DLT50" s="344"/>
      <c r="DLU50" s="344"/>
      <c r="DLV50" s="344"/>
      <c r="DLW50" s="344"/>
      <c r="DLX50" s="344"/>
      <c r="DLY50" s="344"/>
      <c r="DLZ50" s="344"/>
      <c r="DMA50" s="344"/>
      <c r="DMB50" s="344"/>
      <c r="DMC50" s="344"/>
      <c r="DMD50" s="344"/>
      <c r="DME50" s="344"/>
      <c r="DMF50" s="344"/>
      <c r="DMG50" s="344"/>
      <c r="DMH50" s="344"/>
      <c r="DMI50" s="344"/>
      <c r="DMJ50" s="344"/>
      <c r="DMK50" s="344"/>
      <c r="DML50" s="344"/>
      <c r="DMM50" s="344"/>
      <c r="DMN50" s="344"/>
      <c r="DMO50" s="344"/>
      <c r="DMP50" s="344"/>
      <c r="DMQ50" s="344"/>
      <c r="DMR50" s="344"/>
      <c r="DMS50" s="344"/>
      <c r="DMT50" s="344"/>
      <c r="DMU50" s="344"/>
      <c r="DMV50" s="344"/>
      <c r="DMW50" s="344"/>
      <c r="DMX50" s="344"/>
      <c r="DMY50" s="344"/>
      <c r="DMZ50" s="344"/>
      <c r="DNA50" s="344"/>
      <c r="DNB50" s="344"/>
      <c r="DNC50" s="344"/>
      <c r="DND50" s="344"/>
      <c r="DNE50" s="344"/>
      <c r="DNF50" s="344"/>
      <c r="DNG50" s="344"/>
      <c r="DNH50" s="344"/>
      <c r="DNI50" s="344"/>
      <c r="DNJ50" s="344"/>
      <c r="DNK50" s="344"/>
      <c r="DNL50" s="344"/>
      <c r="DNM50" s="344"/>
      <c r="DNN50" s="344"/>
      <c r="DNO50" s="344"/>
      <c r="DNP50" s="344"/>
      <c r="DNQ50" s="344"/>
      <c r="DNR50" s="344"/>
      <c r="DNS50" s="344"/>
      <c r="DNT50" s="344"/>
      <c r="DNU50" s="344"/>
      <c r="DNV50" s="344"/>
      <c r="DNW50" s="344"/>
      <c r="DNX50" s="344"/>
      <c r="DNY50" s="344"/>
      <c r="DNZ50" s="344"/>
      <c r="DOA50" s="344"/>
      <c r="DOB50" s="344"/>
      <c r="DOC50" s="344"/>
      <c r="DOD50" s="344"/>
      <c r="DOE50" s="344"/>
      <c r="DOF50" s="344"/>
      <c r="DOG50" s="344"/>
      <c r="DOH50" s="344"/>
      <c r="DOI50" s="344"/>
      <c r="DOJ50" s="344"/>
      <c r="DOK50" s="344"/>
      <c r="DOL50" s="344"/>
      <c r="DOM50" s="344"/>
      <c r="DON50" s="344"/>
      <c r="DOO50" s="344"/>
      <c r="DOP50" s="344"/>
      <c r="DOQ50" s="344"/>
      <c r="DOR50" s="344"/>
      <c r="DOS50" s="344"/>
      <c r="DOT50" s="344"/>
      <c r="DOU50" s="344"/>
      <c r="DOV50" s="344"/>
      <c r="DOW50" s="344"/>
      <c r="DOX50" s="344"/>
      <c r="DOY50" s="344"/>
      <c r="DOZ50" s="344"/>
      <c r="DPA50" s="344"/>
      <c r="DPB50" s="344"/>
      <c r="DPC50" s="344"/>
      <c r="DPD50" s="344"/>
      <c r="DPE50" s="344"/>
      <c r="DPF50" s="344"/>
      <c r="DPG50" s="344"/>
      <c r="DPH50" s="344"/>
      <c r="DPI50" s="344"/>
      <c r="DPJ50" s="344"/>
      <c r="DPK50" s="344"/>
      <c r="DPL50" s="344"/>
      <c r="DPM50" s="344"/>
      <c r="DPN50" s="344"/>
      <c r="DPO50" s="344"/>
      <c r="DPP50" s="344"/>
      <c r="DPQ50" s="344"/>
      <c r="DPR50" s="344"/>
      <c r="DPS50" s="344"/>
      <c r="DPT50" s="344"/>
      <c r="DPU50" s="344"/>
      <c r="DPV50" s="344"/>
      <c r="DPW50" s="344"/>
      <c r="DPX50" s="344"/>
      <c r="DPY50" s="344"/>
      <c r="DPZ50" s="344"/>
      <c r="DQA50" s="344"/>
      <c r="DQB50" s="344"/>
      <c r="DQC50" s="344"/>
      <c r="DQD50" s="344"/>
      <c r="DQE50" s="344"/>
      <c r="DQF50" s="344"/>
      <c r="DQG50" s="344"/>
      <c r="DQH50" s="344"/>
      <c r="DQI50" s="344"/>
      <c r="DQJ50" s="344"/>
      <c r="DQK50" s="344"/>
      <c r="DQL50" s="344"/>
      <c r="DQM50" s="344"/>
      <c r="DQN50" s="344"/>
      <c r="DQO50" s="344"/>
      <c r="DQP50" s="344"/>
      <c r="DQQ50" s="344"/>
      <c r="DQR50" s="344"/>
      <c r="DQS50" s="344"/>
      <c r="DQT50" s="344"/>
      <c r="DQU50" s="344"/>
      <c r="DQV50" s="344"/>
      <c r="DQW50" s="344"/>
      <c r="DQX50" s="344"/>
      <c r="DQY50" s="344"/>
      <c r="DQZ50" s="344"/>
      <c r="DRA50" s="344"/>
      <c r="DRB50" s="344"/>
      <c r="DRC50" s="344"/>
      <c r="DRD50" s="344"/>
      <c r="DRE50" s="344"/>
      <c r="DRF50" s="344"/>
      <c r="DRG50" s="344"/>
      <c r="DRH50" s="344"/>
      <c r="DRI50" s="344"/>
      <c r="DRJ50" s="344"/>
      <c r="DRK50" s="344"/>
      <c r="DRL50" s="344"/>
      <c r="DRM50" s="344"/>
      <c r="DRN50" s="344"/>
      <c r="DRO50" s="344"/>
      <c r="DRP50" s="344"/>
      <c r="DRQ50" s="344"/>
      <c r="DRR50" s="344"/>
      <c r="DRS50" s="344"/>
      <c r="DRT50" s="344"/>
      <c r="DRU50" s="344"/>
      <c r="DRV50" s="344"/>
      <c r="DRW50" s="344"/>
      <c r="DRX50" s="344"/>
      <c r="DRY50" s="344"/>
      <c r="DRZ50" s="344"/>
      <c r="DSA50" s="344"/>
      <c r="DSB50" s="344"/>
      <c r="DSC50" s="344"/>
      <c r="DSD50" s="344"/>
      <c r="DSE50" s="344"/>
      <c r="DSF50" s="344"/>
      <c r="DSG50" s="344"/>
      <c r="DSH50" s="344"/>
      <c r="DSI50" s="344"/>
      <c r="DSJ50" s="344"/>
      <c r="DSK50" s="344"/>
      <c r="DSL50" s="344"/>
      <c r="DSM50" s="344"/>
      <c r="DSN50" s="344"/>
      <c r="DSO50" s="344"/>
      <c r="DSP50" s="344"/>
      <c r="DSQ50" s="344"/>
      <c r="DSR50" s="344"/>
      <c r="DSS50" s="344"/>
      <c r="DST50" s="344"/>
      <c r="DSU50" s="344"/>
      <c r="DSV50" s="344"/>
      <c r="DSW50" s="344"/>
      <c r="DSX50" s="344"/>
      <c r="DSY50" s="344"/>
      <c r="DSZ50" s="344"/>
      <c r="DTA50" s="344"/>
      <c r="DTB50" s="344"/>
      <c r="DTC50" s="344"/>
      <c r="DTD50" s="344"/>
      <c r="DTE50" s="344"/>
      <c r="DTF50" s="344"/>
      <c r="DTG50" s="344"/>
      <c r="DTH50" s="344"/>
      <c r="DTI50" s="344"/>
      <c r="DTJ50" s="344"/>
      <c r="DTK50" s="344"/>
      <c r="DTL50" s="344"/>
      <c r="DTM50" s="344"/>
      <c r="DTN50" s="344"/>
      <c r="DTO50" s="344"/>
      <c r="DTP50" s="344"/>
      <c r="DTQ50" s="344"/>
      <c r="DTR50" s="344"/>
      <c r="DTS50" s="344"/>
      <c r="DTT50" s="344"/>
      <c r="DTU50" s="344"/>
      <c r="DTV50" s="344"/>
      <c r="DTW50" s="344"/>
      <c r="DTX50" s="344"/>
      <c r="DTY50" s="344"/>
      <c r="DTZ50" s="344"/>
      <c r="DUA50" s="344"/>
      <c r="DUB50" s="344"/>
      <c r="DUC50" s="344"/>
      <c r="DUD50" s="344"/>
      <c r="DUE50" s="344"/>
      <c r="DUF50" s="344"/>
      <c r="DUG50" s="344"/>
      <c r="DUH50" s="344"/>
      <c r="DUI50" s="344"/>
      <c r="DUJ50" s="344"/>
      <c r="DUK50" s="344"/>
      <c r="DUL50" s="344"/>
      <c r="DUM50" s="344"/>
      <c r="DUN50" s="344"/>
      <c r="DUO50" s="344"/>
      <c r="DUP50" s="344"/>
      <c r="DUQ50" s="344"/>
      <c r="DUR50" s="344"/>
      <c r="DUS50" s="344"/>
      <c r="DUT50" s="344"/>
      <c r="DUU50" s="344"/>
      <c r="DUV50" s="344"/>
      <c r="DUW50" s="344"/>
      <c r="DUX50" s="344"/>
      <c r="DUY50" s="344"/>
      <c r="DUZ50" s="344"/>
      <c r="DVA50" s="344"/>
      <c r="DVB50" s="344"/>
      <c r="DVC50" s="344"/>
      <c r="DVD50" s="344"/>
      <c r="DVE50" s="344"/>
      <c r="DVF50" s="344"/>
      <c r="DVG50" s="344"/>
      <c r="DVH50" s="344"/>
      <c r="DVI50" s="344"/>
      <c r="DVJ50" s="344"/>
      <c r="DVK50" s="344"/>
      <c r="DVL50" s="344"/>
      <c r="DVM50" s="344"/>
      <c r="DVN50" s="344"/>
      <c r="DVO50" s="344"/>
      <c r="DVP50" s="344"/>
      <c r="DVQ50" s="344"/>
      <c r="DVR50" s="344"/>
      <c r="DVS50" s="344"/>
      <c r="DVT50" s="344"/>
      <c r="DVU50" s="344"/>
      <c r="DVV50" s="344"/>
      <c r="DVW50" s="344"/>
      <c r="DVX50" s="344"/>
      <c r="DVY50" s="344"/>
      <c r="DVZ50" s="344"/>
      <c r="DWA50" s="344"/>
      <c r="DWB50" s="344"/>
      <c r="DWC50" s="344"/>
      <c r="DWD50" s="344"/>
      <c r="DWE50" s="344"/>
      <c r="DWF50" s="344"/>
      <c r="DWG50" s="344"/>
      <c r="DWH50" s="344"/>
      <c r="DWI50" s="344"/>
      <c r="DWJ50" s="344"/>
      <c r="DWK50" s="344"/>
      <c r="DWL50" s="344"/>
      <c r="DWM50" s="344"/>
      <c r="DWN50" s="344"/>
      <c r="DWO50" s="344"/>
      <c r="DWP50" s="344"/>
      <c r="DWQ50" s="344"/>
      <c r="DWR50" s="344"/>
      <c r="DWS50" s="344"/>
      <c r="DWT50" s="344"/>
      <c r="DWU50" s="344"/>
      <c r="DWV50" s="344"/>
      <c r="DWW50" s="344"/>
      <c r="DWX50" s="344"/>
      <c r="DWY50" s="344"/>
      <c r="DWZ50" s="344"/>
      <c r="DXA50" s="344"/>
      <c r="DXB50" s="344"/>
      <c r="DXC50" s="344"/>
      <c r="DXD50" s="344"/>
      <c r="DXE50" s="344"/>
      <c r="DXF50" s="344"/>
      <c r="DXG50" s="344"/>
      <c r="DXH50" s="344"/>
      <c r="DXI50" s="344"/>
      <c r="DXJ50" s="344"/>
      <c r="DXK50" s="344"/>
      <c r="DXL50" s="344"/>
      <c r="DXM50" s="344"/>
      <c r="DXN50" s="344"/>
      <c r="DXO50" s="344"/>
      <c r="DXP50" s="344"/>
      <c r="DXQ50" s="344"/>
      <c r="DXR50" s="344"/>
      <c r="DXS50" s="344"/>
      <c r="DXT50" s="344"/>
      <c r="DXU50" s="344"/>
      <c r="DXV50" s="344"/>
      <c r="DXW50" s="344"/>
      <c r="DXX50" s="344"/>
      <c r="DXY50" s="344"/>
      <c r="DXZ50" s="344"/>
      <c r="DYA50" s="344"/>
      <c r="DYB50" s="344"/>
      <c r="DYC50" s="344"/>
      <c r="DYD50" s="344"/>
      <c r="DYE50" s="344"/>
      <c r="DYF50" s="344"/>
      <c r="DYG50" s="344"/>
      <c r="DYH50" s="344"/>
      <c r="DYI50" s="344"/>
      <c r="DYJ50" s="344"/>
      <c r="DYK50" s="344"/>
      <c r="DYL50" s="344"/>
      <c r="DYM50" s="344"/>
      <c r="DYN50" s="344"/>
      <c r="DYO50" s="344"/>
      <c r="DYP50" s="344"/>
      <c r="DYQ50" s="344"/>
      <c r="DYR50" s="344"/>
      <c r="DYS50" s="344"/>
      <c r="DYT50" s="344"/>
      <c r="DYU50" s="344"/>
      <c r="DYV50" s="344"/>
      <c r="DYW50" s="344"/>
      <c r="DYX50" s="344"/>
      <c r="DYY50" s="344"/>
      <c r="DYZ50" s="344"/>
      <c r="DZA50" s="344"/>
      <c r="DZB50" s="344"/>
      <c r="DZC50" s="344"/>
      <c r="DZD50" s="344"/>
      <c r="DZE50" s="344"/>
      <c r="DZF50" s="344"/>
      <c r="DZG50" s="344"/>
      <c r="DZH50" s="344"/>
      <c r="DZI50" s="344"/>
      <c r="DZJ50" s="344"/>
      <c r="DZK50" s="344"/>
      <c r="DZL50" s="344"/>
      <c r="DZM50" s="344"/>
      <c r="DZN50" s="344"/>
      <c r="DZO50" s="344"/>
      <c r="DZP50" s="344"/>
      <c r="DZQ50" s="344"/>
      <c r="DZR50" s="344"/>
      <c r="DZS50" s="344"/>
      <c r="DZT50" s="344"/>
      <c r="DZU50" s="344"/>
      <c r="DZV50" s="344"/>
      <c r="DZW50" s="344"/>
      <c r="DZX50" s="344"/>
      <c r="DZY50" s="344"/>
      <c r="DZZ50" s="344"/>
      <c r="EAA50" s="344"/>
      <c r="EAB50" s="344"/>
      <c r="EAC50" s="344"/>
      <c r="EAD50" s="344"/>
      <c r="EAE50" s="344"/>
      <c r="EAF50" s="344"/>
      <c r="EAG50" s="344"/>
      <c r="EAH50" s="344"/>
      <c r="EAI50" s="344"/>
      <c r="EAJ50" s="344"/>
      <c r="EAK50" s="344"/>
      <c r="EAL50" s="344"/>
      <c r="EAM50" s="344"/>
      <c r="EAN50" s="344"/>
      <c r="EAO50" s="344"/>
      <c r="EAP50" s="344"/>
      <c r="EAQ50" s="344"/>
      <c r="EAR50" s="344"/>
      <c r="EAS50" s="344"/>
      <c r="EAT50" s="344"/>
      <c r="EAU50" s="344"/>
      <c r="EAV50" s="344"/>
      <c r="EAW50" s="344"/>
      <c r="EAX50" s="344"/>
      <c r="EAY50" s="344"/>
      <c r="EAZ50" s="344"/>
      <c r="EBA50" s="344"/>
      <c r="EBB50" s="344"/>
      <c r="EBC50" s="344"/>
      <c r="EBD50" s="344"/>
      <c r="EBE50" s="344"/>
      <c r="EBF50" s="344"/>
      <c r="EBG50" s="344"/>
      <c r="EBH50" s="344"/>
      <c r="EBI50" s="344"/>
      <c r="EBJ50" s="344"/>
      <c r="EBK50" s="344"/>
      <c r="EBL50" s="344"/>
      <c r="EBM50" s="344"/>
      <c r="EBN50" s="344"/>
      <c r="EBO50" s="344"/>
      <c r="EBP50" s="344"/>
      <c r="EBQ50" s="344"/>
      <c r="EBR50" s="344"/>
      <c r="EBS50" s="344"/>
      <c r="EBT50" s="344"/>
      <c r="EBU50" s="344"/>
      <c r="EBV50" s="344"/>
      <c r="EBW50" s="344"/>
      <c r="EBX50" s="344"/>
      <c r="EBY50" s="344"/>
      <c r="EBZ50" s="344"/>
      <c r="ECA50" s="344"/>
      <c r="ECB50" s="344"/>
      <c r="ECC50" s="344"/>
      <c r="ECD50" s="344"/>
      <c r="ECE50" s="344"/>
      <c r="ECF50" s="344"/>
      <c r="ECG50" s="344"/>
      <c r="ECH50" s="344"/>
      <c r="ECI50" s="344"/>
      <c r="ECJ50" s="344"/>
      <c r="ECK50" s="344"/>
      <c r="ECL50" s="344"/>
      <c r="ECM50" s="344"/>
      <c r="ECN50" s="344"/>
      <c r="ECO50" s="344"/>
      <c r="ECP50" s="344"/>
      <c r="ECQ50" s="344"/>
      <c r="ECR50" s="344"/>
      <c r="ECS50" s="344"/>
      <c r="ECT50" s="344"/>
      <c r="ECU50" s="344"/>
      <c r="ECV50" s="344"/>
      <c r="ECW50" s="344"/>
      <c r="ECX50" s="344"/>
      <c r="ECY50" s="344"/>
      <c r="ECZ50" s="344"/>
      <c r="EDA50" s="344"/>
      <c r="EDB50" s="344"/>
      <c r="EDC50" s="344"/>
      <c r="EDD50" s="344"/>
      <c r="EDE50" s="344"/>
      <c r="EDF50" s="344"/>
      <c r="EDG50" s="344"/>
      <c r="EDH50" s="344"/>
      <c r="EDI50" s="344"/>
      <c r="EDJ50" s="344"/>
      <c r="EDK50" s="344"/>
      <c r="EDL50" s="344"/>
      <c r="EDM50" s="344"/>
      <c r="EDN50" s="344"/>
      <c r="EDO50" s="344"/>
      <c r="EDP50" s="344"/>
      <c r="EDQ50" s="344"/>
      <c r="EDR50" s="344"/>
      <c r="EDS50" s="344"/>
      <c r="EDT50" s="344"/>
      <c r="EDU50" s="344"/>
      <c r="EDV50" s="344"/>
      <c r="EDW50" s="344"/>
      <c r="EDX50" s="344"/>
      <c r="EDY50" s="344"/>
      <c r="EDZ50" s="344"/>
      <c r="EEA50" s="344"/>
      <c r="EEB50" s="344"/>
      <c r="EEC50" s="344"/>
      <c r="EED50" s="344"/>
      <c r="EEE50" s="344"/>
      <c r="EEF50" s="344"/>
      <c r="EEG50" s="344"/>
      <c r="EEH50" s="344"/>
      <c r="EEI50" s="344"/>
      <c r="EEJ50" s="344"/>
      <c r="EEK50" s="344"/>
      <c r="EEL50" s="344"/>
      <c r="EEM50" s="344"/>
      <c r="EEN50" s="344"/>
      <c r="EEO50" s="344"/>
      <c r="EEP50" s="344"/>
      <c r="EEQ50" s="344"/>
      <c r="EER50" s="344"/>
      <c r="EES50" s="344"/>
      <c r="EET50" s="344"/>
      <c r="EEU50" s="344"/>
      <c r="EEV50" s="344"/>
      <c r="EEW50" s="344"/>
      <c r="EEX50" s="344"/>
      <c r="EEY50" s="344"/>
      <c r="EEZ50" s="344"/>
      <c r="EFA50" s="344"/>
      <c r="EFB50" s="344"/>
      <c r="EFC50" s="344"/>
      <c r="EFD50" s="344"/>
      <c r="EFE50" s="344"/>
      <c r="EFF50" s="344"/>
      <c r="EFG50" s="344"/>
      <c r="EFH50" s="344"/>
      <c r="EFI50" s="344"/>
      <c r="EFJ50" s="344"/>
      <c r="EFK50" s="344"/>
      <c r="EFL50" s="344"/>
      <c r="EFM50" s="344"/>
      <c r="EFN50" s="344"/>
      <c r="EFO50" s="344"/>
      <c r="EFP50" s="344"/>
      <c r="EFQ50" s="344"/>
      <c r="EFR50" s="344"/>
      <c r="EFS50" s="344"/>
      <c r="EFT50" s="344"/>
      <c r="EFU50" s="344"/>
      <c r="EFV50" s="344"/>
      <c r="EFW50" s="344"/>
      <c r="EFX50" s="344"/>
      <c r="EFY50" s="344"/>
      <c r="EFZ50" s="344"/>
      <c r="EGA50" s="344"/>
      <c r="EGB50" s="344"/>
      <c r="EGC50" s="344"/>
      <c r="EGD50" s="344"/>
      <c r="EGE50" s="344"/>
      <c r="EGF50" s="344"/>
      <c r="EGG50" s="344"/>
      <c r="EGH50" s="344"/>
      <c r="EGI50" s="344"/>
      <c r="EGJ50" s="344"/>
      <c r="EGK50" s="344"/>
      <c r="EGL50" s="344"/>
      <c r="EGM50" s="344"/>
      <c r="EGN50" s="344"/>
      <c r="EGO50" s="344"/>
      <c r="EGP50" s="344"/>
      <c r="EGQ50" s="344"/>
      <c r="EGR50" s="344"/>
      <c r="EGS50" s="344"/>
      <c r="EGT50" s="344"/>
      <c r="EGU50" s="344"/>
      <c r="EGV50" s="344"/>
      <c r="EGW50" s="344"/>
      <c r="EGX50" s="344"/>
      <c r="EGY50" s="344"/>
      <c r="EGZ50" s="344"/>
      <c r="EHA50" s="344"/>
      <c r="EHB50" s="344"/>
      <c r="EHC50" s="344"/>
      <c r="EHD50" s="344"/>
      <c r="EHE50" s="344"/>
      <c r="EHF50" s="344"/>
      <c r="EHG50" s="344"/>
      <c r="EHH50" s="344"/>
      <c r="EHI50" s="344"/>
      <c r="EHJ50" s="344"/>
      <c r="EHK50" s="344"/>
      <c r="EHL50" s="344"/>
      <c r="EHM50" s="344"/>
      <c r="EHN50" s="344"/>
      <c r="EHO50" s="344"/>
      <c r="EHP50" s="344"/>
      <c r="EHQ50" s="344"/>
      <c r="EHR50" s="344"/>
      <c r="EHS50" s="344"/>
      <c r="EHT50" s="344"/>
      <c r="EHU50" s="344"/>
      <c r="EHV50" s="344"/>
      <c r="EHW50" s="344"/>
      <c r="EHX50" s="344"/>
      <c r="EHY50" s="344"/>
      <c r="EHZ50" s="344"/>
      <c r="EIA50" s="344"/>
      <c r="EIB50" s="344"/>
      <c r="EIC50" s="344"/>
      <c r="EID50" s="344"/>
      <c r="EIE50" s="344"/>
      <c r="EIF50" s="344"/>
      <c r="EIG50" s="344"/>
      <c r="EIH50" s="344"/>
      <c r="EII50" s="344"/>
      <c r="EIJ50" s="344"/>
      <c r="EIK50" s="344"/>
      <c r="EIL50" s="344"/>
      <c r="EIM50" s="344"/>
      <c r="EIN50" s="344"/>
      <c r="EIO50" s="344"/>
      <c r="EIP50" s="344"/>
      <c r="EIQ50" s="344"/>
      <c r="EIR50" s="344"/>
      <c r="EIS50" s="344"/>
      <c r="EIT50" s="344"/>
      <c r="EIU50" s="344"/>
      <c r="EIV50" s="344"/>
      <c r="EIW50" s="344"/>
      <c r="EIX50" s="344"/>
      <c r="EIY50" s="344"/>
      <c r="EIZ50" s="344"/>
      <c r="EJA50" s="344"/>
      <c r="EJB50" s="344"/>
      <c r="EJC50" s="344"/>
      <c r="EJD50" s="344"/>
      <c r="EJE50" s="344"/>
      <c r="EJF50" s="344"/>
      <c r="EJG50" s="344"/>
      <c r="EJH50" s="344"/>
      <c r="EJI50" s="344"/>
      <c r="EJJ50" s="344"/>
      <c r="EJK50" s="344"/>
      <c r="EJL50" s="344"/>
      <c r="EJM50" s="344"/>
      <c r="EJN50" s="344"/>
      <c r="EJO50" s="344"/>
      <c r="EJP50" s="344"/>
      <c r="EJQ50" s="344"/>
      <c r="EJR50" s="344"/>
      <c r="EJS50" s="344"/>
      <c r="EJT50" s="344"/>
      <c r="EJU50" s="344"/>
      <c r="EJV50" s="344"/>
      <c r="EJW50" s="344"/>
      <c r="EJX50" s="344"/>
      <c r="EJY50" s="344"/>
      <c r="EJZ50" s="344"/>
      <c r="EKA50" s="344"/>
      <c r="EKB50" s="344"/>
      <c r="EKC50" s="344"/>
      <c r="EKD50" s="344"/>
      <c r="EKE50" s="344"/>
      <c r="EKF50" s="344"/>
      <c r="EKG50" s="344"/>
      <c r="EKH50" s="344"/>
      <c r="EKI50" s="344"/>
      <c r="EKJ50" s="344"/>
      <c r="EKK50" s="344"/>
      <c r="EKL50" s="344"/>
      <c r="EKM50" s="344"/>
      <c r="EKN50" s="344"/>
      <c r="EKO50" s="344"/>
      <c r="EKP50" s="344"/>
      <c r="EKQ50" s="344"/>
      <c r="EKR50" s="344"/>
      <c r="EKS50" s="344"/>
      <c r="EKT50" s="344"/>
      <c r="EKU50" s="344"/>
      <c r="EKV50" s="344"/>
      <c r="EKW50" s="344"/>
      <c r="EKX50" s="344"/>
      <c r="EKY50" s="344"/>
      <c r="EKZ50" s="344"/>
      <c r="ELA50" s="344"/>
      <c r="ELB50" s="344"/>
      <c r="ELC50" s="344"/>
      <c r="ELD50" s="344"/>
      <c r="ELE50" s="344"/>
      <c r="ELF50" s="344"/>
      <c r="ELG50" s="344"/>
      <c r="ELH50" s="344"/>
      <c r="ELI50" s="344"/>
      <c r="ELJ50" s="344"/>
      <c r="ELK50" s="344"/>
      <c r="ELL50" s="344"/>
      <c r="ELM50" s="344"/>
      <c r="ELN50" s="344"/>
      <c r="ELO50" s="344"/>
      <c r="ELP50" s="344"/>
      <c r="ELQ50" s="344"/>
      <c r="ELR50" s="344"/>
      <c r="ELS50" s="344"/>
      <c r="ELT50" s="344"/>
      <c r="ELU50" s="344"/>
      <c r="ELV50" s="344"/>
      <c r="ELW50" s="344"/>
      <c r="ELX50" s="344"/>
      <c r="ELY50" s="344"/>
      <c r="ELZ50" s="344"/>
      <c r="EMA50" s="344"/>
      <c r="EMB50" s="344"/>
      <c r="EMC50" s="344"/>
      <c r="EMD50" s="344"/>
      <c r="EME50" s="344"/>
      <c r="EMF50" s="344"/>
      <c r="EMG50" s="344"/>
      <c r="EMH50" s="344"/>
      <c r="EMI50" s="344"/>
      <c r="EMJ50" s="344"/>
      <c r="EMK50" s="344"/>
      <c r="EML50" s="344"/>
      <c r="EMM50" s="344"/>
      <c r="EMN50" s="344"/>
      <c r="EMO50" s="344"/>
      <c r="EMP50" s="344"/>
      <c r="EMQ50" s="344"/>
      <c r="EMR50" s="344"/>
      <c r="EMS50" s="344"/>
      <c r="EMT50" s="344"/>
      <c r="EMU50" s="344"/>
      <c r="EMV50" s="344"/>
      <c r="EMW50" s="344"/>
      <c r="EMX50" s="344"/>
      <c r="EMY50" s="344"/>
      <c r="EMZ50" s="344"/>
      <c r="ENA50" s="344"/>
      <c r="ENB50" s="344"/>
      <c r="ENC50" s="344"/>
      <c r="END50" s="344"/>
      <c r="ENE50" s="344"/>
      <c r="ENF50" s="344"/>
      <c r="ENG50" s="344"/>
      <c r="ENH50" s="344"/>
      <c r="ENI50" s="344"/>
      <c r="ENJ50" s="344"/>
      <c r="ENK50" s="344"/>
      <c r="ENL50" s="344"/>
      <c r="ENM50" s="344"/>
      <c r="ENN50" s="344"/>
      <c r="ENO50" s="344"/>
      <c r="ENP50" s="344"/>
      <c r="ENQ50" s="344"/>
      <c r="ENR50" s="344"/>
      <c r="ENS50" s="344"/>
      <c r="ENT50" s="344"/>
      <c r="ENU50" s="344"/>
      <c r="ENV50" s="344"/>
      <c r="ENW50" s="344"/>
      <c r="ENX50" s="344"/>
      <c r="ENY50" s="344"/>
      <c r="ENZ50" s="344"/>
      <c r="EOA50" s="344"/>
      <c r="EOB50" s="344"/>
      <c r="EOC50" s="344"/>
      <c r="EOD50" s="344"/>
      <c r="EOE50" s="344"/>
      <c r="EOF50" s="344"/>
      <c r="EOG50" s="344"/>
      <c r="EOH50" s="344"/>
      <c r="EOI50" s="344"/>
      <c r="EOJ50" s="344"/>
      <c r="EOK50" s="344"/>
      <c r="EOL50" s="344"/>
      <c r="EOM50" s="344"/>
      <c r="EON50" s="344"/>
      <c r="EOO50" s="344"/>
      <c r="EOP50" s="344"/>
      <c r="EOQ50" s="344"/>
      <c r="EOR50" s="344"/>
      <c r="EOS50" s="344"/>
      <c r="EOT50" s="344"/>
      <c r="EOU50" s="344"/>
      <c r="EOV50" s="344"/>
      <c r="EOW50" s="344"/>
      <c r="EOX50" s="344"/>
      <c r="EOY50" s="344"/>
      <c r="EOZ50" s="344"/>
      <c r="EPA50" s="344"/>
      <c r="EPB50" s="344"/>
      <c r="EPC50" s="344"/>
      <c r="EPD50" s="344"/>
      <c r="EPE50" s="344"/>
      <c r="EPF50" s="344"/>
      <c r="EPG50" s="344"/>
      <c r="EPH50" s="344"/>
      <c r="EPI50" s="344"/>
      <c r="EPJ50" s="344"/>
      <c r="EPK50" s="344"/>
      <c r="EPL50" s="344"/>
      <c r="EPM50" s="344"/>
      <c r="EPN50" s="344"/>
      <c r="EPO50" s="344"/>
      <c r="EPP50" s="344"/>
      <c r="EPQ50" s="344"/>
      <c r="EPR50" s="344"/>
      <c r="EPS50" s="344"/>
      <c r="EPT50" s="344"/>
      <c r="EPU50" s="344"/>
      <c r="EPV50" s="344"/>
      <c r="EPW50" s="344"/>
      <c r="EPX50" s="344"/>
      <c r="EPY50" s="344"/>
      <c r="EPZ50" s="344"/>
      <c r="EQA50" s="344"/>
      <c r="EQB50" s="344"/>
      <c r="EQC50" s="344"/>
      <c r="EQD50" s="344"/>
      <c r="EQE50" s="344"/>
      <c r="EQF50" s="344"/>
      <c r="EQG50" s="344"/>
      <c r="EQH50" s="344"/>
      <c r="EQI50" s="344"/>
      <c r="EQJ50" s="344"/>
      <c r="EQK50" s="344"/>
      <c r="EQL50" s="344"/>
      <c r="EQM50" s="344"/>
      <c r="EQN50" s="344"/>
      <c r="EQO50" s="344"/>
      <c r="EQP50" s="344"/>
      <c r="EQQ50" s="344"/>
      <c r="EQR50" s="344"/>
      <c r="EQS50" s="344"/>
      <c r="EQT50" s="344"/>
      <c r="EQU50" s="344"/>
      <c r="EQV50" s="344"/>
      <c r="EQW50" s="344"/>
      <c r="EQX50" s="344"/>
      <c r="EQY50" s="344"/>
      <c r="EQZ50" s="344"/>
      <c r="ERA50" s="344"/>
      <c r="ERB50" s="344"/>
      <c r="ERC50" s="344"/>
      <c r="ERD50" s="344"/>
      <c r="ERE50" s="344"/>
      <c r="ERF50" s="344"/>
      <c r="ERG50" s="344"/>
      <c r="ERH50" s="344"/>
      <c r="ERI50" s="344"/>
      <c r="ERJ50" s="344"/>
      <c r="ERK50" s="344"/>
      <c r="ERL50" s="344"/>
      <c r="ERM50" s="344"/>
      <c r="ERN50" s="344"/>
      <c r="ERO50" s="344"/>
      <c r="ERP50" s="344"/>
      <c r="ERQ50" s="344"/>
      <c r="ERR50" s="344"/>
      <c r="ERS50" s="344"/>
      <c r="ERT50" s="344"/>
      <c r="ERU50" s="344"/>
      <c r="ERV50" s="344"/>
      <c r="ERW50" s="344"/>
      <c r="ERX50" s="344"/>
      <c r="ERY50" s="344"/>
      <c r="ERZ50" s="344"/>
      <c r="ESA50" s="344"/>
      <c r="ESB50" s="344"/>
      <c r="ESC50" s="344"/>
      <c r="ESD50" s="344"/>
      <c r="ESE50" s="344"/>
      <c r="ESF50" s="344"/>
      <c r="ESG50" s="344"/>
      <c r="ESH50" s="344"/>
      <c r="ESI50" s="344"/>
      <c r="ESJ50" s="344"/>
      <c r="ESK50" s="344"/>
      <c r="ESL50" s="344"/>
      <c r="ESM50" s="344"/>
      <c r="ESN50" s="344"/>
      <c r="ESO50" s="344"/>
      <c r="ESP50" s="344"/>
      <c r="ESQ50" s="344"/>
      <c r="ESR50" s="344"/>
      <c r="ESS50" s="344"/>
      <c r="EST50" s="344"/>
      <c r="ESU50" s="344"/>
      <c r="ESV50" s="344"/>
      <c r="ESW50" s="344"/>
      <c r="ESX50" s="344"/>
      <c r="ESY50" s="344"/>
      <c r="ESZ50" s="344"/>
      <c r="ETA50" s="344"/>
      <c r="ETB50" s="344"/>
      <c r="ETC50" s="344"/>
      <c r="ETD50" s="344"/>
      <c r="ETE50" s="344"/>
      <c r="ETF50" s="344"/>
      <c r="ETG50" s="344"/>
      <c r="ETH50" s="344"/>
      <c r="ETI50" s="344"/>
      <c r="ETJ50" s="344"/>
      <c r="ETK50" s="344"/>
      <c r="ETL50" s="344"/>
      <c r="ETM50" s="344"/>
      <c r="ETN50" s="344"/>
      <c r="ETO50" s="344"/>
      <c r="ETP50" s="344"/>
      <c r="ETQ50" s="344"/>
      <c r="ETR50" s="344"/>
      <c r="ETS50" s="344"/>
      <c r="ETT50" s="344"/>
      <c r="ETU50" s="344"/>
      <c r="ETV50" s="344"/>
      <c r="ETW50" s="344"/>
      <c r="ETX50" s="344"/>
      <c r="ETY50" s="344"/>
      <c r="ETZ50" s="344"/>
      <c r="EUA50" s="344"/>
      <c r="EUB50" s="344"/>
      <c r="EUC50" s="344"/>
      <c r="EUD50" s="344"/>
      <c r="EUE50" s="344"/>
      <c r="EUF50" s="344"/>
      <c r="EUG50" s="344"/>
      <c r="EUH50" s="344"/>
      <c r="EUI50" s="344"/>
      <c r="EUJ50" s="344"/>
      <c r="EUK50" s="344"/>
      <c r="EUL50" s="344"/>
      <c r="EUM50" s="344"/>
      <c r="EUN50" s="344"/>
      <c r="EUO50" s="344"/>
      <c r="EUP50" s="344"/>
      <c r="EUQ50" s="344"/>
      <c r="EUR50" s="344"/>
      <c r="EUS50" s="344"/>
      <c r="EUT50" s="344"/>
      <c r="EUU50" s="344"/>
      <c r="EUV50" s="344"/>
      <c r="EUW50" s="344"/>
      <c r="EUX50" s="344"/>
      <c r="EUY50" s="344"/>
      <c r="EUZ50" s="344"/>
      <c r="EVA50" s="344"/>
      <c r="EVB50" s="344"/>
      <c r="EVC50" s="344"/>
      <c r="EVD50" s="344"/>
      <c r="EVE50" s="344"/>
      <c r="EVF50" s="344"/>
      <c r="EVG50" s="344"/>
      <c r="EVH50" s="344"/>
      <c r="EVI50" s="344"/>
      <c r="EVJ50" s="344"/>
      <c r="EVK50" s="344"/>
      <c r="EVL50" s="344"/>
      <c r="EVM50" s="344"/>
      <c r="EVN50" s="344"/>
      <c r="EVO50" s="344"/>
      <c r="EVP50" s="344"/>
      <c r="EVQ50" s="344"/>
      <c r="EVR50" s="344"/>
      <c r="EVS50" s="344"/>
      <c r="EVT50" s="344"/>
      <c r="EVU50" s="344"/>
      <c r="EVV50" s="344"/>
      <c r="EVW50" s="344"/>
      <c r="EVX50" s="344"/>
      <c r="EVY50" s="344"/>
      <c r="EVZ50" s="344"/>
      <c r="EWA50" s="344"/>
      <c r="EWB50" s="344"/>
      <c r="EWC50" s="344"/>
      <c r="EWD50" s="344"/>
      <c r="EWE50" s="344"/>
      <c r="EWF50" s="344"/>
      <c r="EWG50" s="344"/>
      <c r="EWH50" s="344"/>
      <c r="EWI50" s="344"/>
      <c r="EWJ50" s="344"/>
      <c r="EWK50" s="344"/>
      <c r="EWL50" s="344"/>
      <c r="EWM50" s="344"/>
      <c r="EWN50" s="344"/>
      <c r="EWO50" s="344"/>
      <c r="EWP50" s="344"/>
      <c r="EWQ50" s="344"/>
      <c r="EWR50" s="344"/>
      <c r="EWS50" s="344"/>
      <c r="EWT50" s="344"/>
      <c r="EWU50" s="344"/>
      <c r="EWV50" s="344"/>
      <c r="EWW50" s="344"/>
      <c r="EWX50" s="344"/>
      <c r="EWY50" s="344"/>
      <c r="EWZ50" s="344"/>
      <c r="EXA50" s="344"/>
      <c r="EXB50" s="344"/>
      <c r="EXC50" s="344"/>
      <c r="EXD50" s="344"/>
      <c r="EXE50" s="344"/>
      <c r="EXF50" s="344"/>
      <c r="EXG50" s="344"/>
      <c r="EXH50" s="344"/>
      <c r="EXI50" s="344"/>
      <c r="EXJ50" s="344"/>
      <c r="EXK50" s="344"/>
      <c r="EXL50" s="344"/>
      <c r="EXM50" s="344"/>
      <c r="EXN50" s="344"/>
      <c r="EXO50" s="344"/>
      <c r="EXP50" s="344"/>
      <c r="EXQ50" s="344"/>
      <c r="EXR50" s="344"/>
      <c r="EXS50" s="344"/>
      <c r="EXT50" s="344"/>
      <c r="EXU50" s="344"/>
      <c r="EXV50" s="344"/>
      <c r="EXW50" s="344"/>
      <c r="EXX50" s="344"/>
      <c r="EXY50" s="344"/>
      <c r="EXZ50" s="344"/>
      <c r="EYA50" s="344"/>
      <c r="EYB50" s="344"/>
      <c r="EYC50" s="344"/>
      <c r="EYD50" s="344"/>
      <c r="EYE50" s="344"/>
      <c r="EYF50" s="344"/>
      <c r="EYG50" s="344"/>
      <c r="EYH50" s="344"/>
      <c r="EYI50" s="344"/>
      <c r="EYJ50" s="344"/>
      <c r="EYK50" s="344"/>
      <c r="EYL50" s="344"/>
      <c r="EYM50" s="344"/>
      <c r="EYN50" s="344"/>
      <c r="EYO50" s="344"/>
      <c r="EYP50" s="344"/>
      <c r="EYQ50" s="344"/>
      <c r="EYR50" s="344"/>
      <c r="EYS50" s="344"/>
      <c r="EYT50" s="344"/>
      <c r="EYU50" s="344"/>
      <c r="EYV50" s="344"/>
      <c r="EYW50" s="344"/>
      <c r="EYX50" s="344"/>
      <c r="EYY50" s="344"/>
      <c r="EYZ50" s="344"/>
      <c r="EZA50" s="344"/>
      <c r="EZB50" s="344"/>
      <c r="EZC50" s="344"/>
      <c r="EZD50" s="344"/>
      <c r="EZE50" s="344"/>
      <c r="EZF50" s="344"/>
      <c r="EZG50" s="344"/>
      <c r="EZH50" s="344"/>
      <c r="EZI50" s="344"/>
      <c r="EZJ50" s="344"/>
      <c r="EZK50" s="344"/>
      <c r="EZL50" s="344"/>
      <c r="EZM50" s="344"/>
      <c r="EZN50" s="344"/>
      <c r="EZO50" s="344"/>
      <c r="EZP50" s="344"/>
      <c r="EZQ50" s="344"/>
      <c r="EZR50" s="344"/>
      <c r="EZS50" s="344"/>
      <c r="EZT50" s="344"/>
      <c r="EZU50" s="344"/>
      <c r="EZV50" s="344"/>
      <c r="EZW50" s="344"/>
      <c r="EZX50" s="344"/>
      <c r="EZY50" s="344"/>
      <c r="EZZ50" s="344"/>
      <c r="FAA50" s="344"/>
      <c r="FAB50" s="344"/>
      <c r="FAC50" s="344"/>
      <c r="FAD50" s="344"/>
      <c r="FAE50" s="344"/>
      <c r="FAF50" s="344"/>
      <c r="FAG50" s="344"/>
      <c r="FAH50" s="344"/>
      <c r="FAI50" s="344"/>
      <c r="FAJ50" s="344"/>
      <c r="FAK50" s="344"/>
      <c r="FAL50" s="344"/>
      <c r="FAM50" s="344"/>
      <c r="FAN50" s="344"/>
      <c r="FAO50" s="344"/>
      <c r="FAP50" s="344"/>
      <c r="FAQ50" s="344"/>
      <c r="FAR50" s="344"/>
      <c r="FAS50" s="344"/>
      <c r="FAT50" s="344"/>
      <c r="FAU50" s="344"/>
      <c r="FAV50" s="344"/>
      <c r="FAW50" s="344"/>
      <c r="FAX50" s="344"/>
      <c r="FAY50" s="344"/>
      <c r="FAZ50" s="344"/>
      <c r="FBA50" s="344"/>
      <c r="FBB50" s="344"/>
      <c r="FBC50" s="344"/>
      <c r="FBD50" s="344"/>
      <c r="FBE50" s="344"/>
      <c r="FBF50" s="344"/>
      <c r="FBG50" s="344"/>
      <c r="FBH50" s="344"/>
      <c r="FBI50" s="344"/>
      <c r="FBJ50" s="344"/>
      <c r="FBK50" s="344"/>
      <c r="FBL50" s="344"/>
      <c r="FBM50" s="344"/>
      <c r="FBN50" s="344"/>
      <c r="FBO50" s="344"/>
      <c r="FBP50" s="344"/>
      <c r="FBQ50" s="344"/>
      <c r="FBR50" s="344"/>
      <c r="FBS50" s="344"/>
      <c r="FBT50" s="344"/>
      <c r="FBU50" s="344"/>
      <c r="FBV50" s="344"/>
      <c r="FBW50" s="344"/>
      <c r="FBX50" s="344"/>
      <c r="FBY50" s="344"/>
      <c r="FBZ50" s="344"/>
      <c r="FCA50" s="344"/>
      <c r="FCB50" s="344"/>
      <c r="FCC50" s="344"/>
      <c r="FCD50" s="344"/>
      <c r="FCE50" s="344"/>
      <c r="FCF50" s="344"/>
      <c r="FCG50" s="344"/>
      <c r="FCH50" s="344"/>
      <c r="FCI50" s="344"/>
      <c r="FCJ50" s="344"/>
      <c r="FCK50" s="344"/>
      <c r="FCL50" s="344"/>
      <c r="FCM50" s="344"/>
      <c r="FCN50" s="344"/>
      <c r="FCO50" s="344"/>
      <c r="FCP50" s="344"/>
      <c r="FCQ50" s="344"/>
      <c r="FCR50" s="344"/>
      <c r="FCS50" s="344"/>
      <c r="FCT50" s="344"/>
      <c r="FCU50" s="344"/>
      <c r="FCV50" s="344"/>
      <c r="FCW50" s="344"/>
      <c r="FCX50" s="344"/>
      <c r="FCY50" s="344"/>
      <c r="FCZ50" s="344"/>
      <c r="FDA50" s="344"/>
      <c r="FDB50" s="344"/>
      <c r="FDC50" s="344"/>
      <c r="FDD50" s="344"/>
      <c r="FDE50" s="344"/>
      <c r="FDF50" s="344"/>
      <c r="FDG50" s="344"/>
      <c r="FDH50" s="344"/>
      <c r="FDI50" s="344"/>
      <c r="FDJ50" s="344"/>
      <c r="FDK50" s="344"/>
      <c r="FDL50" s="344"/>
      <c r="FDM50" s="344"/>
      <c r="FDN50" s="344"/>
      <c r="FDO50" s="344"/>
      <c r="FDP50" s="344"/>
      <c r="FDQ50" s="344"/>
      <c r="FDR50" s="344"/>
      <c r="FDS50" s="344"/>
      <c r="FDT50" s="344"/>
      <c r="FDU50" s="344"/>
      <c r="FDV50" s="344"/>
      <c r="FDW50" s="344"/>
      <c r="FDX50" s="344"/>
      <c r="FDY50" s="344"/>
      <c r="FDZ50" s="344"/>
      <c r="FEA50" s="344"/>
      <c r="FEB50" s="344"/>
      <c r="FEC50" s="344"/>
      <c r="FED50" s="344"/>
      <c r="FEE50" s="344"/>
      <c r="FEF50" s="344"/>
      <c r="FEG50" s="344"/>
      <c r="FEH50" s="344"/>
      <c r="FEI50" s="344"/>
      <c r="FEJ50" s="344"/>
      <c r="FEK50" s="344"/>
      <c r="FEL50" s="344"/>
      <c r="FEM50" s="344"/>
      <c r="FEN50" s="344"/>
      <c r="FEO50" s="344"/>
      <c r="FEP50" s="344"/>
      <c r="FEQ50" s="344"/>
      <c r="FER50" s="344"/>
      <c r="FES50" s="344"/>
      <c r="FET50" s="344"/>
      <c r="FEU50" s="344"/>
      <c r="FEV50" s="344"/>
      <c r="FEW50" s="344"/>
      <c r="FEX50" s="344"/>
      <c r="FEY50" s="344"/>
      <c r="FEZ50" s="344"/>
      <c r="FFA50" s="344"/>
      <c r="FFB50" s="344"/>
      <c r="FFC50" s="344"/>
      <c r="FFD50" s="344"/>
      <c r="FFE50" s="344"/>
      <c r="FFF50" s="344"/>
      <c r="FFG50" s="344"/>
      <c r="FFH50" s="344"/>
      <c r="FFI50" s="344"/>
      <c r="FFJ50" s="344"/>
      <c r="FFK50" s="344"/>
      <c r="FFL50" s="344"/>
      <c r="FFM50" s="344"/>
      <c r="FFN50" s="344"/>
      <c r="FFO50" s="344"/>
      <c r="FFP50" s="344"/>
      <c r="FFQ50" s="344"/>
      <c r="FFR50" s="344"/>
      <c r="FFS50" s="344"/>
      <c r="FFT50" s="344"/>
      <c r="FFU50" s="344"/>
      <c r="FFV50" s="344"/>
      <c r="FFW50" s="344"/>
      <c r="FFX50" s="344"/>
      <c r="FFY50" s="344"/>
      <c r="FFZ50" s="344"/>
      <c r="FGA50" s="344"/>
      <c r="FGB50" s="344"/>
      <c r="FGC50" s="344"/>
      <c r="FGD50" s="344"/>
      <c r="FGE50" s="344"/>
      <c r="FGF50" s="344"/>
      <c r="FGG50" s="344"/>
      <c r="FGH50" s="344"/>
      <c r="FGI50" s="344"/>
      <c r="FGJ50" s="344"/>
      <c r="FGK50" s="344"/>
      <c r="FGL50" s="344"/>
      <c r="FGM50" s="344"/>
      <c r="FGN50" s="344"/>
      <c r="FGO50" s="344"/>
      <c r="FGP50" s="344"/>
      <c r="FGQ50" s="344"/>
      <c r="FGR50" s="344"/>
      <c r="FGS50" s="344"/>
      <c r="FGT50" s="344"/>
      <c r="FGU50" s="344"/>
      <c r="FGV50" s="344"/>
      <c r="FGW50" s="344"/>
      <c r="FGX50" s="344"/>
      <c r="FGY50" s="344"/>
      <c r="FGZ50" s="344"/>
      <c r="FHA50" s="344"/>
      <c r="FHB50" s="344"/>
      <c r="FHC50" s="344"/>
      <c r="FHD50" s="344"/>
      <c r="FHE50" s="344"/>
      <c r="FHF50" s="344"/>
      <c r="FHG50" s="344"/>
      <c r="FHH50" s="344"/>
      <c r="FHI50" s="344"/>
      <c r="FHJ50" s="344"/>
      <c r="FHK50" s="344"/>
      <c r="FHL50" s="344"/>
      <c r="FHM50" s="344"/>
      <c r="FHN50" s="344"/>
      <c r="FHO50" s="344"/>
      <c r="FHP50" s="344"/>
      <c r="FHQ50" s="344"/>
      <c r="FHR50" s="344"/>
      <c r="FHS50" s="344"/>
      <c r="FHT50" s="344"/>
      <c r="FHU50" s="344"/>
      <c r="FHV50" s="344"/>
      <c r="FHW50" s="344"/>
      <c r="FHX50" s="344"/>
      <c r="FHY50" s="344"/>
      <c r="FHZ50" s="344"/>
      <c r="FIA50" s="344"/>
      <c r="FIB50" s="344"/>
      <c r="FIC50" s="344"/>
      <c r="FID50" s="344"/>
      <c r="FIE50" s="344"/>
      <c r="FIF50" s="344"/>
      <c r="FIG50" s="344"/>
      <c r="FIH50" s="344"/>
      <c r="FII50" s="344"/>
      <c r="FIJ50" s="344"/>
      <c r="FIK50" s="344"/>
      <c r="FIL50" s="344"/>
      <c r="FIM50" s="344"/>
      <c r="FIN50" s="344"/>
      <c r="FIO50" s="344"/>
      <c r="FIP50" s="344"/>
      <c r="FIQ50" s="344"/>
      <c r="FIR50" s="344"/>
      <c r="FIS50" s="344"/>
      <c r="FIT50" s="344"/>
      <c r="FIU50" s="344"/>
      <c r="FIV50" s="344"/>
      <c r="FIW50" s="344"/>
      <c r="FIX50" s="344"/>
      <c r="FIY50" s="344"/>
      <c r="FIZ50" s="344"/>
      <c r="FJA50" s="344"/>
      <c r="FJB50" s="344"/>
      <c r="FJC50" s="344"/>
      <c r="FJD50" s="344"/>
      <c r="FJE50" s="344"/>
      <c r="FJF50" s="344"/>
      <c r="FJG50" s="344"/>
      <c r="FJH50" s="344"/>
      <c r="FJI50" s="344"/>
      <c r="FJJ50" s="344"/>
      <c r="FJK50" s="344"/>
      <c r="FJL50" s="344"/>
      <c r="FJM50" s="344"/>
      <c r="FJN50" s="344"/>
      <c r="FJO50" s="344"/>
      <c r="FJP50" s="344"/>
      <c r="FJQ50" s="344"/>
      <c r="FJR50" s="344"/>
      <c r="FJS50" s="344"/>
      <c r="FJT50" s="344"/>
      <c r="FJU50" s="344"/>
      <c r="FJV50" s="344"/>
      <c r="FJW50" s="344"/>
      <c r="FJX50" s="344"/>
      <c r="FJY50" s="344"/>
      <c r="FJZ50" s="344"/>
      <c r="FKA50" s="344"/>
      <c r="FKB50" s="344"/>
      <c r="FKC50" s="344"/>
      <c r="FKD50" s="344"/>
      <c r="FKE50" s="344"/>
      <c r="FKF50" s="344"/>
      <c r="FKG50" s="344"/>
      <c r="FKH50" s="344"/>
      <c r="FKI50" s="344"/>
      <c r="FKJ50" s="344"/>
      <c r="FKK50" s="344"/>
      <c r="FKL50" s="344"/>
      <c r="FKM50" s="344"/>
      <c r="FKN50" s="344"/>
      <c r="FKO50" s="344"/>
      <c r="FKP50" s="344"/>
      <c r="FKQ50" s="344"/>
      <c r="FKR50" s="344"/>
      <c r="FKS50" s="344"/>
      <c r="FKT50" s="344"/>
      <c r="FKU50" s="344"/>
      <c r="FKV50" s="344"/>
      <c r="FKW50" s="344"/>
      <c r="FKX50" s="344"/>
      <c r="FKY50" s="344"/>
      <c r="FKZ50" s="344"/>
      <c r="FLA50" s="344"/>
      <c r="FLB50" s="344"/>
      <c r="FLC50" s="344"/>
      <c r="FLD50" s="344"/>
      <c r="FLE50" s="344"/>
      <c r="FLF50" s="344"/>
      <c r="FLG50" s="344"/>
      <c r="FLH50" s="344"/>
      <c r="FLI50" s="344"/>
      <c r="FLJ50" s="344"/>
      <c r="FLK50" s="344"/>
      <c r="FLL50" s="344"/>
      <c r="FLM50" s="344"/>
      <c r="FLN50" s="344"/>
      <c r="FLO50" s="344"/>
      <c r="FLP50" s="344"/>
      <c r="FLQ50" s="344"/>
      <c r="FLR50" s="344"/>
      <c r="FLS50" s="344"/>
      <c r="FLT50" s="344"/>
      <c r="FLU50" s="344"/>
      <c r="FLV50" s="344"/>
      <c r="FLW50" s="344"/>
      <c r="FLX50" s="344"/>
      <c r="FLY50" s="344"/>
      <c r="FLZ50" s="344"/>
      <c r="FMA50" s="344"/>
      <c r="FMB50" s="344"/>
      <c r="FMC50" s="344"/>
      <c r="FMD50" s="344"/>
      <c r="FME50" s="344"/>
      <c r="FMF50" s="344"/>
      <c r="FMG50" s="344"/>
      <c r="FMH50" s="344"/>
      <c r="FMI50" s="344"/>
      <c r="FMJ50" s="344"/>
      <c r="FMK50" s="344"/>
      <c r="FML50" s="344"/>
      <c r="FMM50" s="344"/>
      <c r="FMN50" s="344"/>
      <c r="FMO50" s="344"/>
      <c r="FMP50" s="344"/>
      <c r="FMQ50" s="344"/>
      <c r="FMR50" s="344"/>
      <c r="FMS50" s="344"/>
      <c r="FMT50" s="344"/>
      <c r="FMU50" s="344"/>
      <c r="FMV50" s="344"/>
      <c r="FMW50" s="344"/>
      <c r="FMX50" s="344"/>
      <c r="FMY50" s="344"/>
      <c r="FMZ50" s="344"/>
      <c r="FNA50" s="344"/>
      <c r="FNB50" s="344"/>
      <c r="FNC50" s="344"/>
      <c r="FND50" s="344"/>
      <c r="FNE50" s="344"/>
      <c r="FNF50" s="344"/>
      <c r="FNG50" s="344"/>
      <c r="FNH50" s="344"/>
      <c r="FNI50" s="344"/>
      <c r="FNJ50" s="344"/>
      <c r="FNK50" s="344"/>
      <c r="FNL50" s="344"/>
      <c r="FNM50" s="344"/>
      <c r="FNN50" s="344"/>
      <c r="FNO50" s="344"/>
      <c r="FNP50" s="344"/>
      <c r="FNQ50" s="344"/>
      <c r="FNR50" s="344"/>
      <c r="FNS50" s="344"/>
      <c r="FNT50" s="344"/>
      <c r="FNU50" s="344"/>
      <c r="FNV50" s="344"/>
      <c r="FNW50" s="344"/>
      <c r="FNX50" s="344"/>
      <c r="FNY50" s="344"/>
      <c r="FNZ50" s="344"/>
      <c r="FOA50" s="344"/>
      <c r="FOB50" s="344"/>
      <c r="FOC50" s="344"/>
      <c r="FOD50" s="344"/>
      <c r="FOE50" s="344"/>
      <c r="FOF50" s="344"/>
      <c r="FOG50" s="344"/>
      <c r="FOH50" s="344"/>
      <c r="FOI50" s="344"/>
      <c r="FOJ50" s="344"/>
      <c r="FOK50" s="344"/>
      <c r="FOL50" s="344"/>
      <c r="FOM50" s="344"/>
      <c r="FON50" s="344"/>
      <c r="FOO50" s="344"/>
      <c r="FOP50" s="344"/>
      <c r="FOQ50" s="344"/>
      <c r="FOR50" s="344"/>
      <c r="FOS50" s="344"/>
      <c r="FOT50" s="344"/>
      <c r="FOU50" s="344"/>
      <c r="FOV50" s="344"/>
      <c r="FOW50" s="344"/>
      <c r="FOX50" s="344"/>
      <c r="FOY50" s="344"/>
      <c r="FOZ50" s="344"/>
      <c r="FPA50" s="344"/>
      <c r="FPB50" s="344"/>
      <c r="FPC50" s="344"/>
      <c r="FPD50" s="344"/>
      <c r="FPE50" s="344"/>
      <c r="FPF50" s="344"/>
      <c r="FPG50" s="344"/>
      <c r="FPH50" s="344"/>
      <c r="FPI50" s="344"/>
      <c r="FPJ50" s="344"/>
      <c r="FPK50" s="344"/>
      <c r="FPL50" s="344"/>
      <c r="FPM50" s="344"/>
      <c r="FPN50" s="344"/>
      <c r="FPO50" s="344"/>
      <c r="FPP50" s="344"/>
      <c r="FPQ50" s="344"/>
      <c r="FPR50" s="344"/>
      <c r="FPS50" s="344"/>
      <c r="FPT50" s="344"/>
      <c r="FPU50" s="344"/>
      <c r="FPV50" s="344"/>
      <c r="FPW50" s="344"/>
      <c r="FPX50" s="344"/>
      <c r="FPY50" s="344"/>
      <c r="FPZ50" s="344"/>
      <c r="FQA50" s="344"/>
      <c r="FQB50" s="344"/>
      <c r="FQC50" s="344"/>
      <c r="FQD50" s="344"/>
      <c r="FQE50" s="344"/>
      <c r="FQF50" s="344"/>
      <c r="FQG50" s="344"/>
      <c r="FQH50" s="344"/>
      <c r="FQI50" s="344"/>
      <c r="FQJ50" s="344"/>
      <c r="FQK50" s="344"/>
      <c r="FQL50" s="344"/>
      <c r="FQM50" s="344"/>
      <c r="FQN50" s="344"/>
      <c r="FQO50" s="344"/>
      <c r="FQP50" s="344"/>
      <c r="FQQ50" s="344"/>
      <c r="FQR50" s="344"/>
      <c r="FQS50" s="344"/>
      <c r="FQT50" s="344"/>
      <c r="FQU50" s="344"/>
      <c r="FQV50" s="344"/>
      <c r="FQW50" s="344"/>
      <c r="FQX50" s="344"/>
      <c r="FQY50" s="344"/>
      <c r="FQZ50" s="344"/>
      <c r="FRA50" s="344"/>
      <c r="FRB50" s="344"/>
      <c r="FRC50" s="344"/>
      <c r="FRD50" s="344"/>
      <c r="FRE50" s="344"/>
      <c r="FRF50" s="344"/>
      <c r="FRG50" s="344"/>
      <c r="FRH50" s="344"/>
      <c r="FRI50" s="344"/>
      <c r="FRJ50" s="344"/>
      <c r="FRK50" s="344"/>
      <c r="FRL50" s="344"/>
      <c r="FRM50" s="344"/>
      <c r="FRN50" s="344"/>
      <c r="FRO50" s="344"/>
      <c r="FRP50" s="344"/>
      <c r="FRQ50" s="344"/>
      <c r="FRR50" s="344"/>
      <c r="FRS50" s="344"/>
      <c r="FRT50" s="344"/>
      <c r="FRU50" s="344"/>
      <c r="FRV50" s="344"/>
      <c r="FRW50" s="344"/>
      <c r="FRX50" s="344"/>
      <c r="FRY50" s="344"/>
      <c r="FRZ50" s="344"/>
      <c r="FSA50" s="344"/>
      <c r="FSB50" s="344"/>
      <c r="FSC50" s="344"/>
      <c r="FSD50" s="344"/>
      <c r="FSE50" s="344"/>
      <c r="FSF50" s="344"/>
      <c r="FSG50" s="344"/>
      <c r="FSH50" s="344"/>
      <c r="FSI50" s="344"/>
      <c r="FSJ50" s="344"/>
      <c r="FSK50" s="344"/>
      <c r="FSL50" s="344"/>
      <c r="FSM50" s="344"/>
      <c r="FSN50" s="344"/>
      <c r="FSO50" s="344"/>
      <c r="FSP50" s="344"/>
      <c r="FSQ50" s="344"/>
      <c r="FSR50" s="344"/>
      <c r="FSS50" s="344"/>
      <c r="FST50" s="344"/>
      <c r="FSU50" s="344"/>
      <c r="FSV50" s="344"/>
      <c r="FSW50" s="344"/>
      <c r="FSX50" s="344"/>
      <c r="FSY50" s="344"/>
      <c r="FSZ50" s="344"/>
      <c r="FTA50" s="344"/>
      <c r="FTB50" s="344"/>
      <c r="FTC50" s="344"/>
      <c r="FTD50" s="344"/>
      <c r="FTE50" s="344"/>
      <c r="FTF50" s="344"/>
      <c r="FTG50" s="344"/>
      <c r="FTH50" s="344"/>
      <c r="FTI50" s="344"/>
      <c r="FTJ50" s="344"/>
      <c r="FTK50" s="344"/>
      <c r="FTL50" s="344"/>
      <c r="FTM50" s="344"/>
      <c r="FTN50" s="344"/>
      <c r="FTO50" s="344"/>
      <c r="FTP50" s="344"/>
      <c r="FTQ50" s="344"/>
      <c r="FTR50" s="344"/>
      <c r="FTS50" s="344"/>
      <c r="FTT50" s="344"/>
      <c r="FTU50" s="344"/>
      <c r="FTV50" s="344"/>
      <c r="FTW50" s="344"/>
      <c r="FTX50" s="344"/>
      <c r="FTY50" s="344"/>
      <c r="FTZ50" s="344"/>
      <c r="FUA50" s="344"/>
      <c r="FUB50" s="344"/>
      <c r="FUC50" s="344"/>
      <c r="FUD50" s="344"/>
      <c r="FUE50" s="344"/>
      <c r="FUF50" s="344"/>
      <c r="FUG50" s="344"/>
      <c r="FUH50" s="344"/>
      <c r="FUI50" s="344"/>
      <c r="FUJ50" s="344"/>
      <c r="FUK50" s="344"/>
      <c r="FUL50" s="344"/>
      <c r="FUM50" s="344"/>
      <c r="FUN50" s="344"/>
      <c r="FUO50" s="344"/>
      <c r="FUP50" s="344"/>
      <c r="FUQ50" s="344"/>
      <c r="FUR50" s="344"/>
      <c r="FUS50" s="344"/>
      <c r="FUT50" s="344"/>
      <c r="FUU50" s="344"/>
      <c r="FUV50" s="344"/>
      <c r="FUW50" s="344"/>
      <c r="FUX50" s="344"/>
      <c r="FUY50" s="344"/>
      <c r="FUZ50" s="344"/>
      <c r="FVA50" s="344"/>
      <c r="FVB50" s="344"/>
      <c r="FVC50" s="344"/>
      <c r="FVD50" s="344"/>
      <c r="FVE50" s="344"/>
      <c r="FVF50" s="344"/>
      <c r="FVG50" s="344"/>
      <c r="FVH50" s="344"/>
      <c r="FVI50" s="344"/>
      <c r="FVJ50" s="344"/>
      <c r="FVK50" s="344"/>
      <c r="FVL50" s="344"/>
      <c r="FVM50" s="344"/>
      <c r="FVN50" s="344"/>
      <c r="FVO50" s="344"/>
      <c r="FVP50" s="344"/>
      <c r="FVQ50" s="344"/>
      <c r="FVR50" s="344"/>
      <c r="FVS50" s="344"/>
      <c r="FVT50" s="344"/>
      <c r="FVU50" s="344"/>
      <c r="FVV50" s="344"/>
      <c r="FVW50" s="344"/>
      <c r="FVX50" s="344"/>
      <c r="FVY50" s="344"/>
      <c r="FVZ50" s="344"/>
      <c r="FWA50" s="344"/>
      <c r="FWB50" s="344"/>
      <c r="FWC50" s="344"/>
      <c r="FWD50" s="344"/>
      <c r="FWE50" s="344"/>
      <c r="FWF50" s="344"/>
      <c r="FWG50" s="344"/>
      <c r="FWH50" s="344"/>
      <c r="FWI50" s="344"/>
      <c r="FWJ50" s="344"/>
      <c r="FWK50" s="344"/>
      <c r="FWL50" s="344"/>
      <c r="FWM50" s="344"/>
      <c r="FWN50" s="344"/>
      <c r="FWO50" s="344"/>
      <c r="FWP50" s="344"/>
      <c r="FWQ50" s="344"/>
      <c r="FWR50" s="344"/>
      <c r="FWS50" s="344"/>
      <c r="FWT50" s="344"/>
      <c r="FWU50" s="344"/>
      <c r="FWV50" s="344"/>
      <c r="FWW50" s="344"/>
      <c r="FWX50" s="344"/>
      <c r="FWY50" s="344"/>
      <c r="FWZ50" s="344"/>
      <c r="FXA50" s="344"/>
      <c r="FXB50" s="344"/>
      <c r="FXC50" s="344"/>
      <c r="FXD50" s="344"/>
      <c r="FXE50" s="344"/>
      <c r="FXF50" s="344"/>
      <c r="FXG50" s="344"/>
      <c r="FXH50" s="344"/>
      <c r="FXI50" s="344"/>
      <c r="FXJ50" s="344"/>
      <c r="FXK50" s="344"/>
      <c r="FXL50" s="344"/>
      <c r="FXM50" s="344"/>
      <c r="FXN50" s="344"/>
      <c r="FXO50" s="344"/>
      <c r="FXP50" s="344"/>
      <c r="FXQ50" s="344"/>
      <c r="FXR50" s="344"/>
      <c r="FXS50" s="344"/>
      <c r="FXT50" s="344"/>
      <c r="FXU50" s="344"/>
      <c r="FXV50" s="344"/>
      <c r="FXW50" s="344"/>
      <c r="FXX50" s="344"/>
      <c r="FXY50" s="344"/>
      <c r="FXZ50" s="344"/>
      <c r="FYA50" s="344"/>
      <c r="FYB50" s="344"/>
      <c r="FYC50" s="344"/>
      <c r="FYD50" s="344"/>
      <c r="FYE50" s="344"/>
      <c r="FYF50" s="344"/>
      <c r="FYG50" s="344"/>
      <c r="FYH50" s="344"/>
      <c r="FYI50" s="344"/>
      <c r="FYJ50" s="344"/>
      <c r="FYK50" s="344"/>
      <c r="FYL50" s="344"/>
      <c r="FYM50" s="344"/>
      <c r="FYN50" s="344"/>
      <c r="FYO50" s="344"/>
      <c r="FYP50" s="344"/>
      <c r="FYQ50" s="344"/>
      <c r="FYR50" s="344"/>
      <c r="FYS50" s="344"/>
      <c r="FYT50" s="344"/>
      <c r="FYU50" s="344"/>
      <c r="FYV50" s="344"/>
      <c r="FYW50" s="344"/>
      <c r="FYX50" s="344"/>
      <c r="FYY50" s="344"/>
      <c r="FYZ50" s="344"/>
      <c r="FZA50" s="344"/>
      <c r="FZB50" s="344"/>
      <c r="FZC50" s="344"/>
      <c r="FZD50" s="344"/>
      <c r="FZE50" s="344"/>
      <c r="FZF50" s="344"/>
      <c r="FZG50" s="344"/>
      <c r="FZH50" s="344"/>
      <c r="FZI50" s="344"/>
      <c r="FZJ50" s="344"/>
      <c r="FZK50" s="344"/>
      <c r="FZL50" s="344"/>
      <c r="FZM50" s="344"/>
      <c r="FZN50" s="344"/>
      <c r="FZO50" s="344"/>
      <c r="FZP50" s="344"/>
      <c r="FZQ50" s="344"/>
      <c r="FZR50" s="344"/>
      <c r="FZS50" s="344"/>
      <c r="FZT50" s="344"/>
      <c r="FZU50" s="344"/>
      <c r="FZV50" s="344"/>
      <c r="FZW50" s="344"/>
      <c r="FZX50" s="344"/>
      <c r="FZY50" s="344"/>
      <c r="FZZ50" s="344"/>
      <c r="GAA50" s="344"/>
      <c r="GAB50" s="344"/>
      <c r="GAC50" s="344"/>
      <c r="GAD50" s="344"/>
      <c r="GAE50" s="344"/>
      <c r="GAF50" s="344"/>
      <c r="GAG50" s="344"/>
      <c r="GAH50" s="344"/>
      <c r="GAI50" s="344"/>
      <c r="GAJ50" s="344"/>
      <c r="GAK50" s="344"/>
      <c r="GAL50" s="344"/>
      <c r="GAM50" s="344"/>
      <c r="GAN50" s="344"/>
      <c r="GAO50" s="344"/>
      <c r="GAP50" s="344"/>
      <c r="GAQ50" s="344"/>
      <c r="GAR50" s="344"/>
      <c r="GAS50" s="344"/>
      <c r="GAT50" s="344"/>
      <c r="GAU50" s="344"/>
      <c r="GAV50" s="344"/>
      <c r="GAW50" s="344"/>
      <c r="GAX50" s="344"/>
      <c r="GAY50" s="344"/>
      <c r="GAZ50" s="344"/>
      <c r="GBA50" s="344"/>
      <c r="GBB50" s="344"/>
      <c r="GBC50" s="344"/>
      <c r="GBD50" s="344"/>
      <c r="GBE50" s="344"/>
      <c r="GBF50" s="344"/>
      <c r="GBG50" s="344"/>
      <c r="GBH50" s="344"/>
      <c r="GBI50" s="344"/>
      <c r="GBJ50" s="344"/>
      <c r="GBK50" s="344"/>
      <c r="GBL50" s="344"/>
      <c r="GBM50" s="344"/>
      <c r="GBN50" s="344"/>
      <c r="GBO50" s="344"/>
      <c r="GBP50" s="344"/>
      <c r="GBQ50" s="344"/>
      <c r="GBR50" s="344"/>
      <c r="GBS50" s="344"/>
      <c r="GBT50" s="344"/>
      <c r="GBU50" s="344"/>
      <c r="GBV50" s="344"/>
      <c r="GBW50" s="344"/>
      <c r="GBX50" s="344"/>
      <c r="GBY50" s="344"/>
      <c r="GBZ50" s="344"/>
      <c r="GCA50" s="344"/>
      <c r="GCB50" s="344"/>
      <c r="GCC50" s="344"/>
      <c r="GCD50" s="344"/>
      <c r="GCE50" s="344"/>
      <c r="GCF50" s="344"/>
      <c r="GCG50" s="344"/>
      <c r="GCH50" s="344"/>
      <c r="GCI50" s="344"/>
      <c r="GCJ50" s="344"/>
      <c r="GCK50" s="344"/>
      <c r="GCL50" s="344"/>
      <c r="GCM50" s="344"/>
      <c r="GCN50" s="344"/>
      <c r="GCO50" s="344"/>
      <c r="GCP50" s="344"/>
      <c r="GCQ50" s="344"/>
      <c r="GCR50" s="344"/>
      <c r="GCS50" s="344"/>
      <c r="GCT50" s="344"/>
      <c r="GCU50" s="344"/>
      <c r="GCV50" s="344"/>
      <c r="GCW50" s="344"/>
      <c r="GCX50" s="344"/>
      <c r="GCY50" s="344"/>
      <c r="GCZ50" s="344"/>
      <c r="GDA50" s="344"/>
      <c r="GDB50" s="344"/>
      <c r="GDC50" s="344"/>
      <c r="GDD50" s="344"/>
      <c r="GDE50" s="344"/>
      <c r="GDF50" s="344"/>
      <c r="GDG50" s="344"/>
      <c r="GDH50" s="344"/>
      <c r="GDI50" s="344"/>
      <c r="GDJ50" s="344"/>
      <c r="GDK50" s="344"/>
      <c r="GDL50" s="344"/>
      <c r="GDM50" s="344"/>
      <c r="GDN50" s="344"/>
      <c r="GDO50" s="344"/>
      <c r="GDP50" s="344"/>
      <c r="GDQ50" s="344"/>
      <c r="GDR50" s="344"/>
      <c r="GDS50" s="344"/>
      <c r="GDT50" s="344"/>
      <c r="GDU50" s="344"/>
      <c r="GDV50" s="344"/>
      <c r="GDW50" s="344"/>
      <c r="GDX50" s="344"/>
      <c r="GDY50" s="344"/>
      <c r="GDZ50" s="344"/>
      <c r="GEA50" s="344"/>
      <c r="GEB50" s="344"/>
      <c r="GEC50" s="344"/>
      <c r="GED50" s="344"/>
      <c r="GEE50" s="344"/>
      <c r="GEF50" s="344"/>
      <c r="GEG50" s="344"/>
      <c r="GEH50" s="344"/>
      <c r="GEI50" s="344"/>
      <c r="GEJ50" s="344"/>
      <c r="GEK50" s="344"/>
      <c r="GEL50" s="344"/>
      <c r="GEM50" s="344"/>
      <c r="GEN50" s="344"/>
      <c r="GEO50" s="344"/>
      <c r="GEP50" s="344"/>
      <c r="GEQ50" s="344"/>
      <c r="GER50" s="344"/>
      <c r="GES50" s="344"/>
      <c r="GET50" s="344"/>
      <c r="GEU50" s="344"/>
      <c r="GEV50" s="344"/>
      <c r="GEW50" s="344"/>
      <c r="GEX50" s="344"/>
      <c r="GEY50" s="344"/>
      <c r="GEZ50" s="344"/>
      <c r="GFA50" s="344"/>
      <c r="GFB50" s="344"/>
      <c r="GFC50" s="344"/>
      <c r="GFD50" s="344"/>
      <c r="GFE50" s="344"/>
      <c r="GFF50" s="344"/>
      <c r="GFG50" s="344"/>
      <c r="GFH50" s="344"/>
      <c r="GFI50" s="344"/>
      <c r="GFJ50" s="344"/>
      <c r="GFK50" s="344"/>
      <c r="GFL50" s="344"/>
      <c r="GFM50" s="344"/>
      <c r="GFN50" s="344"/>
      <c r="GFO50" s="344"/>
      <c r="GFP50" s="344"/>
      <c r="GFQ50" s="344"/>
      <c r="GFR50" s="344"/>
      <c r="GFS50" s="344"/>
      <c r="GFT50" s="344"/>
      <c r="GFU50" s="344"/>
      <c r="GFV50" s="344"/>
      <c r="GFW50" s="344"/>
      <c r="GFX50" s="344"/>
      <c r="GFY50" s="344"/>
      <c r="GFZ50" s="344"/>
      <c r="GGA50" s="344"/>
      <c r="GGB50" s="344"/>
      <c r="GGC50" s="344"/>
      <c r="GGD50" s="344"/>
      <c r="GGE50" s="344"/>
      <c r="GGF50" s="344"/>
      <c r="GGG50" s="344"/>
      <c r="GGH50" s="344"/>
      <c r="GGI50" s="344"/>
      <c r="GGJ50" s="344"/>
      <c r="GGK50" s="344"/>
      <c r="GGL50" s="344"/>
      <c r="GGM50" s="344"/>
      <c r="GGN50" s="344"/>
      <c r="GGO50" s="344"/>
      <c r="GGP50" s="344"/>
      <c r="GGQ50" s="344"/>
      <c r="GGR50" s="344"/>
      <c r="GGS50" s="344"/>
      <c r="GGT50" s="344"/>
      <c r="GGU50" s="344"/>
      <c r="GGV50" s="344"/>
      <c r="GGW50" s="344"/>
      <c r="GGX50" s="344"/>
      <c r="GGY50" s="344"/>
      <c r="GGZ50" s="344"/>
      <c r="GHA50" s="344"/>
      <c r="GHB50" s="344"/>
      <c r="GHC50" s="344"/>
      <c r="GHD50" s="344"/>
      <c r="GHE50" s="344"/>
      <c r="GHF50" s="344"/>
      <c r="GHG50" s="344"/>
      <c r="GHH50" s="344"/>
      <c r="GHI50" s="344"/>
      <c r="GHJ50" s="344"/>
      <c r="GHK50" s="344"/>
      <c r="GHL50" s="344"/>
      <c r="GHM50" s="344"/>
      <c r="GHN50" s="344"/>
      <c r="GHO50" s="344"/>
      <c r="GHP50" s="344"/>
      <c r="GHQ50" s="344"/>
      <c r="GHR50" s="344"/>
      <c r="GHS50" s="344"/>
      <c r="GHT50" s="344"/>
      <c r="GHU50" s="344"/>
      <c r="GHV50" s="344"/>
      <c r="GHW50" s="344"/>
      <c r="GHX50" s="344"/>
      <c r="GHY50" s="344"/>
      <c r="GHZ50" s="344"/>
      <c r="GIA50" s="344"/>
      <c r="GIB50" s="344"/>
      <c r="GIC50" s="344"/>
      <c r="GID50" s="344"/>
      <c r="GIE50" s="344"/>
      <c r="GIF50" s="344"/>
      <c r="GIG50" s="344"/>
      <c r="GIH50" s="344"/>
      <c r="GII50" s="344"/>
      <c r="GIJ50" s="344"/>
      <c r="GIK50" s="344"/>
      <c r="GIL50" s="344"/>
      <c r="GIM50" s="344"/>
      <c r="GIN50" s="344"/>
      <c r="GIO50" s="344"/>
      <c r="GIP50" s="344"/>
      <c r="GIQ50" s="344"/>
      <c r="GIR50" s="344"/>
      <c r="GIS50" s="344"/>
      <c r="GIT50" s="344"/>
      <c r="GIU50" s="344"/>
      <c r="GIV50" s="344"/>
      <c r="GIW50" s="344"/>
      <c r="GIX50" s="344"/>
      <c r="GIY50" s="344"/>
      <c r="GIZ50" s="344"/>
      <c r="GJA50" s="344"/>
      <c r="GJB50" s="344"/>
      <c r="GJC50" s="344"/>
      <c r="GJD50" s="344"/>
      <c r="GJE50" s="344"/>
      <c r="GJF50" s="344"/>
      <c r="GJG50" s="344"/>
      <c r="GJH50" s="344"/>
      <c r="GJI50" s="344"/>
      <c r="GJJ50" s="344"/>
      <c r="GJK50" s="344"/>
      <c r="GJL50" s="344"/>
      <c r="GJM50" s="344"/>
      <c r="GJN50" s="344"/>
      <c r="GJO50" s="344"/>
      <c r="GJP50" s="344"/>
      <c r="GJQ50" s="344"/>
      <c r="GJR50" s="344"/>
      <c r="GJS50" s="344"/>
      <c r="GJT50" s="344"/>
      <c r="GJU50" s="344"/>
      <c r="GJV50" s="344"/>
      <c r="GJW50" s="344"/>
      <c r="GJX50" s="344"/>
      <c r="GJY50" s="344"/>
      <c r="GJZ50" s="344"/>
      <c r="GKA50" s="344"/>
      <c r="GKB50" s="344"/>
      <c r="GKC50" s="344"/>
      <c r="GKD50" s="344"/>
      <c r="GKE50" s="344"/>
      <c r="GKF50" s="344"/>
      <c r="GKG50" s="344"/>
      <c r="GKH50" s="344"/>
      <c r="GKI50" s="344"/>
      <c r="GKJ50" s="344"/>
      <c r="GKK50" s="344"/>
      <c r="GKL50" s="344"/>
      <c r="GKM50" s="344"/>
      <c r="GKN50" s="344"/>
      <c r="GKO50" s="344"/>
      <c r="GKP50" s="344"/>
      <c r="GKQ50" s="344"/>
      <c r="GKR50" s="344"/>
      <c r="GKS50" s="344"/>
      <c r="GKT50" s="344"/>
      <c r="GKU50" s="344"/>
      <c r="GKV50" s="344"/>
      <c r="GKW50" s="344"/>
      <c r="GKX50" s="344"/>
      <c r="GKY50" s="344"/>
      <c r="GKZ50" s="344"/>
      <c r="GLA50" s="344"/>
      <c r="GLB50" s="344"/>
      <c r="GLC50" s="344"/>
      <c r="GLD50" s="344"/>
      <c r="GLE50" s="344"/>
      <c r="GLF50" s="344"/>
      <c r="GLG50" s="344"/>
      <c r="GLH50" s="344"/>
      <c r="GLI50" s="344"/>
      <c r="GLJ50" s="344"/>
      <c r="GLK50" s="344"/>
      <c r="GLL50" s="344"/>
      <c r="GLM50" s="344"/>
      <c r="GLN50" s="344"/>
      <c r="GLO50" s="344"/>
      <c r="GLP50" s="344"/>
      <c r="GLQ50" s="344"/>
      <c r="GLR50" s="344"/>
      <c r="GLS50" s="344"/>
      <c r="GLT50" s="344"/>
      <c r="GLU50" s="344"/>
      <c r="GLV50" s="344"/>
      <c r="GLW50" s="344"/>
      <c r="GLX50" s="344"/>
      <c r="GLY50" s="344"/>
      <c r="GLZ50" s="344"/>
      <c r="GMA50" s="344"/>
      <c r="GMB50" s="344"/>
      <c r="GMC50" s="344"/>
      <c r="GMD50" s="344"/>
      <c r="GME50" s="344"/>
      <c r="GMF50" s="344"/>
      <c r="GMG50" s="344"/>
      <c r="GMH50" s="344"/>
      <c r="GMI50" s="344"/>
      <c r="GMJ50" s="344"/>
      <c r="GMK50" s="344"/>
      <c r="GML50" s="344"/>
      <c r="GMM50" s="344"/>
      <c r="GMN50" s="344"/>
      <c r="GMO50" s="344"/>
      <c r="GMP50" s="344"/>
      <c r="GMQ50" s="344"/>
      <c r="GMR50" s="344"/>
      <c r="GMS50" s="344"/>
      <c r="GMT50" s="344"/>
      <c r="GMU50" s="344"/>
      <c r="GMV50" s="344"/>
      <c r="GMW50" s="344"/>
      <c r="GMX50" s="344"/>
      <c r="GMY50" s="344"/>
      <c r="GMZ50" s="344"/>
      <c r="GNA50" s="344"/>
      <c r="GNB50" s="344"/>
      <c r="GNC50" s="344"/>
      <c r="GND50" s="344"/>
      <c r="GNE50" s="344"/>
      <c r="GNF50" s="344"/>
      <c r="GNG50" s="344"/>
      <c r="GNH50" s="344"/>
      <c r="GNI50" s="344"/>
      <c r="GNJ50" s="344"/>
      <c r="GNK50" s="344"/>
      <c r="GNL50" s="344"/>
      <c r="GNM50" s="344"/>
      <c r="GNN50" s="344"/>
      <c r="GNO50" s="344"/>
      <c r="GNP50" s="344"/>
      <c r="GNQ50" s="344"/>
      <c r="GNR50" s="344"/>
      <c r="GNS50" s="344"/>
      <c r="GNT50" s="344"/>
      <c r="GNU50" s="344"/>
      <c r="GNV50" s="344"/>
      <c r="GNW50" s="344"/>
      <c r="GNX50" s="344"/>
      <c r="GNY50" s="344"/>
      <c r="GNZ50" s="344"/>
      <c r="GOA50" s="344"/>
      <c r="GOB50" s="344"/>
      <c r="GOC50" s="344"/>
      <c r="GOD50" s="344"/>
      <c r="GOE50" s="344"/>
      <c r="GOF50" s="344"/>
      <c r="GOG50" s="344"/>
      <c r="GOH50" s="344"/>
      <c r="GOI50" s="344"/>
      <c r="GOJ50" s="344"/>
      <c r="GOK50" s="344"/>
      <c r="GOL50" s="344"/>
      <c r="GOM50" s="344"/>
      <c r="GON50" s="344"/>
      <c r="GOO50" s="344"/>
      <c r="GOP50" s="344"/>
      <c r="GOQ50" s="344"/>
      <c r="GOR50" s="344"/>
      <c r="GOS50" s="344"/>
      <c r="GOT50" s="344"/>
      <c r="GOU50" s="344"/>
      <c r="GOV50" s="344"/>
      <c r="GOW50" s="344"/>
      <c r="GOX50" s="344"/>
      <c r="GOY50" s="344"/>
      <c r="GOZ50" s="344"/>
      <c r="GPA50" s="344"/>
      <c r="GPB50" s="344"/>
      <c r="GPC50" s="344"/>
      <c r="GPD50" s="344"/>
      <c r="GPE50" s="344"/>
      <c r="GPF50" s="344"/>
      <c r="GPG50" s="344"/>
      <c r="GPH50" s="344"/>
      <c r="GPI50" s="344"/>
      <c r="GPJ50" s="344"/>
      <c r="GPK50" s="344"/>
      <c r="GPL50" s="344"/>
      <c r="GPM50" s="344"/>
      <c r="GPN50" s="344"/>
      <c r="GPO50" s="344"/>
      <c r="GPP50" s="344"/>
      <c r="GPQ50" s="344"/>
      <c r="GPR50" s="344"/>
      <c r="GPS50" s="344"/>
      <c r="GPT50" s="344"/>
      <c r="GPU50" s="344"/>
      <c r="GPV50" s="344"/>
      <c r="GPW50" s="344"/>
      <c r="GPX50" s="344"/>
      <c r="GPY50" s="344"/>
      <c r="GPZ50" s="344"/>
      <c r="GQA50" s="344"/>
      <c r="GQB50" s="344"/>
      <c r="GQC50" s="344"/>
      <c r="GQD50" s="344"/>
      <c r="GQE50" s="344"/>
      <c r="GQF50" s="344"/>
      <c r="GQG50" s="344"/>
      <c r="GQH50" s="344"/>
      <c r="GQI50" s="344"/>
      <c r="GQJ50" s="344"/>
      <c r="GQK50" s="344"/>
      <c r="GQL50" s="344"/>
      <c r="GQM50" s="344"/>
      <c r="GQN50" s="344"/>
      <c r="GQO50" s="344"/>
      <c r="GQP50" s="344"/>
      <c r="GQQ50" s="344"/>
      <c r="GQR50" s="344"/>
      <c r="GQS50" s="344"/>
      <c r="GQT50" s="344"/>
      <c r="GQU50" s="344"/>
      <c r="GQV50" s="344"/>
      <c r="GQW50" s="344"/>
      <c r="GQX50" s="344"/>
      <c r="GQY50" s="344"/>
      <c r="GQZ50" s="344"/>
      <c r="GRA50" s="344"/>
      <c r="GRB50" s="344"/>
      <c r="GRC50" s="344"/>
      <c r="GRD50" s="344"/>
      <c r="GRE50" s="344"/>
      <c r="GRF50" s="344"/>
      <c r="GRG50" s="344"/>
      <c r="GRH50" s="344"/>
      <c r="GRI50" s="344"/>
      <c r="GRJ50" s="344"/>
      <c r="GRK50" s="344"/>
      <c r="GRL50" s="344"/>
      <c r="GRM50" s="344"/>
      <c r="GRN50" s="344"/>
      <c r="GRO50" s="344"/>
      <c r="GRP50" s="344"/>
      <c r="GRQ50" s="344"/>
      <c r="GRR50" s="344"/>
      <c r="GRS50" s="344"/>
      <c r="GRT50" s="344"/>
      <c r="GRU50" s="344"/>
      <c r="GRV50" s="344"/>
      <c r="GRW50" s="344"/>
      <c r="GRX50" s="344"/>
      <c r="GRY50" s="344"/>
      <c r="GRZ50" s="344"/>
      <c r="GSA50" s="344"/>
      <c r="GSB50" s="344"/>
      <c r="GSC50" s="344"/>
      <c r="GSD50" s="344"/>
      <c r="GSE50" s="344"/>
      <c r="GSF50" s="344"/>
      <c r="GSG50" s="344"/>
      <c r="GSH50" s="344"/>
      <c r="GSI50" s="344"/>
      <c r="GSJ50" s="344"/>
      <c r="GSK50" s="344"/>
      <c r="GSL50" s="344"/>
      <c r="GSM50" s="344"/>
      <c r="GSN50" s="344"/>
      <c r="GSO50" s="344"/>
      <c r="GSP50" s="344"/>
      <c r="GSQ50" s="344"/>
      <c r="GSR50" s="344"/>
      <c r="GSS50" s="344"/>
      <c r="GST50" s="344"/>
      <c r="GSU50" s="344"/>
      <c r="GSV50" s="344"/>
      <c r="GSW50" s="344"/>
      <c r="GSX50" s="344"/>
      <c r="GSY50" s="344"/>
      <c r="GSZ50" s="344"/>
      <c r="GTA50" s="344"/>
      <c r="GTB50" s="344"/>
      <c r="GTC50" s="344"/>
      <c r="GTD50" s="344"/>
      <c r="GTE50" s="344"/>
      <c r="GTF50" s="344"/>
      <c r="GTG50" s="344"/>
      <c r="GTH50" s="344"/>
      <c r="GTI50" s="344"/>
      <c r="GTJ50" s="344"/>
      <c r="GTK50" s="344"/>
      <c r="GTL50" s="344"/>
      <c r="GTM50" s="344"/>
      <c r="GTN50" s="344"/>
      <c r="GTO50" s="344"/>
      <c r="GTP50" s="344"/>
      <c r="GTQ50" s="344"/>
      <c r="GTR50" s="344"/>
      <c r="GTS50" s="344"/>
      <c r="GTT50" s="344"/>
      <c r="GTU50" s="344"/>
      <c r="GTV50" s="344"/>
      <c r="GTW50" s="344"/>
      <c r="GTX50" s="344"/>
      <c r="GTY50" s="344"/>
      <c r="GTZ50" s="344"/>
      <c r="GUA50" s="344"/>
      <c r="GUB50" s="344"/>
      <c r="GUC50" s="344"/>
      <c r="GUD50" s="344"/>
      <c r="GUE50" s="344"/>
      <c r="GUF50" s="344"/>
      <c r="GUG50" s="344"/>
      <c r="GUH50" s="344"/>
      <c r="GUI50" s="344"/>
      <c r="GUJ50" s="344"/>
      <c r="GUK50" s="344"/>
      <c r="GUL50" s="344"/>
      <c r="GUM50" s="344"/>
      <c r="GUN50" s="344"/>
      <c r="GUO50" s="344"/>
      <c r="GUP50" s="344"/>
      <c r="GUQ50" s="344"/>
      <c r="GUR50" s="344"/>
      <c r="GUS50" s="344"/>
      <c r="GUT50" s="344"/>
      <c r="GUU50" s="344"/>
      <c r="GUV50" s="344"/>
      <c r="GUW50" s="344"/>
      <c r="GUX50" s="344"/>
      <c r="GUY50" s="344"/>
      <c r="GUZ50" s="344"/>
      <c r="GVA50" s="344"/>
      <c r="GVB50" s="344"/>
      <c r="GVC50" s="344"/>
      <c r="GVD50" s="344"/>
      <c r="GVE50" s="344"/>
      <c r="GVF50" s="344"/>
      <c r="GVG50" s="344"/>
      <c r="GVH50" s="344"/>
      <c r="GVI50" s="344"/>
      <c r="GVJ50" s="344"/>
      <c r="GVK50" s="344"/>
      <c r="GVL50" s="344"/>
      <c r="GVM50" s="344"/>
      <c r="GVN50" s="344"/>
      <c r="GVO50" s="344"/>
      <c r="GVP50" s="344"/>
      <c r="GVQ50" s="344"/>
      <c r="GVR50" s="344"/>
      <c r="GVS50" s="344"/>
      <c r="GVT50" s="344"/>
      <c r="GVU50" s="344"/>
      <c r="GVV50" s="344"/>
      <c r="GVW50" s="344"/>
      <c r="GVX50" s="344"/>
      <c r="GVY50" s="344"/>
      <c r="GVZ50" s="344"/>
      <c r="GWA50" s="344"/>
      <c r="GWB50" s="344"/>
      <c r="GWC50" s="344"/>
      <c r="GWD50" s="344"/>
      <c r="GWE50" s="344"/>
      <c r="GWF50" s="344"/>
      <c r="GWG50" s="344"/>
      <c r="GWH50" s="344"/>
      <c r="GWI50" s="344"/>
      <c r="GWJ50" s="344"/>
      <c r="GWK50" s="344"/>
      <c r="GWL50" s="344"/>
      <c r="GWM50" s="344"/>
      <c r="GWN50" s="344"/>
      <c r="GWO50" s="344"/>
      <c r="GWP50" s="344"/>
      <c r="GWQ50" s="344"/>
      <c r="GWR50" s="344"/>
      <c r="GWS50" s="344"/>
      <c r="GWT50" s="344"/>
      <c r="GWU50" s="344"/>
      <c r="GWV50" s="344"/>
      <c r="GWW50" s="344"/>
      <c r="GWX50" s="344"/>
      <c r="GWY50" s="344"/>
      <c r="GWZ50" s="344"/>
      <c r="GXA50" s="344"/>
      <c r="GXB50" s="344"/>
      <c r="GXC50" s="344"/>
      <c r="GXD50" s="344"/>
      <c r="GXE50" s="344"/>
      <c r="GXF50" s="344"/>
      <c r="GXG50" s="344"/>
      <c r="GXH50" s="344"/>
      <c r="GXI50" s="344"/>
      <c r="GXJ50" s="344"/>
      <c r="GXK50" s="344"/>
      <c r="GXL50" s="344"/>
      <c r="GXM50" s="344"/>
      <c r="GXN50" s="344"/>
      <c r="GXO50" s="344"/>
      <c r="GXP50" s="344"/>
      <c r="GXQ50" s="344"/>
      <c r="GXR50" s="344"/>
      <c r="GXS50" s="344"/>
      <c r="GXT50" s="344"/>
      <c r="GXU50" s="344"/>
      <c r="GXV50" s="344"/>
      <c r="GXW50" s="344"/>
      <c r="GXX50" s="344"/>
      <c r="GXY50" s="344"/>
      <c r="GXZ50" s="344"/>
      <c r="GYA50" s="344"/>
      <c r="GYB50" s="344"/>
      <c r="GYC50" s="344"/>
      <c r="GYD50" s="344"/>
      <c r="GYE50" s="344"/>
      <c r="GYF50" s="344"/>
      <c r="GYG50" s="344"/>
      <c r="GYH50" s="344"/>
      <c r="GYI50" s="344"/>
      <c r="GYJ50" s="344"/>
      <c r="GYK50" s="344"/>
      <c r="GYL50" s="344"/>
      <c r="GYM50" s="344"/>
      <c r="GYN50" s="344"/>
      <c r="GYO50" s="344"/>
      <c r="GYP50" s="344"/>
      <c r="GYQ50" s="344"/>
      <c r="GYR50" s="344"/>
      <c r="GYS50" s="344"/>
      <c r="GYT50" s="344"/>
      <c r="GYU50" s="344"/>
      <c r="GYV50" s="344"/>
      <c r="GYW50" s="344"/>
      <c r="GYX50" s="344"/>
      <c r="GYY50" s="344"/>
      <c r="GYZ50" s="344"/>
      <c r="GZA50" s="344"/>
      <c r="GZB50" s="344"/>
      <c r="GZC50" s="344"/>
      <c r="GZD50" s="344"/>
      <c r="GZE50" s="344"/>
      <c r="GZF50" s="344"/>
      <c r="GZG50" s="344"/>
      <c r="GZH50" s="344"/>
      <c r="GZI50" s="344"/>
      <c r="GZJ50" s="344"/>
      <c r="GZK50" s="344"/>
      <c r="GZL50" s="344"/>
      <c r="GZM50" s="344"/>
      <c r="GZN50" s="344"/>
      <c r="GZO50" s="344"/>
      <c r="GZP50" s="344"/>
      <c r="GZQ50" s="344"/>
      <c r="GZR50" s="344"/>
      <c r="GZS50" s="344"/>
      <c r="GZT50" s="344"/>
      <c r="GZU50" s="344"/>
      <c r="GZV50" s="344"/>
      <c r="GZW50" s="344"/>
      <c r="GZX50" s="344"/>
      <c r="GZY50" s="344"/>
      <c r="GZZ50" s="344"/>
      <c r="HAA50" s="344"/>
      <c r="HAB50" s="344"/>
      <c r="HAC50" s="344"/>
      <c r="HAD50" s="344"/>
      <c r="HAE50" s="344"/>
      <c r="HAF50" s="344"/>
      <c r="HAG50" s="344"/>
      <c r="HAH50" s="344"/>
      <c r="HAI50" s="344"/>
      <c r="HAJ50" s="344"/>
      <c r="HAK50" s="344"/>
      <c r="HAL50" s="344"/>
      <c r="HAM50" s="344"/>
      <c r="HAN50" s="344"/>
      <c r="HAO50" s="344"/>
      <c r="HAP50" s="344"/>
      <c r="HAQ50" s="344"/>
      <c r="HAR50" s="344"/>
      <c r="HAS50" s="344"/>
      <c r="HAT50" s="344"/>
      <c r="HAU50" s="344"/>
      <c r="HAV50" s="344"/>
      <c r="HAW50" s="344"/>
      <c r="HAX50" s="344"/>
      <c r="HAY50" s="344"/>
      <c r="HAZ50" s="344"/>
      <c r="HBA50" s="344"/>
      <c r="HBB50" s="344"/>
      <c r="HBC50" s="344"/>
      <c r="HBD50" s="344"/>
      <c r="HBE50" s="344"/>
      <c r="HBF50" s="344"/>
      <c r="HBG50" s="344"/>
      <c r="HBH50" s="344"/>
      <c r="HBI50" s="344"/>
      <c r="HBJ50" s="344"/>
      <c r="HBK50" s="344"/>
      <c r="HBL50" s="344"/>
      <c r="HBM50" s="344"/>
      <c r="HBN50" s="344"/>
      <c r="HBO50" s="344"/>
      <c r="HBP50" s="344"/>
      <c r="HBQ50" s="344"/>
      <c r="HBR50" s="344"/>
      <c r="HBS50" s="344"/>
      <c r="HBT50" s="344"/>
      <c r="HBU50" s="344"/>
      <c r="HBV50" s="344"/>
      <c r="HBW50" s="344"/>
      <c r="HBX50" s="344"/>
      <c r="HBY50" s="344"/>
      <c r="HBZ50" s="344"/>
      <c r="HCA50" s="344"/>
      <c r="HCB50" s="344"/>
      <c r="HCC50" s="344"/>
      <c r="HCD50" s="344"/>
      <c r="HCE50" s="344"/>
      <c r="HCF50" s="344"/>
      <c r="HCG50" s="344"/>
      <c r="HCH50" s="344"/>
      <c r="HCI50" s="344"/>
      <c r="HCJ50" s="344"/>
      <c r="HCK50" s="344"/>
      <c r="HCL50" s="344"/>
      <c r="HCM50" s="344"/>
      <c r="HCN50" s="344"/>
      <c r="HCO50" s="344"/>
      <c r="HCP50" s="344"/>
      <c r="HCQ50" s="344"/>
      <c r="HCR50" s="344"/>
      <c r="HCS50" s="344"/>
      <c r="HCT50" s="344"/>
      <c r="HCU50" s="344"/>
      <c r="HCV50" s="344"/>
      <c r="HCW50" s="344"/>
      <c r="HCX50" s="344"/>
      <c r="HCY50" s="344"/>
      <c r="HCZ50" s="344"/>
      <c r="HDA50" s="344"/>
      <c r="HDB50" s="344"/>
      <c r="HDC50" s="344"/>
      <c r="HDD50" s="344"/>
      <c r="HDE50" s="344"/>
      <c r="HDF50" s="344"/>
      <c r="HDG50" s="344"/>
      <c r="HDH50" s="344"/>
      <c r="HDI50" s="344"/>
      <c r="HDJ50" s="344"/>
      <c r="HDK50" s="344"/>
      <c r="HDL50" s="344"/>
      <c r="HDM50" s="344"/>
      <c r="HDN50" s="344"/>
      <c r="HDO50" s="344"/>
      <c r="HDP50" s="344"/>
      <c r="HDQ50" s="344"/>
      <c r="HDR50" s="344"/>
      <c r="HDS50" s="344"/>
      <c r="HDT50" s="344"/>
      <c r="HDU50" s="344"/>
      <c r="HDV50" s="344"/>
      <c r="HDW50" s="344"/>
      <c r="HDX50" s="344"/>
      <c r="HDY50" s="344"/>
      <c r="HDZ50" s="344"/>
      <c r="HEA50" s="344"/>
      <c r="HEB50" s="344"/>
      <c r="HEC50" s="344"/>
      <c r="HED50" s="344"/>
      <c r="HEE50" s="344"/>
      <c r="HEF50" s="344"/>
      <c r="HEG50" s="344"/>
      <c r="HEH50" s="344"/>
      <c r="HEI50" s="344"/>
      <c r="HEJ50" s="344"/>
      <c r="HEK50" s="344"/>
      <c r="HEL50" s="344"/>
      <c r="HEM50" s="344"/>
      <c r="HEN50" s="344"/>
      <c r="HEO50" s="344"/>
      <c r="HEP50" s="344"/>
      <c r="HEQ50" s="344"/>
      <c r="HER50" s="344"/>
      <c r="HES50" s="344"/>
      <c r="HET50" s="344"/>
      <c r="HEU50" s="344"/>
      <c r="HEV50" s="344"/>
      <c r="HEW50" s="344"/>
      <c r="HEX50" s="344"/>
      <c r="HEY50" s="344"/>
      <c r="HEZ50" s="344"/>
      <c r="HFA50" s="344"/>
      <c r="HFB50" s="344"/>
      <c r="HFC50" s="344"/>
      <c r="HFD50" s="344"/>
      <c r="HFE50" s="344"/>
      <c r="HFF50" s="344"/>
      <c r="HFG50" s="344"/>
      <c r="HFH50" s="344"/>
      <c r="HFI50" s="344"/>
      <c r="HFJ50" s="344"/>
      <c r="HFK50" s="344"/>
      <c r="HFL50" s="344"/>
      <c r="HFM50" s="344"/>
      <c r="HFN50" s="344"/>
      <c r="HFO50" s="344"/>
      <c r="HFP50" s="344"/>
      <c r="HFQ50" s="344"/>
      <c r="HFR50" s="344"/>
      <c r="HFS50" s="344"/>
      <c r="HFT50" s="344"/>
      <c r="HFU50" s="344"/>
      <c r="HFV50" s="344"/>
      <c r="HFW50" s="344"/>
      <c r="HFX50" s="344"/>
      <c r="HFY50" s="344"/>
      <c r="HFZ50" s="344"/>
      <c r="HGA50" s="344"/>
      <c r="HGB50" s="344"/>
      <c r="HGC50" s="344"/>
      <c r="HGD50" s="344"/>
      <c r="HGE50" s="344"/>
      <c r="HGF50" s="344"/>
      <c r="HGG50" s="344"/>
      <c r="HGH50" s="344"/>
      <c r="HGI50" s="344"/>
      <c r="HGJ50" s="344"/>
      <c r="HGK50" s="344"/>
      <c r="HGL50" s="344"/>
      <c r="HGM50" s="344"/>
      <c r="HGN50" s="344"/>
      <c r="HGO50" s="344"/>
      <c r="HGP50" s="344"/>
      <c r="HGQ50" s="344"/>
      <c r="HGR50" s="344"/>
      <c r="HGS50" s="344"/>
      <c r="HGT50" s="344"/>
      <c r="HGU50" s="344"/>
      <c r="HGV50" s="344"/>
      <c r="HGW50" s="344"/>
      <c r="HGX50" s="344"/>
      <c r="HGY50" s="344"/>
      <c r="HGZ50" s="344"/>
      <c r="HHA50" s="344"/>
      <c r="HHB50" s="344"/>
      <c r="HHC50" s="344"/>
      <c r="HHD50" s="344"/>
      <c r="HHE50" s="344"/>
      <c r="HHF50" s="344"/>
      <c r="HHG50" s="344"/>
      <c r="HHH50" s="344"/>
      <c r="HHI50" s="344"/>
      <c r="HHJ50" s="344"/>
      <c r="HHK50" s="344"/>
      <c r="HHL50" s="344"/>
      <c r="HHM50" s="344"/>
      <c r="HHN50" s="344"/>
      <c r="HHO50" s="344"/>
      <c r="HHP50" s="344"/>
      <c r="HHQ50" s="344"/>
      <c r="HHR50" s="344"/>
      <c r="HHS50" s="344"/>
      <c r="HHT50" s="344"/>
      <c r="HHU50" s="344"/>
      <c r="HHV50" s="344"/>
      <c r="HHW50" s="344"/>
      <c r="HHX50" s="344"/>
      <c r="HHY50" s="344"/>
      <c r="HHZ50" s="344"/>
      <c r="HIA50" s="344"/>
      <c r="HIB50" s="344"/>
      <c r="HIC50" s="344"/>
      <c r="HID50" s="344"/>
      <c r="HIE50" s="344"/>
      <c r="HIF50" s="344"/>
      <c r="HIG50" s="344"/>
      <c r="HIH50" s="344"/>
      <c r="HII50" s="344"/>
      <c r="HIJ50" s="344"/>
      <c r="HIK50" s="344"/>
      <c r="HIL50" s="344"/>
      <c r="HIM50" s="344"/>
      <c r="HIN50" s="344"/>
      <c r="HIO50" s="344"/>
      <c r="HIP50" s="344"/>
      <c r="HIQ50" s="344"/>
      <c r="HIR50" s="344"/>
      <c r="HIS50" s="344"/>
      <c r="HIT50" s="344"/>
      <c r="HIU50" s="344"/>
      <c r="HIV50" s="344"/>
      <c r="HIW50" s="344"/>
      <c r="HIX50" s="344"/>
      <c r="HIY50" s="344"/>
      <c r="HIZ50" s="344"/>
      <c r="HJA50" s="344"/>
      <c r="HJB50" s="344"/>
      <c r="HJC50" s="344"/>
      <c r="HJD50" s="344"/>
      <c r="HJE50" s="344"/>
      <c r="HJF50" s="344"/>
      <c r="HJG50" s="344"/>
      <c r="HJH50" s="344"/>
      <c r="HJI50" s="344"/>
      <c r="HJJ50" s="344"/>
      <c r="HJK50" s="344"/>
      <c r="HJL50" s="344"/>
      <c r="HJM50" s="344"/>
      <c r="HJN50" s="344"/>
      <c r="HJO50" s="344"/>
      <c r="HJP50" s="344"/>
      <c r="HJQ50" s="344"/>
      <c r="HJR50" s="344"/>
      <c r="HJS50" s="344"/>
      <c r="HJT50" s="344"/>
      <c r="HJU50" s="344"/>
      <c r="HJV50" s="344"/>
      <c r="HJW50" s="344"/>
      <c r="HJX50" s="344"/>
      <c r="HJY50" s="344"/>
      <c r="HJZ50" s="344"/>
      <c r="HKA50" s="344"/>
      <c r="HKB50" s="344"/>
      <c r="HKC50" s="344"/>
      <c r="HKD50" s="344"/>
      <c r="HKE50" s="344"/>
      <c r="HKF50" s="344"/>
      <c r="HKG50" s="344"/>
      <c r="HKH50" s="344"/>
      <c r="HKI50" s="344"/>
      <c r="HKJ50" s="344"/>
      <c r="HKK50" s="344"/>
      <c r="HKL50" s="344"/>
      <c r="HKM50" s="344"/>
      <c r="HKN50" s="344"/>
      <c r="HKO50" s="344"/>
      <c r="HKP50" s="344"/>
      <c r="HKQ50" s="344"/>
      <c r="HKR50" s="344"/>
      <c r="HKS50" s="344"/>
      <c r="HKT50" s="344"/>
      <c r="HKU50" s="344"/>
      <c r="HKV50" s="344"/>
      <c r="HKW50" s="344"/>
      <c r="HKX50" s="344"/>
      <c r="HKY50" s="344"/>
      <c r="HKZ50" s="344"/>
      <c r="HLA50" s="344"/>
      <c r="HLB50" s="344"/>
      <c r="HLC50" s="344"/>
      <c r="HLD50" s="344"/>
      <c r="HLE50" s="344"/>
      <c r="HLF50" s="344"/>
      <c r="HLG50" s="344"/>
      <c r="HLH50" s="344"/>
      <c r="HLI50" s="344"/>
      <c r="HLJ50" s="344"/>
      <c r="HLK50" s="344"/>
      <c r="HLL50" s="344"/>
      <c r="HLM50" s="344"/>
      <c r="HLN50" s="344"/>
      <c r="HLO50" s="344"/>
      <c r="HLP50" s="344"/>
      <c r="HLQ50" s="344"/>
      <c r="HLR50" s="344"/>
      <c r="HLS50" s="344"/>
      <c r="HLT50" s="344"/>
      <c r="HLU50" s="344"/>
      <c r="HLV50" s="344"/>
      <c r="HLW50" s="344"/>
      <c r="HLX50" s="344"/>
      <c r="HLY50" s="344"/>
      <c r="HLZ50" s="344"/>
      <c r="HMA50" s="344"/>
      <c r="HMB50" s="344"/>
      <c r="HMC50" s="344"/>
      <c r="HMD50" s="344"/>
      <c r="HME50" s="344"/>
      <c r="HMF50" s="344"/>
      <c r="HMG50" s="344"/>
      <c r="HMH50" s="344"/>
      <c r="HMI50" s="344"/>
      <c r="HMJ50" s="344"/>
      <c r="HMK50" s="344"/>
      <c r="HML50" s="344"/>
      <c r="HMM50" s="344"/>
      <c r="HMN50" s="344"/>
      <c r="HMO50" s="344"/>
      <c r="HMP50" s="344"/>
      <c r="HMQ50" s="344"/>
      <c r="HMR50" s="344"/>
      <c r="HMS50" s="344"/>
      <c r="HMT50" s="344"/>
      <c r="HMU50" s="344"/>
      <c r="HMV50" s="344"/>
      <c r="HMW50" s="344"/>
      <c r="HMX50" s="344"/>
      <c r="HMY50" s="344"/>
      <c r="HMZ50" s="344"/>
      <c r="HNA50" s="344"/>
      <c r="HNB50" s="344"/>
      <c r="HNC50" s="344"/>
      <c r="HND50" s="344"/>
      <c r="HNE50" s="344"/>
      <c r="HNF50" s="344"/>
      <c r="HNG50" s="344"/>
      <c r="HNH50" s="344"/>
      <c r="HNI50" s="344"/>
      <c r="HNJ50" s="344"/>
      <c r="HNK50" s="344"/>
      <c r="HNL50" s="344"/>
      <c r="HNM50" s="344"/>
      <c r="HNN50" s="344"/>
      <c r="HNO50" s="344"/>
      <c r="HNP50" s="344"/>
      <c r="HNQ50" s="344"/>
      <c r="HNR50" s="344"/>
      <c r="HNS50" s="344"/>
      <c r="HNT50" s="344"/>
      <c r="HNU50" s="344"/>
      <c r="HNV50" s="344"/>
      <c r="HNW50" s="344"/>
      <c r="HNX50" s="344"/>
      <c r="HNY50" s="344"/>
      <c r="HNZ50" s="344"/>
      <c r="HOA50" s="344"/>
      <c r="HOB50" s="344"/>
      <c r="HOC50" s="344"/>
      <c r="HOD50" s="344"/>
      <c r="HOE50" s="344"/>
      <c r="HOF50" s="344"/>
      <c r="HOG50" s="344"/>
      <c r="HOH50" s="344"/>
      <c r="HOI50" s="344"/>
      <c r="HOJ50" s="344"/>
      <c r="HOK50" s="344"/>
      <c r="HOL50" s="344"/>
      <c r="HOM50" s="344"/>
      <c r="HON50" s="344"/>
      <c r="HOO50" s="344"/>
      <c r="HOP50" s="344"/>
      <c r="HOQ50" s="344"/>
      <c r="HOR50" s="344"/>
      <c r="HOS50" s="344"/>
      <c r="HOT50" s="344"/>
      <c r="HOU50" s="344"/>
      <c r="HOV50" s="344"/>
      <c r="HOW50" s="344"/>
      <c r="HOX50" s="344"/>
      <c r="HOY50" s="344"/>
      <c r="HOZ50" s="344"/>
      <c r="HPA50" s="344"/>
      <c r="HPB50" s="344"/>
      <c r="HPC50" s="344"/>
      <c r="HPD50" s="344"/>
      <c r="HPE50" s="344"/>
      <c r="HPF50" s="344"/>
      <c r="HPG50" s="344"/>
      <c r="HPH50" s="344"/>
      <c r="HPI50" s="344"/>
      <c r="HPJ50" s="344"/>
      <c r="HPK50" s="344"/>
      <c r="HPL50" s="344"/>
      <c r="HPM50" s="344"/>
      <c r="HPN50" s="344"/>
      <c r="HPO50" s="344"/>
      <c r="HPP50" s="344"/>
      <c r="HPQ50" s="344"/>
      <c r="HPR50" s="344"/>
      <c r="HPS50" s="344"/>
      <c r="HPT50" s="344"/>
      <c r="HPU50" s="344"/>
      <c r="HPV50" s="344"/>
      <c r="HPW50" s="344"/>
      <c r="HPX50" s="344"/>
      <c r="HPY50" s="344"/>
      <c r="HPZ50" s="344"/>
      <c r="HQA50" s="344"/>
      <c r="HQB50" s="344"/>
      <c r="HQC50" s="344"/>
      <c r="HQD50" s="344"/>
      <c r="HQE50" s="344"/>
      <c r="HQF50" s="344"/>
      <c r="HQG50" s="344"/>
      <c r="HQH50" s="344"/>
      <c r="HQI50" s="344"/>
      <c r="HQJ50" s="344"/>
      <c r="HQK50" s="344"/>
      <c r="HQL50" s="344"/>
      <c r="HQM50" s="344"/>
      <c r="HQN50" s="344"/>
      <c r="HQO50" s="344"/>
      <c r="HQP50" s="344"/>
      <c r="HQQ50" s="344"/>
      <c r="HQR50" s="344"/>
      <c r="HQS50" s="344"/>
      <c r="HQT50" s="344"/>
      <c r="HQU50" s="344"/>
      <c r="HQV50" s="344"/>
      <c r="HQW50" s="344"/>
      <c r="HQX50" s="344"/>
      <c r="HQY50" s="344"/>
      <c r="HQZ50" s="344"/>
      <c r="HRA50" s="344"/>
      <c r="HRB50" s="344"/>
      <c r="HRC50" s="344"/>
      <c r="HRD50" s="344"/>
      <c r="HRE50" s="344"/>
      <c r="HRF50" s="344"/>
      <c r="HRG50" s="344"/>
      <c r="HRH50" s="344"/>
      <c r="HRI50" s="344"/>
      <c r="HRJ50" s="344"/>
      <c r="HRK50" s="344"/>
      <c r="HRL50" s="344"/>
      <c r="HRM50" s="344"/>
      <c r="HRN50" s="344"/>
      <c r="HRO50" s="344"/>
      <c r="HRP50" s="344"/>
      <c r="HRQ50" s="344"/>
      <c r="HRR50" s="344"/>
      <c r="HRS50" s="344"/>
      <c r="HRT50" s="344"/>
      <c r="HRU50" s="344"/>
      <c r="HRV50" s="344"/>
      <c r="HRW50" s="344"/>
      <c r="HRX50" s="344"/>
      <c r="HRY50" s="344"/>
      <c r="HRZ50" s="344"/>
      <c r="HSA50" s="344"/>
      <c r="HSB50" s="344"/>
      <c r="HSC50" s="344"/>
      <c r="HSD50" s="344"/>
      <c r="HSE50" s="344"/>
      <c r="HSF50" s="344"/>
      <c r="HSG50" s="344"/>
      <c r="HSH50" s="344"/>
      <c r="HSI50" s="344"/>
      <c r="HSJ50" s="344"/>
      <c r="HSK50" s="344"/>
      <c r="HSL50" s="344"/>
      <c r="HSM50" s="344"/>
      <c r="HSN50" s="344"/>
      <c r="HSO50" s="344"/>
      <c r="HSP50" s="344"/>
      <c r="HSQ50" s="344"/>
      <c r="HSR50" s="344"/>
      <c r="HSS50" s="344"/>
      <c r="HST50" s="344"/>
      <c r="HSU50" s="344"/>
      <c r="HSV50" s="344"/>
      <c r="HSW50" s="344"/>
      <c r="HSX50" s="344"/>
      <c r="HSY50" s="344"/>
      <c r="HSZ50" s="344"/>
      <c r="HTA50" s="344"/>
      <c r="HTB50" s="344"/>
      <c r="HTC50" s="344"/>
      <c r="HTD50" s="344"/>
      <c r="HTE50" s="344"/>
      <c r="HTF50" s="344"/>
      <c r="HTG50" s="344"/>
      <c r="HTH50" s="344"/>
      <c r="HTI50" s="344"/>
      <c r="HTJ50" s="344"/>
      <c r="HTK50" s="344"/>
      <c r="HTL50" s="344"/>
      <c r="HTM50" s="344"/>
      <c r="HTN50" s="344"/>
      <c r="HTO50" s="344"/>
      <c r="HTP50" s="344"/>
      <c r="HTQ50" s="344"/>
      <c r="HTR50" s="344"/>
      <c r="HTS50" s="344"/>
      <c r="HTT50" s="344"/>
      <c r="HTU50" s="344"/>
      <c r="HTV50" s="344"/>
      <c r="HTW50" s="344"/>
      <c r="HTX50" s="344"/>
      <c r="HTY50" s="344"/>
      <c r="HTZ50" s="344"/>
      <c r="HUA50" s="344"/>
      <c r="HUB50" s="344"/>
      <c r="HUC50" s="344"/>
      <c r="HUD50" s="344"/>
      <c r="HUE50" s="344"/>
      <c r="HUF50" s="344"/>
      <c r="HUG50" s="344"/>
      <c r="HUH50" s="344"/>
      <c r="HUI50" s="344"/>
      <c r="HUJ50" s="344"/>
      <c r="HUK50" s="344"/>
      <c r="HUL50" s="344"/>
      <c r="HUM50" s="344"/>
      <c r="HUN50" s="344"/>
      <c r="HUO50" s="344"/>
      <c r="HUP50" s="344"/>
      <c r="HUQ50" s="344"/>
      <c r="HUR50" s="344"/>
      <c r="HUS50" s="344"/>
      <c r="HUT50" s="344"/>
      <c r="HUU50" s="344"/>
      <c r="HUV50" s="344"/>
      <c r="HUW50" s="344"/>
      <c r="HUX50" s="344"/>
      <c r="HUY50" s="344"/>
      <c r="HUZ50" s="344"/>
      <c r="HVA50" s="344"/>
      <c r="HVB50" s="344"/>
      <c r="HVC50" s="344"/>
      <c r="HVD50" s="344"/>
      <c r="HVE50" s="344"/>
      <c r="HVF50" s="344"/>
      <c r="HVG50" s="344"/>
      <c r="HVH50" s="344"/>
      <c r="HVI50" s="344"/>
      <c r="HVJ50" s="344"/>
      <c r="HVK50" s="344"/>
      <c r="HVL50" s="344"/>
      <c r="HVM50" s="344"/>
      <c r="HVN50" s="344"/>
      <c r="HVO50" s="344"/>
      <c r="HVP50" s="344"/>
      <c r="HVQ50" s="344"/>
      <c r="HVR50" s="344"/>
      <c r="HVS50" s="344"/>
      <c r="HVT50" s="344"/>
      <c r="HVU50" s="344"/>
      <c r="HVV50" s="344"/>
      <c r="HVW50" s="344"/>
      <c r="HVX50" s="344"/>
      <c r="HVY50" s="344"/>
      <c r="HVZ50" s="344"/>
      <c r="HWA50" s="344"/>
      <c r="HWB50" s="344"/>
      <c r="HWC50" s="344"/>
      <c r="HWD50" s="344"/>
      <c r="HWE50" s="344"/>
      <c r="HWF50" s="344"/>
      <c r="HWG50" s="344"/>
      <c r="HWH50" s="344"/>
      <c r="HWI50" s="344"/>
      <c r="HWJ50" s="344"/>
      <c r="HWK50" s="344"/>
      <c r="HWL50" s="344"/>
      <c r="HWM50" s="344"/>
      <c r="HWN50" s="344"/>
      <c r="HWO50" s="344"/>
      <c r="HWP50" s="344"/>
      <c r="HWQ50" s="344"/>
      <c r="HWR50" s="344"/>
      <c r="HWS50" s="344"/>
      <c r="HWT50" s="344"/>
      <c r="HWU50" s="344"/>
      <c r="HWV50" s="344"/>
      <c r="HWW50" s="344"/>
      <c r="HWX50" s="344"/>
      <c r="HWY50" s="344"/>
      <c r="HWZ50" s="344"/>
      <c r="HXA50" s="344"/>
      <c r="HXB50" s="344"/>
      <c r="HXC50" s="344"/>
      <c r="HXD50" s="344"/>
      <c r="HXE50" s="344"/>
      <c r="HXF50" s="344"/>
      <c r="HXG50" s="344"/>
      <c r="HXH50" s="344"/>
      <c r="HXI50" s="344"/>
      <c r="HXJ50" s="344"/>
      <c r="HXK50" s="344"/>
      <c r="HXL50" s="344"/>
      <c r="HXM50" s="344"/>
      <c r="HXN50" s="344"/>
      <c r="HXO50" s="344"/>
      <c r="HXP50" s="344"/>
      <c r="HXQ50" s="344"/>
      <c r="HXR50" s="344"/>
      <c r="HXS50" s="344"/>
      <c r="HXT50" s="344"/>
      <c r="HXU50" s="344"/>
      <c r="HXV50" s="344"/>
      <c r="HXW50" s="344"/>
      <c r="HXX50" s="344"/>
      <c r="HXY50" s="344"/>
      <c r="HXZ50" s="344"/>
      <c r="HYA50" s="344"/>
      <c r="HYB50" s="344"/>
      <c r="HYC50" s="344"/>
      <c r="HYD50" s="344"/>
      <c r="HYE50" s="344"/>
      <c r="HYF50" s="344"/>
      <c r="HYG50" s="344"/>
      <c r="HYH50" s="344"/>
      <c r="HYI50" s="344"/>
      <c r="HYJ50" s="344"/>
      <c r="HYK50" s="344"/>
      <c r="HYL50" s="344"/>
      <c r="HYM50" s="344"/>
      <c r="HYN50" s="344"/>
      <c r="HYO50" s="344"/>
      <c r="HYP50" s="344"/>
      <c r="HYQ50" s="344"/>
      <c r="HYR50" s="344"/>
      <c r="HYS50" s="344"/>
      <c r="HYT50" s="344"/>
      <c r="HYU50" s="344"/>
      <c r="HYV50" s="344"/>
      <c r="HYW50" s="344"/>
      <c r="HYX50" s="344"/>
      <c r="HYY50" s="344"/>
      <c r="HYZ50" s="344"/>
      <c r="HZA50" s="344"/>
      <c r="HZB50" s="344"/>
      <c r="HZC50" s="344"/>
      <c r="HZD50" s="344"/>
      <c r="HZE50" s="344"/>
      <c r="HZF50" s="344"/>
      <c r="HZG50" s="344"/>
      <c r="HZH50" s="344"/>
      <c r="HZI50" s="344"/>
      <c r="HZJ50" s="344"/>
      <c r="HZK50" s="344"/>
      <c r="HZL50" s="344"/>
      <c r="HZM50" s="344"/>
      <c r="HZN50" s="344"/>
      <c r="HZO50" s="344"/>
      <c r="HZP50" s="344"/>
      <c r="HZQ50" s="344"/>
      <c r="HZR50" s="344"/>
      <c r="HZS50" s="344"/>
      <c r="HZT50" s="344"/>
      <c r="HZU50" s="344"/>
      <c r="HZV50" s="344"/>
      <c r="HZW50" s="344"/>
      <c r="HZX50" s="344"/>
      <c r="HZY50" s="344"/>
      <c r="HZZ50" s="344"/>
      <c r="IAA50" s="344"/>
      <c r="IAB50" s="344"/>
      <c r="IAC50" s="344"/>
      <c r="IAD50" s="344"/>
      <c r="IAE50" s="344"/>
      <c r="IAF50" s="344"/>
      <c r="IAG50" s="344"/>
      <c r="IAH50" s="344"/>
      <c r="IAI50" s="344"/>
      <c r="IAJ50" s="344"/>
      <c r="IAK50" s="344"/>
      <c r="IAL50" s="344"/>
      <c r="IAM50" s="344"/>
      <c r="IAN50" s="344"/>
      <c r="IAO50" s="344"/>
      <c r="IAP50" s="344"/>
      <c r="IAQ50" s="344"/>
      <c r="IAR50" s="344"/>
      <c r="IAS50" s="344"/>
      <c r="IAT50" s="344"/>
      <c r="IAU50" s="344"/>
      <c r="IAV50" s="344"/>
      <c r="IAW50" s="344"/>
      <c r="IAX50" s="344"/>
      <c r="IAY50" s="344"/>
      <c r="IAZ50" s="344"/>
      <c r="IBA50" s="344"/>
      <c r="IBB50" s="344"/>
      <c r="IBC50" s="344"/>
      <c r="IBD50" s="344"/>
      <c r="IBE50" s="344"/>
      <c r="IBF50" s="344"/>
      <c r="IBG50" s="344"/>
      <c r="IBH50" s="344"/>
      <c r="IBI50" s="344"/>
      <c r="IBJ50" s="344"/>
      <c r="IBK50" s="344"/>
      <c r="IBL50" s="344"/>
      <c r="IBM50" s="344"/>
      <c r="IBN50" s="344"/>
      <c r="IBO50" s="344"/>
      <c r="IBP50" s="344"/>
      <c r="IBQ50" s="344"/>
      <c r="IBR50" s="344"/>
      <c r="IBS50" s="344"/>
      <c r="IBT50" s="344"/>
      <c r="IBU50" s="344"/>
      <c r="IBV50" s="344"/>
      <c r="IBW50" s="344"/>
      <c r="IBX50" s="344"/>
      <c r="IBY50" s="344"/>
      <c r="IBZ50" s="344"/>
      <c r="ICA50" s="344"/>
      <c r="ICB50" s="344"/>
      <c r="ICC50" s="344"/>
      <c r="ICD50" s="344"/>
      <c r="ICE50" s="344"/>
      <c r="ICF50" s="344"/>
      <c r="ICG50" s="344"/>
      <c r="ICH50" s="344"/>
      <c r="ICI50" s="344"/>
      <c r="ICJ50" s="344"/>
      <c r="ICK50" s="344"/>
      <c r="ICL50" s="344"/>
      <c r="ICM50" s="344"/>
      <c r="ICN50" s="344"/>
      <c r="ICO50" s="344"/>
      <c r="ICP50" s="344"/>
      <c r="ICQ50" s="344"/>
      <c r="ICR50" s="344"/>
      <c r="ICS50" s="344"/>
      <c r="ICT50" s="344"/>
      <c r="ICU50" s="344"/>
      <c r="ICV50" s="344"/>
      <c r="ICW50" s="344"/>
      <c r="ICX50" s="344"/>
      <c r="ICY50" s="344"/>
      <c r="ICZ50" s="344"/>
      <c r="IDA50" s="344"/>
      <c r="IDB50" s="344"/>
      <c r="IDC50" s="344"/>
      <c r="IDD50" s="344"/>
      <c r="IDE50" s="344"/>
      <c r="IDF50" s="344"/>
      <c r="IDG50" s="344"/>
      <c r="IDH50" s="344"/>
      <c r="IDI50" s="344"/>
      <c r="IDJ50" s="344"/>
      <c r="IDK50" s="344"/>
      <c r="IDL50" s="344"/>
      <c r="IDM50" s="344"/>
      <c r="IDN50" s="344"/>
      <c r="IDO50" s="344"/>
      <c r="IDP50" s="344"/>
      <c r="IDQ50" s="344"/>
      <c r="IDR50" s="344"/>
      <c r="IDS50" s="344"/>
      <c r="IDT50" s="344"/>
      <c r="IDU50" s="344"/>
      <c r="IDV50" s="344"/>
      <c r="IDW50" s="344"/>
      <c r="IDX50" s="344"/>
      <c r="IDY50" s="344"/>
      <c r="IDZ50" s="344"/>
      <c r="IEA50" s="344"/>
      <c r="IEB50" s="344"/>
      <c r="IEC50" s="344"/>
      <c r="IED50" s="344"/>
      <c r="IEE50" s="344"/>
      <c r="IEF50" s="344"/>
      <c r="IEG50" s="344"/>
      <c r="IEH50" s="344"/>
      <c r="IEI50" s="344"/>
      <c r="IEJ50" s="344"/>
      <c r="IEK50" s="344"/>
      <c r="IEL50" s="344"/>
      <c r="IEM50" s="344"/>
      <c r="IEN50" s="344"/>
      <c r="IEO50" s="344"/>
      <c r="IEP50" s="344"/>
      <c r="IEQ50" s="344"/>
      <c r="IER50" s="344"/>
      <c r="IES50" s="344"/>
      <c r="IET50" s="344"/>
      <c r="IEU50" s="344"/>
      <c r="IEV50" s="344"/>
      <c r="IEW50" s="344"/>
      <c r="IEX50" s="344"/>
      <c r="IEY50" s="344"/>
      <c r="IEZ50" s="344"/>
      <c r="IFA50" s="344"/>
      <c r="IFB50" s="344"/>
      <c r="IFC50" s="344"/>
      <c r="IFD50" s="344"/>
      <c r="IFE50" s="344"/>
      <c r="IFF50" s="344"/>
      <c r="IFG50" s="344"/>
      <c r="IFH50" s="344"/>
      <c r="IFI50" s="344"/>
      <c r="IFJ50" s="344"/>
      <c r="IFK50" s="344"/>
      <c r="IFL50" s="344"/>
      <c r="IFM50" s="344"/>
      <c r="IFN50" s="344"/>
      <c r="IFO50" s="344"/>
      <c r="IFP50" s="344"/>
      <c r="IFQ50" s="344"/>
      <c r="IFR50" s="344"/>
      <c r="IFS50" s="344"/>
      <c r="IFT50" s="344"/>
      <c r="IFU50" s="344"/>
      <c r="IFV50" s="344"/>
      <c r="IFW50" s="344"/>
      <c r="IFX50" s="344"/>
      <c r="IFY50" s="344"/>
      <c r="IFZ50" s="344"/>
      <c r="IGA50" s="344"/>
      <c r="IGB50" s="344"/>
      <c r="IGC50" s="344"/>
      <c r="IGD50" s="344"/>
      <c r="IGE50" s="344"/>
      <c r="IGF50" s="344"/>
      <c r="IGG50" s="344"/>
      <c r="IGH50" s="344"/>
      <c r="IGI50" s="344"/>
      <c r="IGJ50" s="344"/>
      <c r="IGK50" s="344"/>
      <c r="IGL50" s="344"/>
      <c r="IGM50" s="344"/>
      <c r="IGN50" s="344"/>
      <c r="IGO50" s="344"/>
      <c r="IGP50" s="344"/>
      <c r="IGQ50" s="344"/>
      <c r="IGR50" s="344"/>
      <c r="IGS50" s="344"/>
      <c r="IGT50" s="344"/>
      <c r="IGU50" s="344"/>
      <c r="IGV50" s="344"/>
      <c r="IGW50" s="344"/>
      <c r="IGX50" s="344"/>
      <c r="IGY50" s="344"/>
      <c r="IGZ50" s="344"/>
      <c r="IHA50" s="344"/>
      <c r="IHB50" s="344"/>
      <c r="IHC50" s="344"/>
      <c r="IHD50" s="344"/>
      <c r="IHE50" s="344"/>
      <c r="IHF50" s="344"/>
      <c r="IHG50" s="344"/>
      <c r="IHH50" s="344"/>
      <c r="IHI50" s="344"/>
      <c r="IHJ50" s="344"/>
      <c r="IHK50" s="344"/>
      <c r="IHL50" s="344"/>
      <c r="IHM50" s="344"/>
      <c r="IHN50" s="344"/>
      <c r="IHO50" s="344"/>
      <c r="IHP50" s="344"/>
      <c r="IHQ50" s="344"/>
      <c r="IHR50" s="344"/>
      <c r="IHS50" s="344"/>
      <c r="IHT50" s="344"/>
      <c r="IHU50" s="344"/>
      <c r="IHV50" s="344"/>
      <c r="IHW50" s="344"/>
      <c r="IHX50" s="344"/>
      <c r="IHY50" s="344"/>
      <c r="IHZ50" s="344"/>
      <c r="IIA50" s="344"/>
      <c r="IIB50" s="344"/>
      <c r="IIC50" s="344"/>
      <c r="IID50" s="344"/>
      <c r="IIE50" s="344"/>
      <c r="IIF50" s="344"/>
      <c r="IIG50" s="344"/>
      <c r="IIH50" s="344"/>
      <c r="III50" s="344"/>
      <c r="IIJ50" s="344"/>
      <c r="IIK50" s="344"/>
      <c r="IIL50" s="344"/>
      <c r="IIM50" s="344"/>
      <c r="IIN50" s="344"/>
      <c r="IIO50" s="344"/>
      <c r="IIP50" s="344"/>
      <c r="IIQ50" s="344"/>
      <c r="IIR50" s="344"/>
      <c r="IIS50" s="344"/>
      <c r="IIT50" s="344"/>
      <c r="IIU50" s="344"/>
      <c r="IIV50" s="344"/>
      <c r="IIW50" s="344"/>
      <c r="IIX50" s="344"/>
      <c r="IIY50" s="344"/>
      <c r="IIZ50" s="344"/>
      <c r="IJA50" s="344"/>
      <c r="IJB50" s="344"/>
      <c r="IJC50" s="344"/>
      <c r="IJD50" s="344"/>
      <c r="IJE50" s="344"/>
      <c r="IJF50" s="344"/>
      <c r="IJG50" s="344"/>
      <c r="IJH50" s="344"/>
      <c r="IJI50" s="344"/>
      <c r="IJJ50" s="344"/>
      <c r="IJK50" s="344"/>
      <c r="IJL50" s="344"/>
      <c r="IJM50" s="344"/>
      <c r="IJN50" s="344"/>
      <c r="IJO50" s="344"/>
      <c r="IJP50" s="344"/>
      <c r="IJQ50" s="344"/>
      <c r="IJR50" s="344"/>
      <c r="IJS50" s="344"/>
      <c r="IJT50" s="344"/>
      <c r="IJU50" s="344"/>
      <c r="IJV50" s="344"/>
      <c r="IJW50" s="344"/>
      <c r="IJX50" s="344"/>
      <c r="IJY50" s="344"/>
      <c r="IJZ50" s="344"/>
      <c r="IKA50" s="344"/>
      <c r="IKB50" s="344"/>
      <c r="IKC50" s="344"/>
      <c r="IKD50" s="344"/>
      <c r="IKE50" s="344"/>
      <c r="IKF50" s="344"/>
      <c r="IKG50" s="344"/>
      <c r="IKH50" s="344"/>
      <c r="IKI50" s="344"/>
      <c r="IKJ50" s="344"/>
      <c r="IKK50" s="344"/>
      <c r="IKL50" s="344"/>
      <c r="IKM50" s="344"/>
      <c r="IKN50" s="344"/>
      <c r="IKO50" s="344"/>
      <c r="IKP50" s="344"/>
      <c r="IKQ50" s="344"/>
      <c r="IKR50" s="344"/>
      <c r="IKS50" s="344"/>
      <c r="IKT50" s="344"/>
      <c r="IKU50" s="344"/>
      <c r="IKV50" s="344"/>
      <c r="IKW50" s="344"/>
      <c r="IKX50" s="344"/>
      <c r="IKY50" s="344"/>
      <c r="IKZ50" s="344"/>
      <c r="ILA50" s="344"/>
      <c r="ILB50" s="344"/>
      <c r="ILC50" s="344"/>
      <c r="ILD50" s="344"/>
      <c r="ILE50" s="344"/>
      <c r="ILF50" s="344"/>
      <c r="ILG50" s="344"/>
      <c r="ILH50" s="344"/>
      <c r="ILI50" s="344"/>
      <c r="ILJ50" s="344"/>
      <c r="ILK50" s="344"/>
      <c r="ILL50" s="344"/>
      <c r="ILM50" s="344"/>
      <c r="ILN50" s="344"/>
      <c r="ILO50" s="344"/>
      <c r="ILP50" s="344"/>
      <c r="ILQ50" s="344"/>
      <c r="ILR50" s="344"/>
      <c r="ILS50" s="344"/>
      <c r="ILT50" s="344"/>
      <c r="ILU50" s="344"/>
      <c r="ILV50" s="344"/>
      <c r="ILW50" s="344"/>
      <c r="ILX50" s="344"/>
      <c r="ILY50" s="344"/>
      <c r="ILZ50" s="344"/>
      <c r="IMA50" s="344"/>
      <c r="IMB50" s="344"/>
      <c r="IMC50" s="344"/>
      <c r="IMD50" s="344"/>
      <c r="IME50" s="344"/>
      <c r="IMF50" s="344"/>
      <c r="IMG50" s="344"/>
      <c r="IMH50" s="344"/>
      <c r="IMI50" s="344"/>
      <c r="IMJ50" s="344"/>
      <c r="IMK50" s="344"/>
      <c r="IML50" s="344"/>
      <c r="IMM50" s="344"/>
      <c r="IMN50" s="344"/>
      <c r="IMO50" s="344"/>
      <c r="IMP50" s="344"/>
      <c r="IMQ50" s="344"/>
      <c r="IMR50" s="344"/>
      <c r="IMS50" s="344"/>
      <c r="IMT50" s="344"/>
      <c r="IMU50" s="344"/>
      <c r="IMV50" s="344"/>
      <c r="IMW50" s="344"/>
      <c r="IMX50" s="344"/>
      <c r="IMY50" s="344"/>
      <c r="IMZ50" s="344"/>
      <c r="INA50" s="344"/>
      <c r="INB50" s="344"/>
      <c r="INC50" s="344"/>
      <c r="IND50" s="344"/>
      <c r="INE50" s="344"/>
      <c r="INF50" s="344"/>
      <c r="ING50" s="344"/>
      <c r="INH50" s="344"/>
      <c r="INI50" s="344"/>
      <c r="INJ50" s="344"/>
      <c r="INK50" s="344"/>
      <c r="INL50" s="344"/>
      <c r="INM50" s="344"/>
      <c r="INN50" s="344"/>
      <c r="INO50" s="344"/>
      <c r="INP50" s="344"/>
      <c r="INQ50" s="344"/>
      <c r="INR50" s="344"/>
      <c r="INS50" s="344"/>
      <c r="INT50" s="344"/>
      <c r="INU50" s="344"/>
      <c r="INV50" s="344"/>
      <c r="INW50" s="344"/>
      <c r="INX50" s="344"/>
      <c r="INY50" s="344"/>
      <c r="INZ50" s="344"/>
      <c r="IOA50" s="344"/>
      <c r="IOB50" s="344"/>
      <c r="IOC50" s="344"/>
      <c r="IOD50" s="344"/>
      <c r="IOE50" s="344"/>
      <c r="IOF50" s="344"/>
      <c r="IOG50" s="344"/>
      <c r="IOH50" s="344"/>
      <c r="IOI50" s="344"/>
      <c r="IOJ50" s="344"/>
      <c r="IOK50" s="344"/>
      <c r="IOL50" s="344"/>
      <c r="IOM50" s="344"/>
      <c r="ION50" s="344"/>
      <c r="IOO50" s="344"/>
      <c r="IOP50" s="344"/>
      <c r="IOQ50" s="344"/>
      <c r="IOR50" s="344"/>
      <c r="IOS50" s="344"/>
      <c r="IOT50" s="344"/>
      <c r="IOU50" s="344"/>
      <c r="IOV50" s="344"/>
      <c r="IOW50" s="344"/>
      <c r="IOX50" s="344"/>
      <c r="IOY50" s="344"/>
      <c r="IOZ50" s="344"/>
      <c r="IPA50" s="344"/>
      <c r="IPB50" s="344"/>
      <c r="IPC50" s="344"/>
      <c r="IPD50" s="344"/>
      <c r="IPE50" s="344"/>
      <c r="IPF50" s="344"/>
      <c r="IPG50" s="344"/>
      <c r="IPH50" s="344"/>
      <c r="IPI50" s="344"/>
      <c r="IPJ50" s="344"/>
      <c r="IPK50" s="344"/>
      <c r="IPL50" s="344"/>
      <c r="IPM50" s="344"/>
      <c r="IPN50" s="344"/>
      <c r="IPO50" s="344"/>
      <c r="IPP50" s="344"/>
      <c r="IPQ50" s="344"/>
      <c r="IPR50" s="344"/>
      <c r="IPS50" s="344"/>
      <c r="IPT50" s="344"/>
      <c r="IPU50" s="344"/>
      <c r="IPV50" s="344"/>
      <c r="IPW50" s="344"/>
      <c r="IPX50" s="344"/>
      <c r="IPY50" s="344"/>
      <c r="IPZ50" s="344"/>
      <c r="IQA50" s="344"/>
      <c r="IQB50" s="344"/>
      <c r="IQC50" s="344"/>
      <c r="IQD50" s="344"/>
      <c r="IQE50" s="344"/>
      <c r="IQF50" s="344"/>
      <c r="IQG50" s="344"/>
      <c r="IQH50" s="344"/>
      <c r="IQI50" s="344"/>
      <c r="IQJ50" s="344"/>
      <c r="IQK50" s="344"/>
      <c r="IQL50" s="344"/>
      <c r="IQM50" s="344"/>
      <c r="IQN50" s="344"/>
      <c r="IQO50" s="344"/>
      <c r="IQP50" s="344"/>
      <c r="IQQ50" s="344"/>
      <c r="IQR50" s="344"/>
      <c r="IQS50" s="344"/>
      <c r="IQT50" s="344"/>
      <c r="IQU50" s="344"/>
      <c r="IQV50" s="344"/>
      <c r="IQW50" s="344"/>
      <c r="IQX50" s="344"/>
      <c r="IQY50" s="344"/>
      <c r="IQZ50" s="344"/>
      <c r="IRA50" s="344"/>
      <c r="IRB50" s="344"/>
      <c r="IRC50" s="344"/>
      <c r="IRD50" s="344"/>
      <c r="IRE50" s="344"/>
      <c r="IRF50" s="344"/>
      <c r="IRG50" s="344"/>
      <c r="IRH50" s="344"/>
      <c r="IRI50" s="344"/>
      <c r="IRJ50" s="344"/>
      <c r="IRK50" s="344"/>
      <c r="IRL50" s="344"/>
      <c r="IRM50" s="344"/>
      <c r="IRN50" s="344"/>
      <c r="IRO50" s="344"/>
      <c r="IRP50" s="344"/>
      <c r="IRQ50" s="344"/>
      <c r="IRR50" s="344"/>
      <c r="IRS50" s="344"/>
      <c r="IRT50" s="344"/>
      <c r="IRU50" s="344"/>
      <c r="IRV50" s="344"/>
      <c r="IRW50" s="344"/>
      <c r="IRX50" s="344"/>
      <c r="IRY50" s="344"/>
      <c r="IRZ50" s="344"/>
      <c r="ISA50" s="344"/>
      <c r="ISB50" s="344"/>
      <c r="ISC50" s="344"/>
      <c r="ISD50" s="344"/>
      <c r="ISE50" s="344"/>
      <c r="ISF50" s="344"/>
      <c r="ISG50" s="344"/>
      <c r="ISH50" s="344"/>
      <c r="ISI50" s="344"/>
      <c r="ISJ50" s="344"/>
      <c r="ISK50" s="344"/>
      <c r="ISL50" s="344"/>
      <c r="ISM50" s="344"/>
      <c r="ISN50" s="344"/>
      <c r="ISO50" s="344"/>
      <c r="ISP50" s="344"/>
      <c r="ISQ50" s="344"/>
      <c r="ISR50" s="344"/>
      <c r="ISS50" s="344"/>
      <c r="IST50" s="344"/>
      <c r="ISU50" s="344"/>
      <c r="ISV50" s="344"/>
      <c r="ISW50" s="344"/>
      <c r="ISX50" s="344"/>
      <c r="ISY50" s="344"/>
      <c r="ISZ50" s="344"/>
      <c r="ITA50" s="344"/>
      <c r="ITB50" s="344"/>
      <c r="ITC50" s="344"/>
      <c r="ITD50" s="344"/>
      <c r="ITE50" s="344"/>
      <c r="ITF50" s="344"/>
      <c r="ITG50" s="344"/>
      <c r="ITH50" s="344"/>
      <c r="ITI50" s="344"/>
      <c r="ITJ50" s="344"/>
      <c r="ITK50" s="344"/>
      <c r="ITL50" s="344"/>
      <c r="ITM50" s="344"/>
      <c r="ITN50" s="344"/>
      <c r="ITO50" s="344"/>
      <c r="ITP50" s="344"/>
      <c r="ITQ50" s="344"/>
      <c r="ITR50" s="344"/>
      <c r="ITS50" s="344"/>
      <c r="ITT50" s="344"/>
      <c r="ITU50" s="344"/>
      <c r="ITV50" s="344"/>
      <c r="ITW50" s="344"/>
      <c r="ITX50" s="344"/>
      <c r="ITY50" s="344"/>
      <c r="ITZ50" s="344"/>
      <c r="IUA50" s="344"/>
      <c r="IUB50" s="344"/>
      <c r="IUC50" s="344"/>
      <c r="IUD50" s="344"/>
      <c r="IUE50" s="344"/>
      <c r="IUF50" s="344"/>
      <c r="IUG50" s="344"/>
      <c r="IUH50" s="344"/>
      <c r="IUI50" s="344"/>
      <c r="IUJ50" s="344"/>
      <c r="IUK50" s="344"/>
      <c r="IUL50" s="344"/>
      <c r="IUM50" s="344"/>
      <c r="IUN50" s="344"/>
      <c r="IUO50" s="344"/>
      <c r="IUP50" s="344"/>
      <c r="IUQ50" s="344"/>
      <c r="IUR50" s="344"/>
      <c r="IUS50" s="344"/>
      <c r="IUT50" s="344"/>
      <c r="IUU50" s="344"/>
      <c r="IUV50" s="344"/>
      <c r="IUW50" s="344"/>
      <c r="IUX50" s="344"/>
      <c r="IUY50" s="344"/>
      <c r="IUZ50" s="344"/>
      <c r="IVA50" s="344"/>
      <c r="IVB50" s="344"/>
      <c r="IVC50" s="344"/>
      <c r="IVD50" s="344"/>
      <c r="IVE50" s="344"/>
      <c r="IVF50" s="344"/>
      <c r="IVG50" s="344"/>
      <c r="IVH50" s="344"/>
      <c r="IVI50" s="344"/>
      <c r="IVJ50" s="344"/>
      <c r="IVK50" s="344"/>
      <c r="IVL50" s="344"/>
      <c r="IVM50" s="344"/>
      <c r="IVN50" s="344"/>
      <c r="IVO50" s="344"/>
      <c r="IVP50" s="344"/>
      <c r="IVQ50" s="344"/>
      <c r="IVR50" s="344"/>
      <c r="IVS50" s="344"/>
      <c r="IVT50" s="344"/>
      <c r="IVU50" s="344"/>
      <c r="IVV50" s="344"/>
      <c r="IVW50" s="344"/>
      <c r="IVX50" s="344"/>
      <c r="IVY50" s="344"/>
      <c r="IVZ50" s="344"/>
      <c r="IWA50" s="344"/>
      <c r="IWB50" s="344"/>
      <c r="IWC50" s="344"/>
      <c r="IWD50" s="344"/>
      <c r="IWE50" s="344"/>
      <c r="IWF50" s="344"/>
      <c r="IWG50" s="344"/>
      <c r="IWH50" s="344"/>
      <c r="IWI50" s="344"/>
      <c r="IWJ50" s="344"/>
      <c r="IWK50" s="344"/>
      <c r="IWL50" s="344"/>
      <c r="IWM50" s="344"/>
      <c r="IWN50" s="344"/>
      <c r="IWO50" s="344"/>
      <c r="IWP50" s="344"/>
      <c r="IWQ50" s="344"/>
      <c r="IWR50" s="344"/>
      <c r="IWS50" s="344"/>
      <c r="IWT50" s="344"/>
      <c r="IWU50" s="344"/>
      <c r="IWV50" s="344"/>
      <c r="IWW50" s="344"/>
      <c r="IWX50" s="344"/>
      <c r="IWY50" s="344"/>
      <c r="IWZ50" s="344"/>
      <c r="IXA50" s="344"/>
      <c r="IXB50" s="344"/>
      <c r="IXC50" s="344"/>
      <c r="IXD50" s="344"/>
      <c r="IXE50" s="344"/>
      <c r="IXF50" s="344"/>
      <c r="IXG50" s="344"/>
      <c r="IXH50" s="344"/>
      <c r="IXI50" s="344"/>
      <c r="IXJ50" s="344"/>
      <c r="IXK50" s="344"/>
      <c r="IXL50" s="344"/>
      <c r="IXM50" s="344"/>
      <c r="IXN50" s="344"/>
      <c r="IXO50" s="344"/>
      <c r="IXP50" s="344"/>
      <c r="IXQ50" s="344"/>
      <c r="IXR50" s="344"/>
      <c r="IXS50" s="344"/>
      <c r="IXT50" s="344"/>
      <c r="IXU50" s="344"/>
      <c r="IXV50" s="344"/>
      <c r="IXW50" s="344"/>
      <c r="IXX50" s="344"/>
      <c r="IXY50" s="344"/>
      <c r="IXZ50" s="344"/>
      <c r="IYA50" s="344"/>
      <c r="IYB50" s="344"/>
      <c r="IYC50" s="344"/>
      <c r="IYD50" s="344"/>
      <c r="IYE50" s="344"/>
      <c r="IYF50" s="344"/>
      <c r="IYG50" s="344"/>
      <c r="IYH50" s="344"/>
      <c r="IYI50" s="344"/>
      <c r="IYJ50" s="344"/>
      <c r="IYK50" s="344"/>
      <c r="IYL50" s="344"/>
      <c r="IYM50" s="344"/>
      <c r="IYN50" s="344"/>
      <c r="IYO50" s="344"/>
      <c r="IYP50" s="344"/>
      <c r="IYQ50" s="344"/>
      <c r="IYR50" s="344"/>
      <c r="IYS50" s="344"/>
      <c r="IYT50" s="344"/>
      <c r="IYU50" s="344"/>
      <c r="IYV50" s="344"/>
      <c r="IYW50" s="344"/>
      <c r="IYX50" s="344"/>
      <c r="IYY50" s="344"/>
      <c r="IYZ50" s="344"/>
      <c r="IZA50" s="344"/>
      <c r="IZB50" s="344"/>
      <c r="IZC50" s="344"/>
      <c r="IZD50" s="344"/>
      <c r="IZE50" s="344"/>
      <c r="IZF50" s="344"/>
      <c r="IZG50" s="344"/>
      <c r="IZH50" s="344"/>
      <c r="IZI50" s="344"/>
      <c r="IZJ50" s="344"/>
      <c r="IZK50" s="344"/>
      <c r="IZL50" s="344"/>
      <c r="IZM50" s="344"/>
      <c r="IZN50" s="344"/>
      <c r="IZO50" s="344"/>
      <c r="IZP50" s="344"/>
      <c r="IZQ50" s="344"/>
      <c r="IZR50" s="344"/>
      <c r="IZS50" s="344"/>
      <c r="IZT50" s="344"/>
      <c r="IZU50" s="344"/>
      <c r="IZV50" s="344"/>
      <c r="IZW50" s="344"/>
      <c r="IZX50" s="344"/>
      <c r="IZY50" s="344"/>
      <c r="IZZ50" s="344"/>
      <c r="JAA50" s="344"/>
      <c r="JAB50" s="344"/>
      <c r="JAC50" s="344"/>
      <c r="JAD50" s="344"/>
      <c r="JAE50" s="344"/>
      <c r="JAF50" s="344"/>
      <c r="JAG50" s="344"/>
      <c r="JAH50" s="344"/>
      <c r="JAI50" s="344"/>
      <c r="JAJ50" s="344"/>
      <c r="JAK50" s="344"/>
      <c r="JAL50" s="344"/>
      <c r="JAM50" s="344"/>
      <c r="JAN50" s="344"/>
      <c r="JAO50" s="344"/>
      <c r="JAP50" s="344"/>
      <c r="JAQ50" s="344"/>
      <c r="JAR50" s="344"/>
      <c r="JAS50" s="344"/>
      <c r="JAT50" s="344"/>
      <c r="JAU50" s="344"/>
      <c r="JAV50" s="344"/>
      <c r="JAW50" s="344"/>
      <c r="JAX50" s="344"/>
      <c r="JAY50" s="344"/>
      <c r="JAZ50" s="344"/>
      <c r="JBA50" s="344"/>
      <c r="JBB50" s="344"/>
      <c r="JBC50" s="344"/>
      <c r="JBD50" s="344"/>
      <c r="JBE50" s="344"/>
      <c r="JBF50" s="344"/>
      <c r="JBG50" s="344"/>
      <c r="JBH50" s="344"/>
      <c r="JBI50" s="344"/>
      <c r="JBJ50" s="344"/>
      <c r="JBK50" s="344"/>
      <c r="JBL50" s="344"/>
      <c r="JBM50" s="344"/>
      <c r="JBN50" s="344"/>
      <c r="JBO50" s="344"/>
      <c r="JBP50" s="344"/>
      <c r="JBQ50" s="344"/>
      <c r="JBR50" s="344"/>
      <c r="JBS50" s="344"/>
      <c r="JBT50" s="344"/>
      <c r="JBU50" s="344"/>
      <c r="JBV50" s="344"/>
      <c r="JBW50" s="344"/>
      <c r="JBX50" s="344"/>
      <c r="JBY50" s="344"/>
      <c r="JBZ50" s="344"/>
      <c r="JCA50" s="344"/>
      <c r="JCB50" s="344"/>
      <c r="JCC50" s="344"/>
      <c r="JCD50" s="344"/>
      <c r="JCE50" s="344"/>
      <c r="JCF50" s="344"/>
      <c r="JCG50" s="344"/>
      <c r="JCH50" s="344"/>
      <c r="JCI50" s="344"/>
      <c r="JCJ50" s="344"/>
      <c r="JCK50" s="344"/>
      <c r="JCL50" s="344"/>
      <c r="JCM50" s="344"/>
      <c r="JCN50" s="344"/>
      <c r="JCO50" s="344"/>
      <c r="JCP50" s="344"/>
      <c r="JCQ50" s="344"/>
      <c r="JCR50" s="344"/>
      <c r="JCS50" s="344"/>
      <c r="JCT50" s="344"/>
      <c r="JCU50" s="344"/>
      <c r="JCV50" s="344"/>
      <c r="JCW50" s="344"/>
      <c r="JCX50" s="344"/>
      <c r="JCY50" s="344"/>
      <c r="JCZ50" s="344"/>
      <c r="JDA50" s="344"/>
      <c r="JDB50" s="344"/>
      <c r="JDC50" s="344"/>
      <c r="JDD50" s="344"/>
      <c r="JDE50" s="344"/>
      <c r="JDF50" s="344"/>
      <c r="JDG50" s="344"/>
      <c r="JDH50" s="344"/>
      <c r="JDI50" s="344"/>
      <c r="JDJ50" s="344"/>
      <c r="JDK50" s="344"/>
      <c r="JDL50" s="344"/>
      <c r="JDM50" s="344"/>
      <c r="JDN50" s="344"/>
      <c r="JDO50" s="344"/>
      <c r="JDP50" s="344"/>
      <c r="JDQ50" s="344"/>
      <c r="JDR50" s="344"/>
      <c r="JDS50" s="344"/>
      <c r="JDT50" s="344"/>
      <c r="JDU50" s="344"/>
      <c r="JDV50" s="344"/>
      <c r="JDW50" s="344"/>
      <c r="JDX50" s="344"/>
      <c r="JDY50" s="344"/>
      <c r="JDZ50" s="344"/>
      <c r="JEA50" s="344"/>
      <c r="JEB50" s="344"/>
      <c r="JEC50" s="344"/>
      <c r="JED50" s="344"/>
      <c r="JEE50" s="344"/>
      <c r="JEF50" s="344"/>
      <c r="JEG50" s="344"/>
      <c r="JEH50" s="344"/>
      <c r="JEI50" s="344"/>
      <c r="JEJ50" s="344"/>
      <c r="JEK50" s="344"/>
      <c r="JEL50" s="344"/>
      <c r="JEM50" s="344"/>
      <c r="JEN50" s="344"/>
      <c r="JEO50" s="344"/>
      <c r="JEP50" s="344"/>
      <c r="JEQ50" s="344"/>
      <c r="JER50" s="344"/>
      <c r="JES50" s="344"/>
      <c r="JET50" s="344"/>
      <c r="JEU50" s="344"/>
      <c r="JEV50" s="344"/>
      <c r="JEW50" s="344"/>
      <c r="JEX50" s="344"/>
      <c r="JEY50" s="344"/>
      <c r="JEZ50" s="344"/>
      <c r="JFA50" s="344"/>
      <c r="JFB50" s="344"/>
      <c r="JFC50" s="344"/>
      <c r="JFD50" s="344"/>
      <c r="JFE50" s="344"/>
      <c r="JFF50" s="344"/>
      <c r="JFG50" s="344"/>
      <c r="JFH50" s="344"/>
      <c r="JFI50" s="344"/>
      <c r="JFJ50" s="344"/>
      <c r="JFK50" s="344"/>
      <c r="JFL50" s="344"/>
      <c r="JFM50" s="344"/>
      <c r="JFN50" s="344"/>
      <c r="JFO50" s="344"/>
      <c r="JFP50" s="344"/>
      <c r="JFQ50" s="344"/>
      <c r="JFR50" s="344"/>
      <c r="JFS50" s="344"/>
      <c r="JFT50" s="344"/>
      <c r="JFU50" s="344"/>
      <c r="JFV50" s="344"/>
      <c r="JFW50" s="344"/>
      <c r="JFX50" s="344"/>
      <c r="JFY50" s="344"/>
      <c r="JFZ50" s="344"/>
      <c r="JGA50" s="344"/>
      <c r="JGB50" s="344"/>
      <c r="JGC50" s="344"/>
      <c r="JGD50" s="344"/>
      <c r="JGE50" s="344"/>
      <c r="JGF50" s="344"/>
      <c r="JGG50" s="344"/>
      <c r="JGH50" s="344"/>
      <c r="JGI50" s="344"/>
      <c r="JGJ50" s="344"/>
      <c r="JGK50" s="344"/>
      <c r="JGL50" s="344"/>
      <c r="JGM50" s="344"/>
      <c r="JGN50" s="344"/>
      <c r="JGO50" s="344"/>
      <c r="JGP50" s="344"/>
      <c r="JGQ50" s="344"/>
      <c r="JGR50" s="344"/>
      <c r="JGS50" s="344"/>
      <c r="JGT50" s="344"/>
      <c r="JGU50" s="344"/>
      <c r="JGV50" s="344"/>
      <c r="JGW50" s="344"/>
      <c r="JGX50" s="344"/>
      <c r="JGY50" s="344"/>
      <c r="JGZ50" s="344"/>
      <c r="JHA50" s="344"/>
      <c r="JHB50" s="344"/>
      <c r="JHC50" s="344"/>
      <c r="JHD50" s="344"/>
      <c r="JHE50" s="344"/>
      <c r="JHF50" s="344"/>
      <c r="JHG50" s="344"/>
      <c r="JHH50" s="344"/>
      <c r="JHI50" s="344"/>
      <c r="JHJ50" s="344"/>
      <c r="JHK50" s="344"/>
      <c r="JHL50" s="344"/>
      <c r="JHM50" s="344"/>
      <c r="JHN50" s="344"/>
      <c r="JHO50" s="344"/>
      <c r="JHP50" s="344"/>
      <c r="JHQ50" s="344"/>
      <c r="JHR50" s="344"/>
      <c r="JHS50" s="344"/>
      <c r="JHT50" s="344"/>
      <c r="JHU50" s="344"/>
      <c r="JHV50" s="344"/>
      <c r="JHW50" s="344"/>
      <c r="JHX50" s="344"/>
      <c r="JHY50" s="344"/>
      <c r="JHZ50" s="344"/>
      <c r="JIA50" s="344"/>
      <c r="JIB50" s="344"/>
      <c r="JIC50" s="344"/>
      <c r="JID50" s="344"/>
      <c r="JIE50" s="344"/>
      <c r="JIF50" s="344"/>
      <c r="JIG50" s="344"/>
      <c r="JIH50" s="344"/>
      <c r="JII50" s="344"/>
      <c r="JIJ50" s="344"/>
      <c r="JIK50" s="344"/>
      <c r="JIL50" s="344"/>
      <c r="JIM50" s="344"/>
      <c r="JIN50" s="344"/>
      <c r="JIO50" s="344"/>
      <c r="JIP50" s="344"/>
      <c r="JIQ50" s="344"/>
      <c r="JIR50" s="344"/>
      <c r="JIS50" s="344"/>
      <c r="JIT50" s="344"/>
      <c r="JIU50" s="344"/>
      <c r="JIV50" s="344"/>
      <c r="JIW50" s="344"/>
      <c r="JIX50" s="344"/>
      <c r="JIY50" s="344"/>
      <c r="JIZ50" s="344"/>
      <c r="JJA50" s="344"/>
      <c r="JJB50" s="344"/>
      <c r="JJC50" s="344"/>
      <c r="JJD50" s="344"/>
      <c r="JJE50" s="344"/>
      <c r="JJF50" s="344"/>
      <c r="JJG50" s="344"/>
      <c r="JJH50" s="344"/>
      <c r="JJI50" s="344"/>
      <c r="JJJ50" s="344"/>
      <c r="JJK50" s="344"/>
      <c r="JJL50" s="344"/>
      <c r="JJM50" s="344"/>
      <c r="JJN50" s="344"/>
      <c r="JJO50" s="344"/>
      <c r="JJP50" s="344"/>
      <c r="JJQ50" s="344"/>
      <c r="JJR50" s="344"/>
      <c r="JJS50" s="344"/>
      <c r="JJT50" s="344"/>
      <c r="JJU50" s="344"/>
      <c r="JJV50" s="344"/>
      <c r="JJW50" s="344"/>
      <c r="JJX50" s="344"/>
      <c r="JJY50" s="344"/>
      <c r="JJZ50" s="344"/>
      <c r="JKA50" s="344"/>
      <c r="JKB50" s="344"/>
      <c r="JKC50" s="344"/>
      <c r="JKD50" s="344"/>
      <c r="JKE50" s="344"/>
      <c r="JKF50" s="344"/>
      <c r="JKG50" s="344"/>
      <c r="JKH50" s="344"/>
      <c r="JKI50" s="344"/>
      <c r="JKJ50" s="344"/>
      <c r="JKK50" s="344"/>
      <c r="JKL50" s="344"/>
      <c r="JKM50" s="344"/>
      <c r="JKN50" s="344"/>
      <c r="JKO50" s="344"/>
      <c r="JKP50" s="344"/>
      <c r="JKQ50" s="344"/>
      <c r="JKR50" s="344"/>
      <c r="JKS50" s="344"/>
      <c r="JKT50" s="344"/>
      <c r="JKU50" s="344"/>
      <c r="JKV50" s="344"/>
      <c r="JKW50" s="344"/>
      <c r="JKX50" s="344"/>
      <c r="JKY50" s="344"/>
      <c r="JKZ50" s="344"/>
      <c r="JLA50" s="344"/>
      <c r="JLB50" s="344"/>
      <c r="JLC50" s="344"/>
      <c r="JLD50" s="344"/>
      <c r="JLE50" s="344"/>
      <c r="JLF50" s="344"/>
      <c r="JLG50" s="344"/>
      <c r="JLH50" s="344"/>
      <c r="JLI50" s="344"/>
      <c r="JLJ50" s="344"/>
      <c r="JLK50" s="344"/>
      <c r="JLL50" s="344"/>
      <c r="JLM50" s="344"/>
      <c r="JLN50" s="344"/>
      <c r="JLO50" s="344"/>
      <c r="JLP50" s="344"/>
      <c r="JLQ50" s="344"/>
      <c r="JLR50" s="344"/>
      <c r="JLS50" s="344"/>
      <c r="JLT50" s="344"/>
      <c r="JLU50" s="344"/>
      <c r="JLV50" s="344"/>
      <c r="JLW50" s="344"/>
      <c r="JLX50" s="344"/>
      <c r="JLY50" s="344"/>
      <c r="JLZ50" s="344"/>
      <c r="JMA50" s="344"/>
      <c r="JMB50" s="344"/>
      <c r="JMC50" s="344"/>
      <c r="JMD50" s="344"/>
      <c r="JME50" s="344"/>
      <c r="JMF50" s="344"/>
      <c r="JMG50" s="344"/>
      <c r="JMH50" s="344"/>
      <c r="JMI50" s="344"/>
      <c r="JMJ50" s="344"/>
      <c r="JMK50" s="344"/>
      <c r="JML50" s="344"/>
      <c r="JMM50" s="344"/>
      <c r="JMN50" s="344"/>
      <c r="JMO50" s="344"/>
      <c r="JMP50" s="344"/>
      <c r="JMQ50" s="344"/>
      <c r="JMR50" s="344"/>
      <c r="JMS50" s="344"/>
      <c r="JMT50" s="344"/>
      <c r="JMU50" s="344"/>
      <c r="JMV50" s="344"/>
      <c r="JMW50" s="344"/>
      <c r="JMX50" s="344"/>
      <c r="JMY50" s="344"/>
      <c r="JMZ50" s="344"/>
      <c r="JNA50" s="344"/>
      <c r="JNB50" s="344"/>
      <c r="JNC50" s="344"/>
      <c r="JND50" s="344"/>
      <c r="JNE50" s="344"/>
      <c r="JNF50" s="344"/>
      <c r="JNG50" s="344"/>
      <c r="JNH50" s="344"/>
      <c r="JNI50" s="344"/>
      <c r="JNJ50" s="344"/>
      <c r="JNK50" s="344"/>
      <c r="JNL50" s="344"/>
      <c r="JNM50" s="344"/>
      <c r="JNN50" s="344"/>
      <c r="JNO50" s="344"/>
      <c r="JNP50" s="344"/>
      <c r="JNQ50" s="344"/>
      <c r="JNR50" s="344"/>
      <c r="JNS50" s="344"/>
      <c r="JNT50" s="344"/>
      <c r="JNU50" s="344"/>
      <c r="JNV50" s="344"/>
      <c r="JNW50" s="344"/>
      <c r="JNX50" s="344"/>
      <c r="JNY50" s="344"/>
      <c r="JNZ50" s="344"/>
      <c r="JOA50" s="344"/>
      <c r="JOB50" s="344"/>
      <c r="JOC50" s="344"/>
      <c r="JOD50" s="344"/>
      <c r="JOE50" s="344"/>
      <c r="JOF50" s="344"/>
      <c r="JOG50" s="344"/>
      <c r="JOH50" s="344"/>
      <c r="JOI50" s="344"/>
      <c r="JOJ50" s="344"/>
      <c r="JOK50" s="344"/>
      <c r="JOL50" s="344"/>
      <c r="JOM50" s="344"/>
      <c r="JON50" s="344"/>
      <c r="JOO50" s="344"/>
      <c r="JOP50" s="344"/>
      <c r="JOQ50" s="344"/>
      <c r="JOR50" s="344"/>
      <c r="JOS50" s="344"/>
      <c r="JOT50" s="344"/>
      <c r="JOU50" s="344"/>
      <c r="JOV50" s="344"/>
      <c r="JOW50" s="344"/>
      <c r="JOX50" s="344"/>
      <c r="JOY50" s="344"/>
      <c r="JOZ50" s="344"/>
      <c r="JPA50" s="344"/>
      <c r="JPB50" s="344"/>
      <c r="JPC50" s="344"/>
      <c r="JPD50" s="344"/>
      <c r="JPE50" s="344"/>
      <c r="JPF50" s="344"/>
      <c r="JPG50" s="344"/>
      <c r="JPH50" s="344"/>
      <c r="JPI50" s="344"/>
      <c r="JPJ50" s="344"/>
      <c r="JPK50" s="344"/>
      <c r="JPL50" s="344"/>
      <c r="JPM50" s="344"/>
      <c r="JPN50" s="344"/>
      <c r="JPO50" s="344"/>
      <c r="JPP50" s="344"/>
      <c r="JPQ50" s="344"/>
      <c r="JPR50" s="344"/>
      <c r="JPS50" s="344"/>
      <c r="JPT50" s="344"/>
      <c r="JPU50" s="344"/>
      <c r="JPV50" s="344"/>
      <c r="JPW50" s="344"/>
      <c r="JPX50" s="344"/>
      <c r="JPY50" s="344"/>
      <c r="JPZ50" s="344"/>
      <c r="JQA50" s="344"/>
      <c r="JQB50" s="344"/>
      <c r="JQC50" s="344"/>
      <c r="JQD50" s="344"/>
      <c r="JQE50" s="344"/>
      <c r="JQF50" s="344"/>
      <c r="JQG50" s="344"/>
      <c r="JQH50" s="344"/>
      <c r="JQI50" s="344"/>
      <c r="JQJ50" s="344"/>
      <c r="JQK50" s="344"/>
      <c r="JQL50" s="344"/>
      <c r="JQM50" s="344"/>
      <c r="JQN50" s="344"/>
      <c r="JQO50" s="344"/>
      <c r="JQP50" s="344"/>
      <c r="JQQ50" s="344"/>
      <c r="JQR50" s="344"/>
      <c r="JQS50" s="344"/>
      <c r="JQT50" s="344"/>
      <c r="JQU50" s="344"/>
      <c r="JQV50" s="344"/>
      <c r="JQW50" s="344"/>
      <c r="JQX50" s="344"/>
      <c r="JQY50" s="344"/>
      <c r="JQZ50" s="344"/>
      <c r="JRA50" s="344"/>
      <c r="JRB50" s="344"/>
      <c r="JRC50" s="344"/>
      <c r="JRD50" s="344"/>
      <c r="JRE50" s="344"/>
      <c r="JRF50" s="344"/>
      <c r="JRG50" s="344"/>
      <c r="JRH50" s="344"/>
      <c r="JRI50" s="344"/>
      <c r="JRJ50" s="344"/>
      <c r="JRK50" s="344"/>
      <c r="JRL50" s="344"/>
      <c r="JRM50" s="344"/>
      <c r="JRN50" s="344"/>
      <c r="JRO50" s="344"/>
      <c r="JRP50" s="344"/>
      <c r="JRQ50" s="344"/>
      <c r="JRR50" s="344"/>
      <c r="JRS50" s="344"/>
      <c r="JRT50" s="344"/>
      <c r="JRU50" s="344"/>
      <c r="JRV50" s="344"/>
      <c r="JRW50" s="344"/>
      <c r="JRX50" s="344"/>
      <c r="JRY50" s="344"/>
      <c r="JRZ50" s="344"/>
      <c r="JSA50" s="344"/>
      <c r="JSB50" s="344"/>
      <c r="JSC50" s="344"/>
      <c r="JSD50" s="344"/>
      <c r="JSE50" s="344"/>
      <c r="JSF50" s="344"/>
      <c r="JSG50" s="344"/>
      <c r="JSH50" s="344"/>
      <c r="JSI50" s="344"/>
      <c r="JSJ50" s="344"/>
      <c r="JSK50" s="344"/>
      <c r="JSL50" s="344"/>
      <c r="JSM50" s="344"/>
      <c r="JSN50" s="344"/>
      <c r="JSO50" s="344"/>
      <c r="JSP50" s="344"/>
      <c r="JSQ50" s="344"/>
      <c r="JSR50" s="344"/>
      <c r="JSS50" s="344"/>
      <c r="JST50" s="344"/>
      <c r="JSU50" s="344"/>
      <c r="JSV50" s="344"/>
      <c r="JSW50" s="344"/>
      <c r="JSX50" s="344"/>
      <c r="JSY50" s="344"/>
      <c r="JSZ50" s="344"/>
      <c r="JTA50" s="344"/>
      <c r="JTB50" s="344"/>
      <c r="JTC50" s="344"/>
      <c r="JTD50" s="344"/>
      <c r="JTE50" s="344"/>
      <c r="JTF50" s="344"/>
      <c r="JTG50" s="344"/>
      <c r="JTH50" s="344"/>
      <c r="JTI50" s="344"/>
      <c r="JTJ50" s="344"/>
      <c r="JTK50" s="344"/>
      <c r="JTL50" s="344"/>
      <c r="JTM50" s="344"/>
      <c r="JTN50" s="344"/>
      <c r="JTO50" s="344"/>
      <c r="JTP50" s="344"/>
      <c r="JTQ50" s="344"/>
      <c r="JTR50" s="344"/>
      <c r="JTS50" s="344"/>
      <c r="JTT50" s="344"/>
      <c r="JTU50" s="344"/>
      <c r="JTV50" s="344"/>
      <c r="JTW50" s="344"/>
      <c r="JTX50" s="344"/>
      <c r="JTY50" s="344"/>
      <c r="JTZ50" s="344"/>
      <c r="JUA50" s="344"/>
      <c r="JUB50" s="344"/>
      <c r="JUC50" s="344"/>
      <c r="JUD50" s="344"/>
      <c r="JUE50" s="344"/>
      <c r="JUF50" s="344"/>
      <c r="JUG50" s="344"/>
      <c r="JUH50" s="344"/>
      <c r="JUI50" s="344"/>
      <c r="JUJ50" s="344"/>
      <c r="JUK50" s="344"/>
      <c r="JUL50" s="344"/>
      <c r="JUM50" s="344"/>
      <c r="JUN50" s="344"/>
      <c r="JUO50" s="344"/>
      <c r="JUP50" s="344"/>
      <c r="JUQ50" s="344"/>
      <c r="JUR50" s="344"/>
      <c r="JUS50" s="344"/>
      <c r="JUT50" s="344"/>
      <c r="JUU50" s="344"/>
      <c r="JUV50" s="344"/>
      <c r="JUW50" s="344"/>
      <c r="JUX50" s="344"/>
      <c r="JUY50" s="344"/>
      <c r="JUZ50" s="344"/>
      <c r="JVA50" s="344"/>
      <c r="JVB50" s="344"/>
      <c r="JVC50" s="344"/>
      <c r="JVD50" s="344"/>
      <c r="JVE50" s="344"/>
      <c r="JVF50" s="344"/>
      <c r="JVG50" s="344"/>
      <c r="JVH50" s="344"/>
      <c r="JVI50" s="344"/>
      <c r="JVJ50" s="344"/>
      <c r="JVK50" s="344"/>
      <c r="JVL50" s="344"/>
      <c r="JVM50" s="344"/>
      <c r="JVN50" s="344"/>
      <c r="JVO50" s="344"/>
      <c r="JVP50" s="344"/>
      <c r="JVQ50" s="344"/>
      <c r="JVR50" s="344"/>
      <c r="JVS50" s="344"/>
      <c r="JVT50" s="344"/>
      <c r="JVU50" s="344"/>
      <c r="JVV50" s="344"/>
      <c r="JVW50" s="344"/>
      <c r="JVX50" s="344"/>
      <c r="JVY50" s="344"/>
      <c r="JVZ50" s="344"/>
      <c r="JWA50" s="344"/>
      <c r="JWB50" s="344"/>
      <c r="JWC50" s="344"/>
      <c r="JWD50" s="344"/>
      <c r="JWE50" s="344"/>
      <c r="JWF50" s="344"/>
      <c r="JWG50" s="344"/>
      <c r="JWH50" s="344"/>
      <c r="JWI50" s="344"/>
      <c r="JWJ50" s="344"/>
      <c r="JWK50" s="344"/>
      <c r="JWL50" s="344"/>
      <c r="JWM50" s="344"/>
      <c r="JWN50" s="344"/>
      <c r="JWO50" s="344"/>
      <c r="JWP50" s="344"/>
      <c r="JWQ50" s="344"/>
      <c r="JWR50" s="344"/>
      <c r="JWS50" s="344"/>
      <c r="JWT50" s="344"/>
      <c r="JWU50" s="344"/>
      <c r="JWV50" s="344"/>
      <c r="JWW50" s="344"/>
      <c r="JWX50" s="344"/>
      <c r="JWY50" s="344"/>
      <c r="JWZ50" s="344"/>
      <c r="JXA50" s="344"/>
      <c r="JXB50" s="344"/>
      <c r="JXC50" s="344"/>
      <c r="JXD50" s="344"/>
      <c r="JXE50" s="344"/>
      <c r="JXF50" s="344"/>
      <c r="JXG50" s="344"/>
      <c r="JXH50" s="344"/>
      <c r="JXI50" s="344"/>
      <c r="JXJ50" s="344"/>
      <c r="JXK50" s="344"/>
      <c r="JXL50" s="344"/>
      <c r="JXM50" s="344"/>
      <c r="JXN50" s="344"/>
      <c r="JXO50" s="344"/>
      <c r="JXP50" s="344"/>
      <c r="JXQ50" s="344"/>
      <c r="JXR50" s="344"/>
      <c r="JXS50" s="344"/>
      <c r="JXT50" s="344"/>
      <c r="JXU50" s="344"/>
      <c r="JXV50" s="344"/>
      <c r="JXW50" s="344"/>
      <c r="JXX50" s="344"/>
      <c r="JXY50" s="344"/>
      <c r="JXZ50" s="344"/>
      <c r="JYA50" s="344"/>
      <c r="JYB50" s="344"/>
      <c r="JYC50" s="344"/>
      <c r="JYD50" s="344"/>
      <c r="JYE50" s="344"/>
      <c r="JYF50" s="344"/>
      <c r="JYG50" s="344"/>
      <c r="JYH50" s="344"/>
      <c r="JYI50" s="344"/>
      <c r="JYJ50" s="344"/>
      <c r="JYK50" s="344"/>
      <c r="JYL50" s="344"/>
      <c r="JYM50" s="344"/>
      <c r="JYN50" s="344"/>
      <c r="JYO50" s="344"/>
      <c r="JYP50" s="344"/>
      <c r="JYQ50" s="344"/>
      <c r="JYR50" s="344"/>
      <c r="JYS50" s="344"/>
      <c r="JYT50" s="344"/>
      <c r="JYU50" s="344"/>
      <c r="JYV50" s="344"/>
      <c r="JYW50" s="344"/>
      <c r="JYX50" s="344"/>
      <c r="JYY50" s="344"/>
      <c r="JYZ50" s="344"/>
      <c r="JZA50" s="344"/>
      <c r="JZB50" s="344"/>
      <c r="JZC50" s="344"/>
      <c r="JZD50" s="344"/>
      <c r="JZE50" s="344"/>
      <c r="JZF50" s="344"/>
      <c r="JZG50" s="344"/>
      <c r="JZH50" s="344"/>
      <c r="JZI50" s="344"/>
      <c r="JZJ50" s="344"/>
      <c r="JZK50" s="344"/>
      <c r="JZL50" s="344"/>
      <c r="JZM50" s="344"/>
      <c r="JZN50" s="344"/>
      <c r="JZO50" s="344"/>
      <c r="JZP50" s="344"/>
      <c r="JZQ50" s="344"/>
      <c r="JZR50" s="344"/>
      <c r="JZS50" s="344"/>
      <c r="JZT50" s="344"/>
      <c r="JZU50" s="344"/>
      <c r="JZV50" s="344"/>
      <c r="JZW50" s="344"/>
      <c r="JZX50" s="344"/>
      <c r="JZY50" s="344"/>
      <c r="JZZ50" s="344"/>
      <c r="KAA50" s="344"/>
      <c r="KAB50" s="344"/>
      <c r="KAC50" s="344"/>
      <c r="KAD50" s="344"/>
      <c r="KAE50" s="344"/>
      <c r="KAF50" s="344"/>
      <c r="KAG50" s="344"/>
      <c r="KAH50" s="344"/>
      <c r="KAI50" s="344"/>
      <c r="KAJ50" s="344"/>
      <c r="KAK50" s="344"/>
      <c r="KAL50" s="344"/>
      <c r="KAM50" s="344"/>
      <c r="KAN50" s="344"/>
      <c r="KAO50" s="344"/>
      <c r="KAP50" s="344"/>
      <c r="KAQ50" s="344"/>
      <c r="KAR50" s="344"/>
      <c r="KAS50" s="344"/>
      <c r="KAT50" s="344"/>
      <c r="KAU50" s="344"/>
      <c r="KAV50" s="344"/>
      <c r="KAW50" s="344"/>
      <c r="KAX50" s="344"/>
      <c r="KAY50" s="344"/>
      <c r="KAZ50" s="344"/>
      <c r="KBA50" s="344"/>
      <c r="KBB50" s="344"/>
      <c r="KBC50" s="344"/>
      <c r="KBD50" s="344"/>
      <c r="KBE50" s="344"/>
      <c r="KBF50" s="344"/>
      <c r="KBG50" s="344"/>
      <c r="KBH50" s="344"/>
      <c r="KBI50" s="344"/>
      <c r="KBJ50" s="344"/>
      <c r="KBK50" s="344"/>
      <c r="KBL50" s="344"/>
      <c r="KBM50" s="344"/>
      <c r="KBN50" s="344"/>
      <c r="KBO50" s="344"/>
      <c r="KBP50" s="344"/>
      <c r="KBQ50" s="344"/>
      <c r="KBR50" s="344"/>
      <c r="KBS50" s="344"/>
      <c r="KBT50" s="344"/>
      <c r="KBU50" s="344"/>
      <c r="KBV50" s="344"/>
      <c r="KBW50" s="344"/>
      <c r="KBX50" s="344"/>
      <c r="KBY50" s="344"/>
      <c r="KBZ50" s="344"/>
      <c r="KCA50" s="344"/>
      <c r="KCB50" s="344"/>
      <c r="KCC50" s="344"/>
      <c r="KCD50" s="344"/>
      <c r="KCE50" s="344"/>
      <c r="KCF50" s="344"/>
      <c r="KCG50" s="344"/>
      <c r="KCH50" s="344"/>
      <c r="KCI50" s="344"/>
      <c r="KCJ50" s="344"/>
      <c r="KCK50" s="344"/>
      <c r="KCL50" s="344"/>
      <c r="KCM50" s="344"/>
      <c r="KCN50" s="344"/>
      <c r="KCO50" s="344"/>
      <c r="KCP50" s="344"/>
      <c r="KCQ50" s="344"/>
      <c r="KCR50" s="344"/>
      <c r="KCS50" s="344"/>
      <c r="KCT50" s="344"/>
      <c r="KCU50" s="344"/>
      <c r="KCV50" s="344"/>
      <c r="KCW50" s="344"/>
      <c r="KCX50" s="344"/>
      <c r="KCY50" s="344"/>
      <c r="KCZ50" s="344"/>
      <c r="KDA50" s="344"/>
      <c r="KDB50" s="344"/>
      <c r="KDC50" s="344"/>
      <c r="KDD50" s="344"/>
      <c r="KDE50" s="344"/>
      <c r="KDF50" s="344"/>
      <c r="KDG50" s="344"/>
      <c r="KDH50" s="344"/>
      <c r="KDI50" s="344"/>
      <c r="KDJ50" s="344"/>
      <c r="KDK50" s="344"/>
      <c r="KDL50" s="344"/>
      <c r="KDM50" s="344"/>
      <c r="KDN50" s="344"/>
      <c r="KDO50" s="344"/>
      <c r="KDP50" s="344"/>
      <c r="KDQ50" s="344"/>
      <c r="KDR50" s="344"/>
      <c r="KDS50" s="344"/>
      <c r="KDT50" s="344"/>
      <c r="KDU50" s="344"/>
      <c r="KDV50" s="344"/>
      <c r="KDW50" s="344"/>
      <c r="KDX50" s="344"/>
      <c r="KDY50" s="344"/>
      <c r="KDZ50" s="344"/>
      <c r="KEA50" s="344"/>
      <c r="KEB50" s="344"/>
      <c r="KEC50" s="344"/>
      <c r="KED50" s="344"/>
      <c r="KEE50" s="344"/>
      <c r="KEF50" s="344"/>
      <c r="KEG50" s="344"/>
      <c r="KEH50" s="344"/>
      <c r="KEI50" s="344"/>
      <c r="KEJ50" s="344"/>
      <c r="KEK50" s="344"/>
      <c r="KEL50" s="344"/>
      <c r="KEM50" s="344"/>
      <c r="KEN50" s="344"/>
      <c r="KEO50" s="344"/>
      <c r="KEP50" s="344"/>
      <c r="KEQ50" s="344"/>
      <c r="KER50" s="344"/>
      <c r="KES50" s="344"/>
      <c r="KET50" s="344"/>
      <c r="KEU50" s="344"/>
      <c r="KEV50" s="344"/>
      <c r="KEW50" s="344"/>
      <c r="KEX50" s="344"/>
      <c r="KEY50" s="344"/>
      <c r="KEZ50" s="344"/>
      <c r="KFA50" s="344"/>
      <c r="KFB50" s="344"/>
      <c r="KFC50" s="344"/>
      <c r="KFD50" s="344"/>
      <c r="KFE50" s="344"/>
      <c r="KFF50" s="344"/>
      <c r="KFG50" s="344"/>
      <c r="KFH50" s="344"/>
      <c r="KFI50" s="344"/>
      <c r="KFJ50" s="344"/>
      <c r="KFK50" s="344"/>
      <c r="KFL50" s="344"/>
      <c r="KFM50" s="344"/>
      <c r="KFN50" s="344"/>
      <c r="KFO50" s="344"/>
      <c r="KFP50" s="344"/>
      <c r="KFQ50" s="344"/>
      <c r="KFR50" s="344"/>
      <c r="KFS50" s="344"/>
      <c r="KFT50" s="344"/>
      <c r="KFU50" s="344"/>
      <c r="KFV50" s="344"/>
      <c r="KFW50" s="344"/>
      <c r="KFX50" s="344"/>
      <c r="KFY50" s="344"/>
      <c r="KFZ50" s="344"/>
      <c r="KGA50" s="344"/>
      <c r="KGB50" s="344"/>
      <c r="KGC50" s="344"/>
      <c r="KGD50" s="344"/>
      <c r="KGE50" s="344"/>
      <c r="KGF50" s="344"/>
      <c r="KGG50" s="344"/>
      <c r="KGH50" s="344"/>
      <c r="KGI50" s="344"/>
      <c r="KGJ50" s="344"/>
      <c r="KGK50" s="344"/>
      <c r="KGL50" s="344"/>
      <c r="KGM50" s="344"/>
      <c r="KGN50" s="344"/>
      <c r="KGO50" s="344"/>
      <c r="KGP50" s="344"/>
      <c r="KGQ50" s="344"/>
      <c r="KGR50" s="344"/>
      <c r="KGS50" s="344"/>
      <c r="KGT50" s="344"/>
      <c r="KGU50" s="344"/>
      <c r="KGV50" s="344"/>
      <c r="KGW50" s="344"/>
      <c r="KGX50" s="344"/>
      <c r="KGY50" s="344"/>
      <c r="KGZ50" s="344"/>
      <c r="KHA50" s="344"/>
      <c r="KHB50" s="344"/>
      <c r="KHC50" s="344"/>
      <c r="KHD50" s="344"/>
      <c r="KHE50" s="344"/>
      <c r="KHF50" s="344"/>
      <c r="KHG50" s="344"/>
      <c r="KHH50" s="344"/>
      <c r="KHI50" s="344"/>
      <c r="KHJ50" s="344"/>
      <c r="KHK50" s="344"/>
      <c r="KHL50" s="344"/>
      <c r="KHM50" s="344"/>
      <c r="KHN50" s="344"/>
      <c r="KHO50" s="344"/>
      <c r="KHP50" s="344"/>
      <c r="KHQ50" s="344"/>
      <c r="KHR50" s="344"/>
      <c r="KHS50" s="344"/>
      <c r="KHT50" s="344"/>
      <c r="KHU50" s="344"/>
      <c r="KHV50" s="344"/>
      <c r="KHW50" s="344"/>
      <c r="KHX50" s="344"/>
      <c r="KHY50" s="344"/>
      <c r="KHZ50" s="344"/>
      <c r="KIA50" s="344"/>
      <c r="KIB50" s="344"/>
      <c r="KIC50" s="344"/>
      <c r="KID50" s="344"/>
      <c r="KIE50" s="344"/>
      <c r="KIF50" s="344"/>
      <c r="KIG50" s="344"/>
      <c r="KIH50" s="344"/>
      <c r="KII50" s="344"/>
      <c r="KIJ50" s="344"/>
      <c r="KIK50" s="344"/>
      <c r="KIL50" s="344"/>
      <c r="KIM50" s="344"/>
      <c r="KIN50" s="344"/>
      <c r="KIO50" s="344"/>
      <c r="KIP50" s="344"/>
      <c r="KIQ50" s="344"/>
      <c r="KIR50" s="344"/>
      <c r="KIS50" s="344"/>
      <c r="KIT50" s="344"/>
      <c r="KIU50" s="344"/>
      <c r="KIV50" s="344"/>
      <c r="KIW50" s="344"/>
      <c r="KIX50" s="344"/>
      <c r="KIY50" s="344"/>
      <c r="KIZ50" s="344"/>
      <c r="KJA50" s="344"/>
      <c r="KJB50" s="344"/>
      <c r="KJC50" s="344"/>
      <c r="KJD50" s="344"/>
      <c r="KJE50" s="344"/>
      <c r="KJF50" s="344"/>
      <c r="KJG50" s="344"/>
      <c r="KJH50" s="344"/>
      <c r="KJI50" s="344"/>
      <c r="KJJ50" s="344"/>
      <c r="KJK50" s="344"/>
      <c r="KJL50" s="344"/>
      <c r="KJM50" s="344"/>
      <c r="KJN50" s="344"/>
      <c r="KJO50" s="344"/>
      <c r="KJP50" s="344"/>
      <c r="KJQ50" s="344"/>
      <c r="KJR50" s="344"/>
      <c r="KJS50" s="344"/>
      <c r="KJT50" s="344"/>
      <c r="KJU50" s="344"/>
      <c r="KJV50" s="344"/>
      <c r="KJW50" s="344"/>
      <c r="KJX50" s="344"/>
      <c r="KJY50" s="344"/>
      <c r="KJZ50" s="344"/>
      <c r="KKA50" s="344"/>
      <c r="KKB50" s="344"/>
      <c r="KKC50" s="344"/>
      <c r="KKD50" s="344"/>
      <c r="KKE50" s="344"/>
      <c r="KKF50" s="344"/>
      <c r="KKG50" s="344"/>
      <c r="KKH50" s="344"/>
      <c r="KKI50" s="344"/>
      <c r="KKJ50" s="344"/>
      <c r="KKK50" s="344"/>
      <c r="KKL50" s="344"/>
      <c r="KKM50" s="344"/>
      <c r="KKN50" s="344"/>
      <c r="KKO50" s="344"/>
      <c r="KKP50" s="344"/>
      <c r="KKQ50" s="344"/>
      <c r="KKR50" s="344"/>
      <c r="KKS50" s="344"/>
      <c r="KKT50" s="344"/>
      <c r="KKU50" s="344"/>
      <c r="KKV50" s="344"/>
      <c r="KKW50" s="344"/>
      <c r="KKX50" s="344"/>
      <c r="KKY50" s="344"/>
      <c r="KKZ50" s="344"/>
      <c r="KLA50" s="344"/>
      <c r="KLB50" s="344"/>
      <c r="KLC50" s="344"/>
      <c r="KLD50" s="344"/>
      <c r="KLE50" s="344"/>
      <c r="KLF50" s="344"/>
      <c r="KLG50" s="344"/>
      <c r="KLH50" s="344"/>
      <c r="KLI50" s="344"/>
      <c r="KLJ50" s="344"/>
      <c r="KLK50" s="344"/>
      <c r="KLL50" s="344"/>
      <c r="KLM50" s="344"/>
      <c r="KLN50" s="344"/>
      <c r="KLO50" s="344"/>
      <c r="KLP50" s="344"/>
      <c r="KLQ50" s="344"/>
      <c r="KLR50" s="344"/>
      <c r="KLS50" s="344"/>
      <c r="KLT50" s="344"/>
      <c r="KLU50" s="344"/>
      <c r="KLV50" s="344"/>
      <c r="KLW50" s="344"/>
      <c r="KLX50" s="344"/>
      <c r="KLY50" s="344"/>
      <c r="KLZ50" s="344"/>
      <c r="KMA50" s="344"/>
      <c r="KMB50" s="344"/>
      <c r="KMC50" s="344"/>
      <c r="KMD50" s="344"/>
      <c r="KME50" s="344"/>
      <c r="KMF50" s="344"/>
      <c r="KMG50" s="344"/>
      <c r="KMH50" s="344"/>
      <c r="KMI50" s="344"/>
      <c r="KMJ50" s="344"/>
      <c r="KMK50" s="344"/>
      <c r="KML50" s="344"/>
      <c r="KMM50" s="344"/>
      <c r="KMN50" s="344"/>
      <c r="KMO50" s="344"/>
      <c r="KMP50" s="344"/>
      <c r="KMQ50" s="344"/>
      <c r="KMR50" s="344"/>
      <c r="KMS50" s="344"/>
      <c r="KMT50" s="344"/>
      <c r="KMU50" s="344"/>
      <c r="KMV50" s="344"/>
      <c r="KMW50" s="344"/>
      <c r="KMX50" s="344"/>
      <c r="KMY50" s="344"/>
      <c r="KMZ50" s="344"/>
      <c r="KNA50" s="344"/>
      <c r="KNB50" s="344"/>
      <c r="KNC50" s="344"/>
      <c r="KND50" s="344"/>
      <c r="KNE50" s="344"/>
      <c r="KNF50" s="344"/>
      <c r="KNG50" s="344"/>
      <c r="KNH50" s="344"/>
      <c r="KNI50" s="344"/>
      <c r="KNJ50" s="344"/>
      <c r="KNK50" s="344"/>
      <c r="KNL50" s="344"/>
      <c r="KNM50" s="344"/>
      <c r="KNN50" s="344"/>
      <c r="KNO50" s="344"/>
      <c r="KNP50" s="344"/>
      <c r="KNQ50" s="344"/>
      <c r="KNR50" s="344"/>
      <c r="KNS50" s="344"/>
      <c r="KNT50" s="344"/>
      <c r="KNU50" s="344"/>
      <c r="KNV50" s="344"/>
      <c r="KNW50" s="344"/>
      <c r="KNX50" s="344"/>
      <c r="KNY50" s="344"/>
      <c r="KNZ50" s="344"/>
      <c r="KOA50" s="344"/>
      <c r="KOB50" s="344"/>
      <c r="KOC50" s="344"/>
      <c r="KOD50" s="344"/>
      <c r="KOE50" s="344"/>
      <c r="KOF50" s="344"/>
      <c r="KOG50" s="344"/>
      <c r="KOH50" s="344"/>
      <c r="KOI50" s="344"/>
      <c r="KOJ50" s="344"/>
      <c r="KOK50" s="344"/>
      <c r="KOL50" s="344"/>
      <c r="KOM50" s="344"/>
      <c r="KON50" s="344"/>
      <c r="KOO50" s="344"/>
      <c r="KOP50" s="344"/>
      <c r="KOQ50" s="344"/>
      <c r="KOR50" s="344"/>
      <c r="KOS50" s="344"/>
      <c r="KOT50" s="344"/>
      <c r="KOU50" s="344"/>
      <c r="KOV50" s="344"/>
      <c r="KOW50" s="344"/>
      <c r="KOX50" s="344"/>
      <c r="KOY50" s="344"/>
      <c r="KOZ50" s="344"/>
      <c r="KPA50" s="344"/>
      <c r="KPB50" s="344"/>
      <c r="KPC50" s="344"/>
      <c r="KPD50" s="344"/>
      <c r="KPE50" s="344"/>
      <c r="KPF50" s="344"/>
      <c r="KPG50" s="344"/>
      <c r="KPH50" s="344"/>
      <c r="KPI50" s="344"/>
      <c r="KPJ50" s="344"/>
      <c r="KPK50" s="344"/>
      <c r="KPL50" s="344"/>
      <c r="KPM50" s="344"/>
      <c r="KPN50" s="344"/>
      <c r="KPO50" s="344"/>
      <c r="KPP50" s="344"/>
      <c r="KPQ50" s="344"/>
      <c r="KPR50" s="344"/>
      <c r="KPS50" s="344"/>
      <c r="KPT50" s="344"/>
      <c r="KPU50" s="344"/>
      <c r="KPV50" s="344"/>
      <c r="KPW50" s="344"/>
      <c r="KPX50" s="344"/>
      <c r="KPY50" s="344"/>
      <c r="KPZ50" s="344"/>
      <c r="KQA50" s="344"/>
      <c r="KQB50" s="344"/>
      <c r="KQC50" s="344"/>
      <c r="KQD50" s="344"/>
      <c r="KQE50" s="344"/>
      <c r="KQF50" s="344"/>
      <c r="KQG50" s="344"/>
      <c r="KQH50" s="344"/>
      <c r="KQI50" s="344"/>
      <c r="KQJ50" s="344"/>
      <c r="KQK50" s="344"/>
      <c r="KQL50" s="344"/>
      <c r="KQM50" s="344"/>
      <c r="KQN50" s="344"/>
      <c r="KQO50" s="344"/>
      <c r="KQP50" s="344"/>
      <c r="KQQ50" s="344"/>
      <c r="KQR50" s="344"/>
      <c r="KQS50" s="344"/>
      <c r="KQT50" s="344"/>
      <c r="KQU50" s="344"/>
      <c r="KQV50" s="344"/>
      <c r="KQW50" s="344"/>
      <c r="KQX50" s="344"/>
      <c r="KQY50" s="344"/>
      <c r="KQZ50" s="344"/>
      <c r="KRA50" s="344"/>
      <c r="KRB50" s="344"/>
      <c r="KRC50" s="344"/>
      <c r="KRD50" s="344"/>
      <c r="KRE50" s="344"/>
      <c r="KRF50" s="344"/>
      <c r="KRG50" s="344"/>
      <c r="KRH50" s="344"/>
      <c r="KRI50" s="344"/>
      <c r="KRJ50" s="344"/>
      <c r="KRK50" s="344"/>
      <c r="KRL50" s="344"/>
      <c r="KRM50" s="344"/>
      <c r="KRN50" s="344"/>
      <c r="KRO50" s="344"/>
      <c r="KRP50" s="344"/>
      <c r="KRQ50" s="344"/>
      <c r="KRR50" s="344"/>
      <c r="KRS50" s="344"/>
      <c r="KRT50" s="344"/>
      <c r="KRU50" s="344"/>
      <c r="KRV50" s="344"/>
      <c r="KRW50" s="344"/>
      <c r="KRX50" s="344"/>
      <c r="KRY50" s="344"/>
      <c r="KRZ50" s="344"/>
      <c r="KSA50" s="344"/>
      <c r="KSB50" s="344"/>
      <c r="KSC50" s="344"/>
      <c r="KSD50" s="344"/>
      <c r="KSE50" s="344"/>
      <c r="KSF50" s="344"/>
      <c r="KSG50" s="344"/>
      <c r="KSH50" s="344"/>
      <c r="KSI50" s="344"/>
      <c r="KSJ50" s="344"/>
      <c r="KSK50" s="344"/>
      <c r="KSL50" s="344"/>
      <c r="KSM50" s="344"/>
      <c r="KSN50" s="344"/>
      <c r="KSO50" s="344"/>
      <c r="KSP50" s="344"/>
      <c r="KSQ50" s="344"/>
      <c r="KSR50" s="344"/>
      <c r="KSS50" s="344"/>
      <c r="KST50" s="344"/>
      <c r="KSU50" s="344"/>
      <c r="KSV50" s="344"/>
      <c r="KSW50" s="344"/>
      <c r="KSX50" s="344"/>
      <c r="KSY50" s="344"/>
      <c r="KSZ50" s="344"/>
      <c r="KTA50" s="344"/>
      <c r="KTB50" s="344"/>
      <c r="KTC50" s="344"/>
      <c r="KTD50" s="344"/>
      <c r="KTE50" s="344"/>
      <c r="KTF50" s="344"/>
      <c r="KTG50" s="344"/>
      <c r="KTH50" s="344"/>
      <c r="KTI50" s="344"/>
      <c r="KTJ50" s="344"/>
      <c r="KTK50" s="344"/>
      <c r="KTL50" s="344"/>
      <c r="KTM50" s="344"/>
      <c r="KTN50" s="344"/>
      <c r="KTO50" s="344"/>
      <c r="KTP50" s="344"/>
      <c r="KTQ50" s="344"/>
      <c r="KTR50" s="344"/>
      <c r="KTS50" s="344"/>
      <c r="KTT50" s="344"/>
      <c r="KTU50" s="344"/>
      <c r="KTV50" s="344"/>
      <c r="KTW50" s="344"/>
      <c r="KTX50" s="344"/>
      <c r="KTY50" s="344"/>
      <c r="KTZ50" s="344"/>
      <c r="KUA50" s="344"/>
      <c r="KUB50" s="344"/>
      <c r="KUC50" s="344"/>
      <c r="KUD50" s="344"/>
      <c r="KUE50" s="344"/>
      <c r="KUF50" s="344"/>
      <c r="KUG50" s="344"/>
      <c r="KUH50" s="344"/>
      <c r="KUI50" s="344"/>
      <c r="KUJ50" s="344"/>
      <c r="KUK50" s="344"/>
      <c r="KUL50" s="344"/>
      <c r="KUM50" s="344"/>
      <c r="KUN50" s="344"/>
      <c r="KUO50" s="344"/>
      <c r="KUP50" s="344"/>
      <c r="KUQ50" s="344"/>
      <c r="KUR50" s="344"/>
      <c r="KUS50" s="344"/>
      <c r="KUT50" s="344"/>
      <c r="KUU50" s="344"/>
      <c r="KUV50" s="344"/>
      <c r="KUW50" s="344"/>
      <c r="KUX50" s="344"/>
      <c r="KUY50" s="344"/>
      <c r="KUZ50" s="344"/>
      <c r="KVA50" s="344"/>
      <c r="KVB50" s="344"/>
      <c r="KVC50" s="344"/>
      <c r="KVD50" s="344"/>
      <c r="KVE50" s="344"/>
      <c r="KVF50" s="344"/>
      <c r="KVG50" s="344"/>
      <c r="KVH50" s="344"/>
      <c r="KVI50" s="344"/>
      <c r="KVJ50" s="344"/>
      <c r="KVK50" s="344"/>
      <c r="KVL50" s="344"/>
      <c r="KVM50" s="344"/>
      <c r="KVN50" s="344"/>
      <c r="KVO50" s="344"/>
      <c r="KVP50" s="344"/>
      <c r="KVQ50" s="344"/>
      <c r="KVR50" s="344"/>
      <c r="KVS50" s="344"/>
      <c r="KVT50" s="344"/>
      <c r="KVU50" s="344"/>
      <c r="KVV50" s="344"/>
      <c r="KVW50" s="344"/>
      <c r="KVX50" s="344"/>
      <c r="KVY50" s="344"/>
      <c r="KVZ50" s="344"/>
      <c r="KWA50" s="344"/>
      <c r="KWB50" s="344"/>
      <c r="KWC50" s="344"/>
      <c r="KWD50" s="344"/>
      <c r="KWE50" s="344"/>
      <c r="KWF50" s="344"/>
      <c r="KWG50" s="344"/>
      <c r="KWH50" s="344"/>
      <c r="KWI50" s="344"/>
      <c r="KWJ50" s="344"/>
      <c r="KWK50" s="344"/>
      <c r="KWL50" s="344"/>
      <c r="KWM50" s="344"/>
      <c r="KWN50" s="344"/>
      <c r="KWO50" s="344"/>
      <c r="KWP50" s="344"/>
      <c r="KWQ50" s="344"/>
      <c r="KWR50" s="344"/>
      <c r="KWS50" s="344"/>
      <c r="KWT50" s="344"/>
      <c r="KWU50" s="344"/>
      <c r="KWV50" s="344"/>
      <c r="KWW50" s="344"/>
      <c r="KWX50" s="344"/>
      <c r="KWY50" s="344"/>
      <c r="KWZ50" s="344"/>
      <c r="KXA50" s="344"/>
      <c r="KXB50" s="344"/>
      <c r="KXC50" s="344"/>
      <c r="KXD50" s="344"/>
      <c r="KXE50" s="344"/>
      <c r="KXF50" s="344"/>
      <c r="KXG50" s="344"/>
      <c r="KXH50" s="344"/>
      <c r="KXI50" s="344"/>
      <c r="KXJ50" s="344"/>
      <c r="KXK50" s="344"/>
      <c r="KXL50" s="344"/>
      <c r="KXM50" s="344"/>
      <c r="KXN50" s="344"/>
      <c r="KXO50" s="344"/>
      <c r="KXP50" s="344"/>
      <c r="KXQ50" s="344"/>
      <c r="KXR50" s="344"/>
      <c r="KXS50" s="344"/>
      <c r="KXT50" s="344"/>
      <c r="KXU50" s="344"/>
      <c r="KXV50" s="344"/>
      <c r="KXW50" s="344"/>
      <c r="KXX50" s="344"/>
      <c r="KXY50" s="344"/>
      <c r="KXZ50" s="344"/>
      <c r="KYA50" s="344"/>
      <c r="KYB50" s="344"/>
      <c r="KYC50" s="344"/>
      <c r="KYD50" s="344"/>
      <c r="KYE50" s="344"/>
      <c r="KYF50" s="344"/>
      <c r="KYG50" s="344"/>
      <c r="KYH50" s="344"/>
      <c r="KYI50" s="344"/>
      <c r="KYJ50" s="344"/>
      <c r="KYK50" s="344"/>
      <c r="KYL50" s="344"/>
      <c r="KYM50" s="344"/>
      <c r="KYN50" s="344"/>
      <c r="KYO50" s="344"/>
      <c r="KYP50" s="344"/>
      <c r="KYQ50" s="344"/>
      <c r="KYR50" s="344"/>
      <c r="KYS50" s="344"/>
      <c r="KYT50" s="344"/>
      <c r="KYU50" s="344"/>
      <c r="KYV50" s="344"/>
      <c r="KYW50" s="344"/>
      <c r="KYX50" s="344"/>
      <c r="KYY50" s="344"/>
      <c r="KYZ50" s="344"/>
      <c r="KZA50" s="344"/>
      <c r="KZB50" s="344"/>
      <c r="KZC50" s="344"/>
      <c r="KZD50" s="344"/>
      <c r="KZE50" s="344"/>
      <c r="KZF50" s="344"/>
      <c r="KZG50" s="344"/>
      <c r="KZH50" s="344"/>
      <c r="KZI50" s="344"/>
      <c r="KZJ50" s="344"/>
      <c r="KZK50" s="344"/>
      <c r="KZL50" s="344"/>
      <c r="KZM50" s="344"/>
      <c r="KZN50" s="344"/>
      <c r="KZO50" s="344"/>
      <c r="KZP50" s="344"/>
      <c r="KZQ50" s="344"/>
      <c r="KZR50" s="344"/>
      <c r="KZS50" s="344"/>
      <c r="KZT50" s="344"/>
      <c r="KZU50" s="344"/>
      <c r="KZV50" s="344"/>
      <c r="KZW50" s="344"/>
      <c r="KZX50" s="344"/>
      <c r="KZY50" s="344"/>
      <c r="KZZ50" s="344"/>
      <c r="LAA50" s="344"/>
      <c r="LAB50" s="344"/>
      <c r="LAC50" s="344"/>
      <c r="LAD50" s="344"/>
      <c r="LAE50" s="344"/>
      <c r="LAF50" s="344"/>
      <c r="LAG50" s="344"/>
      <c r="LAH50" s="344"/>
      <c r="LAI50" s="344"/>
      <c r="LAJ50" s="344"/>
      <c r="LAK50" s="344"/>
      <c r="LAL50" s="344"/>
      <c r="LAM50" s="344"/>
      <c r="LAN50" s="344"/>
      <c r="LAO50" s="344"/>
      <c r="LAP50" s="344"/>
      <c r="LAQ50" s="344"/>
      <c r="LAR50" s="344"/>
      <c r="LAS50" s="344"/>
      <c r="LAT50" s="344"/>
      <c r="LAU50" s="344"/>
      <c r="LAV50" s="344"/>
      <c r="LAW50" s="344"/>
      <c r="LAX50" s="344"/>
      <c r="LAY50" s="344"/>
      <c r="LAZ50" s="344"/>
      <c r="LBA50" s="344"/>
      <c r="LBB50" s="344"/>
      <c r="LBC50" s="344"/>
      <c r="LBD50" s="344"/>
      <c r="LBE50" s="344"/>
      <c r="LBF50" s="344"/>
      <c r="LBG50" s="344"/>
      <c r="LBH50" s="344"/>
      <c r="LBI50" s="344"/>
      <c r="LBJ50" s="344"/>
      <c r="LBK50" s="344"/>
      <c r="LBL50" s="344"/>
      <c r="LBM50" s="344"/>
      <c r="LBN50" s="344"/>
      <c r="LBO50" s="344"/>
      <c r="LBP50" s="344"/>
      <c r="LBQ50" s="344"/>
      <c r="LBR50" s="344"/>
      <c r="LBS50" s="344"/>
      <c r="LBT50" s="344"/>
      <c r="LBU50" s="344"/>
      <c r="LBV50" s="344"/>
      <c r="LBW50" s="344"/>
      <c r="LBX50" s="344"/>
      <c r="LBY50" s="344"/>
      <c r="LBZ50" s="344"/>
      <c r="LCA50" s="344"/>
      <c r="LCB50" s="344"/>
      <c r="LCC50" s="344"/>
      <c r="LCD50" s="344"/>
      <c r="LCE50" s="344"/>
      <c r="LCF50" s="344"/>
      <c r="LCG50" s="344"/>
      <c r="LCH50" s="344"/>
      <c r="LCI50" s="344"/>
      <c r="LCJ50" s="344"/>
      <c r="LCK50" s="344"/>
      <c r="LCL50" s="344"/>
      <c r="LCM50" s="344"/>
      <c r="LCN50" s="344"/>
      <c r="LCO50" s="344"/>
      <c r="LCP50" s="344"/>
      <c r="LCQ50" s="344"/>
      <c r="LCR50" s="344"/>
      <c r="LCS50" s="344"/>
      <c r="LCT50" s="344"/>
      <c r="LCU50" s="344"/>
      <c r="LCV50" s="344"/>
      <c r="LCW50" s="344"/>
      <c r="LCX50" s="344"/>
      <c r="LCY50" s="344"/>
      <c r="LCZ50" s="344"/>
      <c r="LDA50" s="344"/>
      <c r="LDB50" s="344"/>
      <c r="LDC50" s="344"/>
      <c r="LDD50" s="344"/>
      <c r="LDE50" s="344"/>
      <c r="LDF50" s="344"/>
      <c r="LDG50" s="344"/>
      <c r="LDH50" s="344"/>
      <c r="LDI50" s="344"/>
      <c r="LDJ50" s="344"/>
      <c r="LDK50" s="344"/>
      <c r="LDL50" s="344"/>
      <c r="LDM50" s="344"/>
      <c r="LDN50" s="344"/>
      <c r="LDO50" s="344"/>
      <c r="LDP50" s="344"/>
      <c r="LDQ50" s="344"/>
      <c r="LDR50" s="344"/>
      <c r="LDS50" s="344"/>
      <c r="LDT50" s="344"/>
      <c r="LDU50" s="344"/>
      <c r="LDV50" s="344"/>
      <c r="LDW50" s="344"/>
      <c r="LDX50" s="344"/>
      <c r="LDY50" s="344"/>
      <c r="LDZ50" s="344"/>
      <c r="LEA50" s="344"/>
      <c r="LEB50" s="344"/>
      <c r="LEC50" s="344"/>
      <c r="LED50" s="344"/>
      <c r="LEE50" s="344"/>
      <c r="LEF50" s="344"/>
      <c r="LEG50" s="344"/>
      <c r="LEH50" s="344"/>
      <c r="LEI50" s="344"/>
      <c r="LEJ50" s="344"/>
      <c r="LEK50" s="344"/>
      <c r="LEL50" s="344"/>
      <c r="LEM50" s="344"/>
      <c r="LEN50" s="344"/>
      <c r="LEO50" s="344"/>
      <c r="LEP50" s="344"/>
      <c r="LEQ50" s="344"/>
      <c r="LER50" s="344"/>
      <c r="LES50" s="344"/>
      <c r="LET50" s="344"/>
      <c r="LEU50" s="344"/>
      <c r="LEV50" s="344"/>
      <c r="LEW50" s="344"/>
      <c r="LEX50" s="344"/>
      <c r="LEY50" s="344"/>
      <c r="LEZ50" s="344"/>
      <c r="LFA50" s="344"/>
      <c r="LFB50" s="344"/>
      <c r="LFC50" s="344"/>
      <c r="LFD50" s="344"/>
      <c r="LFE50" s="344"/>
      <c r="LFF50" s="344"/>
      <c r="LFG50" s="344"/>
      <c r="LFH50" s="344"/>
      <c r="LFI50" s="344"/>
      <c r="LFJ50" s="344"/>
      <c r="LFK50" s="344"/>
      <c r="LFL50" s="344"/>
      <c r="LFM50" s="344"/>
      <c r="LFN50" s="344"/>
      <c r="LFO50" s="344"/>
      <c r="LFP50" s="344"/>
      <c r="LFQ50" s="344"/>
      <c r="LFR50" s="344"/>
      <c r="LFS50" s="344"/>
      <c r="LFT50" s="344"/>
      <c r="LFU50" s="344"/>
      <c r="LFV50" s="344"/>
      <c r="LFW50" s="344"/>
      <c r="LFX50" s="344"/>
      <c r="LFY50" s="344"/>
      <c r="LFZ50" s="344"/>
      <c r="LGA50" s="344"/>
      <c r="LGB50" s="344"/>
      <c r="LGC50" s="344"/>
      <c r="LGD50" s="344"/>
      <c r="LGE50" s="344"/>
      <c r="LGF50" s="344"/>
      <c r="LGG50" s="344"/>
      <c r="LGH50" s="344"/>
      <c r="LGI50" s="344"/>
      <c r="LGJ50" s="344"/>
      <c r="LGK50" s="344"/>
      <c r="LGL50" s="344"/>
      <c r="LGM50" s="344"/>
      <c r="LGN50" s="344"/>
      <c r="LGO50" s="344"/>
      <c r="LGP50" s="344"/>
      <c r="LGQ50" s="344"/>
      <c r="LGR50" s="344"/>
      <c r="LGS50" s="344"/>
      <c r="LGT50" s="344"/>
      <c r="LGU50" s="344"/>
      <c r="LGV50" s="344"/>
      <c r="LGW50" s="344"/>
      <c r="LGX50" s="344"/>
      <c r="LGY50" s="344"/>
      <c r="LGZ50" s="344"/>
      <c r="LHA50" s="344"/>
      <c r="LHB50" s="344"/>
      <c r="LHC50" s="344"/>
      <c r="LHD50" s="344"/>
      <c r="LHE50" s="344"/>
      <c r="LHF50" s="344"/>
      <c r="LHG50" s="344"/>
      <c r="LHH50" s="344"/>
      <c r="LHI50" s="344"/>
      <c r="LHJ50" s="344"/>
      <c r="LHK50" s="344"/>
      <c r="LHL50" s="344"/>
      <c r="LHM50" s="344"/>
      <c r="LHN50" s="344"/>
      <c r="LHO50" s="344"/>
      <c r="LHP50" s="344"/>
      <c r="LHQ50" s="344"/>
      <c r="LHR50" s="344"/>
      <c r="LHS50" s="344"/>
      <c r="LHT50" s="344"/>
      <c r="LHU50" s="344"/>
      <c r="LHV50" s="344"/>
      <c r="LHW50" s="344"/>
      <c r="LHX50" s="344"/>
      <c r="LHY50" s="344"/>
      <c r="LHZ50" s="344"/>
      <c r="LIA50" s="344"/>
      <c r="LIB50" s="344"/>
      <c r="LIC50" s="344"/>
      <c r="LID50" s="344"/>
      <c r="LIE50" s="344"/>
      <c r="LIF50" s="344"/>
      <c r="LIG50" s="344"/>
      <c r="LIH50" s="344"/>
      <c r="LII50" s="344"/>
      <c r="LIJ50" s="344"/>
      <c r="LIK50" s="344"/>
      <c r="LIL50" s="344"/>
      <c r="LIM50" s="344"/>
      <c r="LIN50" s="344"/>
      <c r="LIO50" s="344"/>
      <c r="LIP50" s="344"/>
      <c r="LIQ50" s="344"/>
      <c r="LIR50" s="344"/>
      <c r="LIS50" s="344"/>
      <c r="LIT50" s="344"/>
      <c r="LIU50" s="344"/>
      <c r="LIV50" s="344"/>
      <c r="LIW50" s="344"/>
      <c r="LIX50" s="344"/>
      <c r="LIY50" s="344"/>
      <c r="LIZ50" s="344"/>
      <c r="LJA50" s="344"/>
      <c r="LJB50" s="344"/>
      <c r="LJC50" s="344"/>
      <c r="LJD50" s="344"/>
      <c r="LJE50" s="344"/>
      <c r="LJF50" s="344"/>
      <c r="LJG50" s="344"/>
      <c r="LJH50" s="344"/>
      <c r="LJI50" s="344"/>
      <c r="LJJ50" s="344"/>
      <c r="LJK50" s="344"/>
      <c r="LJL50" s="344"/>
      <c r="LJM50" s="344"/>
      <c r="LJN50" s="344"/>
      <c r="LJO50" s="344"/>
      <c r="LJP50" s="344"/>
      <c r="LJQ50" s="344"/>
      <c r="LJR50" s="344"/>
      <c r="LJS50" s="344"/>
      <c r="LJT50" s="344"/>
      <c r="LJU50" s="344"/>
      <c r="LJV50" s="344"/>
      <c r="LJW50" s="344"/>
      <c r="LJX50" s="344"/>
      <c r="LJY50" s="344"/>
      <c r="LJZ50" s="344"/>
      <c r="LKA50" s="344"/>
      <c r="LKB50" s="344"/>
      <c r="LKC50" s="344"/>
      <c r="LKD50" s="344"/>
      <c r="LKE50" s="344"/>
      <c r="LKF50" s="344"/>
      <c r="LKG50" s="344"/>
      <c r="LKH50" s="344"/>
      <c r="LKI50" s="344"/>
      <c r="LKJ50" s="344"/>
      <c r="LKK50" s="344"/>
      <c r="LKL50" s="344"/>
      <c r="LKM50" s="344"/>
      <c r="LKN50" s="344"/>
      <c r="LKO50" s="344"/>
      <c r="LKP50" s="344"/>
      <c r="LKQ50" s="344"/>
      <c r="LKR50" s="344"/>
      <c r="LKS50" s="344"/>
      <c r="LKT50" s="344"/>
      <c r="LKU50" s="344"/>
      <c r="LKV50" s="344"/>
      <c r="LKW50" s="344"/>
      <c r="LKX50" s="344"/>
      <c r="LKY50" s="344"/>
      <c r="LKZ50" s="344"/>
      <c r="LLA50" s="344"/>
      <c r="LLB50" s="344"/>
      <c r="LLC50" s="344"/>
      <c r="LLD50" s="344"/>
      <c r="LLE50" s="344"/>
      <c r="LLF50" s="344"/>
      <c r="LLG50" s="344"/>
      <c r="LLH50" s="344"/>
      <c r="LLI50" s="344"/>
      <c r="LLJ50" s="344"/>
      <c r="LLK50" s="344"/>
      <c r="LLL50" s="344"/>
      <c r="LLM50" s="344"/>
      <c r="LLN50" s="344"/>
      <c r="LLO50" s="344"/>
      <c r="LLP50" s="344"/>
      <c r="LLQ50" s="344"/>
      <c r="LLR50" s="344"/>
      <c r="LLS50" s="344"/>
      <c r="LLT50" s="344"/>
      <c r="LLU50" s="344"/>
      <c r="LLV50" s="344"/>
      <c r="LLW50" s="344"/>
      <c r="LLX50" s="344"/>
      <c r="LLY50" s="344"/>
      <c r="LLZ50" s="344"/>
      <c r="LMA50" s="344"/>
      <c r="LMB50" s="344"/>
      <c r="LMC50" s="344"/>
      <c r="LMD50" s="344"/>
      <c r="LME50" s="344"/>
      <c r="LMF50" s="344"/>
      <c r="LMG50" s="344"/>
      <c r="LMH50" s="344"/>
      <c r="LMI50" s="344"/>
      <c r="LMJ50" s="344"/>
      <c r="LMK50" s="344"/>
      <c r="LML50" s="344"/>
      <c r="LMM50" s="344"/>
      <c r="LMN50" s="344"/>
      <c r="LMO50" s="344"/>
      <c r="LMP50" s="344"/>
      <c r="LMQ50" s="344"/>
      <c r="LMR50" s="344"/>
      <c r="LMS50" s="344"/>
      <c r="LMT50" s="344"/>
      <c r="LMU50" s="344"/>
      <c r="LMV50" s="344"/>
      <c r="LMW50" s="344"/>
      <c r="LMX50" s="344"/>
      <c r="LMY50" s="344"/>
      <c r="LMZ50" s="344"/>
      <c r="LNA50" s="344"/>
      <c r="LNB50" s="344"/>
      <c r="LNC50" s="344"/>
      <c r="LND50" s="344"/>
      <c r="LNE50" s="344"/>
      <c r="LNF50" s="344"/>
      <c r="LNG50" s="344"/>
      <c r="LNH50" s="344"/>
      <c r="LNI50" s="344"/>
      <c r="LNJ50" s="344"/>
      <c r="LNK50" s="344"/>
      <c r="LNL50" s="344"/>
      <c r="LNM50" s="344"/>
      <c r="LNN50" s="344"/>
      <c r="LNO50" s="344"/>
      <c r="LNP50" s="344"/>
      <c r="LNQ50" s="344"/>
      <c r="LNR50" s="344"/>
      <c r="LNS50" s="344"/>
      <c r="LNT50" s="344"/>
      <c r="LNU50" s="344"/>
      <c r="LNV50" s="344"/>
      <c r="LNW50" s="344"/>
      <c r="LNX50" s="344"/>
      <c r="LNY50" s="344"/>
      <c r="LNZ50" s="344"/>
      <c r="LOA50" s="344"/>
      <c r="LOB50" s="344"/>
      <c r="LOC50" s="344"/>
      <c r="LOD50" s="344"/>
      <c r="LOE50" s="344"/>
      <c r="LOF50" s="344"/>
      <c r="LOG50" s="344"/>
      <c r="LOH50" s="344"/>
      <c r="LOI50" s="344"/>
      <c r="LOJ50" s="344"/>
      <c r="LOK50" s="344"/>
      <c r="LOL50" s="344"/>
      <c r="LOM50" s="344"/>
      <c r="LON50" s="344"/>
      <c r="LOO50" s="344"/>
      <c r="LOP50" s="344"/>
      <c r="LOQ50" s="344"/>
      <c r="LOR50" s="344"/>
      <c r="LOS50" s="344"/>
      <c r="LOT50" s="344"/>
      <c r="LOU50" s="344"/>
      <c r="LOV50" s="344"/>
      <c r="LOW50" s="344"/>
      <c r="LOX50" s="344"/>
      <c r="LOY50" s="344"/>
      <c r="LOZ50" s="344"/>
      <c r="LPA50" s="344"/>
      <c r="LPB50" s="344"/>
      <c r="LPC50" s="344"/>
      <c r="LPD50" s="344"/>
      <c r="LPE50" s="344"/>
      <c r="LPF50" s="344"/>
      <c r="LPG50" s="344"/>
      <c r="LPH50" s="344"/>
      <c r="LPI50" s="344"/>
      <c r="LPJ50" s="344"/>
      <c r="LPK50" s="344"/>
      <c r="LPL50" s="344"/>
      <c r="LPM50" s="344"/>
      <c r="LPN50" s="344"/>
      <c r="LPO50" s="344"/>
      <c r="LPP50" s="344"/>
      <c r="LPQ50" s="344"/>
      <c r="LPR50" s="344"/>
      <c r="LPS50" s="344"/>
      <c r="LPT50" s="344"/>
      <c r="LPU50" s="344"/>
      <c r="LPV50" s="344"/>
      <c r="LPW50" s="344"/>
      <c r="LPX50" s="344"/>
      <c r="LPY50" s="344"/>
      <c r="LPZ50" s="344"/>
      <c r="LQA50" s="344"/>
      <c r="LQB50" s="344"/>
      <c r="LQC50" s="344"/>
      <c r="LQD50" s="344"/>
      <c r="LQE50" s="344"/>
      <c r="LQF50" s="344"/>
      <c r="LQG50" s="344"/>
      <c r="LQH50" s="344"/>
      <c r="LQI50" s="344"/>
      <c r="LQJ50" s="344"/>
      <c r="LQK50" s="344"/>
      <c r="LQL50" s="344"/>
      <c r="LQM50" s="344"/>
      <c r="LQN50" s="344"/>
      <c r="LQO50" s="344"/>
      <c r="LQP50" s="344"/>
      <c r="LQQ50" s="344"/>
      <c r="LQR50" s="344"/>
      <c r="LQS50" s="344"/>
      <c r="LQT50" s="344"/>
      <c r="LQU50" s="344"/>
      <c r="LQV50" s="344"/>
      <c r="LQW50" s="344"/>
      <c r="LQX50" s="344"/>
      <c r="LQY50" s="344"/>
      <c r="LQZ50" s="344"/>
      <c r="LRA50" s="344"/>
      <c r="LRB50" s="344"/>
      <c r="LRC50" s="344"/>
      <c r="LRD50" s="344"/>
      <c r="LRE50" s="344"/>
      <c r="LRF50" s="344"/>
      <c r="LRG50" s="344"/>
      <c r="LRH50" s="344"/>
      <c r="LRI50" s="344"/>
      <c r="LRJ50" s="344"/>
      <c r="LRK50" s="344"/>
      <c r="LRL50" s="344"/>
      <c r="LRM50" s="344"/>
      <c r="LRN50" s="344"/>
      <c r="LRO50" s="344"/>
      <c r="LRP50" s="344"/>
      <c r="LRQ50" s="344"/>
      <c r="LRR50" s="344"/>
      <c r="LRS50" s="344"/>
      <c r="LRT50" s="344"/>
      <c r="LRU50" s="344"/>
      <c r="LRV50" s="344"/>
      <c r="LRW50" s="344"/>
      <c r="LRX50" s="344"/>
      <c r="LRY50" s="344"/>
      <c r="LRZ50" s="344"/>
      <c r="LSA50" s="344"/>
      <c r="LSB50" s="344"/>
      <c r="LSC50" s="344"/>
      <c r="LSD50" s="344"/>
      <c r="LSE50" s="344"/>
      <c r="LSF50" s="344"/>
      <c r="LSG50" s="344"/>
      <c r="LSH50" s="344"/>
      <c r="LSI50" s="344"/>
      <c r="LSJ50" s="344"/>
      <c r="LSK50" s="344"/>
      <c r="LSL50" s="344"/>
      <c r="LSM50" s="344"/>
      <c r="LSN50" s="344"/>
      <c r="LSO50" s="344"/>
      <c r="LSP50" s="344"/>
      <c r="LSQ50" s="344"/>
      <c r="LSR50" s="344"/>
      <c r="LSS50" s="344"/>
      <c r="LST50" s="344"/>
      <c r="LSU50" s="344"/>
      <c r="LSV50" s="344"/>
      <c r="LSW50" s="344"/>
      <c r="LSX50" s="344"/>
      <c r="LSY50" s="344"/>
      <c r="LSZ50" s="344"/>
      <c r="LTA50" s="344"/>
      <c r="LTB50" s="344"/>
      <c r="LTC50" s="344"/>
      <c r="LTD50" s="344"/>
      <c r="LTE50" s="344"/>
      <c r="LTF50" s="344"/>
      <c r="LTG50" s="344"/>
      <c r="LTH50" s="344"/>
      <c r="LTI50" s="344"/>
      <c r="LTJ50" s="344"/>
      <c r="LTK50" s="344"/>
      <c r="LTL50" s="344"/>
      <c r="LTM50" s="344"/>
      <c r="LTN50" s="344"/>
      <c r="LTO50" s="344"/>
      <c r="LTP50" s="344"/>
      <c r="LTQ50" s="344"/>
      <c r="LTR50" s="344"/>
      <c r="LTS50" s="344"/>
      <c r="LTT50" s="344"/>
      <c r="LTU50" s="344"/>
      <c r="LTV50" s="344"/>
      <c r="LTW50" s="344"/>
      <c r="LTX50" s="344"/>
      <c r="LTY50" s="344"/>
      <c r="LTZ50" s="344"/>
      <c r="LUA50" s="344"/>
      <c r="LUB50" s="344"/>
      <c r="LUC50" s="344"/>
      <c r="LUD50" s="344"/>
      <c r="LUE50" s="344"/>
      <c r="LUF50" s="344"/>
      <c r="LUG50" s="344"/>
      <c r="LUH50" s="344"/>
      <c r="LUI50" s="344"/>
      <c r="LUJ50" s="344"/>
      <c r="LUK50" s="344"/>
      <c r="LUL50" s="344"/>
      <c r="LUM50" s="344"/>
      <c r="LUN50" s="344"/>
      <c r="LUO50" s="344"/>
      <c r="LUP50" s="344"/>
      <c r="LUQ50" s="344"/>
      <c r="LUR50" s="344"/>
      <c r="LUS50" s="344"/>
      <c r="LUT50" s="344"/>
      <c r="LUU50" s="344"/>
      <c r="LUV50" s="344"/>
      <c r="LUW50" s="344"/>
      <c r="LUX50" s="344"/>
      <c r="LUY50" s="344"/>
      <c r="LUZ50" s="344"/>
      <c r="LVA50" s="344"/>
      <c r="LVB50" s="344"/>
      <c r="LVC50" s="344"/>
      <c r="LVD50" s="344"/>
      <c r="LVE50" s="344"/>
      <c r="LVF50" s="344"/>
      <c r="LVG50" s="344"/>
      <c r="LVH50" s="344"/>
      <c r="LVI50" s="344"/>
      <c r="LVJ50" s="344"/>
      <c r="LVK50" s="344"/>
      <c r="LVL50" s="344"/>
      <c r="LVM50" s="344"/>
      <c r="LVN50" s="344"/>
      <c r="LVO50" s="344"/>
      <c r="LVP50" s="344"/>
      <c r="LVQ50" s="344"/>
      <c r="LVR50" s="344"/>
      <c r="LVS50" s="344"/>
      <c r="LVT50" s="344"/>
      <c r="LVU50" s="344"/>
      <c r="LVV50" s="344"/>
      <c r="LVW50" s="344"/>
      <c r="LVX50" s="344"/>
      <c r="LVY50" s="344"/>
      <c r="LVZ50" s="344"/>
      <c r="LWA50" s="344"/>
      <c r="LWB50" s="344"/>
      <c r="LWC50" s="344"/>
      <c r="LWD50" s="344"/>
      <c r="LWE50" s="344"/>
      <c r="LWF50" s="344"/>
      <c r="LWG50" s="344"/>
      <c r="LWH50" s="344"/>
      <c r="LWI50" s="344"/>
      <c r="LWJ50" s="344"/>
      <c r="LWK50" s="344"/>
      <c r="LWL50" s="344"/>
      <c r="LWM50" s="344"/>
      <c r="LWN50" s="344"/>
      <c r="LWO50" s="344"/>
      <c r="LWP50" s="344"/>
      <c r="LWQ50" s="344"/>
      <c r="LWR50" s="344"/>
      <c r="LWS50" s="344"/>
      <c r="LWT50" s="344"/>
      <c r="LWU50" s="344"/>
      <c r="LWV50" s="344"/>
      <c r="LWW50" s="344"/>
      <c r="LWX50" s="344"/>
      <c r="LWY50" s="344"/>
      <c r="LWZ50" s="344"/>
      <c r="LXA50" s="344"/>
      <c r="LXB50" s="344"/>
      <c r="LXC50" s="344"/>
      <c r="LXD50" s="344"/>
      <c r="LXE50" s="344"/>
      <c r="LXF50" s="344"/>
      <c r="LXG50" s="344"/>
      <c r="LXH50" s="344"/>
      <c r="LXI50" s="344"/>
      <c r="LXJ50" s="344"/>
      <c r="LXK50" s="344"/>
      <c r="LXL50" s="344"/>
      <c r="LXM50" s="344"/>
      <c r="LXN50" s="344"/>
      <c r="LXO50" s="344"/>
      <c r="LXP50" s="344"/>
      <c r="LXQ50" s="344"/>
      <c r="LXR50" s="344"/>
      <c r="LXS50" s="344"/>
      <c r="LXT50" s="344"/>
      <c r="LXU50" s="344"/>
      <c r="LXV50" s="344"/>
      <c r="LXW50" s="344"/>
      <c r="LXX50" s="344"/>
      <c r="LXY50" s="344"/>
      <c r="LXZ50" s="344"/>
      <c r="LYA50" s="344"/>
      <c r="LYB50" s="344"/>
      <c r="LYC50" s="344"/>
      <c r="LYD50" s="344"/>
      <c r="LYE50" s="344"/>
      <c r="LYF50" s="344"/>
      <c r="LYG50" s="344"/>
      <c r="LYH50" s="344"/>
      <c r="LYI50" s="344"/>
      <c r="LYJ50" s="344"/>
      <c r="LYK50" s="344"/>
      <c r="LYL50" s="344"/>
      <c r="LYM50" s="344"/>
      <c r="LYN50" s="344"/>
      <c r="LYO50" s="344"/>
      <c r="LYP50" s="344"/>
      <c r="LYQ50" s="344"/>
      <c r="LYR50" s="344"/>
      <c r="LYS50" s="344"/>
      <c r="LYT50" s="344"/>
      <c r="LYU50" s="344"/>
      <c r="LYV50" s="344"/>
      <c r="LYW50" s="344"/>
      <c r="LYX50" s="344"/>
      <c r="LYY50" s="344"/>
      <c r="LYZ50" s="344"/>
      <c r="LZA50" s="344"/>
      <c r="LZB50" s="344"/>
      <c r="LZC50" s="344"/>
      <c r="LZD50" s="344"/>
      <c r="LZE50" s="344"/>
      <c r="LZF50" s="344"/>
      <c r="LZG50" s="344"/>
      <c r="LZH50" s="344"/>
      <c r="LZI50" s="344"/>
      <c r="LZJ50" s="344"/>
      <c r="LZK50" s="344"/>
      <c r="LZL50" s="344"/>
      <c r="LZM50" s="344"/>
      <c r="LZN50" s="344"/>
      <c r="LZO50" s="344"/>
      <c r="LZP50" s="344"/>
      <c r="LZQ50" s="344"/>
      <c r="LZR50" s="344"/>
      <c r="LZS50" s="344"/>
      <c r="LZT50" s="344"/>
      <c r="LZU50" s="344"/>
      <c r="LZV50" s="344"/>
      <c r="LZW50" s="344"/>
      <c r="LZX50" s="344"/>
      <c r="LZY50" s="344"/>
      <c r="LZZ50" s="344"/>
      <c r="MAA50" s="344"/>
      <c r="MAB50" s="344"/>
      <c r="MAC50" s="344"/>
      <c r="MAD50" s="344"/>
      <c r="MAE50" s="344"/>
      <c r="MAF50" s="344"/>
      <c r="MAG50" s="344"/>
      <c r="MAH50" s="344"/>
      <c r="MAI50" s="344"/>
      <c r="MAJ50" s="344"/>
      <c r="MAK50" s="344"/>
      <c r="MAL50" s="344"/>
      <c r="MAM50" s="344"/>
      <c r="MAN50" s="344"/>
      <c r="MAO50" s="344"/>
      <c r="MAP50" s="344"/>
      <c r="MAQ50" s="344"/>
      <c r="MAR50" s="344"/>
      <c r="MAS50" s="344"/>
      <c r="MAT50" s="344"/>
      <c r="MAU50" s="344"/>
      <c r="MAV50" s="344"/>
      <c r="MAW50" s="344"/>
      <c r="MAX50" s="344"/>
      <c r="MAY50" s="344"/>
      <c r="MAZ50" s="344"/>
      <c r="MBA50" s="344"/>
      <c r="MBB50" s="344"/>
      <c r="MBC50" s="344"/>
      <c r="MBD50" s="344"/>
      <c r="MBE50" s="344"/>
      <c r="MBF50" s="344"/>
      <c r="MBG50" s="344"/>
      <c r="MBH50" s="344"/>
      <c r="MBI50" s="344"/>
      <c r="MBJ50" s="344"/>
      <c r="MBK50" s="344"/>
      <c r="MBL50" s="344"/>
      <c r="MBM50" s="344"/>
      <c r="MBN50" s="344"/>
      <c r="MBO50" s="344"/>
      <c r="MBP50" s="344"/>
      <c r="MBQ50" s="344"/>
      <c r="MBR50" s="344"/>
      <c r="MBS50" s="344"/>
      <c r="MBT50" s="344"/>
      <c r="MBU50" s="344"/>
      <c r="MBV50" s="344"/>
      <c r="MBW50" s="344"/>
      <c r="MBX50" s="344"/>
      <c r="MBY50" s="344"/>
      <c r="MBZ50" s="344"/>
      <c r="MCA50" s="344"/>
      <c r="MCB50" s="344"/>
      <c r="MCC50" s="344"/>
      <c r="MCD50" s="344"/>
      <c r="MCE50" s="344"/>
      <c r="MCF50" s="344"/>
      <c r="MCG50" s="344"/>
      <c r="MCH50" s="344"/>
      <c r="MCI50" s="344"/>
      <c r="MCJ50" s="344"/>
      <c r="MCK50" s="344"/>
      <c r="MCL50" s="344"/>
      <c r="MCM50" s="344"/>
      <c r="MCN50" s="344"/>
      <c r="MCO50" s="344"/>
      <c r="MCP50" s="344"/>
      <c r="MCQ50" s="344"/>
      <c r="MCR50" s="344"/>
      <c r="MCS50" s="344"/>
      <c r="MCT50" s="344"/>
      <c r="MCU50" s="344"/>
      <c r="MCV50" s="344"/>
      <c r="MCW50" s="344"/>
      <c r="MCX50" s="344"/>
      <c r="MCY50" s="344"/>
      <c r="MCZ50" s="344"/>
      <c r="MDA50" s="344"/>
      <c r="MDB50" s="344"/>
      <c r="MDC50" s="344"/>
      <c r="MDD50" s="344"/>
      <c r="MDE50" s="344"/>
      <c r="MDF50" s="344"/>
      <c r="MDG50" s="344"/>
      <c r="MDH50" s="344"/>
      <c r="MDI50" s="344"/>
      <c r="MDJ50" s="344"/>
      <c r="MDK50" s="344"/>
      <c r="MDL50" s="344"/>
      <c r="MDM50" s="344"/>
      <c r="MDN50" s="344"/>
      <c r="MDO50" s="344"/>
      <c r="MDP50" s="344"/>
      <c r="MDQ50" s="344"/>
      <c r="MDR50" s="344"/>
      <c r="MDS50" s="344"/>
      <c r="MDT50" s="344"/>
      <c r="MDU50" s="344"/>
      <c r="MDV50" s="344"/>
      <c r="MDW50" s="344"/>
      <c r="MDX50" s="344"/>
      <c r="MDY50" s="344"/>
      <c r="MDZ50" s="344"/>
      <c r="MEA50" s="344"/>
      <c r="MEB50" s="344"/>
      <c r="MEC50" s="344"/>
      <c r="MED50" s="344"/>
      <c r="MEE50" s="344"/>
      <c r="MEF50" s="344"/>
      <c r="MEG50" s="344"/>
      <c r="MEH50" s="344"/>
      <c r="MEI50" s="344"/>
      <c r="MEJ50" s="344"/>
      <c r="MEK50" s="344"/>
      <c r="MEL50" s="344"/>
      <c r="MEM50" s="344"/>
      <c r="MEN50" s="344"/>
      <c r="MEO50" s="344"/>
      <c r="MEP50" s="344"/>
      <c r="MEQ50" s="344"/>
      <c r="MER50" s="344"/>
      <c r="MES50" s="344"/>
      <c r="MET50" s="344"/>
      <c r="MEU50" s="344"/>
      <c r="MEV50" s="344"/>
      <c r="MEW50" s="344"/>
      <c r="MEX50" s="344"/>
      <c r="MEY50" s="344"/>
      <c r="MEZ50" s="344"/>
      <c r="MFA50" s="344"/>
      <c r="MFB50" s="344"/>
      <c r="MFC50" s="344"/>
      <c r="MFD50" s="344"/>
      <c r="MFE50" s="344"/>
      <c r="MFF50" s="344"/>
      <c r="MFG50" s="344"/>
      <c r="MFH50" s="344"/>
      <c r="MFI50" s="344"/>
      <c r="MFJ50" s="344"/>
      <c r="MFK50" s="344"/>
      <c r="MFL50" s="344"/>
      <c r="MFM50" s="344"/>
      <c r="MFN50" s="344"/>
      <c r="MFO50" s="344"/>
      <c r="MFP50" s="344"/>
      <c r="MFQ50" s="344"/>
      <c r="MFR50" s="344"/>
      <c r="MFS50" s="344"/>
      <c r="MFT50" s="344"/>
      <c r="MFU50" s="344"/>
      <c r="MFV50" s="344"/>
      <c r="MFW50" s="344"/>
      <c r="MFX50" s="344"/>
      <c r="MFY50" s="344"/>
      <c r="MFZ50" s="344"/>
      <c r="MGA50" s="344"/>
      <c r="MGB50" s="344"/>
      <c r="MGC50" s="344"/>
      <c r="MGD50" s="344"/>
      <c r="MGE50" s="344"/>
      <c r="MGF50" s="344"/>
      <c r="MGG50" s="344"/>
      <c r="MGH50" s="344"/>
      <c r="MGI50" s="344"/>
      <c r="MGJ50" s="344"/>
      <c r="MGK50" s="344"/>
      <c r="MGL50" s="344"/>
      <c r="MGM50" s="344"/>
      <c r="MGN50" s="344"/>
      <c r="MGO50" s="344"/>
      <c r="MGP50" s="344"/>
      <c r="MGQ50" s="344"/>
      <c r="MGR50" s="344"/>
      <c r="MGS50" s="344"/>
      <c r="MGT50" s="344"/>
      <c r="MGU50" s="344"/>
      <c r="MGV50" s="344"/>
      <c r="MGW50" s="344"/>
      <c r="MGX50" s="344"/>
      <c r="MGY50" s="344"/>
      <c r="MGZ50" s="344"/>
      <c r="MHA50" s="344"/>
      <c r="MHB50" s="344"/>
      <c r="MHC50" s="344"/>
      <c r="MHD50" s="344"/>
      <c r="MHE50" s="344"/>
      <c r="MHF50" s="344"/>
      <c r="MHG50" s="344"/>
      <c r="MHH50" s="344"/>
      <c r="MHI50" s="344"/>
      <c r="MHJ50" s="344"/>
      <c r="MHK50" s="344"/>
      <c r="MHL50" s="344"/>
      <c r="MHM50" s="344"/>
      <c r="MHN50" s="344"/>
      <c r="MHO50" s="344"/>
      <c r="MHP50" s="344"/>
      <c r="MHQ50" s="344"/>
      <c r="MHR50" s="344"/>
      <c r="MHS50" s="344"/>
      <c r="MHT50" s="344"/>
      <c r="MHU50" s="344"/>
      <c r="MHV50" s="344"/>
      <c r="MHW50" s="344"/>
      <c r="MHX50" s="344"/>
      <c r="MHY50" s="344"/>
      <c r="MHZ50" s="344"/>
      <c r="MIA50" s="344"/>
      <c r="MIB50" s="344"/>
      <c r="MIC50" s="344"/>
      <c r="MID50" s="344"/>
      <c r="MIE50" s="344"/>
      <c r="MIF50" s="344"/>
      <c r="MIG50" s="344"/>
      <c r="MIH50" s="344"/>
      <c r="MII50" s="344"/>
      <c r="MIJ50" s="344"/>
      <c r="MIK50" s="344"/>
      <c r="MIL50" s="344"/>
      <c r="MIM50" s="344"/>
      <c r="MIN50" s="344"/>
      <c r="MIO50" s="344"/>
      <c r="MIP50" s="344"/>
      <c r="MIQ50" s="344"/>
      <c r="MIR50" s="344"/>
      <c r="MIS50" s="344"/>
      <c r="MIT50" s="344"/>
      <c r="MIU50" s="344"/>
      <c r="MIV50" s="344"/>
      <c r="MIW50" s="344"/>
      <c r="MIX50" s="344"/>
      <c r="MIY50" s="344"/>
      <c r="MIZ50" s="344"/>
      <c r="MJA50" s="344"/>
      <c r="MJB50" s="344"/>
      <c r="MJC50" s="344"/>
      <c r="MJD50" s="344"/>
      <c r="MJE50" s="344"/>
      <c r="MJF50" s="344"/>
      <c r="MJG50" s="344"/>
      <c r="MJH50" s="344"/>
      <c r="MJI50" s="344"/>
      <c r="MJJ50" s="344"/>
      <c r="MJK50" s="344"/>
      <c r="MJL50" s="344"/>
      <c r="MJM50" s="344"/>
      <c r="MJN50" s="344"/>
      <c r="MJO50" s="344"/>
      <c r="MJP50" s="344"/>
      <c r="MJQ50" s="344"/>
      <c r="MJR50" s="344"/>
      <c r="MJS50" s="344"/>
      <c r="MJT50" s="344"/>
      <c r="MJU50" s="344"/>
      <c r="MJV50" s="344"/>
      <c r="MJW50" s="344"/>
      <c r="MJX50" s="344"/>
      <c r="MJY50" s="344"/>
      <c r="MJZ50" s="344"/>
      <c r="MKA50" s="344"/>
      <c r="MKB50" s="344"/>
      <c r="MKC50" s="344"/>
      <c r="MKD50" s="344"/>
      <c r="MKE50" s="344"/>
      <c r="MKF50" s="344"/>
      <c r="MKG50" s="344"/>
      <c r="MKH50" s="344"/>
      <c r="MKI50" s="344"/>
      <c r="MKJ50" s="344"/>
      <c r="MKK50" s="344"/>
      <c r="MKL50" s="344"/>
      <c r="MKM50" s="344"/>
      <c r="MKN50" s="344"/>
      <c r="MKO50" s="344"/>
      <c r="MKP50" s="344"/>
      <c r="MKQ50" s="344"/>
      <c r="MKR50" s="344"/>
      <c r="MKS50" s="344"/>
      <c r="MKT50" s="344"/>
      <c r="MKU50" s="344"/>
      <c r="MKV50" s="344"/>
      <c r="MKW50" s="344"/>
      <c r="MKX50" s="344"/>
      <c r="MKY50" s="344"/>
      <c r="MKZ50" s="344"/>
      <c r="MLA50" s="344"/>
      <c r="MLB50" s="344"/>
      <c r="MLC50" s="344"/>
      <c r="MLD50" s="344"/>
      <c r="MLE50" s="344"/>
      <c r="MLF50" s="344"/>
      <c r="MLG50" s="344"/>
      <c r="MLH50" s="344"/>
      <c r="MLI50" s="344"/>
      <c r="MLJ50" s="344"/>
      <c r="MLK50" s="344"/>
      <c r="MLL50" s="344"/>
      <c r="MLM50" s="344"/>
      <c r="MLN50" s="344"/>
      <c r="MLO50" s="344"/>
      <c r="MLP50" s="344"/>
      <c r="MLQ50" s="344"/>
      <c r="MLR50" s="344"/>
      <c r="MLS50" s="344"/>
      <c r="MLT50" s="344"/>
      <c r="MLU50" s="344"/>
      <c r="MLV50" s="344"/>
      <c r="MLW50" s="344"/>
      <c r="MLX50" s="344"/>
      <c r="MLY50" s="344"/>
      <c r="MLZ50" s="344"/>
      <c r="MMA50" s="344"/>
      <c r="MMB50" s="344"/>
      <c r="MMC50" s="344"/>
      <c r="MMD50" s="344"/>
      <c r="MME50" s="344"/>
      <c r="MMF50" s="344"/>
      <c r="MMG50" s="344"/>
      <c r="MMH50" s="344"/>
      <c r="MMI50" s="344"/>
      <c r="MMJ50" s="344"/>
      <c r="MMK50" s="344"/>
      <c r="MML50" s="344"/>
      <c r="MMM50" s="344"/>
      <c r="MMN50" s="344"/>
      <c r="MMO50" s="344"/>
      <c r="MMP50" s="344"/>
      <c r="MMQ50" s="344"/>
      <c r="MMR50" s="344"/>
      <c r="MMS50" s="344"/>
      <c r="MMT50" s="344"/>
      <c r="MMU50" s="344"/>
      <c r="MMV50" s="344"/>
      <c r="MMW50" s="344"/>
      <c r="MMX50" s="344"/>
      <c r="MMY50" s="344"/>
      <c r="MMZ50" s="344"/>
      <c r="MNA50" s="344"/>
      <c r="MNB50" s="344"/>
      <c r="MNC50" s="344"/>
      <c r="MND50" s="344"/>
      <c r="MNE50" s="344"/>
      <c r="MNF50" s="344"/>
      <c r="MNG50" s="344"/>
      <c r="MNH50" s="344"/>
      <c r="MNI50" s="344"/>
      <c r="MNJ50" s="344"/>
      <c r="MNK50" s="344"/>
      <c r="MNL50" s="344"/>
      <c r="MNM50" s="344"/>
      <c r="MNN50" s="344"/>
      <c r="MNO50" s="344"/>
      <c r="MNP50" s="344"/>
      <c r="MNQ50" s="344"/>
      <c r="MNR50" s="344"/>
      <c r="MNS50" s="344"/>
      <c r="MNT50" s="344"/>
      <c r="MNU50" s="344"/>
      <c r="MNV50" s="344"/>
      <c r="MNW50" s="344"/>
      <c r="MNX50" s="344"/>
      <c r="MNY50" s="344"/>
      <c r="MNZ50" s="344"/>
      <c r="MOA50" s="344"/>
      <c r="MOB50" s="344"/>
      <c r="MOC50" s="344"/>
      <c r="MOD50" s="344"/>
      <c r="MOE50" s="344"/>
      <c r="MOF50" s="344"/>
      <c r="MOG50" s="344"/>
      <c r="MOH50" s="344"/>
      <c r="MOI50" s="344"/>
      <c r="MOJ50" s="344"/>
      <c r="MOK50" s="344"/>
      <c r="MOL50" s="344"/>
      <c r="MOM50" s="344"/>
      <c r="MON50" s="344"/>
      <c r="MOO50" s="344"/>
      <c r="MOP50" s="344"/>
      <c r="MOQ50" s="344"/>
      <c r="MOR50" s="344"/>
      <c r="MOS50" s="344"/>
      <c r="MOT50" s="344"/>
      <c r="MOU50" s="344"/>
      <c r="MOV50" s="344"/>
      <c r="MOW50" s="344"/>
      <c r="MOX50" s="344"/>
      <c r="MOY50" s="344"/>
      <c r="MOZ50" s="344"/>
      <c r="MPA50" s="344"/>
      <c r="MPB50" s="344"/>
      <c r="MPC50" s="344"/>
      <c r="MPD50" s="344"/>
      <c r="MPE50" s="344"/>
      <c r="MPF50" s="344"/>
      <c r="MPG50" s="344"/>
      <c r="MPH50" s="344"/>
      <c r="MPI50" s="344"/>
      <c r="MPJ50" s="344"/>
      <c r="MPK50" s="344"/>
      <c r="MPL50" s="344"/>
      <c r="MPM50" s="344"/>
      <c r="MPN50" s="344"/>
      <c r="MPO50" s="344"/>
      <c r="MPP50" s="344"/>
      <c r="MPQ50" s="344"/>
      <c r="MPR50" s="344"/>
      <c r="MPS50" s="344"/>
      <c r="MPT50" s="344"/>
      <c r="MPU50" s="344"/>
      <c r="MPV50" s="344"/>
      <c r="MPW50" s="344"/>
      <c r="MPX50" s="344"/>
      <c r="MPY50" s="344"/>
      <c r="MPZ50" s="344"/>
      <c r="MQA50" s="344"/>
      <c r="MQB50" s="344"/>
      <c r="MQC50" s="344"/>
      <c r="MQD50" s="344"/>
      <c r="MQE50" s="344"/>
      <c r="MQF50" s="344"/>
      <c r="MQG50" s="344"/>
      <c r="MQH50" s="344"/>
      <c r="MQI50" s="344"/>
      <c r="MQJ50" s="344"/>
      <c r="MQK50" s="344"/>
      <c r="MQL50" s="344"/>
      <c r="MQM50" s="344"/>
      <c r="MQN50" s="344"/>
      <c r="MQO50" s="344"/>
      <c r="MQP50" s="344"/>
      <c r="MQQ50" s="344"/>
      <c r="MQR50" s="344"/>
      <c r="MQS50" s="344"/>
      <c r="MQT50" s="344"/>
      <c r="MQU50" s="344"/>
      <c r="MQV50" s="344"/>
      <c r="MQW50" s="344"/>
      <c r="MQX50" s="344"/>
      <c r="MQY50" s="344"/>
      <c r="MQZ50" s="344"/>
      <c r="MRA50" s="344"/>
      <c r="MRB50" s="344"/>
      <c r="MRC50" s="344"/>
      <c r="MRD50" s="344"/>
      <c r="MRE50" s="344"/>
      <c r="MRF50" s="344"/>
      <c r="MRG50" s="344"/>
      <c r="MRH50" s="344"/>
      <c r="MRI50" s="344"/>
      <c r="MRJ50" s="344"/>
      <c r="MRK50" s="344"/>
      <c r="MRL50" s="344"/>
      <c r="MRM50" s="344"/>
      <c r="MRN50" s="344"/>
      <c r="MRO50" s="344"/>
      <c r="MRP50" s="344"/>
      <c r="MRQ50" s="344"/>
      <c r="MRR50" s="344"/>
      <c r="MRS50" s="344"/>
      <c r="MRT50" s="344"/>
      <c r="MRU50" s="344"/>
      <c r="MRV50" s="344"/>
      <c r="MRW50" s="344"/>
      <c r="MRX50" s="344"/>
      <c r="MRY50" s="344"/>
      <c r="MRZ50" s="344"/>
      <c r="MSA50" s="344"/>
      <c r="MSB50" s="344"/>
      <c r="MSC50" s="344"/>
      <c r="MSD50" s="344"/>
      <c r="MSE50" s="344"/>
      <c r="MSF50" s="344"/>
      <c r="MSG50" s="344"/>
      <c r="MSH50" s="344"/>
      <c r="MSI50" s="344"/>
      <c r="MSJ50" s="344"/>
      <c r="MSK50" s="344"/>
      <c r="MSL50" s="344"/>
      <c r="MSM50" s="344"/>
      <c r="MSN50" s="344"/>
      <c r="MSO50" s="344"/>
      <c r="MSP50" s="344"/>
      <c r="MSQ50" s="344"/>
      <c r="MSR50" s="344"/>
      <c r="MSS50" s="344"/>
      <c r="MST50" s="344"/>
      <c r="MSU50" s="344"/>
      <c r="MSV50" s="344"/>
      <c r="MSW50" s="344"/>
      <c r="MSX50" s="344"/>
      <c r="MSY50" s="344"/>
      <c r="MSZ50" s="344"/>
      <c r="MTA50" s="344"/>
      <c r="MTB50" s="344"/>
      <c r="MTC50" s="344"/>
      <c r="MTD50" s="344"/>
      <c r="MTE50" s="344"/>
      <c r="MTF50" s="344"/>
      <c r="MTG50" s="344"/>
      <c r="MTH50" s="344"/>
      <c r="MTI50" s="344"/>
      <c r="MTJ50" s="344"/>
      <c r="MTK50" s="344"/>
      <c r="MTL50" s="344"/>
      <c r="MTM50" s="344"/>
      <c r="MTN50" s="344"/>
      <c r="MTO50" s="344"/>
      <c r="MTP50" s="344"/>
      <c r="MTQ50" s="344"/>
      <c r="MTR50" s="344"/>
      <c r="MTS50" s="344"/>
      <c r="MTT50" s="344"/>
      <c r="MTU50" s="344"/>
      <c r="MTV50" s="344"/>
      <c r="MTW50" s="344"/>
      <c r="MTX50" s="344"/>
      <c r="MTY50" s="344"/>
      <c r="MTZ50" s="344"/>
      <c r="MUA50" s="344"/>
      <c r="MUB50" s="344"/>
      <c r="MUC50" s="344"/>
      <c r="MUD50" s="344"/>
      <c r="MUE50" s="344"/>
      <c r="MUF50" s="344"/>
      <c r="MUG50" s="344"/>
      <c r="MUH50" s="344"/>
      <c r="MUI50" s="344"/>
      <c r="MUJ50" s="344"/>
      <c r="MUK50" s="344"/>
      <c r="MUL50" s="344"/>
      <c r="MUM50" s="344"/>
      <c r="MUN50" s="344"/>
      <c r="MUO50" s="344"/>
      <c r="MUP50" s="344"/>
      <c r="MUQ50" s="344"/>
      <c r="MUR50" s="344"/>
      <c r="MUS50" s="344"/>
      <c r="MUT50" s="344"/>
      <c r="MUU50" s="344"/>
      <c r="MUV50" s="344"/>
      <c r="MUW50" s="344"/>
      <c r="MUX50" s="344"/>
      <c r="MUY50" s="344"/>
      <c r="MUZ50" s="344"/>
      <c r="MVA50" s="344"/>
      <c r="MVB50" s="344"/>
      <c r="MVC50" s="344"/>
      <c r="MVD50" s="344"/>
      <c r="MVE50" s="344"/>
      <c r="MVF50" s="344"/>
      <c r="MVG50" s="344"/>
      <c r="MVH50" s="344"/>
      <c r="MVI50" s="344"/>
      <c r="MVJ50" s="344"/>
      <c r="MVK50" s="344"/>
      <c r="MVL50" s="344"/>
      <c r="MVM50" s="344"/>
      <c r="MVN50" s="344"/>
      <c r="MVO50" s="344"/>
      <c r="MVP50" s="344"/>
      <c r="MVQ50" s="344"/>
      <c r="MVR50" s="344"/>
      <c r="MVS50" s="344"/>
      <c r="MVT50" s="344"/>
      <c r="MVU50" s="344"/>
      <c r="MVV50" s="344"/>
      <c r="MVW50" s="344"/>
      <c r="MVX50" s="344"/>
      <c r="MVY50" s="344"/>
      <c r="MVZ50" s="344"/>
      <c r="MWA50" s="344"/>
      <c r="MWB50" s="344"/>
      <c r="MWC50" s="344"/>
      <c r="MWD50" s="344"/>
      <c r="MWE50" s="344"/>
      <c r="MWF50" s="344"/>
      <c r="MWG50" s="344"/>
      <c r="MWH50" s="344"/>
      <c r="MWI50" s="344"/>
      <c r="MWJ50" s="344"/>
      <c r="MWK50" s="344"/>
      <c r="MWL50" s="344"/>
      <c r="MWM50" s="344"/>
      <c r="MWN50" s="344"/>
      <c r="MWO50" s="344"/>
      <c r="MWP50" s="344"/>
      <c r="MWQ50" s="344"/>
      <c r="MWR50" s="344"/>
      <c r="MWS50" s="344"/>
      <c r="MWT50" s="344"/>
      <c r="MWU50" s="344"/>
      <c r="MWV50" s="344"/>
      <c r="MWW50" s="344"/>
      <c r="MWX50" s="344"/>
      <c r="MWY50" s="344"/>
      <c r="MWZ50" s="344"/>
      <c r="MXA50" s="344"/>
      <c r="MXB50" s="344"/>
      <c r="MXC50" s="344"/>
      <c r="MXD50" s="344"/>
      <c r="MXE50" s="344"/>
      <c r="MXF50" s="344"/>
      <c r="MXG50" s="344"/>
      <c r="MXH50" s="344"/>
      <c r="MXI50" s="344"/>
      <c r="MXJ50" s="344"/>
      <c r="MXK50" s="344"/>
      <c r="MXL50" s="344"/>
      <c r="MXM50" s="344"/>
      <c r="MXN50" s="344"/>
      <c r="MXO50" s="344"/>
      <c r="MXP50" s="344"/>
      <c r="MXQ50" s="344"/>
      <c r="MXR50" s="344"/>
      <c r="MXS50" s="344"/>
      <c r="MXT50" s="344"/>
      <c r="MXU50" s="344"/>
      <c r="MXV50" s="344"/>
      <c r="MXW50" s="344"/>
      <c r="MXX50" s="344"/>
      <c r="MXY50" s="344"/>
      <c r="MXZ50" s="344"/>
      <c r="MYA50" s="344"/>
      <c r="MYB50" s="344"/>
      <c r="MYC50" s="344"/>
      <c r="MYD50" s="344"/>
      <c r="MYE50" s="344"/>
      <c r="MYF50" s="344"/>
      <c r="MYG50" s="344"/>
      <c r="MYH50" s="344"/>
      <c r="MYI50" s="344"/>
      <c r="MYJ50" s="344"/>
      <c r="MYK50" s="344"/>
      <c r="MYL50" s="344"/>
      <c r="MYM50" s="344"/>
      <c r="MYN50" s="344"/>
      <c r="MYO50" s="344"/>
      <c r="MYP50" s="344"/>
      <c r="MYQ50" s="344"/>
      <c r="MYR50" s="344"/>
      <c r="MYS50" s="344"/>
      <c r="MYT50" s="344"/>
      <c r="MYU50" s="344"/>
      <c r="MYV50" s="344"/>
      <c r="MYW50" s="344"/>
      <c r="MYX50" s="344"/>
      <c r="MYY50" s="344"/>
      <c r="MYZ50" s="344"/>
      <c r="MZA50" s="344"/>
      <c r="MZB50" s="344"/>
      <c r="MZC50" s="344"/>
      <c r="MZD50" s="344"/>
      <c r="MZE50" s="344"/>
      <c r="MZF50" s="344"/>
      <c r="MZG50" s="344"/>
      <c r="MZH50" s="344"/>
      <c r="MZI50" s="344"/>
      <c r="MZJ50" s="344"/>
      <c r="MZK50" s="344"/>
      <c r="MZL50" s="344"/>
      <c r="MZM50" s="344"/>
      <c r="MZN50" s="344"/>
      <c r="MZO50" s="344"/>
      <c r="MZP50" s="344"/>
      <c r="MZQ50" s="344"/>
      <c r="MZR50" s="344"/>
      <c r="MZS50" s="344"/>
      <c r="MZT50" s="344"/>
      <c r="MZU50" s="344"/>
      <c r="MZV50" s="344"/>
      <c r="MZW50" s="344"/>
      <c r="MZX50" s="344"/>
      <c r="MZY50" s="344"/>
      <c r="MZZ50" s="344"/>
      <c r="NAA50" s="344"/>
      <c r="NAB50" s="344"/>
      <c r="NAC50" s="344"/>
      <c r="NAD50" s="344"/>
      <c r="NAE50" s="344"/>
      <c r="NAF50" s="344"/>
      <c r="NAG50" s="344"/>
      <c r="NAH50" s="344"/>
      <c r="NAI50" s="344"/>
      <c r="NAJ50" s="344"/>
      <c r="NAK50" s="344"/>
      <c r="NAL50" s="344"/>
      <c r="NAM50" s="344"/>
      <c r="NAN50" s="344"/>
      <c r="NAO50" s="344"/>
      <c r="NAP50" s="344"/>
      <c r="NAQ50" s="344"/>
      <c r="NAR50" s="344"/>
      <c r="NAS50" s="344"/>
      <c r="NAT50" s="344"/>
      <c r="NAU50" s="344"/>
      <c r="NAV50" s="344"/>
      <c r="NAW50" s="344"/>
      <c r="NAX50" s="344"/>
      <c r="NAY50" s="344"/>
      <c r="NAZ50" s="344"/>
      <c r="NBA50" s="344"/>
      <c r="NBB50" s="344"/>
      <c r="NBC50" s="344"/>
      <c r="NBD50" s="344"/>
      <c r="NBE50" s="344"/>
      <c r="NBF50" s="344"/>
      <c r="NBG50" s="344"/>
      <c r="NBH50" s="344"/>
      <c r="NBI50" s="344"/>
      <c r="NBJ50" s="344"/>
      <c r="NBK50" s="344"/>
      <c r="NBL50" s="344"/>
      <c r="NBM50" s="344"/>
      <c r="NBN50" s="344"/>
      <c r="NBO50" s="344"/>
      <c r="NBP50" s="344"/>
      <c r="NBQ50" s="344"/>
      <c r="NBR50" s="344"/>
      <c r="NBS50" s="344"/>
      <c r="NBT50" s="344"/>
      <c r="NBU50" s="344"/>
      <c r="NBV50" s="344"/>
      <c r="NBW50" s="344"/>
      <c r="NBX50" s="344"/>
      <c r="NBY50" s="344"/>
      <c r="NBZ50" s="344"/>
      <c r="NCA50" s="344"/>
      <c r="NCB50" s="344"/>
      <c r="NCC50" s="344"/>
      <c r="NCD50" s="344"/>
      <c r="NCE50" s="344"/>
      <c r="NCF50" s="344"/>
      <c r="NCG50" s="344"/>
      <c r="NCH50" s="344"/>
      <c r="NCI50" s="344"/>
      <c r="NCJ50" s="344"/>
      <c r="NCK50" s="344"/>
      <c r="NCL50" s="344"/>
      <c r="NCM50" s="344"/>
      <c r="NCN50" s="344"/>
      <c r="NCO50" s="344"/>
      <c r="NCP50" s="344"/>
      <c r="NCQ50" s="344"/>
      <c r="NCR50" s="344"/>
      <c r="NCS50" s="344"/>
      <c r="NCT50" s="344"/>
      <c r="NCU50" s="344"/>
      <c r="NCV50" s="344"/>
      <c r="NCW50" s="344"/>
      <c r="NCX50" s="344"/>
      <c r="NCY50" s="344"/>
      <c r="NCZ50" s="344"/>
      <c r="NDA50" s="344"/>
      <c r="NDB50" s="344"/>
      <c r="NDC50" s="344"/>
      <c r="NDD50" s="344"/>
      <c r="NDE50" s="344"/>
      <c r="NDF50" s="344"/>
      <c r="NDG50" s="344"/>
      <c r="NDH50" s="344"/>
      <c r="NDI50" s="344"/>
      <c r="NDJ50" s="344"/>
      <c r="NDK50" s="344"/>
      <c r="NDL50" s="344"/>
      <c r="NDM50" s="344"/>
      <c r="NDN50" s="344"/>
      <c r="NDO50" s="344"/>
      <c r="NDP50" s="344"/>
      <c r="NDQ50" s="344"/>
      <c r="NDR50" s="344"/>
      <c r="NDS50" s="344"/>
      <c r="NDT50" s="344"/>
      <c r="NDU50" s="344"/>
      <c r="NDV50" s="344"/>
      <c r="NDW50" s="344"/>
      <c r="NDX50" s="344"/>
      <c r="NDY50" s="344"/>
      <c r="NDZ50" s="344"/>
      <c r="NEA50" s="344"/>
      <c r="NEB50" s="344"/>
      <c r="NEC50" s="344"/>
      <c r="NED50" s="344"/>
      <c r="NEE50" s="344"/>
      <c r="NEF50" s="344"/>
      <c r="NEG50" s="344"/>
      <c r="NEH50" s="344"/>
      <c r="NEI50" s="344"/>
      <c r="NEJ50" s="344"/>
      <c r="NEK50" s="344"/>
      <c r="NEL50" s="344"/>
      <c r="NEM50" s="344"/>
      <c r="NEN50" s="344"/>
      <c r="NEO50" s="344"/>
      <c r="NEP50" s="344"/>
      <c r="NEQ50" s="344"/>
      <c r="NER50" s="344"/>
      <c r="NES50" s="344"/>
      <c r="NET50" s="344"/>
      <c r="NEU50" s="344"/>
      <c r="NEV50" s="344"/>
      <c r="NEW50" s="344"/>
      <c r="NEX50" s="344"/>
      <c r="NEY50" s="344"/>
      <c r="NEZ50" s="344"/>
      <c r="NFA50" s="344"/>
      <c r="NFB50" s="344"/>
      <c r="NFC50" s="344"/>
      <c r="NFD50" s="344"/>
      <c r="NFE50" s="344"/>
      <c r="NFF50" s="344"/>
      <c r="NFG50" s="344"/>
      <c r="NFH50" s="344"/>
      <c r="NFI50" s="344"/>
      <c r="NFJ50" s="344"/>
      <c r="NFK50" s="344"/>
      <c r="NFL50" s="344"/>
      <c r="NFM50" s="344"/>
      <c r="NFN50" s="344"/>
      <c r="NFO50" s="344"/>
      <c r="NFP50" s="344"/>
      <c r="NFQ50" s="344"/>
      <c r="NFR50" s="344"/>
      <c r="NFS50" s="344"/>
      <c r="NFT50" s="344"/>
      <c r="NFU50" s="344"/>
      <c r="NFV50" s="344"/>
      <c r="NFW50" s="344"/>
      <c r="NFX50" s="344"/>
      <c r="NFY50" s="344"/>
      <c r="NFZ50" s="344"/>
      <c r="NGA50" s="344"/>
      <c r="NGB50" s="344"/>
      <c r="NGC50" s="344"/>
      <c r="NGD50" s="344"/>
      <c r="NGE50" s="344"/>
      <c r="NGF50" s="344"/>
      <c r="NGG50" s="344"/>
      <c r="NGH50" s="344"/>
      <c r="NGI50" s="344"/>
      <c r="NGJ50" s="344"/>
      <c r="NGK50" s="344"/>
      <c r="NGL50" s="344"/>
      <c r="NGM50" s="344"/>
      <c r="NGN50" s="344"/>
      <c r="NGO50" s="344"/>
      <c r="NGP50" s="344"/>
      <c r="NGQ50" s="344"/>
      <c r="NGR50" s="344"/>
      <c r="NGS50" s="344"/>
      <c r="NGT50" s="344"/>
      <c r="NGU50" s="344"/>
      <c r="NGV50" s="344"/>
      <c r="NGW50" s="344"/>
      <c r="NGX50" s="344"/>
      <c r="NGY50" s="344"/>
      <c r="NGZ50" s="344"/>
      <c r="NHA50" s="344"/>
      <c r="NHB50" s="344"/>
      <c r="NHC50" s="344"/>
      <c r="NHD50" s="344"/>
      <c r="NHE50" s="344"/>
      <c r="NHF50" s="344"/>
      <c r="NHG50" s="344"/>
      <c r="NHH50" s="344"/>
      <c r="NHI50" s="344"/>
      <c r="NHJ50" s="344"/>
      <c r="NHK50" s="344"/>
      <c r="NHL50" s="344"/>
      <c r="NHM50" s="344"/>
      <c r="NHN50" s="344"/>
      <c r="NHO50" s="344"/>
      <c r="NHP50" s="344"/>
      <c r="NHQ50" s="344"/>
      <c r="NHR50" s="344"/>
      <c r="NHS50" s="344"/>
      <c r="NHT50" s="344"/>
      <c r="NHU50" s="344"/>
      <c r="NHV50" s="344"/>
      <c r="NHW50" s="344"/>
      <c r="NHX50" s="344"/>
      <c r="NHY50" s="344"/>
      <c r="NHZ50" s="344"/>
      <c r="NIA50" s="344"/>
      <c r="NIB50" s="344"/>
      <c r="NIC50" s="344"/>
      <c r="NID50" s="344"/>
      <c r="NIE50" s="344"/>
      <c r="NIF50" s="344"/>
      <c r="NIG50" s="344"/>
      <c r="NIH50" s="344"/>
      <c r="NII50" s="344"/>
      <c r="NIJ50" s="344"/>
      <c r="NIK50" s="344"/>
      <c r="NIL50" s="344"/>
      <c r="NIM50" s="344"/>
      <c r="NIN50" s="344"/>
      <c r="NIO50" s="344"/>
      <c r="NIP50" s="344"/>
      <c r="NIQ50" s="344"/>
      <c r="NIR50" s="344"/>
      <c r="NIS50" s="344"/>
      <c r="NIT50" s="344"/>
      <c r="NIU50" s="344"/>
      <c r="NIV50" s="344"/>
      <c r="NIW50" s="344"/>
      <c r="NIX50" s="344"/>
      <c r="NIY50" s="344"/>
      <c r="NIZ50" s="344"/>
      <c r="NJA50" s="344"/>
      <c r="NJB50" s="344"/>
      <c r="NJC50" s="344"/>
      <c r="NJD50" s="344"/>
      <c r="NJE50" s="344"/>
      <c r="NJF50" s="344"/>
      <c r="NJG50" s="344"/>
      <c r="NJH50" s="344"/>
      <c r="NJI50" s="344"/>
      <c r="NJJ50" s="344"/>
      <c r="NJK50" s="344"/>
      <c r="NJL50" s="344"/>
      <c r="NJM50" s="344"/>
      <c r="NJN50" s="344"/>
      <c r="NJO50" s="344"/>
      <c r="NJP50" s="344"/>
      <c r="NJQ50" s="344"/>
      <c r="NJR50" s="344"/>
      <c r="NJS50" s="344"/>
      <c r="NJT50" s="344"/>
      <c r="NJU50" s="344"/>
      <c r="NJV50" s="344"/>
      <c r="NJW50" s="344"/>
      <c r="NJX50" s="344"/>
      <c r="NJY50" s="344"/>
      <c r="NJZ50" s="344"/>
      <c r="NKA50" s="344"/>
      <c r="NKB50" s="344"/>
      <c r="NKC50" s="344"/>
      <c r="NKD50" s="344"/>
      <c r="NKE50" s="344"/>
      <c r="NKF50" s="344"/>
      <c r="NKG50" s="344"/>
      <c r="NKH50" s="344"/>
      <c r="NKI50" s="344"/>
      <c r="NKJ50" s="344"/>
      <c r="NKK50" s="344"/>
      <c r="NKL50" s="344"/>
      <c r="NKM50" s="344"/>
      <c r="NKN50" s="344"/>
      <c r="NKO50" s="344"/>
      <c r="NKP50" s="344"/>
      <c r="NKQ50" s="344"/>
      <c r="NKR50" s="344"/>
      <c r="NKS50" s="344"/>
      <c r="NKT50" s="344"/>
      <c r="NKU50" s="344"/>
      <c r="NKV50" s="344"/>
      <c r="NKW50" s="344"/>
      <c r="NKX50" s="344"/>
      <c r="NKY50" s="344"/>
      <c r="NKZ50" s="344"/>
      <c r="NLA50" s="344"/>
      <c r="NLB50" s="344"/>
      <c r="NLC50" s="344"/>
      <c r="NLD50" s="344"/>
      <c r="NLE50" s="344"/>
      <c r="NLF50" s="344"/>
      <c r="NLG50" s="344"/>
      <c r="NLH50" s="344"/>
      <c r="NLI50" s="344"/>
      <c r="NLJ50" s="344"/>
      <c r="NLK50" s="344"/>
      <c r="NLL50" s="344"/>
      <c r="NLM50" s="344"/>
      <c r="NLN50" s="344"/>
      <c r="NLO50" s="344"/>
      <c r="NLP50" s="344"/>
      <c r="NLQ50" s="344"/>
      <c r="NLR50" s="344"/>
      <c r="NLS50" s="344"/>
      <c r="NLT50" s="344"/>
      <c r="NLU50" s="344"/>
      <c r="NLV50" s="344"/>
      <c r="NLW50" s="344"/>
      <c r="NLX50" s="344"/>
      <c r="NLY50" s="344"/>
      <c r="NLZ50" s="344"/>
      <c r="NMA50" s="344"/>
      <c r="NMB50" s="344"/>
      <c r="NMC50" s="344"/>
      <c r="NMD50" s="344"/>
      <c r="NME50" s="344"/>
      <c r="NMF50" s="344"/>
      <c r="NMG50" s="344"/>
      <c r="NMH50" s="344"/>
      <c r="NMI50" s="344"/>
      <c r="NMJ50" s="344"/>
      <c r="NMK50" s="344"/>
      <c r="NML50" s="344"/>
      <c r="NMM50" s="344"/>
      <c r="NMN50" s="344"/>
      <c r="NMO50" s="344"/>
      <c r="NMP50" s="344"/>
      <c r="NMQ50" s="344"/>
      <c r="NMR50" s="344"/>
      <c r="NMS50" s="344"/>
      <c r="NMT50" s="344"/>
      <c r="NMU50" s="344"/>
      <c r="NMV50" s="344"/>
      <c r="NMW50" s="344"/>
      <c r="NMX50" s="344"/>
      <c r="NMY50" s="344"/>
      <c r="NMZ50" s="344"/>
      <c r="NNA50" s="344"/>
      <c r="NNB50" s="344"/>
      <c r="NNC50" s="344"/>
      <c r="NND50" s="344"/>
      <c r="NNE50" s="344"/>
      <c r="NNF50" s="344"/>
      <c r="NNG50" s="344"/>
      <c r="NNH50" s="344"/>
      <c r="NNI50" s="344"/>
      <c r="NNJ50" s="344"/>
      <c r="NNK50" s="344"/>
      <c r="NNL50" s="344"/>
      <c r="NNM50" s="344"/>
      <c r="NNN50" s="344"/>
      <c r="NNO50" s="344"/>
      <c r="NNP50" s="344"/>
      <c r="NNQ50" s="344"/>
      <c r="NNR50" s="344"/>
      <c r="NNS50" s="344"/>
      <c r="NNT50" s="344"/>
      <c r="NNU50" s="344"/>
      <c r="NNV50" s="344"/>
      <c r="NNW50" s="344"/>
      <c r="NNX50" s="344"/>
      <c r="NNY50" s="344"/>
      <c r="NNZ50" s="344"/>
      <c r="NOA50" s="344"/>
      <c r="NOB50" s="344"/>
      <c r="NOC50" s="344"/>
      <c r="NOD50" s="344"/>
      <c r="NOE50" s="344"/>
      <c r="NOF50" s="344"/>
      <c r="NOG50" s="344"/>
      <c r="NOH50" s="344"/>
      <c r="NOI50" s="344"/>
      <c r="NOJ50" s="344"/>
      <c r="NOK50" s="344"/>
      <c r="NOL50" s="344"/>
      <c r="NOM50" s="344"/>
      <c r="NON50" s="344"/>
      <c r="NOO50" s="344"/>
      <c r="NOP50" s="344"/>
      <c r="NOQ50" s="344"/>
      <c r="NOR50" s="344"/>
      <c r="NOS50" s="344"/>
      <c r="NOT50" s="344"/>
      <c r="NOU50" s="344"/>
      <c r="NOV50" s="344"/>
      <c r="NOW50" s="344"/>
      <c r="NOX50" s="344"/>
      <c r="NOY50" s="344"/>
      <c r="NOZ50" s="344"/>
      <c r="NPA50" s="344"/>
      <c r="NPB50" s="344"/>
      <c r="NPC50" s="344"/>
      <c r="NPD50" s="344"/>
      <c r="NPE50" s="344"/>
      <c r="NPF50" s="344"/>
      <c r="NPG50" s="344"/>
      <c r="NPH50" s="344"/>
      <c r="NPI50" s="344"/>
      <c r="NPJ50" s="344"/>
      <c r="NPK50" s="344"/>
      <c r="NPL50" s="344"/>
      <c r="NPM50" s="344"/>
      <c r="NPN50" s="344"/>
      <c r="NPO50" s="344"/>
      <c r="NPP50" s="344"/>
      <c r="NPQ50" s="344"/>
      <c r="NPR50" s="344"/>
      <c r="NPS50" s="344"/>
      <c r="NPT50" s="344"/>
      <c r="NPU50" s="344"/>
      <c r="NPV50" s="344"/>
      <c r="NPW50" s="344"/>
      <c r="NPX50" s="344"/>
      <c r="NPY50" s="344"/>
      <c r="NPZ50" s="344"/>
      <c r="NQA50" s="344"/>
      <c r="NQB50" s="344"/>
      <c r="NQC50" s="344"/>
      <c r="NQD50" s="344"/>
      <c r="NQE50" s="344"/>
      <c r="NQF50" s="344"/>
      <c r="NQG50" s="344"/>
      <c r="NQH50" s="344"/>
      <c r="NQI50" s="344"/>
      <c r="NQJ50" s="344"/>
      <c r="NQK50" s="344"/>
      <c r="NQL50" s="344"/>
      <c r="NQM50" s="344"/>
      <c r="NQN50" s="344"/>
      <c r="NQO50" s="344"/>
      <c r="NQP50" s="344"/>
      <c r="NQQ50" s="344"/>
      <c r="NQR50" s="344"/>
      <c r="NQS50" s="344"/>
      <c r="NQT50" s="344"/>
      <c r="NQU50" s="344"/>
      <c r="NQV50" s="344"/>
      <c r="NQW50" s="344"/>
      <c r="NQX50" s="344"/>
      <c r="NQY50" s="344"/>
      <c r="NQZ50" s="344"/>
      <c r="NRA50" s="344"/>
      <c r="NRB50" s="344"/>
      <c r="NRC50" s="344"/>
      <c r="NRD50" s="344"/>
      <c r="NRE50" s="344"/>
      <c r="NRF50" s="344"/>
      <c r="NRG50" s="344"/>
      <c r="NRH50" s="344"/>
      <c r="NRI50" s="344"/>
      <c r="NRJ50" s="344"/>
      <c r="NRK50" s="344"/>
      <c r="NRL50" s="344"/>
      <c r="NRM50" s="344"/>
      <c r="NRN50" s="344"/>
      <c r="NRO50" s="344"/>
      <c r="NRP50" s="344"/>
      <c r="NRQ50" s="344"/>
      <c r="NRR50" s="344"/>
      <c r="NRS50" s="344"/>
      <c r="NRT50" s="344"/>
      <c r="NRU50" s="344"/>
      <c r="NRV50" s="344"/>
      <c r="NRW50" s="344"/>
      <c r="NRX50" s="344"/>
      <c r="NRY50" s="344"/>
      <c r="NRZ50" s="344"/>
      <c r="NSA50" s="344"/>
      <c r="NSB50" s="344"/>
      <c r="NSC50" s="344"/>
      <c r="NSD50" s="344"/>
      <c r="NSE50" s="344"/>
      <c r="NSF50" s="344"/>
      <c r="NSG50" s="344"/>
      <c r="NSH50" s="344"/>
      <c r="NSI50" s="344"/>
      <c r="NSJ50" s="344"/>
      <c r="NSK50" s="344"/>
      <c r="NSL50" s="344"/>
      <c r="NSM50" s="344"/>
      <c r="NSN50" s="344"/>
      <c r="NSO50" s="344"/>
      <c r="NSP50" s="344"/>
      <c r="NSQ50" s="344"/>
      <c r="NSR50" s="344"/>
      <c r="NSS50" s="344"/>
      <c r="NST50" s="344"/>
      <c r="NSU50" s="344"/>
      <c r="NSV50" s="344"/>
      <c r="NSW50" s="344"/>
      <c r="NSX50" s="344"/>
      <c r="NSY50" s="344"/>
      <c r="NSZ50" s="344"/>
      <c r="NTA50" s="344"/>
      <c r="NTB50" s="344"/>
      <c r="NTC50" s="344"/>
      <c r="NTD50" s="344"/>
      <c r="NTE50" s="344"/>
      <c r="NTF50" s="344"/>
      <c r="NTG50" s="344"/>
      <c r="NTH50" s="344"/>
      <c r="NTI50" s="344"/>
      <c r="NTJ50" s="344"/>
      <c r="NTK50" s="344"/>
      <c r="NTL50" s="344"/>
      <c r="NTM50" s="344"/>
      <c r="NTN50" s="344"/>
      <c r="NTO50" s="344"/>
      <c r="NTP50" s="344"/>
      <c r="NTQ50" s="344"/>
      <c r="NTR50" s="344"/>
      <c r="NTS50" s="344"/>
      <c r="NTT50" s="344"/>
      <c r="NTU50" s="344"/>
      <c r="NTV50" s="344"/>
      <c r="NTW50" s="344"/>
      <c r="NTX50" s="344"/>
      <c r="NTY50" s="344"/>
      <c r="NTZ50" s="344"/>
      <c r="NUA50" s="344"/>
      <c r="NUB50" s="344"/>
      <c r="NUC50" s="344"/>
      <c r="NUD50" s="344"/>
      <c r="NUE50" s="344"/>
      <c r="NUF50" s="344"/>
      <c r="NUG50" s="344"/>
      <c r="NUH50" s="344"/>
      <c r="NUI50" s="344"/>
      <c r="NUJ50" s="344"/>
      <c r="NUK50" s="344"/>
      <c r="NUL50" s="344"/>
      <c r="NUM50" s="344"/>
      <c r="NUN50" s="344"/>
      <c r="NUO50" s="344"/>
      <c r="NUP50" s="344"/>
      <c r="NUQ50" s="344"/>
      <c r="NUR50" s="344"/>
      <c r="NUS50" s="344"/>
      <c r="NUT50" s="344"/>
      <c r="NUU50" s="344"/>
      <c r="NUV50" s="344"/>
      <c r="NUW50" s="344"/>
      <c r="NUX50" s="344"/>
      <c r="NUY50" s="344"/>
      <c r="NUZ50" s="344"/>
      <c r="NVA50" s="344"/>
      <c r="NVB50" s="344"/>
      <c r="NVC50" s="344"/>
      <c r="NVD50" s="344"/>
      <c r="NVE50" s="344"/>
      <c r="NVF50" s="344"/>
      <c r="NVG50" s="344"/>
      <c r="NVH50" s="344"/>
      <c r="NVI50" s="344"/>
      <c r="NVJ50" s="344"/>
      <c r="NVK50" s="344"/>
      <c r="NVL50" s="344"/>
      <c r="NVM50" s="344"/>
      <c r="NVN50" s="344"/>
      <c r="NVO50" s="344"/>
      <c r="NVP50" s="344"/>
      <c r="NVQ50" s="344"/>
      <c r="NVR50" s="344"/>
      <c r="NVS50" s="344"/>
      <c r="NVT50" s="344"/>
      <c r="NVU50" s="344"/>
      <c r="NVV50" s="344"/>
      <c r="NVW50" s="344"/>
      <c r="NVX50" s="344"/>
      <c r="NVY50" s="344"/>
      <c r="NVZ50" s="344"/>
      <c r="NWA50" s="344"/>
      <c r="NWB50" s="344"/>
      <c r="NWC50" s="344"/>
      <c r="NWD50" s="344"/>
      <c r="NWE50" s="344"/>
      <c r="NWF50" s="344"/>
      <c r="NWG50" s="344"/>
      <c r="NWH50" s="344"/>
      <c r="NWI50" s="344"/>
      <c r="NWJ50" s="344"/>
      <c r="NWK50" s="344"/>
      <c r="NWL50" s="344"/>
      <c r="NWM50" s="344"/>
      <c r="NWN50" s="344"/>
      <c r="NWO50" s="344"/>
      <c r="NWP50" s="344"/>
      <c r="NWQ50" s="344"/>
      <c r="NWR50" s="344"/>
      <c r="NWS50" s="344"/>
      <c r="NWT50" s="344"/>
      <c r="NWU50" s="344"/>
      <c r="NWV50" s="344"/>
      <c r="NWW50" s="344"/>
      <c r="NWX50" s="344"/>
      <c r="NWY50" s="344"/>
      <c r="NWZ50" s="344"/>
      <c r="NXA50" s="344"/>
      <c r="NXB50" s="344"/>
      <c r="NXC50" s="344"/>
      <c r="NXD50" s="344"/>
      <c r="NXE50" s="344"/>
      <c r="NXF50" s="344"/>
      <c r="NXG50" s="344"/>
      <c r="NXH50" s="344"/>
      <c r="NXI50" s="344"/>
      <c r="NXJ50" s="344"/>
      <c r="NXK50" s="344"/>
      <c r="NXL50" s="344"/>
      <c r="NXM50" s="344"/>
      <c r="NXN50" s="344"/>
      <c r="NXO50" s="344"/>
      <c r="NXP50" s="344"/>
      <c r="NXQ50" s="344"/>
      <c r="NXR50" s="344"/>
      <c r="NXS50" s="344"/>
      <c r="NXT50" s="344"/>
      <c r="NXU50" s="344"/>
      <c r="NXV50" s="344"/>
      <c r="NXW50" s="344"/>
      <c r="NXX50" s="344"/>
      <c r="NXY50" s="344"/>
      <c r="NXZ50" s="344"/>
      <c r="NYA50" s="344"/>
      <c r="NYB50" s="344"/>
      <c r="NYC50" s="344"/>
      <c r="NYD50" s="344"/>
      <c r="NYE50" s="344"/>
      <c r="NYF50" s="344"/>
      <c r="NYG50" s="344"/>
      <c r="NYH50" s="344"/>
      <c r="NYI50" s="344"/>
      <c r="NYJ50" s="344"/>
      <c r="NYK50" s="344"/>
      <c r="NYL50" s="344"/>
      <c r="NYM50" s="344"/>
      <c r="NYN50" s="344"/>
      <c r="NYO50" s="344"/>
      <c r="NYP50" s="344"/>
      <c r="NYQ50" s="344"/>
      <c r="NYR50" s="344"/>
      <c r="NYS50" s="344"/>
      <c r="NYT50" s="344"/>
      <c r="NYU50" s="344"/>
      <c r="NYV50" s="344"/>
      <c r="NYW50" s="344"/>
      <c r="NYX50" s="344"/>
      <c r="NYY50" s="344"/>
      <c r="NYZ50" s="344"/>
      <c r="NZA50" s="344"/>
      <c r="NZB50" s="344"/>
      <c r="NZC50" s="344"/>
      <c r="NZD50" s="344"/>
      <c r="NZE50" s="344"/>
      <c r="NZF50" s="344"/>
      <c r="NZG50" s="344"/>
      <c r="NZH50" s="344"/>
      <c r="NZI50" s="344"/>
      <c r="NZJ50" s="344"/>
      <c r="NZK50" s="344"/>
      <c r="NZL50" s="344"/>
      <c r="NZM50" s="344"/>
      <c r="NZN50" s="344"/>
      <c r="NZO50" s="344"/>
      <c r="NZP50" s="344"/>
      <c r="NZQ50" s="344"/>
      <c r="NZR50" s="344"/>
      <c r="NZS50" s="344"/>
      <c r="NZT50" s="344"/>
      <c r="NZU50" s="344"/>
      <c r="NZV50" s="344"/>
      <c r="NZW50" s="344"/>
      <c r="NZX50" s="344"/>
      <c r="NZY50" s="344"/>
      <c r="NZZ50" s="344"/>
      <c r="OAA50" s="344"/>
      <c r="OAB50" s="344"/>
      <c r="OAC50" s="344"/>
      <c r="OAD50" s="344"/>
      <c r="OAE50" s="344"/>
      <c r="OAF50" s="344"/>
      <c r="OAG50" s="344"/>
      <c r="OAH50" s="344"/>
      <c r="OAI50" s="344"/>
      <c r="OAJ50" s="344"/>
      <c r="OAK50" s="344"/>
      <c r="OAL50" s="344"/>
      <c r="OAM50" s="344"/>
      <c r="OAN50" s="344"/>
      <c r="OAO50" s="344"/>
      <c r="OAP50" s="344"/>
      <c r="OAQ50" s="344"/>
      <c r="OAR50" s="344"/>
      <c r="OAS50" s="344"/>
      <c r="OAT50" s="344"/>
      <c r="OAU50" s="344"/>
      <c r="OAV50" s="344"/>
      <c r="OAW50" s="344"/>
      <c r="OAX50" s="344"/>
      <c r="OAY50" s="344"/>
      <c r="OAZ50" s="344"/>
      <c r="OBA50" s="344"/>
      <c r="OBB50" s="344"/>
      <c r="OBC50" s="344"/>
      <c r="OBD50" s="344"/>
      <c r="OBE50" s="344"/>
      <c r="OBF50" s="344"/>
      <c r="OBG50" s="344"/>
      <c r="OBH50" s="344"/>
      <c r="OBI50" s="344"/>
      <c r="OBJ50" s="344"/>
      <c r="OBK50" s="344"/>
      <c r="OBL50" s="344"/>
      <c r="OBM50" s="344"/>
      <c r="OBN50" s="344"/>
      <c r="OBO50" s="344"/>
      <c r="OBP50" s="344"/>
      <c r="OBQ50" s="344"/>
      <c r="OBR50" s="344"/>
      <c r="OBS50" s="344"/>
      <c r="OBT50" s="344"/>
      <c r="OBU50" s="344"/>
      <c r="OBV50" s="344"/>
      <c r="OBW50" s="344"/>
      <c r="OBX50" s="344"/>
      <c r="OBY50" s="344"/>
      <c r="OBZ50" s="344"/>
      <c r="OCA50" s="344"/>
      <c r="OCB50" s="344"/>
      <c r="OCC50" s="344"/>
      <c r="OCD50" s="344"/>
      <c r="OCE50" s="344"/>
      <c r="OCF50" s="344"/>
      <c r="OCG50" s="344"/>
      <c r="OCH50" s="344"/>
      <c r="OCI50" s="344"/>
      <c r="OCJ50" s="344"/>
      <c r="OCK50" s="344"/>
      <c r="OCL50" s="344"/>
      <c r="OCM50" s="344"/>
      <c r="OCN50" s="344"/>
      <c r="OCO50" s="344"/>
      <c r="OCP50" s="344"/>
      <c r="OCQ50" s="344"/>
      <c r="OCR50" s="344"/>
      <c r="OCS50" s="344"/>
      <c r="OCT50" s="344"/>
      <c r="OCU50" s="344"/>
      <c r="OCV50" s="344"/>
      <c r="OCW50" s="344"/>
      <c r="OCX50" s="344"/>
      <c r="OCY50" s="344"/>
      <c r="OCZ50" s="344"/>
      <c r="ODA50" s="344"/>
      <c r="ODB50" s="344"/>
      <c r="ODC50" s="344"/>
      <c r="ODD50" s="344"/>
      <c r="ODE50" s="344"/>
      <c r="ODF50" s="344"/>
      <c r="ODG50" s="344"/>
      <c r="ODH50" s="344"/>
      <c r="ODI50" s="344"/>
      <c r="ODJ50" s="344"/>
      <c r="ODK50" s="344"/>
      <c r="ODL50" s="344"/>
      <c r="ODM50" s="344"/>
      <c r="ODN50" s="344"/>
      <c r="ODO50" s="344"/>
      <c r="ODP50" s="344"/>
      <c r="ODQ50" s="344"/>
      <c r="ODR50" s="344"/>
      <c r="ODS50" s="344"/>
      <c r="ODT50" s="344"/>
      <c r="ODU50" s="344"/>
      <c r="ODV50" s="344"/>
      <c r="ODW50" s="344"/>
      <c r="ODX50" s="344"/>
      <c r="ODY50" s="344"/>
      <c r="ODZ50" s="344"/>
      <c r="OEA50" s="344"/>
      <c r="OEB50" s="344"/>
      <c r="OEC50" s="344"/>
      <c r="OED50" s="344"/>
      <c r="OEE50" s="344"/>
      <c r="OEF50" s="344"/>
      <c r="OEG50" s="344"/>
      <c r="OEH50" s="344"/>
      <c r="OEI50" s="344"/>
      <c r="OEJ50" s="344"/>
      <c r="OEK50" s="344"/>
      <c r="OEL50" s="344"/>
      <c r="OEM50" s="344"/>
      <c r="OEN50" s="344"/>
      <c r="OEO50" s="344"/>
      <c r="OEP50" s="344"/>
      <c r="OEQ50" s="344"/>
      <c r="OER50" s="344"/>
      <c r="OES50" s="344"/>
      <c r="OET50" s="344"/>
      <c r="OEU50" s="344"/>
      <c r="OEV50" s="344"/>
      <c r="OEW50" s="344"/>
      <c r="OEX50" s="344"/>
      <c r="OEY50" s="344"/>
      <c r="OEZ50" s="344"/>
      <c r="OFA50" s="344"/>
      <c r="OFB50" s="344"/>
      <c r="OFC50" s="344"/>
      <c r="OFD50" s="344"/>
      <c r="OFE50" s="344"/>
      <c r="OFF50" s="344"/>
      <c r="OFG50" s="344"/>
      <c r="OFH50" s="344"/>
      <c r="OFI50" s="344"/>
      <c r="OFJ50" s="344"/>
      <c r="OFK50" s="344"/>
      <c r="OFL50" s="344"/>
      <c r="OFM50" s="344"/>
      <c r="OFN50" s="344"/>
      <c r="OFO50" s="344"/>
      <c r="OFP50" s="344"/>
      <c r="OFQ50" s="344"/>
      <c r="OFR50" s="344"/>
      <c r="OFS50" s="344"/>
      <c r="OFT50" s="344"/>
      <c r="OFU50" s="344"/>
      <c r="OFV50" s="344"/>
      <c r="OFW50" s="344"/>
      <c r="OFX50" s="344"/>
      <c r="OFY50" s="344"/>
      <c r="OFZ50" s="344"/>
      <c r="OGA50" s="344"/>
      <c r="OGB50" s="344"/>
      <c r="OGC50" s="344"/>
      <c r="OGD50" s="344"/>
      <c r="OGE50" s="344"/>
      <c r="OGF50" s="344"/>
      <c r="OGG50" s="344"/>
      <c r="OGH50" s="344"/>
      <c r="OGI50" s="344"/>
      <c r="OGJ50" s="344"/>
      <c r="OGK50" s="344"/>
      <c r="OGL50" s="344"/>
      <c r="OGM50" s="344"/>
      <c r="OGN50" s="344"/>
      <c r="OGO50" s="344"/>
      <c r="OGP50" s="344"/>
      <c r="OGQ50" s="344"/>
      <c r="OGR50" s="344"/>
      <c r="OGS50" s="344"/>
      <c r="OGT50" s="344"/>
      <c r="OGU50" s="344"/>
      <c r="OGV50" s="344"/>
      <c r="OGW50" s="344"/>
      <c r="OGX50" s="344"/>
      <c r="OGY50" s="344"/>
      <c r="OGZ50" s="344"/>
      <c r="OHA50" s="344"/>
      <c r="OHB50" s="344"/>
      <c r="OHC50" s="344"/>
      <c r="OHD50" s="344"/>
      <c r="OHE50" s="344"/>
      <c r="OHF50" s="344"/>
      <c r="OHG50" s="344"/>
      <c r="OHH50" s="344"/>
      <c r="OHI50" s="344"/>
      <c r="OHJ50" s="344"/>
      <c r="OHK50" s="344"/>
      <c r="OHL50" s="344"/>
      <c r="OHM50" s="344"/>
      <c r="OHN50" s="344"/>
      <c r="OHO50" s="344"/>
      <c r="OHP50" s="344"/>
      <c r="OHQ50" s="344"/>
      <c r="OHR50" s="344"/>
      <c r="OHS50" s="344"/>
      <c r="OHT50" s="344"/>
      <c r="OHU50" s="344"/>
      <c r="OHV50" s="344"/>
      <c r="OHW50" s="344"/>
      <c r="OHX50" s="344"/>
      <c r="OHY50" s="344"/>
      <c r="OHZ50" s="344"/>
      <c r="OIA50" s="344"/>
      <c r="OIB50" s="344"/>
      <c r="OIC50" s="344"/>
      <c r="OID50" s="344"/>
      <c r="OIE50" s="344"/>
      <c r="OIF50" s="344"/>
      <c r="OIG50" s="344"/>
      <c r="OIH50" s="344"/>
      <c r="OII50" s="344"/>
      <c r="OIJ50" s="344"/>
      <c r="OIK50" s="344"/>
      <c r="OIL50" s="344"/>
      <c r="OIM50" s="344"/>
      <c r="OIN50" s="344"/>
      <c r="OIO50" s="344"/>
      <c r="OIP50" s="344"/>
      <c r="OIQ50" s="344"/>
      <c r="OIR50" s="344"/>
      <c r="OIS50" s="344"/>
      <c r="OIT50" s="344"/>
      <c r="OIU50" s="344"/>
      <c r="OIV50" s="344"/>
      <c r="OIW50" s="344"/>
      <c r="OIX50" s="344"/>
      <c r="OIY50" s="344"/>
      <c r="OIZ50" s="344"/>
      <c r="OJA50" s="344"/>
      <c r="OJB50" s="344"/>
      <c r="OJC50" s="344"/>
      <c r="OJD50" s="344"/>
      <c r="OJE50" s="344"/>
      <c r="OJF50" s="344"/>
      <c r="OJG50" s="344"/>
      <c r="OJH50" s="344"/>
      <c r="OJI50" s="344"/>
      <c r="OJJ50" s="344"/>
      <c r="OJK50" s="344"/>
      <c r="OJL50" s="344"/>
      <c r="OJM50" s="344"/>
      <c r="OJN50" s="344"/>
      <c r="OJO50" s="344"/>
      <c r="OJP50" s="344"/>
      <c r="OJQ50" s="344"/>
      <c r="OJR50" s="344"/>
      <c r="OJS50" s="344"/>
      <c r="OJT50" s="344"/>
      <c r="OJU50" s="344"/>
      <c r="OJV50" s="344"/>
      <c r="OJW50" s="344"/>
      <c r="OJX50" s="344"/>
      <c r="OJY50" s="344"/>
      <c r="OJZ50" s="344"/>
      <c r="OKA50" s="344"/>
      <c r="OKB50" s="344"/>
      <c r="OKC50" s="344"/>
      <c r="OKD50" s="344"/>
      <c r="OKE50" s="344"/>
      <c r="OKF50" s="344"/>
      <c r="OKG50" s="344"/>
      <c r="OKH50" s="344"/>
      <c r="OKI50" s="344"/>
      <c r="OKJ50" s="344"/>
      <c r="OKK50" s="344"/>
      <c r="OKL50" s="344"/>
      <c r="OKM50" s="344"/>
      <c r="OKN50" s="344"/>
      <c r="OKO50" s="344"/>
      <c r="OKP50" s="344"/>
      <c r="OKQ50" s="344"/>
      <c r="OKR50" s="344"/>
      <c r="OKS50" s="344"/>
      <c r="OKT50" s="344"/>
      <c r="OKU50" s="344"/>
      <c r="OKV50" s="344"/>
      <c r="OKW50" s="344"/>
      <c r="OKX50" s="344"/>
      <c r="OKY50" s="344"/>
      <c r="OKZ50" s="344"/>
      <c r="OLA50" s="344"/>
      <c r="OLB50" s="344"/>
      <c r="OLC50" s="344"/>
      <c r="OLD50" s="344"/>
      <c r="OLE50" s="344"/>
      <c r="OLF50" s="344"/>
      <c r="OLG50" s="344"/>
      <c r="OLH50" s="344"/>
      <c r="OLI50" s="344"/>
      <c r="OLJ50" s="344"/>
      <c r="OLK50" s="344"/>
      <c r="OLL50" s="344"/>
      <c r="OLM50" s="344"/>
      <c r="OLN50" s="344"/>
      <c r="OLO50" s="344"/>
      <c r="OLP50" s="344"/>
      <c r="OLQ50" s="344"/>
      <c r="OLR50" s="344"/>
      <c r="OLS50" s="344"/>
      <c r="OLT50" s="344"/>
      <c r="OLU50" s="344"/>
      <c r="OLV50" s="344"/>
      <c r="OLW50" s="344"/>
      <c r="OLX50" s="344"/>
      <c r="OLY50" s="344"/>
      <c r="OLZ50" s="344"/>
      <c r="OMA50" s="344"/>
      <c r="OMB50" s="344"/>
      <c r="OMC50" s="344"/>
      <c r="OMD50" s="344"/>
      <c r="OME50" s="344"/>
      <c r="OMF50" s="344"/>
      <c r="OMG50" s="344"/>
      <c r="OMH50" s="344"/>
      <c r="OMI50" s="344"/>
      <c r="OMJ50" s="344"/>
      <c r="OMK50" s="344"/>
      <c r="OML50" s="344"/>
      <c r="OMM50" s="344"/>
      <c r="OMN50" s="344"/>
      <c r="OMO50" s="344"/>
      <c r="OMP50" s="344"/>
      <c r="OMQ50" s="344"/>
      <c r="OMR50" s="344"/>
      <c r="OMS50" s="344"/>
      <c r="OMT50" s="344"/>
      <c r="OMU50" s="344"/>
      <c r="OMV50" s="344"/>
      <c r="OMW50" s="344"/>
      <c r="OMX50" s="344"/>
      <c r="OMY50" s="344"/>
      <c r="OMZ50" s="344"/>
      <c r="ONA50" s="344"/>
      <c r="ONB50" s="344"/>
      <c r="ONC50" s="344"/>
      <c r="OND50" s="344"/>
      <c r="ONE50" s="344"/>
      <c r="ONF50" s="344"/>
      <c r="ONG50" s="344"/>
      <c r="ONH50" s="344"/>
      <c r="ONI50" s="344"/>
      <c r="ONJ50" s="344"/>
      <c r="ONK50" s="344"/>
      <c r="ONL50" s="344"/>
      <c r="ONM50" s="344"/>
      <c r="ONN50" s="344"/>
      <c r="ONO50" s="344"/>
      <c r="ONP50" s="344"/>
      <c r="ONQ50" s="344"/>
      <c r="ONR50" s="344"/>
      <c r="ONS50" s="344"/>
      <c r="ONT50" s="344"/>
      <c r="ONU50" s="344"/>
      <c r="ONV50" s="344"/>
      <c r="ONW50" s="344"/>
      <c r="ONX50" s="344"/>
      <c r="ONY50" s="344"/>
      <c r="ONZ50" s="344"/>
      <c r="OOA50" s="344"/>
      <c r="OOB50" s="344"/>
      <c r="OOC50" s="344"/>
      <c r="OOD50" s="344"/>
      <c r="OOE50" s="344"/>
      <c r="OOF50" s="344"/>
      <c r="OOG50" s="344"/>
      <c r="OOH50" s="344"/>
      <c r="OOI50" s="344"/>
      <c r="OOJ50" s="344"/>
      <c r="OOK50" s="344"/>
      <c r="OOL50" s="344"/>
      <c r="OOM50" s="344"/>
      <c r="OON50" s="344"/>
      <c r="OOO50" s="344"/>
      <c r="OOP50" s="344"/>
      <c r="OOQ50" s="344"/>
      <c r="OOR50" s="344"/>
      <c r="OOS50" s="344"/>
      <c r="OOT50" s="344"/>
      <c r="OOU50" s="344"/>
      <c r="OOV50" s="344"/>
      <c r="OOW50" s="344"/>
      <c r="OOX50" s="344"/>
      <c r="OOY50" s="344"/>
      <c r="OOZ50" s="344"/>
      <c r="OPA50" s="344"/>
      <c r="OPB50" s="344"/>
      <c r="OPC50" s="344"/>
      <c r="OPD50" s="344"/>
      <c r="OPE50" s="344"/>
      <c r="OPF50" s="344"/>
      <c r="OPG50" s="344"/>
      <c r="OPH50" s="344"/>
      <c r="OPI50" s="344"/>
      <c r="OPJ50" s="344"/>
      <c r="OPK50" s="344"/>
      <c r="OPL50" s="344"/>
      <c r="OPM50" s="344"/>
      <c r="OPN50" s="344"/>
      <c r="OPO50" s="344"/>
      <c r="OPP50" s="344"/>
      <c r="OPQ50" s="344"/>
      <c r="OPR50" s="344"/>
      <c r="OPS50" s="344"/>
      <c r="OPT50" s="344"/>
      <c r="OPU50" s="344"/>
      <c r="OPV50" s="344"/>
      <c r="OPW50" s="344"/>
      <c r="OPX50" s="344"/>
      <c r="OPY50" s="344"/>
      <c r="OPZ50" s="344"/>
      <c r="OQA50" s="344"/>
      <c r="OQB50" s="344"/>
      <c r="OQC50" s="344"/>
      <c r="OQD50" s="344"/>
      <c r="OQE50" s="344"/>
      <c r="OQF50" s="344"/>
      <c r="OQG50" s="344"/>
      <c r="OQH50" s="344"/>
      <c r="OQI50" s="344"/>
      <c r="OQJ50" s="344"/>
      <c r="OQK50" s="344"/>
      <c r="OQL50" s="344"/>
      <c r="OQM50" s="344"/>
      <c r="OQN50" s="344"/>
      <c r="OQO50" s="344"/>
      <c r="OQP50" s="344"/>
      <c r="OQQ50" s="344"/>
      <c r="OQR50" s="344"/>
      <c r="OQS50" s="344"/>
      <c r="OQT50" s="344"/>
      <c r="OQU50" s="344"/>
      <c r="OQV50" s="344"/>
      <c r="OQW50" s="344"/>
      <c r="OQX50" s="344"/>
      <c r="OQY50" s="344"/>
      <c r="OQZ50" s="344"/>
      <c r="ORA50" s="344"/>
      <c r="ORB50" s="344"/>
      <c r="ORC50" s="344"/>
      <c r="ORD50" s="344"/>
      <c r="ORE50" s="344"/>
      <c r="ORF50" s="344"/>
      <c r="ORG50" s="344"/>
      <c r="ORH50" s="344"/>
      <c r="ORI50" s="344"/>
      <c r="ORJ50" s="344"/>
      <c r="ORK50" s="344"/>
      <c r="ORL50" s="344"/>
      <c r="ORM50" s="344"/>
      <c r="ORN50" s="344"/>
      <c r="ORO50" s="344"/>
      <c r="ORP50" s="344"/>
      <c r="ORQ50" s="344"/>
      <c r="ORR50" s="344"/>
      <c r="ORS50" s="344"/>
      <c r="ORT50" s="344"/>
      <c r="ORU50" s="344"/>
      <c r="ORV50" s="344"/>
      <c r="ORW50" s="344"/>
      <c r="ORX50" s="344"/>
      <c r="ORY50" s="344"/>
      <c r="ORZ50" s="344"/>
      <c r="OSA50" s="344"/>
      <c r="OSB50" s="344"/>
      <c r="OSC50" s="344"/>
      <c r="OSD50" s="344"/>
      <c r="OSE50" s="344"/>
      <c r="OSF50" s="344"/>
      <c r="OSG50" s="344"/>
      <c r="OSH50" s="344"/>
      <c r="OSI50" s="344"/>
      <c r="OSJ50" s="344"/>
      <c r="OSK50" s="344"/>
      <c r="OSL50" s="344"/>
      <c r="OSM50" s="344"/>
      <c r="OSN50" s="344"/>
      <c r="OSO50" s="344"/>
      <c r="OSP50" s="344"/>
      <c r="OSQ50" s="344"/>
      <c r="OSR50" s="344"/>
      <c r="OSS50" s="344"/>
      <c r="OST50" s="344"/>
      <c r="OSU50" s="344"/>
      <c r="OSV50" s="344"/>
      <c r="OSW50" s="344"/>
      <c r="OSX50" s="344"/>
      <c r="OSY50" s="344"/>
      <c r="OSZ50" s="344"/>
      <c r="OTA50" s="344"/>
      <c r="OTB50" s="344"/>
      <c r="OTC50" s="344"/>
      <c r="OTD50" s="344"/>
      <c r="OTE50" s="344"/>
      <c r="OTF50" s="344"/>
      <c r="OTG50" s="344"/>
      <c r="OTH50" s="344"/>
      <c r="OTI50" s="344"/>
      <c r="OTJ50" s="344"/>
      <c r="OTK50" s="344"/>
      <c r="OTL50" s="344"/>
      <c r="OTM50" s="344"/>
      <c r="OTN50" s="344"/>
      <c r="OTO50" s="344"/>
      <c r="OTP50" s="344"/>
      <c r="OTQ50" s="344"/>
      <c r="OTR50" s="344"/>
      <c r="OTS50" s="344"/>
      <c r="OTT50" s="344"/>
      <c r="OTU50" s="344"/>
      <c r="OTV50" s="344"/>
      <c r="OTW50" s="344"/>
      <c r="OTX50" s="344"/>
      <c r="OTY50" s="344"/>
      <c r="OTZ50" s="344"/>
      <c r="OUA50" s="344"/>
      <c r="OUB50" s="344"/>
      <c r="OUC50" s="344"/>
      <c r="OUD50" s="344"/>
      <c r="OUE50" s="344"/>
      <c r="OUF50" s="344"/>
      <c r="OUG50" s="344"/>
      <c r="OUH50" s="344"/>
      <c r="OUI50" s="344"/>
      <c r="OUJ50" s="344"/>
      <c r="OUK50" s="344"/>
      <c r="OUL50" s="344"/>
      <c r="OUM50" s="344"/>
      <c r="OUN50" s="344"/>
      <c r="OUO50" s="344"/>
      <c r="OUP50" s="344"/>
      <c r="OUQ50" s="344"/>
      <c r="OUR50" s="344"/>
      <c r="OUS50" s="344"/>
      <c r="OUT50" s="344"/>
      <c r="OUU50" s="344"/>
      <c r="OUV50" s="344"/>
      <c r="OUW50" s="344"/>
      <c r="OUX50" s="344"/>
      <c r="OUY50" s="344"/>
      <c r="OUZ50" s="344"/>
      <c r="OVA50" s="344"/>
      <c r="OVB50" s="344"/>
      <c r="OVC50" s="344"/>
      <c r="OVD50" s="344"/>
      <c r="OVE50" s="344"/>
      <c r="OVF50" s="344"/>
      <c r="OVG50" s="344"/>
      <c r="OVH50" s="344"/>
      <c r="OVI50" s="344"/>
      <c r="OVJ50" s="344"/>
      <c r="OVK50" s="344"/>
      <c r="OVL50" s="344"/>
      <c r="OVM50" s="344"/>
      <c r="OVN50" s="344"/>
      <c r="OVO50" s="344"/>
      <c r="OVP50" s="344"/>
      <c r="OVQ50" s="344"/>
      <c r="OVR50" s="344"/>
      <c r="OVS50" s="344"/>
      <c r="OVT50" s="344"/>
      <c r="OVU50" s="344"/>
      <c r="OVV50" s="344"/>
      <c r="OVW50" s="344"/>
      <c r="OVX50" s="344"/>
      <c r="OVY50" s="344"/>
      <c r="OVZ50" s="344"/>
      <c r="OWA50" s="344"/>
      <c r="OWB50" s="344"/>
      <c r="OWC50" s="344"/>
      <c r="OWD50" s="344"/>
      <c r="OWE50" s="344"/>
      <c r="OWF50" s="344"/>
      <c r="OWG50" s="344"/>
      <c r="OWH50" s="344"/>
      <c r="OWI50" s="344"/>
      <c r="OWJ50" s="344"/>
      <c r="OWK50" s="344"/>
      <c r="OWL50" s="344"/>
      <c r="OWM50" s="344"/>
      <c r="OWN50" s="344"/>
      <c r="OWO50" s="344"/>
      <c r="OWP50" s="344"/>
      <c r="OWQ50" s="344"/>
      <c r="OWR50" s="344"/>
      <c r="OWS50" s="344"/>
      <c r="OWT50" s="344"/>
      <c r="OWU50" s="344"/>
      <c r="OWV50" s="344"/>
      <c r="OWW50" s="344"/>
      <c r="OWX50" s="344"/>
      <c r="OWY50" s="344"/>
      <c r="OWZ50" s="344"/>
      <c r="OXA50" s="344"/>
      <c r="OXB50" s="344"/>
      <c r="OXC50" s="344"/>
      <c r="OXD50" s="344"/>
      <c r="OXE50" s="344"/>
      <c r="OXF50" s="344"/>
      <c r="OXG50" s="344"/>
      <c r="OXH50" s="344"/>
      <c r="OXI50" s="344"/>
      <c r="OXJ50" s="344"/>
      <c r="OXK50" s="344"/>
      <c r="OXL50" s="344"/>
      <c r="OXM50" s="344"/>
      <c r="OXN50" s="344"/>
      <c r="OXO50" s="344"/>
      <c r="OXP50" s="344"/>
      <c r="OXQ50" s="344"/>
      <c r="OXR50" s="344"/>
      <c r="OXS50" s="344"/>
      <c r="OXT50" s="344"/>
      <c r="OXU50" s="344"/>
      <c r="OXV50" s="344"/>
      <c r="OXW50" s="344"/>
      <c r="OXX50" s="344"/>
      <c r="OXY50" s="344"/>
      <c r="OXZ50" s="344"/>
      <c r="OYA50" s="344"/>
      <c r="OYB50" s="344"/>
      <c r="OYC50" s="344"/>
      <c r="OYD50" s="344"/>
      <c r="OYE50" s="344"/>
      <c r="OYF50" s="344"/>
      <c r="OYG50" s="344"/>
      <c r="OYH50" s="344"/>
      <c r="OYI50" s="344"/>
      <c r="OYJ50" s="344"/>
      <c r="OYK50" s="344"/>
      <c r="OYL50" s="344"/>
      <c r="OYM50" s="344"/>
      <c r="OYN50" s="344"/>
      <c r="OYO50" s="344"/>
      <c r="OYP50" s="344"/>
      <c r="OYQ50" s="344"/>
      <c r="OYR50" s="344"/>
      <c r="OYS50" s="344"/>
      <c r="OYT50" s="344"/>
      <c r="OYU50" s="344"/>
      <c r="OYV50" s="344"/>
      <c r="OYW50" s="344"/>
      <c r="OYX50" s="344"/>
      <c r="OYY50" s="344"/>
      <c r="OYZ50" s="344"/>
      <c r="OZA50" s="344"/>
      <c r="OZB50" s="344"/>
      <c r="OZC50" s="344"/>
      <c r="OZD50" s="344"/>
      <c r="OZE50" s="344"/>
      <c r="OZF50" s="344"/>
      <c r="OZG50" s="344"/>
      <c r="OZH50" s="344"/>
      <c r="OZI50" s="344"/>
      <c r="OZJ50" s="344"/>
      <c r="OZK50" s="344"/>
      <c r="OZL50" s="344"/>
      <c r="OZM50" s="344"/>
      <c r="OZN50" s="344"/>
      <c r="OZO50" s="344"/>
      <c r="OZP50" s="344"/>
      <c r="OZQ50" s="344"/>
      <c r="OZR50" s="344"/>
      <c r="OZS50" s="344"/>
      <c r="OZT50" s="344"/>
      <c r="OZU50" s="344"/>
      <c r="OZV50" s="344"/>
      <c r="OZW50" s="344"/>
      <c r="OZX50" s="344"/>
      <c r="OZY50" s="344"/>
      <c r="OZZ50" s="344"/>
      <c r="PAA50" s="344"/>
      <c r="PAB50" s="344"/>
      <c r="PAC50" s="344"/>
      <c r="PAD50" s="344"/>
      <c r="PAE50" s="344"/>
      <c r="PAF50" s="344"/>
      <c r="PAG50" s="344"/>
      <c r="PAH50" s="344"/>
      <c r="PAI50" s="344"/>
      <c r="PAJ50" s="344"/>
      <c r="PAK50" s="344"/>
      <c r="PAL50" s="344"/>
      <c r="PAM50" s="344"/>
      <c r="PAN50" s="344"/>
      <c r="PAO50" s="344"/>
      <c r="PAP50" s="344"/>
      <c r="PAQ50" s="344"/>
      <c r="PAR50" s="344"/>
      <c r="PAS50" s="344"/>
      <c r="PAT50" s="344"/>
      <c r="PAU50" s="344"/>
      <c r="PAV50" s="344"/>
      <c r="PAW50" s="344"/>
      <c r="PAX50" s="344"/>
      <c r="PAY50" s="344"/>
      <c r="PAZ50" s="344"/>
      <c r="PBA50" s="344"/>
      <c r="PBB50" s="344"/>
      <c r="PBC50" s="344"/>
      <c r="PBD50" s="344"/>
      <c r="PBE50" s="344"/>
      <c r="PBF50" s="344"/>
      <c r="PBG50" s="344"/>
      <c r="PBH50" s="344"/>
      <c r="PBI50" s="344"/>
      <c r="PBJ50" s="344"/>
      <c r="PBK50" s="344"/>
      <c r="PBL50" s="344"/>
      <c r="PBM50" s="344"/>
      <c r="PBN50" s="344"/>
      <c r="PBO50" s="344"/>
      <c r="PBP50" s="344"/>
      <c r="PBQ50" s="344"/>
      <c r="PBR50" s="344"/>
      <c r="PBS50" s="344"/>
      <c r="PBT50" s="344"/>
      <c r="PBU50" s="344"/>
      <c r="PBV50" s="344"/>
      <c r="PBW50" s="344"/>
      <c r="PBX50" s="344"/>
      <c r="PBY50" s="344"/>
      <c r="PBZ50" s="344"/>
      <c r="PCA50" s="344"/>
      <c r="PCB50" s="344"/>
      <c r="PCC50" s="344"/>
      <c r="PCD50" s="344"/>
      <c r="PCE50" s="344"/>
      <c r="PCF50" s="344"/>
      <c r="PCG50" s="344"/>
      <c r="PCH50" s="344"/>
      <c r="PCI50" s="344"/>
      <c r="PCJ50" s="344"/>
      <c r="PCK50" s="344"/>
      <c r="PCL50" s="344"/>
      <c r="PCM50" s="344"/>
      <c r="PCN50" s="344"/>
      <c r="PCO50" s="344"/>
      <c r="PCP50" s="344"/>
      <c r="PCQ50" s="344"/>
      <c r="PCR50" s="344"/>
      <c r="PCS50" s="344"/>
      <c r="PCT50" s="344"/>
      <c r="PCU50" s="344"/>
      <c r="PCV50" s="344"/>
      <c r="PCW50" s="344"/>
      <c r="PCX50" s="344"/>
      <c r="PCY50" s="344"/>
      <c r="PCZ50" s="344"/>
      <c r="PDA50" s="344"/>
      <c r="PDB50" s="344"/>
      <c r="PDC50" s="344"/>
      <c r="PDD50" s="344"/>
      <c r="PDE50" s="344"/>
      <c r="PDF50" s="344"/>
      <c r="PDG50" s="344"/>
      <c r="PDH50" s="344"/>
      <c r="PDI50" s="344"/>
      <c r="PDJ50" s="344"/>
      <c r="PDK50" s="344"/>
      <c r="PDL50" s="344"/>
      <c r="PDM50" s="344"/>
      <c r="PDN50" s="344"/>
      <c r="PDO50" s="344"/>
      <c r="PDP50" s="344"/>
      <c r="PDQ50" s="344"/>
      <c r="PDR50" s="344"/>
      <c r="PDS50" s="344"/>
      <c r="PDT50" s="344"/>
      <c r="PDU50" s="344"/>
      <c r="PDV50" s="344"/>
      <c r="PDW50" s="344"/>
      <c r="PDX50" s="344"/>
      <c r="PDY50" s="344"/>
      <c r="PDZ50" s="344"/>
      <c r="PEA50" s="344"/>
      <c r="PEB50" s="344"/>
      <c r="PEC50" s="344"/>
      <c r="PED50" s="344"/>
      <c r="PEE50" s="344"/>
      <c r="PEF50" s="344"/>
      <c r="PEG50" s="344"/>
      <c r="PEH50" s="344"/>
      <c r="PEI50" s="344"/>
      <c r="PEJ50" s="344"/>
      <c r="PEK50" s="344"/>
      <c r="PEL50" s="344"/>
      <c r="PEM50" s="344"/>
      <c r="PEN50" s="344"/>
      <c r="PEO50" s="344"/>
      <c r="PEP50" s="344"/>
      <c r="PEQ50" s="344"/>
      <c r="PER50" s="344"/>
      <c r="PES50" s="344"/>
      <c r="PET50" s="344"/>
      <c r="PEU50" s="344"/>
      <c r="PEV50" s="344"/>
      <c r="PEW50" s="344"/>
      <c r="PEX50" s="344"/>
      <c r="PEY50" s="344"/>
      <c r="PEZ50" s="344"/>
      <c r="PFA50" s="344"/>
      <c r="PFB50" s="344"/>
      <c r="PFC50" s="344"/>
      <c r="PFD50" s="344"/>
      <c r="PFE50" s="344"/>
      <c r="PFF50" s="344"/>
      <c r="PFG50" s="344"/>
      <c r="PFH50" s="344"/>
      <c r="PFI50" s="344"/>
      <c r="PFJ50" s="344"/>
      <c r="PFK50" s="344"/>
      <c r="PFL50" s="344"/>
      <c r="PFM50" s="344"/>
      <c r="PFN50" s="344"/>
      <c r="PFO50" s="344"/>
      <c r="PFP50" s="344"/>
      <c r="PFQ50" s="344"/>
      <c r="PFR50" s="344"/>
      <c r="PFS50" s="344"/>
      <c r="PFT50" s="344"/>
      <c r="PFU50" s="344"/>
      <c r="PFV50" s="344"/>
      <c r="PFW50" s="344"/>
      <c r="PFX50" s="344"/>
      <c r="PFY50" s="344"/>
      <c r="PFZ50" s="344"/>
      <c r="PGA50" s="344"/>
      <c r="PGB50" s="344"/>
      <c r="PGC50" s="344"/>
      <c r="PGD50" s="344"/>
      <c r="PGE50" s="344"/>
      <c r="PGF50" s="344"/>
      <c r="PGG50" s="344"/>
      <c r="PGH50" s="344"/>
      <c r="PGI50" s="344"/>
      <c r="PGJ50" s="344"/>
      <c r="PGK50" s="344"/>
      <c r="PGL50" s="344"/>
      <c r="PGM50" s="344"/>
      <c r="PGN50" s="344"/>
      <c r="PGO50" s="344"/>
      <c r="PGP50" s="344"/>
      <c r="PGQ50" s="344"/>
      <c r="PGR50" s="344"/>
      <c r="PGS50" s="344"/>
      <c r="PGT50" s="344"/>
      <c r="PGU50" s="344"/>
      <c r="PGV50" s="344"/>
      <c r="PGW50" s="344"/>
      <c r="PGX50" s="344"/>
      <c r="PGY50" s="344"/>
      <c r="PGZ50" s="344"/>
      <c r="PHA50" s="344"/>
      <c r="PHB50" s="344"/>
      <c r="PHC50" s="344"/>
      <c r="PHD50" s="344"/>
      <c r="PHE50" s="344"/>
      <c r="PHF50" s="344"/>
      <c r="PHG50" s="344"/>
      <c r="PHH50" s="344"/>
      <c r="PHI50" s="344"/>
      <c r="PHJ50" s="344"/>
      <c r="PHK50" s="344"/>
      <c r="PHL50" s="344"/>
      <c r="PHM50" s="344"/>
      <c r="PHN50" s="344"/>
      <c r="PHO50" s="344"/>
      <c r="PHP50" s="344"/>
      <c r="PHQ50" s="344"/>
      <c r="PHR50" s="344"/>
      <c r="PHS50" s="344"/>
      <c r="PHT50" s="344"/>
      <c r="PHU50" s="344"/>
      <c r="PHV50" s="344"/>
      <c r="PHW50" s="344"/>
      <c r="PHX50" s="344"/>
      <c r="PHY50" s="344"/>
      <c r="PHZ50" s="344"/>
      <c r="PIA50" s="344"/>
      <c r="PIB50" s="344"/>
      <c r="PIC50" s="344"/>
      <c r="PID50" s="344"/>
      <c r="PIE50" s="344"/>
      <c r="PIF50" s="344"/>
      <c r="PIG50" s="344"/>
      <c r="PIH50" s="344"/>
      <c r="PII50" s="344"/>
      <c r="PIJ50" s="344"/>
      <c r="PIK50" s="344"/>
      <c r="PIL50" s="344"/>
      <c r="PIM50" s="344"/>
      <c r="PIN50" s="344"/>
      <c r="PIO50" s="344"/>
      <c r="PIP50" s="344"/>
      <c r="PIQ50" s="344"/>
      <c r="PIR50" s="344"/>
      <c r="PIS50" s="344"/>
      <c r="PIT50" s="344"/>
      <c r="PIU50" s="344"/>
      <c r="PIV50" s="344"/>
      <c r="PIW50" s="344"/>
      <c r="PIX50" s="344"/>
      <c r="PIY50" s="344"/>
      <c r="PIZ50" s="344"/>
      <c r="PJA50" s="344"/>
      <c r="PJB50" s="344"/>
      <c r="PJC50" s="344"/>
      <c r="PJD50" s="344"/>
      <c r="PJE50" s="344"/>
      <c r="PJF50" s="344"/>
      <c r="PJG50" s="344"/>
      <c r="PJH50" s="344"/>
      <c r="PJI50" s="344"/>
      <c r="PJJ50" s="344"/>
      <c r="PJK50" s="344"/>
      <c r="PJL50" s="344"/>
      <c r="PJM50" s="344"/>
      <c r="PJN50" s="344"/>
      <c r="PJO50" s="344"/>
      <c r="PJP50" s="344"/>
      <c r="PJQ50" s="344"/>
      <c r="PJR50" s="344"/>
      <c r="PJS50" s="344"/>
      <c r="PJT50" s="344"/>
      <c r="PJU50" s="344"/>
      <c r="PJV50" s="344"/>
      <c r="PJW50" s="344"/>
      <c r="PJX50" s="344"/>
      <c r="PJY50" s="344"/>
      <c r="PJZ50" s="344"/>
      <c r="PKA50" s="344"/>
      <c r="PKB50" s="344"/>
      <c r="PKC50" s="344"/>
      <c r="PKD50" s="344"/>
      <c r="PKE50" s="344"/>
      <c r="PKF50" s="344"/>
      <c r="PKG50" s="344"/>
      <c r="PKH50" s="344"/>
      <c r="PKI50" s="344"/>
      <c r="PKJ50" s="344"/>
      <c r="PKK50" s="344"/>
      <c r="PKL50" s="344"/>
      <c r="PKM50" s="344"/>
      <c r="PKN50" s="344"/>
      <c r="PKO50" s="344"/>
      <c r="PKP50" s="344"/>
      <c r="PKQ50" s="344"/>
      <c r="PKR50" s="344"/>
      <c r="PKS50" s="344"/>
      <c r="PKT50" s="344"/>
      <c r="PKU50" s="344"/>
      <c r="PKV50" s="344"/>
      <c r="PKW50" s="344"/>
      <c r="PKX50" s="344"/>
      <c r="PKY50" s="344"/>
      <c r="PKZ50" s="344"/>
      <c r="PLA50" s="344"/>
      <c r="PLB50" s="344"/>
      <c r="PLC50" s="344"/>
      <c r="PLD50" s="344"/>
      <c r="PLE50" s="344"/>
      <c r="PLF50" s="344"/>
      <c r="PLG50" s="344"/>
      <c r="PLH50" s="344"/>
      <c r="PLI50" s="344"/>
      <c r="PLJ50" s="344"/>
      <c r="PLK50" s="344"/>
      <c r="PLL50" s="344"/>
      <c r="PLM50" s="344"/>
      <c r="PLN50" s="344"/>
      <c r="PLO50" s="344"/>
      <c r="PLP50" s="344"/>
      <c r="PLQ50" s="344"/>
      <c r="PLR50" s="344"/>
      <c r="PLS50" s="344"/>
      <c r="PLT50" s="344"/>
      <c r="PLU50" s="344"/>
      <c r="PLV50" s="344"/>
      <c r="PLW50" s="344"/>
      <c r="PLX50" s="344"/>
      <c r="PLY50" s="344"/>
      <c r="PLZ50" s="344"/>
      <c r="PMA50" s="344"/>
      <c r="PMB50" s="344"/>
      <c r="PMC50" s="344"/>
      <c r="PMD50" s="344"/>
      <c r="PME50" s="344"/>
      <c r="PMF50" s="344"/>
      <c r="PMG50" s="344"/>
      <c r="PMH50" s="344"/>
      <c r="PMI50" s="344"/>
      <c r="PMJ50" s="344"/>
      <c r="PMK50" s="344"/>
      <c r="PML50" s="344"/>
      <c r="PMM50" s="344"/>
      <c r="PMN50" s="344"/>
      <c r="PMO50" s="344"/>
      <c r="PMP50" s="344"/>
      <c r="PMQ50" s="344"/>
      <c r="PMR50" s="344"/>
      <c r="PMS50" s="344"/>
      <c r="PMT50" s="344"/>
      <c r="PMU50" s="344"/>
      <c r="PMV50" s="344"/>
      <c r="PMW50" s="344"/>
      <c r="PMX50" s="344"/>
      <c r="PMY50" s="344"/>
      <c r="PMZ50" s="344"/>
      <c r="PNA50" s="344"/>
      <c r="PNB50" s="344"/>
      <c r="PNC50" s="344"/>
      <c r="PND50" s="344"/>
      <c r="PNE50" s="344"/>
      <c r="PNF50" s="344"/>
      <c r="PNG50" s="344"/>
      <c r="PNH50" s="344"/>
      <c r="PNI50" s="344"/>
      <c r="PNJ50" s="344"/>
      <c r="PNK50" s="344"/>
      <c r="PNL50" s="344"/>
      <c r="PNM50" s="344"/>
      <c r="PNN50" s="344"/>
      <c r="PNO50" s="344"/>
      <c r="PNP50" s="344"/>
      <c r="PNQ50" s="344"/>
      <c r="PNR50" s="344"/>
      <c r="PNS50" s="344"/>
      <c r="PNT50" s="344"/>
      <c r="PNU50" s="344"/>
      <c r="PNV50" s="344"/>
      <c r="PNW50" s="344"/>
      <c r="PNX50" s="344"/>
      <c r="PNY50" s="344"/>
      <c r="PNZ50" s="344"/>
      <c r="POA50" s="344"/>
      <c r="POB50" s="344"/>
      <c r="POC50" s="344"/>
      <c r="POD50" s="344"/>
      <c r="POE50" s="344"/>
      <c r="POF50" s="344"/>
      <c r="POG50" s="344"/>
      <c r="POH50" s="344"/>
      <c r="POI50" s="344"/>
      <c r="POJ50" s="344"/>
      <c r="POK50" s="344"/>
      <c r="POL50" s="344"/>
      <c r="POM50" s="344"/>
      <c r="PON50" s="344"/>
      <c r="POO50" s="344"/>
      <c r="POP50" s="344"/>
      <c r="POQ50" s="344"/>
      <c r="POR50" s="344"/>
      <c r="POS50" s="344"/>
      <c r="POT50" s="344"/>
      <c r="POU50" s="344"/>
      <c r="POV50" s="344"/>
      <c r="POW50" s="344"/>
      <c r="POX50" s="344"/>
      <c r="POY50" s="344"/>
      <c r="POZ50" s="344"/>
      <c r="PPA50" s="344"/>
      <c r="PPB50" s="344"/>
      <c r="PPC50" s="344"/>
      <c r="PPD50" s="344"/>
      <c r="PPE50" s="344"/>
      <c r="PPF50" s="344"/>
      <c r="PPG50" s="344"/>
      <c r="PPH50" s="344"/>
      <c r="PPI50" s="344"/>
      <c r="PPJ50" s="344"/>
      <c r="PPK50" s="344"/>
      <c r="PPL50" s="344"/>
      <c r="PPM50" s="344"/>
      <c r="PPN50" s="344"/>
      <c r="PPO50" s="344"/>
      <c r="PPP50" s="344"/>
      <c r="PPQ50" s="344"/>
      <c r="PPR50" s="344"/>
      <c r="PPS50" s="344"/>
      <c r="PPT50" s="344"/>
      <c r="PPU50" s="344"/>
      <c r="PPV50" s="344"/>
      <c r="PPW50" s="344"/>
      <c r="PPX50" s="344"/>
      <c r="PPY50" s="344"/>
      <c r="PPZ50" s="344"/>
      <c r="PQA50" s="344"/>
      <c r="PQB50" s="344"/>
      <c r="PQC50" s="344"/>
      <c r="PQD50" s="344"/>
      <c r="PQE50" s="344"/>
      <c r="PQF50" s="344"/>
      <c r="PQG50" s="344"/>
      <c r="PQH50" s="344"/>
      <c r="PQI50" s="344"/>
      <c r="PQJ50" s="344"/>
      <c r="PQK50" s="344"/>
      <c r="PQL50" s="344"/>
      <c r="PQM50" s="344"/>
      <c r="PQN50" s="344"/>
      <c r="PQO50" s="344"/>
      <c r="PQP50" s="344"/>
      <c r="PQQ50" s="344"/>
      <c r="PQR50" s="344"/>
      <c r="PQS50" s="344"/>
      <c r="PQT50" s="344"/>
      <c r="PQU50" s="344"/>
      <c r="PQV50" s="344"/>
      <c r="PQW50" s="344"/>
      <c r="PQX50" s="344"/>
      <c r="PQY50" s="344"/>
      <c r="PQZ50" s="344"/>
      <c r="PRA50" s="344"/>
      <c r="PRB50" s="344"/>
      <c r="PRC50" s="344"/>
      <c r="PRD50" s="344"/>
      <c r="PRE50" s="344"/>
      <c r="PRF50" s="344"/>
      <c r="PRG50" s="344"/>
      <c r="PRH50" s="344"/>
      <c r="PRI50" s="344"/>
      <c r="PRJ50" s="344"/>
      <c r="PRK50" s="344"/>
      <c r="PRL50" s="344"/>
      <c r="PRM50" s="344"/>
      <c r="PRN50" s="344"/>
      <c r="PRO50" s="344"/>
      <c r="PRP50" s="344"/>
      <c r="PRQ50" s="344"/>
      <c r="PRR50" s="344"/>
      <c r="PRS50" s="344"/>
      <c r="PRT50" s="344"/>
      <c r="PRU50" s="344"/>
      <c r="PRV50" s="344"/>
      <c r="PRW50" s="344"/>
      <c r="PRX50" s="344"/>
      <c r="PRY50" s="344"/>
      <c r="PRZ50" s="344"/>
      <c r="PSA50" s="344"/>
      <c r="PSB50" s="344"/>
      <c r="PSC50" s="344"/>
      <c r="PSD50" s="344"/>
      <c r="PSE50" s="344"/>
      <c r="PSF50" s="344"/>
      <c r="PSG50" s="344"/>
      <c r="PSH50" s="344"/>
      <c r="PSI50" s="344"/>
      <c r="PSJ50" s="344"/>
      <c r="PSK50" s="344"/>
      <c r="PSL50" s="344"/>
      <c r="PSM50" s="344"/>
      <c r="PSN50" s="344"/>
      <c r="PSO50" s="344"/>
      <c r="PSP50" s="344"/>
      <c r="PSQ50" s="344"/>
      <c r="PSR50" s="344"/>
      <c r="PSS50" s="344"/>
      <c r="PST50" s="344"/>
      <c r="PSU50" s="344"/>
      <c r="PSV50" s="344"/>
      <c r="PSW50" s="344"/>
      <c r="PSX50" s="344"/>
      <c r="PSY50" s="344"/>
      <c r="PSZ50" s="344"/>
      <c r="PTA50" s="344"/>
      <c r="PTB50" s="344"/>
      <c r="PTC50" s="344"/>
      <c r="PTD50" s="344"/>
      <c r="PTE50" s="344"/>
      <c r="PTF50" s="344"/>
      <c r="PTG50" s="344"/>
      <c r="PTH50" s="344"/>
      <c r="PTI50" s="344"/>
      <c r="PTJ50" s="344"/>
      <c r="PTK50" s="344"/>
      <c r="PTL50" s="344"/>
      <c r="PTM50" s="344"/>
      <c r="PTN50" s="344"/>
      <c r="PTO50" s="344"/>
      <c r="PTP50" s="344"/>
      <c r="PTQ50" s="344"/>
      <c r="PTR50" s="344"/>
      <c r="PTS50" s="344"/>
      <c r="PTT50" s="344"/>
      <c r="PTU50" s="344"/>
      <c r="PTV50" s="344"/>
      <c r="PTW50" s="344"/>
      <c r="PTX50" s="344"/>
      <c r="PTY50" s="344"/>
      <c r="PTZ50" s="344"/>
      <c r="PUA50" s="344"/>
      <c r="PUB50" s="344"/>
      <c r="PUC50" s="344"/>
      <c r="PUD50" s="344"/>
      <c r="PUE50" s="344"/>
      <c r="PUF50" s="344"/>
      <c r="PUG50" s="344"/>
      <c r="PUH50" s="344"/>
      <c r="PUI50" s="344"/>
      <c r="PUJ50" s="344"/>
      <c r="PUK50" s="344"/>
      <c r="PUL50" s="344"/>
      <c r="PUM50" s="344"/>
      <c r="PUN50" s="344"/>
      <c r="PUO50" s="344"/>
      <c r="PUP50" s="344"/>
      <c r="PUQ50" s="344"/>
      <c r="PUR50" s="344"/>
      <c r="PUS50" s="344"/>
      <c r="PUT50" s="344"/>
      <c r="PUU50" s="344"/>
      <c r="PUV50" s="344"/>
      <c r="PUW50" s="344"/>
      <c r="PUX50" s="344"/>
      <c r="PUY50" s="344"/>
      <c r="PUZ50" s="344"/>
      <c r="PVA50" s="344"/>
      <c r="PVB50" s="344"/>
      <c r="PVC50" s="344"/>
      <c r="PVD50" s="344"/>
      <c r="PVE50" s="344"/>
      <c r="PVF50" s="344"/>
      <c r="PVG50" s="344"/>
      <c r="PVH50" s="344"/>
      <c r="PVI50" s="344"/>
      <c r="PVJ50" s="344"/>
      <c r="PVK50" s="344"/>
      <c r="PVL50" s="344"/>
      <c r="PVM50" s="344"/>
      <c r="PVN50" s="344"/>
      <c r="PVO50" s="344"/>
      <c r="PVP50" s="344"/>
      <c r="PVQ50" s="344"/>
      <c r="PVR50" s="344"/>
      <c r="PVS50" s="344"/>
      <c r="PVT50" s="344"/>
      <c r="PVU50" s="344"/>
      <c r="PVV50" s="344"/>
      <c r="PVW50" s="344"/>
      <c r="PVX50" s="344"/>
      <c r="PVY50" s="344"/>
      <c r="PVZ50" s="344"/>
      <c r="PWA50" s="344"/>
      <c r="PWB50" s="344"/>
      <c r="PWC50" s="344"/>
      <c r="PWD50" s="344"/>
      <c r="PWE50" s="344"/>
      <c r="PWF50" s="344"/>
      <c r="PWG50" s="344"/>
      <c r="PWH50" s="344"/>
      <c r="PWI50" s="344"/>
      <c r="PWJ50" s="344"/>
      <c r="PWK50" s="344"/>
      <c r="PWL50" s="344"/>
      <c r="PWM50" s="344"/>
      <c r="PWN50" s="344"/>
      <c r="PWO50" s="344"/>
      <c r="PWP50" s="344"/>
      <c r="PWQ50" s="344"/>
      <c r="PWR50" s="344"/>
      <c r="PWS50" s="344"/>
      <c r="PWT50" s="344"/>
      <c r="PWU50" s="344"/>
      <c r="PWV50" s="344"/>
      <c r="PWW50" s="344"/>
      <c r="PWX50" s="344"/>
      <c r="PWY50" s="344"/>
      <c r="PWZ50" s="344"/>
      <c r="PXA50" s="344"/>
      <c r="PXB50" s="344"/>
      <c r="PXC50" s="344"/>
      <c r="PXD50" s="344"/>
      <c r="PXE50" s="344"/>
      <c r="PXF50" s="344"/>
      <c r="PXG50" s="344"/>
      <c r="PXH50" s="344"/>
      <c r="PXI50" s="344"/>
      <c r="PXJ50" s="344"/>
      <c r="PXK50" s="344"/>
      <c r="PXL50" s="344"/>
      <c r="PXM50" s="344"/>
      <c r="PXN50" s="344"/>
      <c r="PXO50" s="344"/>
      <c r="PXP50" s="344"/>
      <c r="PXQ50" s="344"/>
      <c r="PXR50" s="344"/>
      <c r="PXS50" s="344"/>
      <c r="PXT50" s="344"/>
      <c r="PXU50" s="344"/>
      <c r="PXV50" s="344"/>
      <c r="PXW50" s="344"/>
      <c r="PXX50" s="344"/>
      <c r="PXY50" s="344"/>
      <c r="PXZ50" s="344"/>
      <c r="PYA50" s="344"/>
      <c r="PYB50" s="344"/>
      <c r="PYC50" s="344"/>
      <c r="PYD50" s="344"/>
      <c r="PYE50" s="344"/>
      <c r="PYF50" s="344"/>
      <c r="PYG50" s="344"/>
      <c r="PYH50" s="344"/>
      <c r="PYI50" s="344"/>
      <c r="PYJ50" s="344"/>
      <c r="PYK50" s="344"/>
      <c r="PYL50" s="344"/>
      <c r="PYM50" s="344"/>
      <c r="PYN50" s="344"/>
      <c r="PYO50" s="344"/>
      <c r="PYP50" s="344"/>
      <c r="PYQ50" s="344"/>
      <c r="PYR50" s="344"/>
      <c r="PYS50" s="344"/>
      <c r="PYT50" s="344"/>
      <c r="PYU50" s="344"/>
      <c r="PYV50" s="344"/>
      <c r="PYW50" s="344"/>
      <c r="PYX50" s="344"/>
      <c r="PYY50" s="344"/>
      <c r="PYZ50" s="344"/>
      <c r="PZA50" s="344"/>
      <c r="PZB50" s="344"/>
      <c r="PZC50" s="344"/>
      <c r="PZD50" s="344"/>
      <c r="PZE50" s="344"/>
      <c r="PZF50" s="344"/>
      <c r="PZG50" s="344"/>
      <c r="PZH50" s="344"/>
      <c r="PZI50" s="344"/>
      <c r="PZJ50" s="344"/>
      <c r="PZK50" s="344"/>
      <c r="PZL50" s="344"/>
      <c r="PZM50" s="344"/>
      <c r="PZN50" s="344"/>
      <c r="PZO50" s="344"/>
      <c r="PZP50" s="344"/>
      <c r="PZQ50" s="344"/>
      <c r="PZR50" s="344"/>
      <c r="PZS50" s="344"/>
      <c r="PZT50" s="344"/>
      <c r="PZU50" s="344"/>
      <c r="PZV50" s="344"/>
      <c r="PZW50" s="344"/>
      <c r="PZX50" s="344"/>
      <c r="PZY50" s="344"/>
      <c r="PZZ50" s="344"/>
      <c r="QAA50" s="344"/>
      <c r="QAB50" s="344"/>
      <c r="QAC50" s="344"/>
      <c r="QAD50" s="344"/>
      <c r="QAE50" s="344"/>
      <c r="QAF50" s="344"/>
      <c r="QAG50" s="344"/>
      <c r="QAH50" s="344"/>
      <c r="QAI50" s="344"/>
      <c r="QAJ50" s="344"/>
      <c r="QAK50" s="344"/>
      <c r="QAL50" s="344"/>
      <c r="QAM50" s="344"/>
      <c r="QAN50" s="344"/>
      <c r="QAO50" s="344"/>
      <c r="QAP50" s="344"/>
      <c r="QAQ50" s="344"/>
      <c r="QAR50" s="344"/>
      <c r="QAS50" s="344"/>
      <c r="QAT50" s="344"/>
      <c r="QAU50" s="344"/>
      <c r="QAV50" s="344"/>
      <c r="QAW50" s="344"/>
      <c r="QAX50" s="344"/>
      <c r="QAY50" s="344"/>
      <c r="QAZ50" s="344"/>
      <c r="QBA50" s="344"/>
      <c r="QBB50" s="344"/>
      <c r="QBC50" s="344"/>
      <c r="QBD50" s="344"/>
      <c r="QBE50" s="344"/>
      <c r="QBF50" s="344"/>
      <c r="QBG50" s="344"/>
      <c r="QBH50" s="344"/>
      <c r="QBI50" s="344"/>
      <c r="QBJ50" s="344"/>
      <c r="QBK50" s="344"/>
      <c r="QBL50" s="344"/>
      <c r="QBM50" s="344"/>
      <c r="QBN50" s="344"/>
      <c r="QBO50" s="344"/>
      <c r="QBP50" s="344"/>
      <c r="QBQ50" s="344"/>
      <c r="QBR50" s="344"/>
      <c r="QBS50" s="344"/>
      <c r="QBT50" s="344"/>
      <c r="QBU50" s="344"/>
      <c r="QBV50" s="344"/>
      <c r="QBW50" s="344"/>
      <c r="QBX50" s="344"/>
      <c r="QBY50" s="344"/>
      <c r="QBZ50" s="344"/>
      <c r="QCA50" s="344"/>
      <c r="QCB50" s="344"/>
      <c r="QCC50" s="344"/>
      <c r="QCD50" s="344"/>
      <c r="QCE50" s="344"/>
      <c r="QCF50" s="344"/>
      <c r="QCG50" s="344"/>
      <c r="QCH50" s="344"/>
      <c r="QCI50" s="344"/>
      <c r="QCJ50" s="344"/>
      <c r="QCK50" s="344"/>
      <c r="QCL50" s="344"/>
      <c r="QCM50" s="344"/>
      <c r="QCN50" s="344"/>
      <c r="QCO50" s="344"/>
      <c r="QCP50" s="344"/>
      <c r="QCQ50" s="344"/>
      <c r="QCR50" s="344"/>
      <c r="QCS50" s="344"/>
      <c r="QCT50" s="344"/>
      <c r="QCU50" s="344"/>
      <c r="QCV50" s="344"/>
      <c r="QCW50" s="344"/>
      <c r="QCX50" s="344"/>
      <c r="QCY50" s="344"/>
      <c r="QCZ50" s="344"/>
      <c r="QDA50" s="344"/>
      <c r="QDB50" s="344"/>
      <c r="QDC50" s="344"/>
      <c r="QDD50" s="344"/>
      <c r="QDE50" s="344"/>
      <c r="QDF50" s="344"/>
      <c r="QDG50" s="344"/>
      <c r="QDH50" s="344"/>
      <c r="QDI50" s="344"/>
      <c r="QDJ50" s="344"/>
      <c r="QDK50" s="344"/>
      <c r="QDL50" s="344"/>
      <c r="QDM50" s="344"/>
      <c r="QDN50" s="344"/>
      <c r="QDO50" s="344"/>
      <c r="QDP50" s="344"/>
      <c r="QDQ50" s="344"/>
      <c r="QDR50" s="344"/>
      <c r="QDS50" s="344"/>
      <c r="QDT50" s="344"/>
      <c r="QDU50" s="344"/>
      <c r="QDV50" s="344"/>
      <c r="QDW50" s="344"/>
      <c r="QDX50" s="344"/>
      <c r="QDY50" s="344"/>
      <c r="QDZ50" s="344"/>
      <c r="QEA50" s="344"/>
      <c r="QEB50" s="344"/>
      <c r="QEC50" s="344"/>
      <c r="QED50" s="344"/>
      <c r="QEE50" s="344"/>
      <c r="QEF50" s="344"/>
      <c r="QEG50" s="344"/>
      <c r="QEH50" s="344"/>
      <c r="QEI50" s="344"/>
      <c r="QEJ50" s="344"/>
      <c r="QEK50" s="344"/>
      <c r="QEL50" s="344"/>
      <c r="QEM50" s="344"/>
      <c r="QEN50" s="344"/>
      <c r="QEO50" s="344"/>
      <c r="QEP50" s="344"/>
      <c r="QEQ50" s="344"/>
      <c r="QER50" s="344"/>
      <c r="QES50" s="344"/>
      <c r="QET50" s="344"/>
      <c r="QEU50" s="344"/>
      <c r="QEV50" s="344"/>
      <c r="QEW50" s="344"/>
      <c r="QEX50" s="344"/>
      <c r="QEY50" s="344"/>
      <c r="QEZ50" s="344"/>
      <c r="QFA50" s="344"/>
      <c r="QFB50" s="344"/>
      <c r="QFC50" s="344"/>
      <c r="QFD50" s="344"/>
      <c r="QFE50" s="344"/>
      <c r="QFF50" s="344"/>
      <c r="QFG50" s="344"/>
      <c r="QFH50" s="344"/>
      <c r="QFI50" s="344"/>
      <c r="QFJ50" s="344"/>
      <c r="QFK50" s="344"/>
      <c r="QFL50" s="344"/>
      <c r="QFM50" s="344"/>
      <c r="QFN50" s="344"/>
      <c r="QFO50" s="344"/>
      <c r="QFP50" s="344"/>
      <c r="QFQ50" s="344"/>
      <c r="QFR50" s="344"/>
      <c r="QFS50" s="344"/>
      <c r="QFT50" s="344"/>
      <c r="QFU50" s="344"/>
      <c r="QFV50" s="344"/>
      <c r="QFW50" s="344"/>
      <c r="QFX50" s="344"/>
      <c r="QFY50" s="344"/>
      <c r="QFZ50" s="344"/>
      <c r="QGA50" s="344"/>
      <c r="QGB50" s="344"/>
      <c r="QGC50" s="344"/>
      <c r="QGD50" s="344"/>
      <c r="QGE50" s="344"/>
      <c r="QGF50" s="344"/>
      <c r="QGG50" s="344"/>
      <c r="QGH50" s="344"/>
      <c r="QGI50" s="344"/>
      <c r="QGJ50" s="344"/>
      <c r="QGK50" s="344"/>
      <c r="QGL50" s="344"/>
      <c r="QGM50" s="344"/>
      <c r="QGN50" s="344"/>
      <c r="QGO50" s="344"/>
      <c r="QGP50" s="344"/>
      <c r="QGQ50" s="344"/>
      <c r="QGR50" s="344"/>
      <c r="QGS50" s="344"/>
      <c r="QGT50" s="344"/>
      <c r="QGU50" s="344"/>
      <c r="QGV50" s="344"/>
      <c r="QGW50" s="344"/>
      <c r="QGX50" s="344"/>
      <c r="QGY50" s="344"/>
      <c r="QGZ50" s="344"/>
      <c r="QHA50" s="344"/>
      <c r="QHB50" s="344"/>
      <c r="QHC50" s="344"/>
      <c r="QHD50" s="344"/>
      <c r="QHE50" s="344"/>
      <c r="QHF50" s="344"/>
      <c r="QHG50" s="344"/>
      <c r="QHH50" s="344"/>
      <c r="QHI50" s="344"/>
      <c r="QHJ50" s="344"/>
      <c r="QHK50" s="344"/>
      <c r="QHL50" s="344"/>
      <c r="QHM50" s="344"/>
      <c r="QHN50" s="344"/>
      <c r="QHO50" s="344"/>
      <c r="QHP50" s="344"/>
      <c r="QHQ50" s="344"/>
      <c r="QHR50" s="344"/>
      <c r="QHS50" s="344"/>
      <c r="QHT50" s="344"/>
      <c r="QHU50" s="344"/>
      <c r="QHV50" s="344"/>
      <c r="QHW50" s="344"/>
      <c r="QHX50" s="344"/>
      <c r="QHY50" s="344"/>
      <c r="QHZ50" s="344"/>
      <c r="QIA50" s="344"/>
      <c r="QIB50" s="344"/>
      <c r="QIC50" s="344"/>
      <c r="QID50" s="344"/>
      <c r="QIE50" s="344"/>
      <c r="QIF50" s="344"/>
      <c r="QIG50" s="344"/>
      <c r="QIH50" s="344"/>
      <c r="QII50" s="344"/>
      <c r="QIJ50" s="344"/>
      <c r="QIK50" s="344"/>
      <c r="QIL50" s="344"/>
      <c r="QIM50" s="344"/>
      <c r="QIN50" s="344"/>
      <c r="QIO50" s="344"/>
      <c r="QIP50" s="344"/>
      <c r="QIQ50" s="344"/>
      <c r="QIR50" s="344"/>
      <c r="QIS50" s="344"/>
      <c r="QIT50" s="344"/>
      <c r="QIU50" s="344"/>
      <c r="QIV50" s="344"/>
      <c r="QIW50" s="344"/>
      <c r="QIX50" s="344"/>
      <c r="QIY50" s="344"/>
      <c r="QIZ50" s="344"/>
      <c r="QJA50" s="344"/>
      <c r="QJB50" s="344"/>
      <c r="QJC50" s="344"/>
      <c r="QJD50" s="344"/>
      <c r="QJE50" s="344"/>
      <c r="QJF50" s="344"/>
      <c r="QJG50" s="344"/>
      <c r="QJH50" s="344"/>
      <c r="QJI50" s="344"/>
      <c r="QJJ50" s="344"/>
      <c r="QJK50" s="344"/>
      <c r="QJL50" s="344"/>
      <c r="QJM50" s="344"/>
      <c r="QJN50" s="344"/>
      <c r="QJO50" s="344"/>
      <c r="QJP50" s="344"/>
      <c r="QJQ50" s="344"/>
      <c r="QJR50" s="344"/>
      <c r="QJS50" s="344"/>
      <c r="QJT50" s="344"/>
      <c r="QJU50" s="344"/>
      <c r="QJV50" s="344"/>
      <c r="QJW50" s="344"/>
      <c r="QJX50" s="344"/>
      <c r="QJY50" s="344"/>
      <c r="QJZ50" s="344"/>
      <c r="QKA50" s="344"/>
      <c r="QKB50" s="344"/>
      <c r="QKC50" s="344"/>
      <c r="QKD50" s="344"/>
      <c r="QKE50" s="344"/>
      <c r="QKF50" s="344"/>
      <c r="QKG50" s="344"/>
      <c r="QKH50" s="344"/>
      <c r="QKI50" s="344"/>
      <c r="QKJ50" s="344"/>
      <c r="QKK50" s="344"/>
      <c r="QKL50" s="344"/>
      <c r="QKM50" s="344"/>
      <c r="QKN50" s="344"/>
      <c r="QKO50" s="344"/>
      <c r="QKP50" s="344"/>
      <c r="QKQ50" s="344"/>
      <c r="QKR50" s="344"/>
      <c r="QKS50" s="344"/>
      <c r="QKT50" s="344"/>
      <c r="QKU50" s="344"/>
      <c r="QKV50" s="344"/>
      <c r="QKW50" s="344"/>
      <c r="QKX50" s="344"/>
      <c r="QKY50" s="344"/>
      <c r="QKZ50" s="344"/>
      <c r="QLA50" s="344"/>
      <c r="QLB50" s="344"/>
      <c r="QLC50" s="344"/>
      <c r="QLD50" s="344"/>
      <c r="QLE50" s="344"/>
      <c r="QLF50" s="344"/>
      <c r="QLG50" s="344"/>
      <c r="QLH50" s="344"/>
      <c r="QLI50" s="344"/>
      <c r="QLJ50" s="344"/>
      <c r="QLK50" s="344"/>
      <c r="QLL50" s="344"/>
      <c r="QLM50" s="344"/>
      <c r="QLN50" s="344"/>
      <c r="QLO50" s="344"/>
      <c r="QLP50" s="344"/>
      <c r="QLQ50" s="344"/>
      <c r="QLR50" s="344"/>
      <c r="QLS50" s="344"/>
      <c r="QLT50" s="344"/>
      <c r="QLU50" s="344"/>
      <c r="QLV50" s="344"/>
      <c r="QLW50" s="344"/>
      <c r="QLX50" s="344"/>
      <c r="QLY50" s="344"/>
      <c r="QLZ50" s="344"/>
      <c r="QMA50" s="344"/>
      <c r="QMB50" s="344"/>
      <c r="QMC50" s="344"/>
      <c r="QMD50" s="344"/>
      <c r="QME50" s="344"/>
      <c r="QMF50" s="344"/>
      <c r="QMG50" s="344"/>
      <c r="QMH50" s="344"/>
      <c r="QMI50" s="344"/>
      <c r="QMJ50" s="344"/>
      <c r="QMK50" s="344"/>
      <c r="QML50" s="344"/>
      <c r="QMM50" s="344"/>
      <c r="QMN50" s="344"/>
      <c r="QMO50" s="344"/>
      <c r="QMP50" s="344"/>
      <c r="QMQ50" s="344"/>
      <c r="QMR50" s="344"/>
      <c r="QMS50" s="344"/>
      <c r="QMT50" s="344"/>
      <c r="QMU50" s="344"/>
      <c r="QMV50" s="344"/>
      <c r="QMW50" s="344"/>
      <c r="QMX50" s="344"/>
      <c r="QMY50" s="344"/>
      <c r="QMZ50" s="344"/>
      <c r="QNA50" s="344"/>
      <c r="QNB50" s="344"/>
      <c r="QNC50" s="344"/>
      <c r="QND50" s="344"/>
      <c r="QNE50" s="344"/>
      <c r="QNF50" s="344"/>
      <c r="QNG50" s="344"/>
      <c r="QNH50" s="344"/>
      <c r="QNI50" s="344"/>
      <c r="QNJ50" s="344"/>
      <c r="QNK50" s="344"/>
      <c r="QNL50" s="344"/>
      <c r="QNM50" s="344"/>
      <c r="QNN50" s="344"/>
      <c r="QNO50" s="344"/>
      <c r="QNP50" s="344"/>
      <c r="QNQ50" s="344"/>
      <c r="QNR50" s="344"/>
      <c r="QNS50" s="344"/>
      <c r="QNT50" s="344"/>
      <c r="QNU50" s="344"/>
      <c r="QNV50" s="344"/>
      <c r="QNW50" s="344"/>
      <c r="QNX50" s="344"/>
      <c r="QNY50" s="344"/>
      <c r="QNZ50" s="344"/>
      <c r="QOA50" s="344"/>
      <c r="QOB50" s="344"/>
      <c r="QOC50" s="344"/>
      <c r="QOD50" s="344"/>
      <c r="QOE50" s="344"/>
      <c r="QOF50" s="344"/>
      <c r="QOG50" s="344"/>
      <c r="QOH50" s="344"/>
      <c r="QOI50" s="344"/>
      <c r="QOJ50" s="344"/>
      <c r="QOK50" s="344"/>
      <c r="QOL50" s="344"/>
      <c r="QOM50" s="344"/>
      <c r="QON50" s="344"/>
      <c r="QOO50" s="344"/>
      <c r="QOP50" s="344"/>
      <c r="QOQ50" s="344"/>
      <c r="QOR50" s="344"/>
      <c r="QOS50" s="344"/>
      <c r="QOT50" s="344"/>
      <c r="QOU50" s="344"/>
      <c r="QOV50" s="344"/>
      <c r="QOW50" s="344"/>
      <c r="QOX50" s="344"/>
      <c r="QOY50" s="344"/>
      <c r="QOZ50" s="344"/>
      <c r="QPA50" s="344"/>
      <c r="QPB50" s="344"/>
      <c r="QPC50" s="344"/>
      <c r="QPD50" s="344"/>
      <c r="QPE50" s="344"/>
      <c r="QPF50" s="344"/>
      <c r="QPG50" s="344"/>
      <c r="QPH50" s="344"/>
      <c r="QPI50" s="344"/>
      <c r="QPJ50" s="344"/>
      <c r="QPK50" s="344"/>
      <c r="QPL50" s="344"/>
      <c r="QPM50" s="344"/>
      <c r="QPN50" s="344"/>
      <c r="QPO50" s="344"/>
      <c r="QPP50" s="344"/>
      <c r="QPQ50" s="344"/>
      <c r="QPR50" s="344"/>
      <c r="QPS50" s="344"/>
      <c r="QPT50" s="344"/>
      <c r="QPU50" s="344"/>
      <c r="QPV50" s="344"/>
      <c r="QPW50" s="344"/>
      <c r="QPX50" s="344"/>
      <c r="QPY50" s="344"/>
      <c r="QPZ50" s="344"/>
      <c r="QQA50" s="344"/>
      <c r="QQB50" s="344"/>
      <c r="QQC50" s="344"/>
      <c r="QQD50" s="344"/>
      <c r="QQE50" s="344"/>
      <c r="QQF50" s="344"/>
      <c r="QQG50" s="344"/>
      <c r="QQH50" s="344"/>
      <c r="QQI50" s="344"/>
      <c r="QQJ50" s="344"/>
      <c r="QQK50" s="344"/>
      <c r="QQL50" s="344"/>
      <c r="QQM50" s="344"/>
      <c r="QQN50" s="344"/>
      <c r="QQO50" s="344"/>
      <c r="QQP50" s="344"/>
      <c r="QQQ50" s="344"/>
      <c r="QQR50" s="344"/>
      <c r="QQS50" s="344"/>
      <c r="QQT50" s="344"/>
      <c r="QQU50" s="344"/>
      <c r="QQV50" s="344"/>
      <c r="QQW50" s="344"/>
      <c r="QQX50" s="344"/>
      <c r="QQY50" s="344"/>
      <c r="QQZ50" s="344"/>
      <c r="QRA50" s="344"/>
      <c r="QRB50" s="344"/>
      <c r="QRC50" s="344"/>
      <c r="QRD50" s="344"/>
      <c r="QRE50" s="344"/>
      <c r="QRF50" s="344"/>
      <c r="QRG50" s="344"/>
      <c r="QRH50" s="344"/>
      <c r="QRI50" s="344"/>
      <c r="QRJ50" s="344"/>
      <c r="QRK50" s="344"/>
      <c r="QRL50" s="344"/>
      <c r="QRM50" s="344"/>
      <c r="QRN50" s="344"/>
      <c r="QRO50" s="344"/>
      <c r="QRP50" s="344"/>
      <c r="QRQ50" s="344"/>
      <c r="QRR50" s="344"/>
      <c r="QRS50" s="344"/>
      <c r="QRT50" s="344"/>
      <c r="QRU50" s="344"/>
      <c r="QRV50" s="344"/>
      <c r="QRW50" s="344"/>
      <c r="QRX50" s="344"/>
      <c r="QRY50" s="344"/>
      <c r="QRZ50" s="344"/>
      <c r="QSA50" s="344"/>
      <c r="QSB50" s="344"/>
      <c r="QSC50" s="344"/>
      <c r="QSD50" s="344"/>
      <c r="QSE50" s="344"/>
      <c r="QSF50" s="344"/>
      <c r="QSG50" s="344"/>
      <c r="QSH50" s="344"/>
      <c r="QSI50" s="344"/>
      <c r="QSJ50" s="344"/>
      <c r="QSK50" s="344"/>
      <c r="QSL50" s="344"/>
      <c r="QSM50" s="344"/>
      <c r="QSN50" s="344"/>
      <c r="QSO50" s="344"/>
      <c r="QSP50" s="344"/>
      <c r="QSQ50" s="344"/>
      <c r="QSR50" s="344"/>
      <c r="QSS50" s="344"/>
      <c r="QST50" s="344"/>
      <c r="QSU50" s="344"/>
      <c r="QSV50" s="344"/>
      <c r="QSW50" s="344"/>
      <c r="QSX50" s="344"/>
      <c r="QSY50" s="344"/>
      <c r="QSZ50" s="344"/>
      <c r="QTA50" s="344"/>
      <c r="QTB50" s="344"/>
      <c r="QTC50" s="344"/>
      <c r="QTD50" s="344"/>
      <c r="QTE50" s="344"/>
      <c r="QTF50" s="344"/>
      <c r="QTG50" s="344"/>
      <c r="QTH50" s="344"/>
      <c r="QTI50" s="344"/>
      <c r="QTJ50" s="344"/>
      <c r="QTK50" s="344"/>
      <c r="QTL50" s="344"/>
      <c r="QTM50" s="344"/>
      <c r="QTN50" s="344"/>
      <c r="QTO50" s="344"/>
      <c r="QTP50" s="344"/>
      <c r="QTQ50" s="344"/>
      <c r="QTR50" s="344"/>
      <c r="QTS50" s="344"/>
      <c r="QTT50" s="344"/>
      <c r="QTU50" s="344"/>
      <c r="QTV50" s="344"/>
      <c r="QTW50" s="344"/>
      <c r="QTX50" s="344"/>
      <c r="QTY50" s="344"/>
      <c r="QTZ50" s="344"/>
      <c r="QUA50" s="344"/>
      <c r="QUB50" s="344"/>
      <c r="QUC50" s="344"/>
      <c r="QUD50" s="344"/>
      <c r="QUE50" s="344"/>
      <c r="QUF50" s="344"/>
      <c r="QUG50" s="344"/>
      <c r="QUH50" s="344"/>
      <c r="QUI50" s="344"/>
      <c r="QUJ50" s="344"/>
      <c r="QUK50" s="344"/>
      <c r="QUL50" s="344"/>
      <c r="QUM50" s="344"/>
      <c r="QUN50" s="344"/>
      <c r="QUO50" s="344"/>
      <c r="QUP50" s="344"/>
      <c r="QUQ50" s="344"/>
      <c r="QUR50" s="344"/>
      <c r="QUS50" s="344"/>
      <c r="QUT50" s="344"/>
      <c r="QUU50" s="344"/>
      <c r="QUV50" s="344"/>
      <c r="QUW50" s="344"/>
      <c r="QUX50" s="344"/>
      <c r="QUY50" s="344"/>
      <c r="QUZ50" s="344"/>
      <c r="QVA50" s="344"/>
      <c r="QVB50" s="344"/>
      <c r="QVC50" s="344"/>
      <c r="QVD50" s="344"/>
      <c r="QVE50" s="344"/>
      <c r="QVF50" s="344"/>
      <c r="QVG50" s="344"/>
      <c r="QVH50" s="344"/>
      <c r="QVI50" s="344"/>
      <c r="QVJ50" s="344"/>
      <c r="QVK50" s="344"/>
      <c r="QVL50" s="344"/>
      <c r="QVM50" s="344"/>
      <c r="QVN50" s="344"/>
      <c r="QVO50" s="344"/>
      <c r="QVP50" s="344"/>
      <c r="QVQ50" s="344"/>
      <c r="QVR50" s="344"/>
      <c r="QVS50" s="344"/>
      <c r="QVT50" s="344"/>
      <c r="QVU50" s="344"/>
      <c r="QVV50" s="344"/>
      <c r="QVW50" s="344"/>
      <c r="QVX50" s="344"/>
      <c r="QVY50" s="344"/>
      <c r="QVZ50" s="344"/>
      <c r="QWA50" s="344"/>
      <c r="QWB50" s="344"/>
      <c r="QWC50" s="344"/>
      <c r="QWD50" s="344"/>
      <c r="QWE50" s="344"/>
      <c r="QWF50" s="344"/>
      <c r="QWG50" s="344"/>
      <c r="QWH50" s="344"/>
      <c r="QWI50" s="344"/>
      <c r="QWJ50" s="344"/>
      <c r="QWK50" s="344"/>
      <c r="QWL50" s="344"/>
      <c r="QWM50" s="344"/>
      <c r="QWN50" s="344"/>
      <c r="QWO50" s="344"/>
      <c r="QWP50" s="344"/>
      <c r="QWQ50" s="344"/>
      <c r="QWR50" s="344"/>
      <c r="QWS50" s="344"/>
      <c r="QWT50" s="344"/>
      <c r="QWU50" s="344"/>
      <c r="QWV50" s="344"/>
      <c r="QWW50" s="344"/>
      <c r="QWX50" s="344"/>
      <c r="QWY50" s="344"/>
      <c r="QWZ50" s="344"/>
      <c r="QXA50" s="344"/>
      <c r="QXB50" s="344"/>
      <c r="QXC50" s="344"/>
      <c r="QXD50" s="344"/>
      <c r="QXE50" s="344"/>
      <c r="QXF50" s="344"/>
      <c r="QXG50" s="344"/>
      <c r="QXH50" s="344"/>
      <c r="QXI50" s="344"/>
      <c r="QXJ50" s="344"/>
      <c r="QXK50" s="344"/>
      <c r="QXL50" s="344"/>
      <c r="QXM50" s="344"/>
      <c r="QXN50" s="344"/>
      <c r="QXO50" s="344"/>
      <c r="QXP50" s="344"/>
      <c r="QXQ50" s="344"/>
      <c r="QXR50" s="344"/>
      <c r="QXS50" s="344"/>
      <c r="QXT50" s="344"/>
      <c r="QXU50" s="344"/>
      <c r="QXV50" s="344"/>
      <c r="QXW50" s="344"/>
      <c r="QXX50" s="344"/>
      <c r="QXY50" s="344"/>
      <c r="QXZ50" s="344"/>
      <c r="QYA50" s="344"/>
      <c r="QYB50" s="344"/>
      <c r="QYC50" s="344"/>
      <c r="QYD50" s="344"/>
      <c r="QYE50" s="344"/>
      <c r="QYF50" s="344"/>
      <c r="QYG50" s="344"/>
      <c r="QYH50" s="344"/>
      <c r="QYI50" s="344"/>
      <c r="QYJ50" s="344"/>
      <c r="QYK50" s="344"/>
      <c r="QYL50" s="344"/>
      <c r="QYM50" s="344"/>
      <c r="QYN50" s="344"/>
      <c r="QYO50" s="344"/>
      <c r="QYP50" s="344"/>
      <c r="QYQ50" s="344"/>
      <c r="QYR50" s="344"/>
      <c r="QYS50" s="344"/>
      <c r="QYT50" s="344"/>
      <c r="QYU50" s="344"/>
      <c r="QYV50" s="344"/>
      <c r="QYW50" s="344"/>
      <c r="QYX50" s="344"/>
      <c r="QYY50" s="344"/>
      <c r="QYZ50" s="344"/>
      <c r="QZA50" s="344"/>
      <c r="QZB50" s="344"/>
      <c r="QZC50" s="344"/>
      <c r="QZD50" s="344"/>
      <c r="QZE50" s="344"/>
      <c r="QZF50" s="344"/>
      <c r="QZG50" s="344"/>
      <c r="QZH50" s="344"/>
      <c r="QZI50" s="344"/>
      <c r="QZJ50" s="344"/>
      <c r="QZK50" s="344"/>
      <c r="QZL50" s="344"/>
      <c r="QZM50" s="344"/>
      <c r="QZN50" s="344"/>
      <c r="QZO50" s="344"/>
      <c r="QZP50" s="344"/>
      <c r="QZQ50" s="344"/>
      <c r="QZR50" s="344"/>
      <c r="QZS50" s="344"/>
      <c r="QZT50" s="344"/>
      <c r="QZU50" s="344"/>
      <c r="QZV50" s="344"/>
      <c r="QZW50" s="344"/>
      <c r="QZX50" s="344"/>
      <c r="QZY50" s="344"/>
      <c r="QZZ50" s="344"/>
      <c r="RAA50" s="344"/>
      <c r="RAB50" s="344"/>
      <c r="RAC50" s="344"/>
      <c r="RAD50" s="344"/>
      <c r="RAE50" s="344"/>
      <c r="RAF50" s="344"/>
      <c r="RAG50" s="344"/>
      <c r="RAH50" s="344"/>
      <c r="RAI50" s="344"/>
      <c r="RAJ50" s="344"/>
      <c r="RAK50" s="344"/>
      <c r="RAL50" s="344"/>
      <c r="RAM50" s="344"/>
      <c r="RAN50" s="344"/>
      <c r="RAO50" s="344"/>
      <c r="RAP50" s="344"/>
      <c r="RAQ50" s="344"/>
      <c r="RAR50" s="344"/>
      <c r="RAS50" s="344"/>
      <c r="RAT50" s="344"/>
      <c r="RAU50" s="344"/>
      <c r="RAV50" s="344"/>
      <c r="RAW50" s="344"/>
      <c r="RAX50" s="344"/>
      <c r="RAY50" s="344"/>
      <c r="RAZ50" s="344"/>
      <c r="RBA50" s="344"/>
      <c r="RBB50" s="344"/>
      <c r="RBC50" s="344"/>
      <c r="RBD50" s="344"/>
      <c r="RBE50" s="344"/>
      <c r="RBF50" s="344"/>
      <c r="RBG50" s="344"/>
      <c r="RBH50" s="344"/>
      <c r="RBI50" s="344"/>
      <c r="RBJ50" s="344"/>
      <c r="RBK50" s="344"/>
      <c r="RBL50" s="344"/>
      <c r="RBM50" s="344"/>
      <c r="RBN50" s="344"/>
      <c r="RBO50" s="344"/>
      <c r="RBP50" s="344"/>
      <c r="RBQ50" s="344"/>
      <c r="RBR50" s="344"/>
      <c r="RBS50" s="344"/>
      <c r="RBT50" s="344"/>
      <c r="RBU50" s="344"/>
      <c r="RBV50" s="344"/>
      <c r="RBW50" s="344"/>
      <c r="RBX50" s="344"/>
      <c r="RBY50" s="344"/>
      <c r="RBZ50" s="344"/>
      <c r="RCA50" s="344"/>
      <c r="RCB50" s="344"/>
      <c r="RCC50" s="344"/>
      <c r="RCD50" s="344"/>
      <c r="RCE50" s="344"/>
      <c r="RCF50" s="344"/>
      <c r="RCG50" s="344"/>
      <c r="RCH50" s="344"/>
      <c r="RCI50" s="344"/>
      <c r="RCJ50" s="344"/>
      <c r="RCK50" s="344"/>
      <c r="RCL50" s="344"/>
      <c r="RCM50" s="344"/>
      <c r="RCN50" s="344"/>
      <c r="RCO50" s="344"/>
      <c r="RCP50" s="344"/>
      <c r="RCQ50" s="344"/>
      <c r="RCR50" s="344"/>
      <c r="RCS50" s="344"/>
      <c r="RCT50" s="344"/>
      <c r="RCU50" s="344"/>
      <c r="RCV50" s="344"/>
      <c r="RCW50" s="344"/>
      <c r="RCX50" s="344"/>
      <c r="RCY50" s="344"/>
      <c r="RCZ50" s="344"/>
      <c r="RDA50" s="344"/>
      <c r="RDB50" s="344"/>
      <c r="RDC50" s="344"/>
      <c r="RDD50" s="344"/>
      <c r="RDE50" s="344"/>
      <c r="RDF50" s="344"/>
      <c r="RDG50" s="344"/>
      <c r="RDH50" s="344"/>
      <c r="RDI50" s="344"/>
      <c r="RDJ50" s="344"/>
      <c r="RDK50" s="344"/>
      <c r="RDL50" s="344"/>
      <c r="RDM50" s="344"/>
      <c r="RDN50" s="344"/>
      <c r="RDO50" s="344"/>
      <c r="RDP50" s="344"/>
      <c r="RDQ50" s="344"/>
      <c r="RDR50" s="344"/>
      <c r="RDS50" s="344"/>
      <c r="RDT50" s="344"/>
      <c r="RDU50" s="344"/>
      <c r="RDV50" s="344"/>
      <c r="RDW50" s="344"/>
      <c r="RDX50" s="344"/>
      <c r="RDY50" s="344"/>
      <c r="RDZ50" s="344"/>
      <c r="REA50" s="344"/>
      <c r="REB50" s="344"/>
      <c r="REC50" s="344"/>
      <c r="RED50" s="344"/>
      <c r="REE50" s="344"/>
      <c r="REF50" s="344"/>
      <c r="REG50" s="344"/>
      <c r="REH50" s="344"/>
      <c r="REI50" s="344"/>
      <c r="REJ50" s="344"/>
      <c r="REK50" s="344"/>
      <c r="REL50" s="344"/>
      <c r="REM50" s="344"/>
      <c r="REN50" s="344"/>
      <c r="REO50" s="344"/>
      <c r="REP50" s="344"/>
      <c r="REQ50" s="344"/>
      <c r="RER50" s="344"/>
      <c r="RES50" s="344"/>
      <c r="RET50" s="344"/>
      <c r="REU50" s="344"/>
      <c r="REV50" s="344"/>
      <c r="REW50" s="344"/>
      <c r="REX50" s="344"/>
      <c r="REY50" s="344"/>
      <c r="REZ50" s="344"/>
      <c r="RFA50" s="344"/>
      <c r="RFB50" s="344"/>
      <c r="RFC50" s="344"/>
      <c r="RFD50" s="344"/>
      <c r="RFE50" s="344"/>
      <c r="RFF50" s="344"/>
      <c r="RFG50" s="344"/>
      <c r="RFH50" s="344"/>
      <c r="RFI50" s="344"/>
      <c r="RFJ50" s="344"/>
      <c r="RFK50" s="344"/>
      <c r="RFL50" s="344"/>
      <c r="RFM50" s="344"/>
      <c r="RFN50" s="344"/>
      <c r="RFO50" s="344"/>
      <c r="RFP50" s="344"/>
      <c r="RFQ50" s="344"/>
      <c r="RFR50" s="344"/>
      <c r="RFS50" s="344"/>
      <c r="RFT50" s="344"/>
      <c r="RFU50" s="344"/>
      <c r="RFV50" s="344"/>
      <c r="RFW50" s="344"/>
      <c r="RFX50" s="344"/>
      <c r="RFY50" s="344"/>
      <c r="RFZ50" s="344"/>
      <c r="RGA50" s="344"/>
      <c r="RGB50" s="344"/>
      <c r="RGC50" s="344"/>
      <c r="RGD50" s="344"/>
      <c r="RGE50" s="344"/>
      <c r="RGF50" s="344"/>
      <c r="RGG50" s="344"/>
      <c r="RGH50" s="344"/>
      <c r="RGI50" s="344"/>
      <c r="RGJ50" s="344"/>
      <c r="RGK50" s="344"/>
      <c r="RGL50" s="344"/>
      <c r="RGM50" s="344"/>
      <c r="RGN50" s="344"/>
      <c r="RGO50" s="344"/>
      <c r="RGP50" s="344"/>
      <c r="RGQ50" s="344"/>
      <c r="RGR50" s="344"/>
      <c r="RGS50" s="344"/>
      <c r="RGT50" s="344"/>
      <c r="RGU50" s="344"/>
      <c r="RGV50" s="344"/>
      <c r="RGW50" s="344"/>
      <c r="RGX50" s="344"/>
      <c r="RGY50" s="344"/>
      <c r="RGZ50" s="344"/>
      <c r="RHA50" s="344"/>
      <c r="RHB50" s="344"/>
      <c r="RHC50" s="344"/>
      <c r="RHD50" s="344"/>
      <c r="RHE50" s="344"/>
      <c r="RHF50" s="344"/>
      <c r="RHG50" s="344"/>
      <c r="RHH50" s="344"/>
      <c r="RHI50" s="344"/>
      <c r="RHJ50" s="344"/>
      <c r="RHK50" s="344"/>
      <c r="RHL50" s="344"/>
      <c r="RHM50" s="344"/>
      <c r="RHN50" s="344"/>
      <c r="RHO50" s="344"/>
      <c r="RHP50" s="344"/>
      <c r="RHQ50" s="344"/>
      <c r="RHR50" s="344"/>
      <c r="RHS50" s="344"/>
      <c r="RHT50" s="344"/>
      <c r="RHU50" s="344"/>
      <c r="RHV50" s="344"/>
      <c r="RHW50" s="344"/>
      <c r="RHX50" s="344"/>
      <c r="RHY50" s="344"/>
      <c r="RHZ50" s="344"/>
      <c r="RIA50" s="344"/>
      <c r="RIB50" s="344"/>
      <c r="RIC50" s="344"/>
      <c r="RID50" s="344"/>
      <c r="RIE50" s="344"/>
      <c r="RIF50" s="344"/>
      <c r="RIG50" s="344"/>
      <c r="RIH50" s="344"/>
      <c r="RII50" s="344"/>
      <c r="RIJ50" s="344"/>
      <c r="RIK50" s="344"/>
      <c r="RIL50" s="344"/>
      <c r="RIM50" s="344"/>
      <c r="RIN50" s="344"/>
      <c r="RIO50" s="344"/>
      <c r="RIP50" s="344"/>
      <c r="RIQ50" s="344"/>
      <c r="RIR50" s="344"/>
      <c r="RIS50" s="344"/>
      <c r="RIT50" s="344"/>
      <c r="RIU50" s="344"/>
      <c r="RIV50" s="344"/>
      <c r="RIW50" s="344"/>
      <c r="RIX50" s="344"/>
      <c r="RIY50" s="344"/>
      <c r="RIZ50" s="344"/>
      <c r="RJA50" s="344"/>
      <c r="RJB50" s="344"/>
      <c r="RJC50" s="344"/>
      <c r="RJD50" s="344"/>
      <c r="RJE50" s="344"/>
      <c r="RJF50" s="344"/>
      <c r="RJG50" s="344"/>
      <c r="RJH50" s="344"/>
      <c r="RJI50" s="344"/>
      <c r="RJJ50" s="344"/>
      <c r="RJK50" s="344"/>
      <c r="RJL50" s="344"/>
      <c r="RJM50" s="344"/>
      <c r="RJN50" s="344"/>
      <c r="RJO50" s="344"/>
      <c r="RJP50" s="344"/>
      <c r="RJQ50" s="344"/>
      <c r="RJR50" s="344"/>
      <c r="RJS50" s="344"/>
      <c r="RJT50" s="344"/>
      <c r="RJU50" s="344"/>
      <c r="RJV50" s="344"/>
      <c r="RJW50" s="344"/>
      <c r="RJX50" s="344"/>
      <c r="RJY50" s="344"/>
      <c r="RJZ50" s="344"/>
      <c r="RKA50" s="344"/>
      <c r="RKB50" s="344"/>
      <c r="RKC50" s="344"/>
      <c r="RKD50" s="344"/>
      <c r="RKE50" s="344"/>
      <c r="RKF50" s="344"/>
      <c r="RKG50" s="344"/>
      <c r="RKH50" s="344"/>
      <c r="RKI50" s="344"/>
      <c r="RKJ50" s="344"/>
      <c r="RKK50" s="344"/>
      <c r="RKL50" s="344"/>
      <c r="RKM50" s="344"/>
      <c r="RKN50" s="344"/>
      <c r="RKO50" s="344"/>
      <c r="RKP50" s="344"/>
      <c r="RKQ50" s="344"/>
      <c r="RKR50" s="344"/>
      <c r="RKS50" s="344"/>
      <c r="RKT50" s="344"/>
      <c r="RKU50" s="344"/>
      <c r="RKV50" s="344"/>
      <c r="RKW50" s="344"/>
      <c r="RKX50" s="344"/>
      <c r="RKY50" s="344"/>
      <c r="RKZ50" s="344"/>
      <c r="RLA50" s="344"/>
      <c r="RLB50" s="344"/>
      <c r="RLC50" s="344"/>
      <c r="RLD50" s="344"/>
      <c r="RLE50" s="344"/>
      <c r="RLF50" s="344"/>
      <c r="RLG50" s="344"/>
      <c r="RLH50" s="344"/>
      <c r="RLI50" s="344"/>
      <c r="RLJ50" s="344"/>
      <c r="RLK50" s="344"/>
      <c r="RLL50" s="344"/>
      <c r="RLM50" s="344"/>
      <c r="RLN50" s="344"/>
      <c r="RLO50" s="344"/>
      <c r="RLP50" s="344"/>
      <c r="RLQ50" s="344"/>
      <c r="RLR50" s="344"/>
      <c r="RLS50" s="344"/>
      <c r="RLT50" s="344"/>
      <c r="RLU50" s="344"/>
      <c r="RLV50" s="344"/>
      <c r="RLW50" s="344"/>
      <c r="RLX50" s="344"/>
      <c r="RLY50" s="344"/>
      <c r="RLZ50" s="344"/>
      <c r="RMA50" s="344"/>
      <c r="RMB50" s="344"/>
      <c r="RMC50" s="344"/>
      <c r="RMD50" s="344"/>
      <c r="RME50" s="344"/>
      <c r="RMF50" s="344"/>
      <c r="RMG50" s="344"/>
      <c r="RMH50" s="344"/>
      <c r="RMI50" s="344"/>
      <c r="RMJ50" s="344"/>
      <c r="RMK50" s="344"/>
      <c r="RML50" s="344"/>
      <c r="RMM50" s="344"/>
      <c r="RMN50" s="344"/>
      <c r="RMO50" s="344"/>
      <c r="RMP50" s="344"/>
      <c r="RMQ50" s="344"/>
      <c r="RMR50" s="344"/>
      <c r="RMS50" s="344"/>
      <c r="RMT50" s="344"/>
      <c r="RMU50" s="344"/>
      <c r="RMV50" s="344"/>
      <c r="RMW50" s="344"/>
      <c r="RMX50" s="344"/>
      <c r="RMY50" s="344"/>
      <c r="RMZ50" s="344"/>
      <c r="RNA50" s="344"/>
      <c r="RNB50" s="344"/>
      <c r="RNC50" s="344"/>
      <c r="RND50" s="344"/>
      <c r="RNE50" s="344"/>
      <c r="RNF50" s="344"/>
      <c r="RNG50" s="344"/>
      <c r="RNH50" s="344"/>
      <c r="RNI50" s="344"/>
      <c r="RNJ50" s="344"/>
      <c r="RNK50" s="344"/>
      <c r="RNL50" s="344"/>
      <c r="RNM50" s="344"/>
      <c r="RNN50" s="344"/>
      <c r="RNO50" s="344"/>
      <c r="RNP50" s="344"/>
      <c r="RNQ50" s="344"/>
      <c r="RNR50" s="344"/>
      <c r="RNS50" s="344"/>
      <c r="RNT50" s="344"/>
      <c r="RNU50" s="344"/>
      <c r="RNV50" s="344"/>
      <c r="RNW50" s="344"/>
      <c r="RNX50" s="344"/>
      <c r="RNY50" s="344"/>
      <c r="RNZ50" s="344"/>
      <c r="ROA50" s="344"/>
      <c r="ROB50" s="344"/>
      <c r="ROC50" s="344"/>
      <c r="ROD50" s="344"/>
      <c r="ROE50" s="344"/>
      <c r="ROF50" s="344"/>
      <c r="ROG50" s="344"/>
      <c r="ROH50" s="344"/>
      <c r="ROI50" s="344"/>
      <c r="ROJ50" s="344"/>
      <c r="ROK50" s="344"/>
      <c r="ROL50" s="344"/>
      <c r="ROM50" s="344"/>
      <c r="RON50" s="344"/>
      <c r="ROO50" s="344"/>
      <c r="ROP50" s="344"/>
      <c r="ROQ50" s="344"/>
      <c r="ROR50" s="344"/>
      <c r="ROS50" s="344"/>
      <c r="ROT50" s="344"/>
      <c r="ROU50" s="344"/>
      <c r="ROV50" s="344"/>
      <c r="ROW50" s="344"/>
      <c r="ROX50" s="344"/>
      <c r="ROY50" s="344"/>
      <c r="ROZ50" s="344"/>
      <c r="RPA50" s="344"/>
      <c r="RPB50" s="344"/>
      <c r="RPC50" s="344"/>
      <c r="RPD50" s="344"/>
      <c r="RPE50" s="344"/>
      <c r="RPF50" s="344"/>
      <c r="RPG50" s="344"/>
      <c r="RPH50" s="344"/>
      <c r="RPI50" s="344"/>
      <c r="RPJ50" s="344"/>
      <c r="RPK50" s="344"/>
      <c r="RPL50" s="344"/>
      <c r="RPM50" s="344"/>
      <c r="RPN50" s="344"/>
      <c r="RPO50" s="344"/>
      <c r="RPP50" s="344"/>
      <c r="RPQ50" s="344"/>
      <c r="RPR50" s="344"/>
      <c r="RPS50" s="344"/>
      <c r="RPT50" s="344"/>
      <c r="RPU50" s="344"/>
      <c r="RPV50" s="344"/>
      <c r="RPW50" s="344"/>
      <c r="RPX50" s="344"/>
      <c r="RPY50" s="344"/>
      <c r="RPZ50" s="344"/>
      <c r="RQA50" s="344"/>
      <c r="RQB50" s="344"/>
      <c r="RQC50" s="344"/>
      <c r="RQD50" s="344"/>
      <c r="RQE50" s="344"/>
      <c r="RQF50" s="344"/>
      <c r="RQG50" s="344"/>
      <c r="RQH50" s="344"/>
      <c r="RQI50" s="344"/>
      <c r="RQJ50" s="344"/>
      <c r="RQK50" s="344"/>
      <c r="RQL50" s="344"/>
      <c r="RQM50" s="344"/>
      <c r="RQN50" s="344"/>
      <c r="RQO50" s="344"/>
      <c r="RQP50" s="344"/>
      <c r="RQQ50" s="344"/>
      <c r="RQR50" s="344"/>
      <c r="RQS50" s="344"/>
      <c r="RQT50" s="344"/>
      <c r="RQU50" s="344"/>
      <c r="RQV50" s="344"/>
      <c r="RQW50" s="344"/>
      <c r="RQX50" s="344"/>
      <c r="RQY50" s="344"/>
      <c r="RQZ50" s="344"/>
      <c r="RRA50" s="344"/>
      <c r="RRB50" s="344"/>
      <c r="RRC50" s="344"/>
      <c r="RRD50" s="344"/>
      <c r="RRE50" s="344"/>
      <c r="RRF50" s="344"/>
      <c r="RRG50" s="344"/>
      <c r="RRH50" s="344"/>
      <c r="RRI50" s="344"/>
      <c r="RRJ50" s="344"/>
      <c r="RRK50" s="344"/>
      <c r="RRL50" s="344"/>
      <c r="RRM50" s="344"/>
      <c r="RRN50" s="344"/>
      <c r="RRO50" s="344"/>
      <c r="RRP50" s="344"/>
      <c r="RRQ50" s="344"/>
      <c r="RRR50" s="344"/>
      <c r="RRS50" s="344"/>
      <c r="RRT50" s="344"/>
      <c r="RRU50" s="344"/>
      <c r="RRV50" s="344"/>
      <c r="RRW50" s="344"/>
      <c r="RRX50" s="344"/>
      <c r="RRY50" s="344"/>
      <c r="RRZ50" s="344"/>
      <c r="RSA50" s="344"/>
      <c r="RSB50" s="344"/>
      <c r="RSC50" s="344"/>
      <c r="RSD50" s="344"/>
      <c r="RSE50" s="344"/>
      <c r="RSF50" s="344"/>
      <c r="RSG50" s="344"/>
      <c r="RSH50" s="344"/>
      <c r="RSI50" s="344"/>
      <c r="RSJ50" s="344"/>
      <c r="RSK50" s="344"/>
      <c r="RSL50" s="344"/>
      <c r="RSM50" s="344"/>
      <c r="RSN50" s="344"/>
      <c r="RSO50" s="344"/>
      <c r="RSP50" s="344"/>
      <c r="RSQ50" s="344"/>
      <c r="RSR50" s="344"/>
      <c r="RSS50" s="344"/>
      <c r="RST50" s="344"/>
      <c r="RSU50" s="344"/>
      <c r="RSV50" s="344"/>
      <c r="RSW50" s="344"/>
      <c r="RSX50" s="344"/>
      <c r="RSY50" s="344"/>
      <c r="RSZ50" s="344"/>
      <c r="RTA50" s="344"/>
      <c r="RTB50" s="344"/>
      <c r="RTC50" s="344"/>
      <c r="RTD50" s="344"/>
      <c r="RTE50" s="344"/>
      <c r="RTF50" s="344"/>
      <c r="RTG50" s="344"/>
      <c r="RTH50" s="344"/>
      <c r="RTI50" s="344"/>
      <c r="RTJ50" s="344"/>
      <c r="RTK50" s="344"/>
      <c r="RTL50" s="344"/>
      <c r="RTM50" s="344"/>
      <c r="RTN50" s="344"/>
      <c r="RTO50" s="344"/>
      <c r="RTP50" s="344"/>
      <c r="RTQ50" s="344"/>
      <c r="RTR50" s="344"/>
      <c r="RTS50" s="344"/>
      <c r="RTT50" s="344"/>
      <c r="RTU50" s="344"/>
      <c r="RTV50" s="344"/>
      <c r="RTW50" s="344"/>
      <c r="RTX50" s="344"/>
      <c r="RTY50" s="344"/>
      <c r="RTZ50" s="344"/>
      <c r="RUA50" s="344"/>
      <c r="RUB50" s="344"/>
      <c r="RUC50" s="344"/>
      <c r="RUD50" s="344"/>
      <c r="RUE50" s="344"/>
      <c r="RUF50" s="344"/>
      <c r="RUG50" s="344"/>
      <c r="RUH50" s="344"/>
      <c r="RUI50" s="344"/>
      <c r="RUJ50" s="344"/>
      <c r="RUK50" s="344"/>
      <c r="RUL50" s="344"/>
      <c r="RUM50" s="344"/>
      <c r="RUN50" s="344"/>
      <c r="RUO50" s="344"/>
      <c r="RUP50" s="344"/>
      <c r="RUQ50" s="344"/>
      <c r="RUR50" s="344"/>
      <c r="RUS50" s="344"/>
      <c r="RUT50" s="344"/>
      <c r="RUU50" s="344"/>
      <c r="RUV50" s="344"/>
      <c r="RUW50" s="344"/>
      <c r="RUX50" s="344"/>
      <c r="RUY50" s="344"/>
      <c r="RUZ50" s="344"/>
      <c r="RVA50" s="344"/>
      <c r="RVB50" s="344"/>
      <c r="RVC50" s="344"/>
      <c r="RVD50" s="344"/>
      <c r="RVE50" s="344"/>
      <c r="RVF50" s="344"/>
      <c r="RVG50" s="344"/>
      <c r="RVH50" s="344"/>
      <c r="RVI50" s="344"/>
      <c r="RVJ50" s="344"/>
      <c r="RVK50" s="344"/>
      <c r="RVL50" s="344"/>
      <c r="RVM50" s="344"/>
      <c r="RVN50" s="344"/>
      <c r="RVO50" s="344"/>
      <c r="RVP50" s="344"/>
      <c r="RVQ50" s="344"/>
      <c r="RVR50" s="344"/>
      <c r="RVS50" s="344"/>
      <c r="RVT50" s="344"/>
      <c r="RVU50" s="344"/>
      <c r="RVV50" s="344"/>
      <c r="RVW50" s="344"/>
      <c r="RVX50" s="344"/>
      <c r="RVY50" s="344"/>
      <c r="RVZ50" s="344"/>
      <c r="RWA50" s="344"/>
      <c r="RWB50" s="344"/>
      <c r="RWC50" s="344"/>
      <c r="RWD50" s="344"/>
      <c r="RWE50" s="344"/>
      <c r="RWF50" s="344"/>
      <c r="RWG50" s="344"/>
      <c r="RWH50" s="344"/>
      <c r="RWI50" s="344"/>
      <c r="RWJ50" s="344"/>
      <c r="RWK50" s="344"/>
      <c r="RWL50" s="344"/>
      <c r="RWM50" s="344"/>
      <c r="RWN50" s="344"/>
      <c r="RWO50" s="344"/>
      <c r="RWP50" s="344"/>
      <c r="RWQ50" s="344"/>
      <c r="RWR50" s="344"/>
      <c r="RWS50" s="344"/>
      <c r="RWT50" s="344"/>
      <c r="RWU50" s="344"/>
      <c r="RWV50" s="344"/>
      <c r="RWW50" s="344"/>
      <c r="RWX50" s="344"/>
      <c r="RWY50" s="344"/>
      <c r="RWZ50" s="344"/>
      <c r="RXA50" s="344"/>
      <c r="RXB50" s="344"/>
      <c r="RXC50" s="344"/>
      <c r="RXD50" s="344"/>
      <c r="RXE50" s="344"/>
      <c r="RXF50" s="344"/>
      <c r="RXG50" s="344"/>
      <c r="RXH50" s="344"/>
      <c r="RXI50" s="344"/>
      <c r="RXJ50" s="344"/>
      <c r="RXK50" s="344"/>
      <c r="RXL50" s="344"/>
      <c r="RXM50" s="344"/>
      <c r="RXN50" s="344"/>
      <c r="RXO50" s="344"/>
      <c r="RXP50" s="344"/>
      <c r="RXQ50" s="344"/>
      <c r="RXR50" s="344"/>
      <c r="RXS50" s="344"/>
      <c r="RXT50" s="344"/>
      <c r="RXU50" s="344"/>
      <c r="RXV50" s="344"/>
      <c r="RXW50" s="344"/>
      <c r="RXX50" s="344"/>
      <c r="RXY50" s="344"/>
      <c r="RXZ50" s="344"/>
      <c r="RYA50" s="344"/>
      <c r="RYB50" s="344"/>
      <c r="RYC50" s="344"/>
      <c r="RYD50" s="344"/>
      <c r="RYE50" s="344"/>
      <c r="RYF50" s="344"/>
      <c r="RYG50" s="344"/>
      <c r="RYH50" s="344"/>
      <c r="RYI50" s="344"/>
      <c r="RYJ50" s="344"/>
      <c r="RYK50" s="344"/>
      <c r="RYL50" s="344"/>
      <c r="RYM50" s="344"/>
      <c r="RYN50" s="344"/>
      <c r="RYO50" s="344"/>
      <c r="RYP50" s="344"/>
      <c r="RYQ50" s="344"/>
      <c r="RYR50" s="344"/>
      <c r="RYS50" s="344"/>
      <c r="RYT50" s="344"/>
      <c r="RYU50" s="344"/>
      <c r="RYV50" s="344"/>
      <c r="RYW50" s="344"/>
      <c r="RYX50" s="344"/>
      <c r="RYY50" s="344"/>
      <c r="RYZ50" s="344"/>
      <c r="RZA50" s="344"/>
      <c r="RZB50" s="344"/>
      <c r="RZC50" s="344"/>
      <c r="RZD50" s="344"/>
      <c r="RZE50" s="344"/>
      <c r="RZF50" s="344"/>
      <c r="RZG50" s="344"/>
      <c r="RZH50" s="344"/>
      <c r="RZI50" s="344"/>
      <c r="RZJ50" s="344"/>
      <c r="RZK50" s="344"/>
      <c r="RZL50" s="344"/>
      <c r="RZM50" s="344"/>
      <c r="RZN50" s="344"/>
      <c r="RZO50" s="344"/>
      <c r="RZP50" s="344"/>
      <c r="RZQ50" s="344"/>
      <c r="RZR50" s="344"/>
      <c r="RZS50" s="344"/>
      <c r="RZT50" s="344"/>
      <c r="RZU50" s="344"/>
      <c r="RZV50" s="344"/>
      <c r="RZW50" s="344"/>
      <c r="RZX50" s="344"/>
      <c r="RZY50" s="344"/>
      <c r="RZZ50" s="344"/>
      <c r="SAA50" s="344"/>
      <c r="SAB50" s="344"/>
      <c r="SAC50" s="344"/>
      <c r="SAD50" s="344"/>
      <c r="SAE50" s="344"/>
      <c r="SAF50" s="344"/>
      <c r="SAG50" s="344"/>
      <c r="SAH50" s="344"/>
      <c r="SAI50" s="344"/>
      <c r="SAJ50" s="344"/>
      <c r="SAK50" s="344"/>
      <c r="SAL50" s="344"/>
      <c r="SAM50" s="344"/>
      <c r="SAN50" s="344"/>
      <c r="SAO50" s="344"/>
      <c r="SAP50" s="344"/>
      <c r="SAQ50" s="344"/>
      <c r="SAR50" s="344"/>
      <c r="SAS50" s="344"/>
      <c r="SAT50" s="344"/>
      <c r="SAU50" s="344"/>
      <c r="SAV50" s="344"/>
      <c r="SAW50" s="344"/>
      <c r="SAX50" s="344"/>
      <c r="SAY50" s="344"/>
      <c r="SAZ50" s="344"/>
      <c r="SBA50" s="344"/>
      <c r="SBB50" s="344"/>
      <c r="SBC50" s="344"/>
      <c r="SBD50" s="344"/>
      <c r="SBE50" s="344"/>
      <c r="SBF50" s="344"/>
      <c r="SBG50" s="344"/>
      <c r="SBH50" s="344"/>
      <c r="SBI50" s="344"/>
      <c r="SBJ50" s="344"/>
      <c r="SBK50" s="344"/>
      <c r="SBL50" s="344"/>
      <c r="SBM50" s="344"/>
      <c r="SBN50" s="344"/>
      <c r="SBO50" s="344"/>
      <c r="SBP50" s="344"/>
      <c r="SBQ50" s="344"/>
      <c r="SBR50" s="344"/>
      <c r="SBS50" s="344"/>
      <c r="SBT50" s="344"/>
      <c r="SBU50" s="344"/>
      <c r="SBV50" s="344"/>
      <c r="SBW50" s="344"/>
      <c r="SBX50" s="344"/>
      <c r="SBY50" s="344"/>
      <c r="SBZ50" s="344"/>
      <c r="SCA50" s="344"/>
      <c r="SCB50" s="344"/>
      <c r="SCC50" s="344"/>
      <c r="SCD50" s="344"/>
      <c r="SCE50" s="344"/>
      <c r="SCF50" s="344"/>
      <c r="SCG50" s="344"/>
      <c r="SCH50" s="344"/>
      <c r="SCI50" s="344"/>
      <c r="SCJ50" s="344"/>
      <c r="SCK50" s="344"/>
      <c r="SCL50" s="344"/>
      <c r="SCM50" s="344"/>
      <c r="SCN50" s="344"/>
      <c r="SCO50" s="344"/>
      <c r="SCP50" s="344"/>
      <c r="SCQ50" s="344"/>
      <c r="SCR50" s="344"/>
      <c r="SCS50" s="344"/>
      <c r="SCT50" s="344"/>
      <c r="SCU50" s="344"/>
      <c r="SCV50" s="344"/>
      <c r="SCW50" s="344"/>
      <c r="SCX50" s="344"/>
      <c r="SCY50" s="344"/>
      <c r="SCZ50" s="344"/>
      <c r="SDA50" s="344"/>
      <c r="SDB50" s="344"/>
      <c r="SDC50" s="344"/>
      <c r="SDD50" s="344"/>
      <c r="SDE50" s="344"/>
      <c r="SDF50" s="344"/>
      <c r="SDG50" s="344"/>
      <c r="SDH50" s="344"/>
      <c r="SDI50" s="344"/>
      <c r="SDJ50" s="344"/>
      <c r="SDK50" s="344"/>
      <c r="SDL50" s="344"/>
      <c r="SDM50" s="344"/>
      <c r="SDN50" s="344"/>
      <c r="SDO50" s="344"/>
      <c r="SDP50" s="344"/>
      <c r="SDQ50" s="344"/>
      <c r="SDR50" s="344"/>
      <c r="SDS50" s="344"/>
      <c r="SDT50" s="344"/>
      <c r="SDU50" s="344"/>
      <c r="SDV50" s="344"/>
      <c r="SDW50" s="344"/>
      <c r="SDX50" s="344"/>
      <c r="SDY50" s="344"/>
      <c r="SDZ50" s="344"/>
      <c r="SEA50" s="344"/>
      <c r="SEB50" s="344"/>
      <c r="SEC50" s="344"/>
      <c r="SED50" s="344"/>
      <c r="SEE50" s="344"/>
      <c r="SEF50" s="344"/>
      <c r="SEG50" s="344"/>
      <c r="SEH50" s="344"/>
      <c r="SEI50" s="344"/>
      <c r="SEJ50" s="344"/>
      <c r="SEK50" s="344"/>
      <c r="SEL50" s="344"/>
      <c r="SEM50" s="344"/>
      <c r="SEN50" s="344"/>
      <c r="SEO50" s="344"/>
      <c r="SEP50" s="344"/>
      <c r="SEQ50" s="344"/>
      <c r="SER50" s="344"/>
      <c r="SES50" s="344"/>
      <c r="SET50" s="344"/>
      <c r="SEU50" s="344"/>
      <c r="SEV50" s="344"/>
      <c r="SEW50" s="344"/>
      <c r="SEX50" s="344"/>
      <c r="SEY50" s="344"/>
      <c r="SEZ50" s="344"/>
      <c r="SFA50" s="344"/>
      <c r="SFB50" s="344"/>
      <c r="SFC50" s="344"/>
      <c r="SFD50" s="344"/>
      <c r="SFE50" s="344"/>
      <c r="SFF50" s="344"/>
      <c r="SFG50" s="344"/>
      <c r="SFH50" s="344"/>
      <c r="SFI50" s="344"/>
      <c r="SFJ50" s="344"/>
      <c r="SFK50" s="344"/>
      <c r="SFL50" s="344"/>
      <c r="SFM50" s="344"/>
      <c r="SFN50" s="344"/>
      <c r="SFO50" s="344"/>
      <c r="SFP50" s="344"/>
      <c r="SFQ50" s="344"/>
      <c r="SFR50" s="344"/>
      <c r="SFS50" s="344"/>
      <c r="SFT50" s="344"/>
      <c r="SFU50" s="344"/>
      <c r="SFV50" s="344"/>
      <c r="SFW50" s="344"/>
      <c r="SFX50" s="344"/>
      <c r="SFY50" s="344"/>
      <c r="SFZ50" s="344"/>
      <c r="SGA50" s="344"/>
      <c r="SGB50" s="344"/>
      <c r="SGC50" s="344"/>
      <c r="SGD50" s="344"/>
      <c r="SGE50" s="344"/>
      <c r="SGF50" s="344"/>
      <c r="SGG50" s="344"/>
      <c r="SGH50" s="344"/>
      <c r="SGI50" s="344"/>
      <c r="SGJ50" s="344"/>
      <c r="SGK50" s="344"/>
      <c r="SGL50" s="344"/>
      <c r="SGM50" s="344"/>
      <c r="SGN50" s="344"/>
      <c r="SGO50" s="344"/>
      <c r="SGP50" s="344"/>
      <c r="SGQ50" s="344"/>
      <c r="SGR50" s="344"/>
      <c r="SGS50" s="344"/>
      <c r="SGT50" s="344"/>
      <c r="SGU50" s="344"/>
      <c r="SGV50" s="344"/>
      <c r="SGW50" s="344"/>
      <c r="SGX50" s="344"/>
      <c r="SGY50" s="344"/>
      <c r="SGZ50" s="344"/>
      <c r="SHA50" s="344"/>
      <c r="SHB50" s="344"/>
      <c r="SHC50" s="344"/>
      <c r="SHD50" s="344"/>
      <c r="SHE50" s="344"/>
      <c r="SHF50" s="344"/>
      <c r="SHG50" s="344"/>
      <c r="SHH50" s="344"/>
      <c r="SHI50" s="344"/>
      <c r="SHJ50" s="344"/>
      <c r="SHK50" s="344"/>
      <c r="SHL50" s="344"/>
      <c r="SHM50" s="344"/>
      <c r="SHN50" s="344"/>
      <c r="SHO50" s="344"/>
      <c r="SHP50" s="344"/>
      <c r="SHQ50" s="344"/>
      <c r="SHR50" s="344"/>
      <c r="SHS50" s="344"/>
      <c r="SHT50" s="344"/>
      <c r="SHU50" s="344"/>
      <c r="SHV50" s="344"/>
      <c r="SHW50" s="344"/>
      <c r="SHX50" s="344"/>
      <c r="SHY50" s="344"/>
      <c r="SHZ50" s="344"/>
      <c r="SIA50" s="344"/>
      <c r="SIB50" s="344"/>
      <c r="SIC50" s="344"/>
      <c r="SID50" s="344"/>
      <c r="SIE50" s="344"/>
      <c r="SIF50" s="344"/>
      <c r="SIG50" s="344"/>
      <c r="SIH50" s="344"/>
      <c r="SII50" s="344"/>
      <c r="SIJ50" s="344"/>
      <c r="SIK50" s="344"/>
      <c r="SIL50" s="344"/>
      <c r="SIM50" s="344"/>
      <c r="SIN50" s="344"/>
      <c r="SIO50" s="344"/>
      <c r="SIP50" s="344"/>
      <c r="SIQ50" s="344"/>
      <c r="SIR50" s="344"/>
      <c r="SIS50" s="344"/>
      <c r="SIT50" s="344"/>
      <c r="SIU50" s="344"/>
      <c r="SIV50" s="344"/>
      <c r="SIW50" s="344"/>
      <c r="SIX50" s="344"/>
      <c r="SIY50" s="344"/>
      <c r="SIZ50" s="344"/>
      <c r="SJA50" s="344"/>
      <c r="SJB50" s="344"/>
      <c r="SJC50" s="344"/>
      <c r="SJD50" s="344"/>
      <c r="SJE50" s="344"/>
      <c r="SJF50" s="344"/>
      <c r="SJG50" s="344"/>
      <c r="SJH50" s="344"/>
      <c r="SJI50" s="344"/>
      <c r="SJJ50" s="344"/>
      <c r="SJK50" s="344"/>
      <c r="SJL50" s="344"/>
      <c r="SJM50" s="344"/>
      <c r="SJN50" s="344"/>
      <c r="SJO50" s="344"/>
      <c r="SJP50" s="344"/>
      <c r="SJQ50" s="344"/>
      <c r="SJR50" s="344"/>
      <c r="SJS50" s="344"/>
      <c r="SJT50" s="344"/>
      <c r="SJU50" s="344"/>
      <c r="SJV50" s="344"/>
      <c r="SJW50" s="344"/>
      <c r="SJX50" s="344"/>
      <c r="SJY50" s="344"/>
      <c r="SJZ50" s="344"/>
      <c r="SKA50" s="344"/>
      <c r="SKB50" s="344"/>
      <c r="SKC50" s="344"/>
      <c r="SKD50" s="344"/>
      <c r="SKE50" s="344"/>
      <c r="SKF50" s="344"/>
      <c r="SKG50" s="344"/>
      <c r="SKH50" s="344"/>
      <c r="SKI50" s="344"/>
      <c r="SKJ50" s="344"/>
      <c r="SKK50" s="344"/>
      <c r="SKL50" s="344"/>
      <c r="SKM50" s="344"/>
      <c r="SKN50" s="344"/>
      <c r="SKO50" s="344"/>
      <c r="SKP50" s="344"/>
      <c r="SKQ50" s="344"/>
      <c r="SKR50" s="344"/>
      <c r="SKS50" s="344"/>
      <c r="SKT50" s="344"/>
      <c r="SKU50" s="344"/>
      <c r="SKV50" s="344"/>
      <c r="SKW50" s="344"/>
      <c r="SKX50" s="344"/>
      <c r="SKY50" s="344"/>
      <c r="SKZ50" s="344"/>
      <c r="SLA50" s="344"/>
      <c r="SLB50" s="344"/>
      <c r="SLC50" s="344"/>
      <c r="SLD50" s="344"/>
      <c r="SLE50" s="344"/>
      <c r="SLF50" s="344"/>
      <c r="SLG50" s="344"/>
      <c r="SLH50" s="344"/>
      <c r="SLI50" s="344"/>
      <c r="SLJ50" s="344"/>
      <c r="SLK50" s="344"/>
      <c r="SLL50" s="344"/>
      <c r="SLM50" s="344"/>
      <c r="SLN50" s="344"/>
      <c r="SLO50" s="344"/>
      <c r="SLP50" s="344"/>
      <c r="SLQ50" s="344"/>
      <c r="SLR50" s="344"/>
      <c r="SLS50" s="344"/>
      <c r="SLT50" s="344"/>
      <c r="SLU50" s="344"/>
      <c r="SLV50" s="344"/>
      <c r="SLW50" s="344"/>
      <c r="SLX50" s="344"/>
      <c r="SLY50" s="344"/>
      <c r="SLZ50" s="344"/>
      <c r="SMA50" s="344"/>
      <c r="SMB50" s="344"/>
      <c r="SMC50" s="344"/>
      <c r="SMD50" s="344"/>
      <c r="SME50" s="344"/>
      <c r="SMF50" s="344"/>
      <c r="SMG50" s="344"/>
      <c r="SMH50" s="344"/>
      <c r="SMI50" s="344"/>
      <c r="SMJ50" s="344"/>
      <c r="SMK50" s="344"/>
      <c r="SML50" s="344"/>
      <c r="SMM50" s="344"/>
      <c r="SMN50" s="344"/>
      <c r="SMO50" s="344"/>
      <c r="SMP50" s="344"/>
      <c r="SMQ50" s="344"/>
      <c r="SMR50" s="344"/>
      <c r="SMS50" s="344"/>
      <c r="SMT50" s="344"/>
      <c r="SMU50" s="344"/>
      <c r="SMV50" s="344"/>
      <c r="SMW50" s="344"/>
      <c r="SMX50" s="344"/>
      <c r="SMY50" s="344"/>
      <c r="SMZ50" s="344"/>
      <c r="SNA50" s="344"/>
      <c r="SNB50" s="344"/>
      <c r="SNC50" s="344"/>
      <c r="SND50" s="344"/>
      <c r="SNE50" s="344"/>
      <c r="SNF50" s="344"/>
      <c r="SNG50" s="344"/>
      <c r="SNH50" s="344"/>
      <c r="SNI50" s="344"/>
      <c r="SNJ50" s="344"/>
      <c r="SNK50" s="344"/>
      <c r="SNL50" s="344"/>
      <c r="SNM50" s="344"/>
      <c r="SNN50" s="344"/>
      <c r="SNO50" s="344"/>
      <c r="SNP50" s="344"/>
      <c r="SNQ50" s="344"/>
      <c r="SNR50" s="344"/>
      <c r="SNS50" s="344"/>
      <c r="SNT50" s="344"/>
      <c r="SNU50" s="344"/>
      <c r="SNV50" s="344"/>
      <c r="SNW50" s="344"/>
      <c r="SNX50" s="344"/>
      <c r="SNY50" s="344"/>
      <c r="SNZ50" s="344"/>
      <c r="SOA50" s="344"/>
      <c r="SOB50" s="344"/>
      <c r="SOC50" s="344"/>
      <c r="SOD50" s="344"/>
      <c r="SOE50" s="344"/>
      <c r="SOF50" s="344"/>
      <c r="SOG50" s="344"/>
      <c r="SOH50" s="344"/>
      <c r="SOI50" s="344"/>
      <c r="SOJ50" s="344"/>
      <c r="SOK50" s="344"/>
      <c r="SOL50" s="344"/>
      <c r="SOM50" s="344"/>
      <c r="SON50" s="344"/>
      <c r="SOO50" s="344"/>
      <c r="SOP50" s="344"/>
      <c r="SOQ50" s="344"/>
      <c r="SOR50" s="344"/>
      <c r="SOS50" s="344"/>
      <c r="SOT50" s="344"/>
      <c r="SOU50" s="344"/>
      <c r="SOV50" s="344"/>
      <c r="SOW50" s="344"/>
      <c r="SOX50" s="344"/>
      <c r="SOY50" s="344"/>
      <c r="SOZ50" s="344"/>
      <c r="SPA50" s="344"/>
      <c r="SPB50" s="344"/>
      <c r="SPC50" s="344"/>
      <c r="SPD50" s="344"/>
      <c r="SPE50" s="344"/>
      <c r="SPF50" s="344"/>
      <c r="SPG50" s="344"/>
      <c r="SPH50" s="344"/>
      <c r="SPI50" s="344"/>
      <c r="SPJ50" s="344"/>
      <c r="SPK50" s="344"/>
      <c r="SPL50" s="344"/>
      <c r="SPM50" s="344"/>
      <c r="SPN50" s="344"/>
      <c r="SPO50" s="344"/>
      <c r="SPP50" s="344"/>
      <c r="SPQ50" s="344"/>
      <c r="SPR50" s="344"/>
      <c r="SPS50" s="344"/>
      <c r="SPT50" s="344"/>
      <c r="SPU50" s="344"/>
      <c r="SPV50" s="344"/>
      <c r="SPW50" s="344"/>
      <c r="SPX50" s="344"/>
      <c r="SPY50" s="344"/>
      <c r="SPZ50" s="344"/>
      <c r="SQA50" s="344"/>
      <c r="SQB50" s="344"/>
      <c r="SQC50" s="344"/>
      <c r="SQD50" s="344"/>
      <c r="SQE50" s="344"/>
      <c r="SQF50" s="344"/>
      <c r="SQG50" s="344"/>
      <c r="SQH50" s="344"/>
      <c r="SQI50" s="344"/>
      <c r="SQJ50" s="344"/>
      <c r="SQK50" s="344"/>
      <c r="SQL50" s="344"/>
      <c r="SQM50" s="344"/>
      <c r="SQN50" s="344"/>
      <c r="SQO50" s="344"/>
      <c r="SQP50" s="344"/>
      <c r="SQQ50" s="344"/>
      <c r="SQR50" s="344"/>
      <c r="SQS50" s="344"/>
      <c r="SQT50" s="344"/>
      <c r="SQU50" s="344"/>
      <c r="SQV50" s="344"/>
      <c r="SQW50" s="344"/>
      <c r="SQX50" s="344"/>
      <c r="SQY50" s="344"/>
      <c r="SQZ50" s="344"/>
      <c r="SRA50" s="344"/>
      <c r="SRB50" s="344"/>
      <c r="SRC50" s="344"/>
      <c r="SRD50" s="344"/>
      <c r="SRE50" s="344"/>
      <c r="SRF50" s="344"/>
      <c r="SRG50" s="344"/>
      <c r="SRH50" s="344"/>
      <c r="SRI50" s="344"/>
      <c r="SRJ50" s="344"/>
      <c r="SRK50" s="344"/>
      <c r="SRL50" s="344"/>
      <c r="SRM50" s="344"/>
      <c r="SRN50" s="344"/>
      <c r="SRO50" s="344"/>
      <c r="SRP50" s="344"/>
      <c r="SRQ50" s="344"/>
      <c r="SRR50" s="344"/>
      <c r="SRS50" s="344"/>
      <c r="SRT50" s="344"/>
      <c r="SRU50" s="344"/>
      <c r="SRV50" s="344"/>
      <c r="SRW50" s="344"/>
      <c r="SRX50" s="344"/>
      <c r="SRY50" s="344"/>
      <c r="SRZ50" s="344"/>
      <c r="SSA50" s="344"/>
      <c r="SSB50" s="344"/>
      <c r="SSC50" s="344"/>
      <c r="SSD50" s="344"/>
      <c r="SSE50" s="344"/>
      <c r="SSF50" s="344"/>
      <c r="SSG50" s="344"/>
      <c r="SSH50" s="344"/>
      <c r="SSI50" s="344"/>
      <c r="SSJ50" s="344"/>
      <c r="SSK50" s="344"/>
      <c r="SSL50" s="344"/>
      <c r="SSM50" s="344"/>
      <c r="SSN50" s="344"/>
      <c r="SSO50" s="344"/>
      <c r="SSP50" s="344"/>
      <c r="SSQ50" s="344"/>
      <c r="SSR50" s="344"/>
      <c r="SSS50" s="344"/>
      <c r="SST50" s="344"/>
      <c r="SSU50" s="344"/>
      <c r="SSV50" s="344"/>
      <c r="SSW50" s="344"/>
      <c r="SSX50" s="344"/>
      <c r="SSY50" s="344"/>
      <c r="SSZ50" s="344"/>
      <c r="STA50" s="344"/>
      <c r="STB50" s="344"/>
      <c r="STC50" s="344"/>
      <c r="STD50" s="344"/>
      <c r="STE50" s="344"/>
      <c r="STF50" s="344"/>
      <c r="STG50" s="344"/>
      <c r="STH50" s="344"/>
      <c r="STI50" s="344"/>
      <c r="STJ50" s="344"/>
      <c r="STK50" s="344"/>
      <c r="STL50" s="344"/>
      <c r="STM50" s="344"/>
      <c r="STN50" s="344"/>
      <c r="STO50" s="344"/>
      <c r="STP50" s="344"/>
      <c r="STQ50" s="344"/>
      <c r="STR50" s="344"/>
      <c r="STS50" s="344"/>
      <c r="STT50" s="344"/>
      <c r="STU50" s="344"/>
      <c r="STV50" s="344"/>
      <c r="STW50" s="344"/>
      <c r="STX50" s="344"/>
      <c r="STY50" s="344"/>
      <c r="STZ50" s="344"/>
      <c r="SUA50" s="344"/>
      <c r="SUB50" s="344"/>
      <c r="SUC50" s="344"/>
      <c r="SUD50" s="344"/>
      <c r="SUE50" s="344"/>
      <c r="SUF50" s="344"/>
      <c r="SUG50" s="344"/>
      <c r="SUH50" s="344"/>
      <c r="SUI50" s="344"/>
      <c r="SUJ50" s="344"/>
      <c r="SUK50" s="344"/>
      <c r="SUL50" s="344"/>
      <c r="SUM50" s="344"/>
      <c r="SUN50" s="344"/>
      <c r="SUO50" s="344"/>
      <c r="SUP50" s="344"/>
      <c r="SUQ50" s="344"/>
      <c r="SUR50" s="344"/>
      <c r="SUS50" s="344"/>
      <c r="SUT50" s="344"/>
      <c r="SUU50" s="344"/>
      <c r="SUV50" s="344"/>
      <c r="SUW50" s="344"/>
      <c r="SUX50" s="344"/>
      <c r="SUY50" s="344"/>
      <c r="SUZ50" s="344"/>
      <c r="SVA50" s="344"/>
      <c r="SVB50" s="344"/>
      <c r="SVC50" s="344"/>
      <c r="SVD50" s="344"/>
      <c r="SVE50" s="344"/>
      <c r="SVF50" s="344"/>
      <c r="SVG50" s="344"/>
      <c r="SVH50" s="344"/>
      <c r="SVI50" s="344"/>
      <c r="SVJ50" s="344"/>
      <c r="SVK50" s="344"/>
      <c r="SVL50" s="344"/>
      <c r="SVM50" s="344"/>
      <c r="SVN50" s="344"/>
      <c r="SVO50" s="344"/>
      <c r="SVP50" s="344"/>
      <c r="SVQ50" s="344"/>
      <c r="SVR50" s="344"/>
      <c r="SVS50" s="344"/>
      <c r="SVT50" s="344"/>
      <c r="SVU50" s="344"/>
      <c r="SVV50" s="344"/>
      <c r="SVW50" s="344"/>
      <c r="SVX50" s="344"/>
      <c r="SVY50" s="344"/>
      <c r="SVZ50" s="344"/>
      <c r="SWA50" s="344"/>
      <c r="SWB50" s="344"/>
      <c r="SWC50" s="344"/>
      <c r="SWD50" s="344"/>
      <c r="SWE50" s="344"/>
      <c r="SWF50" s="344"/>
      <c r="SWG50" s="344"/>
      <c r="SWH50" s="344"/>
      <c r="SWI50" s="344"/>
      <c r="SWJ50" s="344"/>
      <c r="SWK50" s="344"/>
      <c r="SWL50" s="344"/>
      <c r="SWM50" s="344"/>
      <c r="SWN50" s="344"/>
      <c r="SWO50" s="344"/>
      <c r="SWP50" s="344"/>
      <c r="SWQ50" s="344"/>
      <c r="SWR50" s="344"/>
      <c r="SWS50" s="344"/>
      <c r="SWT50" s="344"/>
      <c r="SWU50" s="344"/>
      <c r="SWV50" s="344"/>
      <c r="SWW50" s="344"/>
      <c r="SWX50" s="344"/>
      <c r="SWY50" s="344"/>
      <c r="SWZ50" s="344"/>
      <c r="SXA50" s="344"/>
      <c r="SXB50" s="344"/>
      <c r="SXC50" s="344"/>
      <c r="SXD50" s="344"/>
      <c r="SXE50" s="344"/>
      <c r="SXF50" s="344"/>
      <c r="SXG50" s="344"/>
      <c r="SXH50" s="344"/>
      <c r="SXI50" s="344"/>
      <c r="SXJ50" s="344"/>
      <c r="SXK50" s="344"/>
      <c r="SXL50" s="344"/>
      <c r="SXM50" s="344"/>
      <c r="SXN50" s="344"/>
      <c r="SXO50" s="344"/>
      <c r="SXP50" s="344"/>
      <c r="SXQ50" s="344"/>
      <c r="SXR50" s="344"/>
      <c r="SXS50" s="344"/>
      <c r="SXT50" s="344"/>
      <c r="SXU50" s="344"/>
      <c r="SXV50" s="344"/>
      <c r="SXW50" s="344"/>
      <c r="SXX50" s="344"/>
      <c r="SXY50" s="344"/>
      <c r="SXZ50" s="344"/>
      <c r="SYA50" s="344"/>
      <c r="SYB50" s="344"/>
      <c r="SYC50" s="344"/>
      <c r="SYD50" s="344"/>
      <c r="SYE50" s="344"/>
      <c r="SYF50" s="344"/>
      <c r="SYG50" s="344"/>
      <c r="SYH50" s="344"/>
      <c r="SYI50" s="344"/>
      <c r="SYJ50" s="344"/>
      <c r="SYK50" s="344"/>
      <c r="SYL50" s="344"/>
      <c r="SYM50" s="344"/>
      <c r="SYN50" s="344"/>
      <c r="SYO50" s="344"/>
      <c r="SYP50" s="344"/>
      <c r="SYQ50" s="344"/>
      <c r="SYR50" s="344"/>
      <c r="SYS50" s="344"/>
      <c r="SYT50" s="344"/>
      <c r="SYU50" s="344"/>
      <c r="SYV50" s="344"/>
      <c r="SYW50" s="344"/>
      <c r="SYX50" s="344"/>
      <c r="SYY50" s="344"/>
      <c r="SYZ50" s="344"/>
      <c r="SZA50" s="344"/>
      <c r="SZB50" s="344"/>
      <c r="SZC50" s="344"/>
      <c r="SZD50" s="344"/>
      <c r="SZE50" s="344"/>
      <c r="SZF50" s="344"/>
      <c r="SZG50" s="344"/>
      <c r="SZH50" s="344"/>
      <c r="SZI50" s="344"/>
      <c r="SZJ50" s="344"/>
      <c r="SZK50" s="344"/>
      <c r="SZL50" s="344"/>
      <c r="SZM50" s="344"/>
      <c r="SZN50" s="344"/>
      <c r="SZO50" s="344"/>
      <c r="SZP50" s="344"/>
      <c r="SZQ50" s="344"/>
      <c r="SZR50" s="344"/>
      <c r="SZS50" s="344"/>
      <c r="SZT50" s="344"/>
      <c r="SZU50" s="344"/>
      <c r="SZV50" s="344"/>
      <c r="SZW50" s="344"/>
      <c r="SZX50" s="344"/>
      <c r="SZY50" s="344"/>
      <c r="SZZ50" s="344"/>
      <c r="TAA50" s="344"/>
      <c r="TAB50" s="344"/>
      <c r="TAC50" s="344"/>
      <c r="TAD50" s="344"/>
      <c r="TAE50" s="344"/>
      <c r="TAF50" s="344"/>
      <c r="TAG50" s="344"/>
      <c r="TAH50" s="344"/>
      <c r="TAI50" s="344"/>
      <c r="TAJ50" s="344"/>
      <c r="TAK50" s="344"/>
      <c r="TAL50" s="344"/>
      <c r="TAM50" s="344"/>
      <c r="TAN50" s="344"/>
      <c r="TAO50" s="344"/>
      <c r="TAP50" s="344"/>
      <c r="TAQ50" s="344"/>
      <c r="TAR50" s="344"/>
      <c r="TAS50" s="344"/>
      <c r="TAT50" s="344"/>
      <c r="TAU50" s="344"/>
      <c r="TAV50" s="344"/>
      <c r="TAW50" s="344"/>
      <c r="TAX50" s="344"/>
      <c r="TAY50" s="344"/>
      <c r="TAZ50" s="344"/>
      <c r="TBA50" s="344"/>
      <c r="TBB50" s="344"/>
      <c r="TBC50" s="344"/>
      <c r="TBD50" s="344"/>
      <c r="TBE50" s="344"/>
      <c r="TBF50" s="344"/>
      <c r="TBG50" s="344"/>
      <c r="TBH50" s="344"/>
      <c r="TBI50" s="344"/>
      <c r="TBJ50" s="344"/>
      <c r="TBK50" s="344"/>
      <c r="TBL50" s="344"/>
      <c r="TBM50" s="344"/>
      <c r="TBN50" s="344"/>
      <c r="TBO50" s="344"/>
      <c r="TBP50" s="344"/>
      <c r="TBQ50" s="344"/>
      <c r="TBR50" s="344"/>
      <c r="TBS50" s="344"/>
      <c r="TBT50" s="344"/>
      <c r="TBU50" s="344"/>
      <c r="TBV50" s="344"/>
      <c r="TBW50" s="344"/>
      <c r="TBX50" s="344"/>
      <c r="TBY50" s="344"/>
      <c r="TBZ50" s="344"/>
      <c r="TCA50" s="344"/>
      <c r="TCB50" s="344"/>
      <c r="TCC50" s="344"/>
      <c r="TCD50" s="344"/>
      <c r="TCE50" s="344"/>
      <c r="TCF50" s="344"/>
      <c r="TCG50" s="344"/>
      <c r="TCH50" s="344"/>
      <c r="TCI50" s="344"/>
      <c r="TCJ50" s="344"/>
      <c r="TCK50" s="344"/>
      <c r="TCL50" s="344"/>
      <c r="TCM50" s="344"/>
      <c r="TCN50" s="344"/>
      <c r="TCO50" s="344"/>
      <c r="TCP50" s="344"/>
      <c r="TCQ50" s="344"/>
      <c r="TCR50" s="344"/>
      <c r="TCS50" s="344"/>
      <c r="TCT50" s="344"/>
      <c r="TCU50" s="344"/>
      <c r="TCV50" s="344"/>
      <c r="TCW50" s="344"/>
      <c r="TCX50" s="344"/>
      <c r="TCY50" s="344"/>
      <c r="TCZ50" s="344"/>
      <c r="TDA50" s="344"/>
      <c r="TDB50" s="344"/>
      <c r="TDC50" s="344"/>
      <c r="TDD50" s="344"/>
      <c r="TDE50" s="344"/>
      <c r="TDF50" s="344"/>
      <c r="TDG50" s="344"/>
      <c r="TDH50" s="344"/>
      <c r="TDI50" s="344"/>
      <c r="TDJ50" s="344"/>
      <c r="TDK50" s="344"/>
      <c r="TDL50" s="344"/>
      <c r="TDM50" s="344"/>
      <c r="TDN50" s="344"/>
      <c r="TDO50" s="344"/>
      <c r="TDP50" s="344"/>
      <c r="TDQ50" s="344"/>
      <c r="TDR50" s="344"/>
      <c r="TDS50" s="344"/>
      <c r="TDT50" s="344"/>
      <c r="TDU50" s="344"/>
      <c r="TDV50" s="344"/>
      <c r="TDW50" s="344"/>
      <c r="TDX50" s="344"/>
      <c r="TDY50" s="344"/>
      <c r="TDZ50" s="344"/>
      <c r="TEA50" s="344"/>
      <c r="TEB50" s="344"/>
      <c r="TEC50" s="344"/>
      <c r="TED50" s="344"/>
      <c r="TEE50" s="344"/>
      <c r="TEF50" s="344"/>
      <c r="TEG50" s="344"/>
      <c r="TEH50" s="344"/>
      <c r="TEI50" s="344"/>
      <c r="TEJ50" s="344"/>
      <c r="TEK50" s="344"/>
      <c r="TEL50" s="344"/>
      <c r="TEM50" s="344"/>
      <c r="TEN50" s="344"/>
      <c r="TEO50" s="344"/>
      <c r="TEP50" s="344"/>
      <c r="TEQ50" s="344"/>
      <c r="TER50" s="344"/>
      <c r="TES50" s="344"/>
      <c r="TET50" s="344"/>
      <c r="TEU50" s="344"/>
      <c r="TEV50" s="344"/>
      <c r="TEW50" s="344"/>
      <c r="TEX50" s="344"/>
      <c r="TEY50" s="344"/>
      <c r="TEZ50" s="344"/>
      <c r="TFA50" s="344"/>
      <c r="TFB50" s="344"/>
      <c r="TFC50" s="344"/>
      <c r="TFD50" s="344"/>
      <c r="TFE50" s="344"/>
      <c r="TFF50" s="344"/>
      <c r="TFG50" s="344"/>
      <c r="TFH50" s="344"/>
      <c r="TFI50" s="344"/>
      <c r="TFJ50" s="344"/>
      <c r="TFK50" s="344"/>
      <c r="TFL50" s="344"/>
      <c r="TFM50" s="344"/>
      <c r="TFN50" s="344"/>
      <c r="TFO50" s="344"/>
      <c r="TFP50" s="344"/>
      <c r="TFQ50" s="344"/>
      <c r="TFR50" s="344"/>
      <c r="TFS50" s="344"/>
      <c r="TFT50" s="344"/>
      <c r="TFU50" s="344"/>
      <c r="TFV50" s="344"/>
      <c r="TFW50" s="344"/>
      <c r="TFX50" s="344"/>
      <c r="TFY50" s="344"/>
      <c r="TFZ50" s="344"/>
      <c r="TGA50" s="344"/>
      <c r="TGB50" s="344"/>
      <c r="TGC50" s="344"/>
      <c r="TGD50" s="344"/>
      <c r="TGE50" s="344"/>
      <c r="TGF50" s="344"/>
      <c r="TGG50" s="344"/>
      <c r="TGH50" s="344"/>
      <c r="TGI50" s="344"/>
      <c r="TGJ50" s="344"/>
      <c r="TGK50" s="344"/>
      <c r="TGL50" s="344"/>
      <c r="TGM50" s="344"/>
      <c r="TGN50" s="344"/>
      <c r="TGO50" s="344"/>
      <c r="TGP50" s="344"/>
      <c r="TGQ50" s="344"/>
      <c r="TGR50" s="344"/>
      <c r="TGS50" s="344"/>
      <c r="TGT50" s="344"/>
      <c r="TGU50" s="344"/>
      <c r="TGV50" s="344"/>
      <c r="TGW50" s="344"/>
      <c r="TGX50" s="344"/>
      <c r="TGY50" s="344"/>
      <c r="TGZ50" s="344"/>
      <c r="THA50" s="344"/>
      <c r="THB50" s="344"/>
      <c r="THC50" s="344"/>
      <c r="THD50" s="344"/>
      <c r="THE50" s="344"/>
      <c r="THF50" s="344"/>
      <c r="THG50" s="344"/>
      <c r="THH50" s="344"/>
      <c r="THI50" s="344"/>
      <c r="THJ50" s="344"/>
      <c r="THK50" s="344"/>
      <c r="THL50" s="344"/>
      <c r="THM50" s="344"/>
      <c r="THN50" s="344"/>
      <c r="THO50" s="344"/>
      <c r="THP50" s="344"/>
      <c r="THQ50" s="344"/>
      <c r="THR50" s="344"/>
      <c r="THS50" s="344"/>
      <c r="THT50" s="344"/>
      <c r="THU50" s="344"/>
      <c r="THV50" s="344"/>
      <c r="THW50" s="344"/>
      <c r="THX50" s="344"/>
      <c r="THY50" s="344"/>
      <c r="THZ50" s="344"/>
      <c r="TIA50" s="344"/>
      <c r="TIB50" s="344"/>
      <c r="TIC50" s="344"/>
      <c r="TID50" s="344"/>
      <c r="TIE50" s="344"/>
      <c r="TIF50" s="344"/>
      <c r="TIG50" s="344"/>
      <c r="TIH50" s="344"/>
      <c r="TII50" s="344"/>
      <c r="TIJ50" s="344"/>
      <c r="TIK50" s="344"/>
      <c r="TIL50" s="344"/>
      <c r="TIM50" s="344"/>
      <c r="TIN50" s="344"/>
      <c r="TIO50" s="344"/>
      <c r="TIP50" s="344"/>
      <c r="TIQ50" s="344"/>
      <c r="TIR50" s="344"/>
      <c r="TIS50" s="344"/>
      <c r="TIT50" s="344"/>
      <c r="TIU50" s="344"/>
      <c r="TIV50" s="344"/>
      <c r="TIW50" s="344"/>
      <c r="TIX50" s="344"/>
      <c r="TIY50" s="344"/>
      <c r="TIZ50" s="344"/>
      <c r="TJA50" s="344"/>
      <c r="TJB50" s="344"/>
      <c r="TJC50" s="344"/>
      <c r="TJD50" s="344"/>
      <c r="TJE50" s="344"/>
      <c r="TJF50" s="344"/>
      <c r="TJG50" s="344"/>
      <c r="TJH50" s="344"/>
      <c r="TJI50" s="344"/>
      <c r="TJJ50" s="344"/>
      <c r="TJK50" s="344"/>
      <c r="TJL50" s="344"/>
      <c r="TJM50" s="344"/>
      <c r="TJN50" s="344"/>
      <c r="TJO50" s="344"/>
      <c r="TJP50" s="344"/>
      <c r="TJQ50" s="344"/>
      <c r="TJR50" s="344"/>
      <c r="TJS50" s="344"/>
      <c r="TJT50" s="344"/>
      <c r="TJU50" s="344"/>
      <c r="TJV50" s="344"/>
      <c r="TJW50" s="344"/>
      <c r="TJX50" s="344"/>
      <c r="TJY50" s="344"/>
      <c r="TJZ50" s="344"/>
      <c r="TKA50" s="344"/>
      <c r="TKB50" s="344"/>
      <c r="TKC50" s="344"/>
      <c r="TKD50" s="344"/>
      <c r="TKE50" s="344"/>
      <c r="TKF50" s="344"/>
      <c r="TKG50" s="344"/>
      <c r="TKH50" s="344"/>
      <c r="TKI50" s="344"/>
      <c r="TKJ50" s="344"/>
      <c r="TKK50" s="344"/>
      <c r="TKL50" s="344"/>
      <c r="TKM50" s="344"/>
      <c r="TKN50" s="344"/>
      <c r="TKO50" s="344"/>
      <c r="TKP50" s="344"/>
      <c r="TKQ50" s="344"/>
      <c r="TKR50" s="344"/>
      <c r="TKS50" s="344"/>
      <c r="TKT50" s="344"/>
      <c r="TKU50" s="344"/>
      <c r="TKV50" s="344"/>
      <c r="TKW50" s="344"/>
      <c r="TKX50" s="344"/>
      <c r="TKY50" s="344"/>
      <c r="TKZ50" s="344"/>
      <c r="TLA50" s="344"/>
      <c r="TLB50" s="344"/>
      <c r="TLC50" s="344"/>
      <c r="TLD50" s="344"/>
      <c r="TLE50" s="344"/>
      <c r="TLF50" s="344"/>
      <c r="TLG50" s="344"/>
      <c r="TLH50" s="344"/>
      <c r="TLI50" s="344"/>
      <c r="TLJ50" s="344"/>
      <c r="TLK50" s="344"/>
      <c r="TLL50" s="344"/>
      <c r="TLM50" s="344"/>
      <c r="TLN50" s="344"/>
      <c r="TLO50" s="344"/>
      <c r="TLP50" s="344"/>
      <c r="TLQ50" s="344"/>
      <c r="TLR50" s="344"/>
      <c r="TLS50" s="344"/>
      <c r="TLT50" s="344"/>
      <c r="TLU50" s="344"/>
      <c r="TLV50" s="344"/>
      <c r="TLW50" s="344"/>
      <c r="TLX50" s="344"/>
      <c r="TLY50" s="344"/>
      <c r="TLZ50" s="344"/>
      <c r="TMA50" s="344"/>
      <c r="TMB50" s="344"/>
      <c r="TMC50" s="344"/>
      <c r="TMD50" s="344"/>
      <c r="TME50" s="344"/>
      <c r="TMF50" s="344"/>
      <c r="TMG50" s="344"/>
      <c r="TMH50" s="344"/>
      <c r="TMI50" s="344"/>
      <c r="TMJ50" s="344"/>
      <c r="TMK50" s="344"/>
      <c r="TML50" s="344"/>
      <c r="TMM50" s="344"/>
      <c r="TMN50" s="344"/>
      <c r="TMO50" s="344"/>
      <c r="TMP50" s="344"/>
      <c r="TMQ50" s="344"/>
      <c r="TMR50" s="344"/>
      <c r="TMS50" s="344"/>
      <c r="TMT50" s="344"/>
      <c r="TMU50" s="344"/>
      <c r="TMV50" s="344"/>
      <c r="TMW50" s="344"/>
      <c r="TMX50" s="344"/>
      <c r="TMY50" s="344"/>
      <c r="TMZ50" s="344"/>
      <c r="TNA50" s="344"/>
      <c r="TNB50" s="344"/>
      <c r="TNC50" s="344"/>
      <c r="TND50" s="344"/>
      <c r="TNE50" s="344"/>
      <c r="TNF50" s="344"/>
      <c r="TNG50" s="344"/>
      <c r="TNH50" s="344"/>
      <c r="TNI50" s="344"/>
      <c r="TNJ50" s="344"/>
      <c r="TNK50" s="344"/>
      <c r="TNL50" s="344"/>
      <c r="TNM50" s="344"/>
      <c r="TNN50" s="344"/>
      <c r="TNO50" s="344"/>
      <c r="TNP50" s="344"/>
      <c r="TNQ50" s="344"/>
      <c r="TNR50" s="344"/>
      <c r="TNS50" s="344"/>
      <c r="TNT50" s="344"/>
      <c r="TNU50" s="344"/>
      <c r="TNV50" s="344"/>
      <c r="TNW50" s="344"/>
      <c r="TNX50" s="344"/>
      <c r="TNY50" s="344"/>
      <c r="TNZ50" s="344"/>
      <c r="TOA50" s="344"/>
      <c r="TOB50" s="344"/>
      <c r="TOC50" s="344"/>
      <c r="TOD50" s="344"/>
      <c r="TOE50" s="344"/>
      <c r="TOF50" s="344"/>
      <c r="TOG50" s="344"/>
      <c r="TOH50" s="344"/>
      <c r="TOI50" s="344"/>
      <c r="TOJ50" s="344"/>
      <c r="TOK50" s="344"/>
      <c r="TOL50" s="344"/>
      <c r="TOM50" s="344"/>
      <c r="TON50" s="344"/>
      <c r="TOO50" s="344"/>
      <c r="TOP50" s="344"/>
      <c r="TOQ50" s="344"/>
      <c r="TOR50" s="344"/>
      <c r="TOS50" s="344"/>
      <c r="TOT50" s="344"/>
      <c r="TOU50" s="344"/>
      <c r="TOV50" s="344"/>
      <c r="TOW50" s="344"/>
      <c r="TOX50" s="344"/>
      <c r="TOY50" s="344"/>
      <c r="TOZ50" s="344"/>
      <c r="TPA50" s="344"/>
      <c r="TPB50" s="344"/>
      <c r="TPC50" s="344"/>
      <c r="TPD50" s="344"/>
      <c r="TPE50" s="344"/>
      <c r="TPF50" s="344"/>
      <c r="TPG50" s="344"/>
      <c r="TPH50" s="344"/>
      <c r="TPI50" s="344"/>
      <c r="TPJ50" s="344"/>
      <c r="TPK50" s="344"/>
      <c r="TPL50" s="344"/>
      <c r="TPM50" s="344"/>
      <c r="TPN50" s="344"/>
      <c r="TPO50" s="344"/>
      <c r="TPP50" s="344"/>
      <c r="TPQ50" s="344"/>
      <c r="TPR50" s="344"/>
      <c r="TPS50" s="344"/>
      <c r="TPT50" s="344"/>
      <c r="TPU50" s="344"/>
      <c r="TPV50" s="344"/>
      <c r="TPW50" s="344"/>
      <c r="TPX50" s="344"/>
      <c r="TPY50" s="344"/>
      <c r="TPZ50" s="344"/>
      <c r="TQA50" s="344"/>
      <c r="TQB50" s="344"/>
      <c r="TQC50" s="344"/>
      <c r="TQD50" s="344"/>
      <c r="TQE50" s="344"/>
      <c r="TQF50" s="344"/>
      <c r="TQG50" s="344"/>
      <c r="TQH50" s="344"/>
      <c r="TQI50" s="344"/>
      <c r="TQJ50" s="344"/>
      <c r="TQK50" s="344"/>
      <c r="TQL50" s="344"/>
      <c r="TQM50" s="344"/>
      <c r="TQN50" s="344"/>
      <c r="TQO50" s="344"/>
      <c r="TQP50" s="344"/>
      <c r="TQQ50" s="344"/>
      <c r="TQR50" s="344"/>
      <c r="TQS50" s="344"/>
      <c r="TQT50" s="344"/>
      <c r="TQU50" s="344"/>
      <c r="TQV50" s="344"/>
      <c r="TQW50" s="344"/>
      <c r="TQX50" s="344"/>
      <c r="TQY50" s="344"/>
      <c r="TQZ50" s="344"/>
      <c r="TRA50" s="344"/>
      <c r="TRB50" s="344"/>
      <c r="TRC50" s="344"/>
      <c r="TRD50" s="344"/>
      <c r="TRE50" s="344"/>
      <c r="TRF50" s="344"/>
      <c r="TRG50" s="344"/>
      <c r="TRH50" s="344"/>
      <c r="TRI50" s="344"/>
      <c r="TRJ50" s="344"/>
      <c r="TRK50" s="344"/>
      <c r="TRL50" s="344"/>
      <c r="TRM50" s="344"/>
      <c r="TRN50" s="344"/>
      <c r="TRO50" s="344"/>
      <c r="TRP50" s="344"/>
      <c r="TRQ50" s="344"/>
      <c r="TRR50" s="344"/>
      <c r="TRS50" s="344"/>
      <c r="TRT50" s="344"/>
      <c r="TRU50" s="344"/>
      <c r="TRV50" s="344"/>
      <c r="TRW50" s="344"/>
      <c r="TRX50" s="344"/>
      <c r="TRY50" s="344"/>
      <c r="TRZ50" s="344"/>
      <c r="TSA50" s="344"/>
      <c r="TSB50" s="344"/>
      <c r="TSC50" s="344"/>
      <c r="TSD50" s="344"/>
      <c r="TSE50" s="344"/>
      <c r="TSF50" s="344"/>
      <c r="TSG50" s="344"/>
      <c r="TSH50" s="344"/>
      <c r="TSI50" s="344"/>
      <c r="TSJ50" s="344"/>
      <c r="TSK50" s="344"/>
      <c r="TSL50" s="344"/>
      <c r="TSM50" s="344"/>
      <c r="TSN50" s="344"/>
      <c r="TSO50" s="344"/>
      <c r="TSP50" s="344"/>
      <c r="TSQ50" s="344"/>
      <c r="TSR50" s="344"/>
      <c r="TSS50" s="344"/>
      <c r="TST50" s="344"/>
      <c r="TSU50" s="344"/>
      <c r="TSV50" s="344"/>
      <c r="TSW50" s="344"/>
      <c r="TSX50" s="344"/>
      <c r="TSY50" s="344"/>
      <c r="TSZ50" s="344"/>
      <c r="TTA50" s="344"/>
      <c r="TTB50" s="344"/>
      <c r="TTC50" s="344"/>
      <c r="TTD50" s="344"/>
      <c r="TTE50" s="344"/>
      <c r="TTF50" s="344"/>
      <c r="TTG50" s="344"/>
      <c r="TTH50" s="344"/>
      <c r="TTI50" s="344"/>
      <c r="TTJ50" s="344"/>
      <c r="TTK50" s="344"/>
      <c r="TTL50" s="344"/>
      <c r="TTM50" s="344"/>
      <c r="TTN50" s="344"/>
      <c r="TTO50" s="344"/>
      <c r="TTP50" s="344"/>
      <c r="TTQ50" s="344"/>
      <c r="TTR50" s="344"/>
      <c r="TTS50" s="344"/>
      <c r="TTT50" s="344"/>
      <c r="TTU50" s="344"/>
      <c r="TTV50" s="344"/>
      <c r="TTW50" s="344"/>
      <c r="TTX50" s="344"/>
      <c r="TTY50" s="344"/>
      <c r="TTZ50" s="344"/>
      <c r="TUA50" s="344"/>
      <c r="TUB50" s="344"/>
      <c r="TUC50" s="344"/>
      <c r="TUD50" s="344"/>
      <c r="TUE50" s="344"/>
      <c r="TUF50" s="344"/>
      <c r="TUG50" s="344"/>
      <c r="TUH50" s="344"/>
      <c r="TUI50" s="344"/>
      <c r="TUJ50" s="344"/>
      <c r="TUK50" s="344"/>
      <c r="TUL50" s="344"/>
      <c r="TUM50" s="344"/>
      <c r="TUN50" s="344"/>
      <c r="TUO50" s="344"/>
      <c r="TUP50" s="344"/>
      <c r="TUQ50" s="344"/>
      <c r="TUR50" s="344"/>
      <c r="TUS50" s="344"/>
      <c r="TUT50" s="344"/>
      <c r="TUU50" s="344"/>
      <c r="TUV50" s="344"/>
      <c r="TUW50" s="344"/>
      <c r="TUX50" s="344"/>
      <c r="TUY50" s="344"/>
      <c r="TUZ50" s="344"/>
      <c r="TVA50" s="344"/>
      <c r="TVB50" s="344"/>
      <c r="TVC50" s="344"/>
      <c r="TVD50" s="344"/>
      <c r="TVE50" s="344"/>
      <c r="TVF50" s="344"/>
      <c r="TVG50" s="344"/>
      <c r="TVH50" s="344"/>
      <c r="TVI50" s="344"/>
      <c r="TVJ50" s="344"/>
      <c r="TVK50" s="344"/>
      <c r="TVL50" s="344"/>
      <c r="TVM50" s="344"/>
      <c r="TVN50" s="344"/>
      <c r="TVO50" s="344"/>
      <c r="TVP50" s="344"/>
      <c r="TVQ50" s="344"/>
      <c r="TVR50" s="344"/>
      <c r="TVS50" s="344"/>
      <c r="TVT50" s="344"/>
      <c r="TVU50" s="344"/>
      <c r="TVV50" s="344"/>
      <c r="TVW50" s="344"/>
      <c r="TVX50" s="344"/>
      <c r="TVY50" s="344"/>
      <c r="TVZ50" s="344"/>
      <c r="TWA50" s="344"/>
      <c r="TWB50" s="344"/>
      <c r="TWC50" s="344"/>
      <c r="TWD50" s="344"/>
      <c r="TWE50" s="344"/>
      <c r="TWF50" s="344"/>
      <c r="TWG50" s="344"/>
      <c r="TWH50" s="344"/>
      <c r="TWI50" s="344"/>
      <c r="TWJ50" s="344"/>
      <c r="TWK50" s="344"/>
      <c r="TWL50" s="344"/>
      <c r="TWM50" s="344"/>
      <c r="TWN50" s="344"/>
      <c r="TWO50" s="344"/>
      <c r="TWP50" s="344"/>
      <c r="TWQ50" s="344"/>
      <c r="TWR50" s="344"/>
      <c r="TWS50" s="344"/>
      <c r="TWT50" s="344"/>
      <c r="TWU50" s="344"/>
      <c r="TWV50" s="344"/>
      <c r="TWW50" s="344"/>
      <c r="TWX50" s="344"/>
      <c r="TWY50" s="344"/>
      <c r="TWZ50" s="344"/>
      <c r="TXA50" s="344"/>
      <c r="TXB50" s="344"/>
      <c r="TXC50" s="344"/>
      <c r="TXD50" s="344"/>
      <c r="TXE50" s="344"/>
      <c r="TXF50" s="344"/>
      <c r="TXG50" s="344"/>
      <c r="TXH50" s="344"/>
      <c r="TXI50" s="344"/>
      <c r="TXJ50" s="344"/>
      <c r="TXK50" s="344"/>
      <c r="TXL50" s="344"/>
      <c r="TXM50" s="344"/>
      <c r="TXN50" s="344"/>
      <c r="TXO50" s="344"/>
      <c r="TXP50" s="344"/>
      <c r="TXQ50" s="344"/>
      <c r="TXR50" s="344"/>
      <c r="TXS50" s="344"/>
      <c r="TXT50" s="344"/>
      <c r="TXU50" s="344"/>
      <c r="TXV50" s="344"/>
      <c r="TXW50" s="344"/>
      <c r="TXX50" s="344"/>
      <c r="TXY50" s="344"/>
      <c r="TXZ50" s="344"/>
      <c r="TYA50" s="344"/>
      <c r="TYB50" s="344"/>
      <c r="TYC50" s="344"/>
      <c r="TYD50" s="344"/>
      <c r="TYE50" s="344"/>
      <c r="TYF50" s="344"/>
      <c r="TYG50" s="344"/>
      <c r="TYH50" s="344"/>
      <c r="TYI50" s="344"/>
      <c r="TYJ50" s="344"/>
      <c r="TYK50" s="344"/>
      <c r="TYL50" s="344"/>
      <c r="TYM50" s="344"/>
      <c r="TYN50" s="344"/>
      <c r="TYO50" s="344"/>
      <c r="TYP50" s="344"/>
      <c r="TYQ50" s="344"/>
      <c r="TYR50" s="344"/>
      <c r="TYS50" s="344"/>
      <c r="TYT50" s="344"/>
      <c r="TYU50" s="344"/>
      <c r="TYV50" s="344"/>
      <c r="TYW50" s="344"/>
      <c r="TYX50" s="344"/>
      <c r="TYY50" s="344"/>
      <c r="TYZ50" s="344"/>
      <c r="TZA50" s="344"/>
      <c r="TZB50" s="344"/>
      <c r="TZC50" s="344"/>
      <c r="TZD50" s="344"/>
      <c r="TZE50" s="344"/>
      <c r="TZF50" s="344"/>
      <c r="TZG50" s="344"/>
      <c r="TZH50" s="344"/>
      <c r="TZI50" s="344"/>
      <c r="TZJ50" s="344"/>
      <c r="TZK50" s="344"/>
      <c r="TZL50" s="344"/>
      <c r="TZM50" s="344"/>
      <c r="TZN50" s="344"/>
      <c r="TZO50" s="344"/>
      <c r="TZP50" s="344"/>
      <c r="TZQ50" s="344"/>
      <c r="TZR50" s="344"/>
      <c r="TZS50" s="344"/>
      <c r="TZT50" s="344"/>
      <c r="TZU50" s="344"/>
      <c r="TZV50" s="344"/>
      <c r="TZW50" s="344"/>
      <c r="TZX50" s="344"/>
      <c r="TZY50" s="344"/>
      <c r="TZZ50" s="344"/>
      <c r="UAA50" s="344"/>
      <c r="UAB50" s="344"/>
      <c r="UAC50" s="344"/>
      <c r="UAD50" s="344"/>
      <c r="UAE50" s="344"/>
      <c r="UAF50" s="344"/>
      <c r="UAG50" s="344"/>
      <c r="UAH50" s="344"/>
      <c r="UAI50" s="344"/>
      <c r="UAJ50" s="344"/>
      <c r="UAK50" s="344"/>
      <c r="UAL50" s="344"/>
      <c r="UAM50" s="344"/>
      <c r="UAN50" s="344"/>
      <c r="UAO50" s="344"/>
      <c r="UAP50" s="344"/>
      <c r="UAQ50" s="344"/>
      <c r="UAR50" s="344"/>
      <c r="UAS50" s="344"/>
      <c r="UAT50" s="344"/>
      <c r="UAU50" s="344"/>
      <c r="UAV50" s="344"/>
      <c r="UAW50" s="344"/>
      <c r="UAX50" s="344"/>
      <c r="UAY50" s="344"/>
      <c r="UAZ50" s="344"/>
      <c r="UBA50" s="344"/>
      <c r="UBB50" s="344"/>
      <c r="UBC50" s="344"/>
      <c r="UBD50" s="344"/>
      <c r="UBE50" s="344"/>
      <c r="UBF50" s="344"/>
      <c r="UBG50" s="344"/>
      <c r="UBH50" s="344"/>
      <c r="UBI50" s="344"/>
      <c r="UBJ50" s="344"/>
      <c r="UBK50" s="344"/>
      <c r="UBL50" s="344"/>
      <c r="UBM50" s="344"/>
      <c r="UBN50" s="344"/>
      <c r="UBO50" s="344"/>
      <c r="UBP50" s="344"/>
      <c r="UBQ50" s="344"/>
      <c r="UBR50" s="344"/>
      <c r="UBS50" s="344"/>
      <c r="UBT50" s="344"/>
      <c r="UBU50" s="344"/>
      <c r="UBV50" s="344"/>
      <c r="UBW50" s="344"/>
      <c r="UBX50" s="344"/>
      <c r="UBY50" s="344"/>
      <c r="UBZ50" s="344"/>
      <c r="UCA50" s="344"/>
      <c r="UCB50" s="344"/>
      <c r="UCC50" s="344"/>
      <c r="UCD50" s="344"/>
      <c r="UCE50" s="344"/>
      <c r="UCF50" s="344"/>
      <c r="UCG50" s="344"/>
      <c r="UCH50" s="344"/>
      <c r="UCI50" s="344"/>
      <c r="UCJ50" s="344"/>
      <c r="UCK50" s="344"/>
      <c r="UCL50" s="344"/>
      <c r="UCM50" s="344"/>
      <c r="UCN50" s="344"/>
      <c r="UCO50" s="344"/>
      <c r="UCP50" s="344"/>
      <c r="UCQ50" s="344"/>
      <c r="UCR50" s="344"/>
      <c r="UCS50" s="344"/>
      <c r="UCT50" s="344"/>
      <c r="UCU50" s="344"/>
      <c r="UCV50" s="344"/>
      <c r="UCW50" s="344"/>
      <c r="UCX50" s="344"/>
      <c r="UCY50" s="344"/>
      <c r="UCZ50" s="344"/>
      <c r="UDA50" s="344"/>
      <c r="UDB50" s="344"/>
      <c r="UDC50" s="344"/>
      <c r="UDD50" s="344"/>
      <c r="UDE50" s="344"/>
      <c r="UDF50" s="344"/>
      <c r="UDG50" s="344"/>
      <c r="UDH50" s="344"/>
      <c r="UDI50" s="344"/>
      <c r="UDJ50" s="344"/>
      <c r="UDK50" s="344"/>
      <c r="UDL50" s="344"/>
      <c r="UDM50" s="344"/>
      <c r="UDN50" s="344"/>
      <c r="UDO50" s="344"/>
      <c r="UDP50" s="344"/>
      <c r="UDQ50" s="344"/>
      <c r="UDR50" s="344"/>
      <c r="UDS50" s="344"/>
      <c r="UDT50" s="344"/>
      <c r="UDU50" s="344"/>
      <c r="UDV50" s="344"/>
      <c r="UDW50" s="344"/>
      <c r="UDX50" s="344"/>
      <c r="UDY50" s="344"/>
      <c r="UDZ50" s="344"/>
      <c r="UEA50" s="344"/>
      <c r="UEB50" s="344"/>
      <c r="UEC50" s="344"/>
      <c r="UED50" s="344"/>
      <c r="UEE50" s="344"/>
      <c r="UEF50" s="344"/>
      <c r="UEG50" s="344"/>
      <c r="UEH50" s="344"/>
      <c r="UEI50" s="344"/>
      <c r="UEJ50" s="344"/>
      <c r="UEK50" s="344"/>
      <c r="UEL50" s="344"/>
      <c r="UEM50" s="344"/>
      <c r="UEN50" s="344"/>
      <c r="UEO50" s="344"/>
      <c r="UEP50" s="344"/>
      <c r="UEQ50" s="344"/>
      <c r="UER50" s="344"/>
      <c r="UES50" s="344"/>
      <c r="UET50" s="344"/>
      <c r="UEU50" s="344"/>
      <c r="UEV50" s="344"/>
      <c r="UEW50" s="344"/>
      <c r="UEX50" s="344"/>
      <c r="UEY50" s="344"/>
      <c r="UEZ50" s="344"/>
      <c r="UFA50" s="344"/>
      <c r="UFB50" s="344"/>
      <c r="UFC50" s="344"/>
      <c r="UFD50" s="344"/>
      <c r="UFE50" s="344"/>
      <c r="UFF50" s="344"/>
      <c r="UFG50" s="344"/>
      <c r="UFH50" s="344"/>
      <c r="UFI50" s="344"/>
      <c r="UFJ50" s="344"/>
      <c r="UFK50" s="344"/>
      <c r="UFL50" s="344"/>
      <c r="UFM50" s="344"/>
      <c r="UFN50" s="344"/>
      <c r="UFO50" s="344"/>
      <c r="UFP50" s="344"/>
      <c r="UFQ50" s="344"/>
      <c r="UFR50" s="344"/>
      <c r="UFS50" s="344"/>
      <c r="UFT50" s="344"/>
      <c r="UFU50" s="344"/>
      <c r="UFV50" s="344"/>
      <c r="UFW50" s="344"/>
      <c r="UFX50" s="344"/>
      <c r="UFY50" s="344"/>
      <c r="UFZ50" s="344"/>
      <c r="UGA50" s="344"/>
      <c r="UGB50" s="344"/>
      <c r="UGC50" s="344"/>
      <c r="UGD50" s="344"/>
      <c r="UGE50" s="344"/>
      <c r="UGF50" s="344"/>
      <c r="UGG50" s="344"/>
      <c r="UGH50" s="344"/>
      <c r="UGI50" s="344"/>
      <c r="UGJ50" s="344"/>
      <c r="UGK50" s="344"/>
      <c r="UGL50" s="344"/>
      <c r="UGM50" s="344"/>
      <c r="UGN50" s="344"/>
      <c r="UGO50" s="344"/>
      <c r="UGP50" s="344"/>
      <c r="UGQ50" s="344"/>
      <c r="UGR50" s="344"/>
      <c r="UGS50" s="344"/>
      <c r="UGT50" s="344"/>
      <c r="UGU50" s="344"/>
      <c r="UGV50" s="344"/>
      <c r="UGW50" s="344"/>
      <c r="UGX50" s="344"/>
      <c r="UGY50" s="344"/>
      <c r="UGZ50" s="344"/>
      <c r="UHA50" s="344"/>
      <c r="UHB50" s="344"/>
      <c r="UHC50" s="344"/>
      <c r="UHD50" s="344"/>
      <c r="UHE50" s="344"/>
      <c r="UHF50" s="344"/>
      <c r="UHG50" s="344"/>
      <c r="UHH50" s="344"/>
      <c r="UHI50" s="344"/>
      <c r="UHJ50" s="344"/>
      <c r="UHK50" s="344"/>
      <c r="UHL50" s="344"/>
      <c r="UHM50" s="344"/>
      <c r="UHN50" s="344"/>
      <c r="UHO50" s="344"/>
      <c r="UHP50" s="344"/>
      <c r="UHQ50" s="344"/>
      <c r="UHR50" s="344"/>
      <c r="UHS50" s="344"/>
      <c r="UHT50" s="344"/>
      <c r="UHU50" s="344"/>
      <c r="UHV50" s="344"/>
      <c r="UHW50" s="344"/>
      <c r="UHX50" s="344"/>
      <c r="UHY50" s="344"/>
      <c r="UHZ50" s="344"/>
      <c r="UIA50" s="344"/>
      <c r="UIB50" s="344"/>
      <c r="UIC50" s="344"/>
      <c r="UID50" s="344"/>
      <c r="UIE50" s="344"/>
      <c r="UIF50" s="344"/>
      <c r="UIG50" s="344"/>
      <c r="UIH50" s="344"/>
      <c r="UII50" s="344"/>
      <c r="UIJ50" s="344"/>
      <c r="UIK50" s="344"/>
      <c r="UIL50" s="344"/>
      <c r="UIM50" s="344"/>
      <c r="UIN50" s="344"/>
      <c r="UIO50" s="344"/>
      <c r="UIP50" s="344"/>
      <c r="UIQ50" s="344"/>
      <c r="UIR50" s="344"/>
      <c r="UIS50" s="344"/>
      <c r="UIT50" s="344"/>
      <c r="UIU50" s="344"/>
      <c r="UIV50" s="344"/>
      <c r="UIW50" s="344"/>
      <c r="UIX50" s="344"/>
      <c r="UIY50" s="344"/>
      <c r="UIZ50" s="344"/>
      <c r="UJA50" s="344"/>
      <c r="UJB50" s="344"/>
      <c r="UJC50" s="344"/>
      <c r="UJD50" s="344"/>
      <c r="UJE50" s="344"/>
      <c r="UJF50" s="344"/>
      <c r="UJG50" s="344"/>
      <c r="UJH50" s="344"/>
      <c r="UJI50" s="344"/>
      <c r="UJJ50" s="344"/>
      <c r="UJK50" s="344"/>
      <c r="UJL50" s="344"/>
      <c r="UJM50" s="344"/>
      <c r="UJN50" s="344"/>
      <c r="UJO50" s="344"/>
      <c r="UJP50" s="344"/>
      <c r="UJQ50" s="344"/>
      <c r="UJR50" s="344"/>
      <c r="UJS50" s="344"/>
      <c r="UJT50" s="344"/>
      <c r="UJU50" s="344"/>
      <c r="UJV50" s="344"/>
      <c r="UJW50" s="344"/>
      <c r="UJX50" s="344"/>
      <c r="UJY50" s="344"/>
      <c r="UJZ50" s="344"/>
      <c r="UKA50" s="344"/>
      <c r="UKB50" s="344"/>
      <c r="UKC50" s="344"/>
      <c r="UKD50" s="344"/>
      <c r="UKE50" s="344"/>
      <c r="UKF50" s="344"/>
      <c r="UKG50" s="344"/>
      <c r="UKH50" s="344"/>
      <c r="UKI50" s="344"/>
      <c r="UKJ50" s="344"/>
      <c r="UKK50" s="344"/>
      <c r="UKL50" s="344"/>
      <c r="UKM50" s="344"/>
      <c r="UKN50" s="344"/>
      <c r="UKO50" s="344"/>
      <c r="UKP50" s="344"/>
      <c r="UKQ50" s="344"/>
      <c r="UKR50" s="344"/>
      <c r="UKS50" s="344"/>
      <c r="UKT50" s="344"/>
      <c r="UKU50" s="344"/>
      <c r="UKV50" s="344"/>
      <c r="UKW50" s="344"/>
      <c r="UKX50" s="344"/>
      <c r="UKY50" s="344"/>
      <c r="UKZ50" s="344"/>
      <c r="ULA50" s="344"/>
      <c r="ULB50" s="344"/>
      <c r="ULC50" s="344"/>
      <c r="ULD50" s="344"/>
      <c r="ULE50" s="344"/>
      <c r="ULF50" s="344"/>
      <c r="ULG50" s="344"/>
      <c r="ULH50" s="344"/>
      <c r="ULI50" s="344"/>
      <c r="ULJ50" s="344"/>
      <c r="ULK50" s="344"/>
      <c r="ULL50" s="344"/>
      <c r="ULM50" s="344"/>
      <c r="ULN50" s="344"/>
      <c r="ULO50" s="344"/>
      <c r="ULP50" s="344"/>
      <c r="ULQ50" s="344"/>
      <c r="ULR50" s="344"/>
      <c r="ULS50" s="344"/>
      <c r="ULT50" s="344"/>
      <c r="ULU50" s="344"/>
      <c r="ULV50" s="344"/>
      <c r="ULW50" s="344"/>
      <c r="ULX50" s="344"/>
      <c r="ULY50" s="344"/>
      <c r="ULZ50" s="344"/>
      <c r="UMA50" s="344"/>
      <c r="UMB50" s="344"/>
      <c r="UMC50" s="344"/>
      <c r="UMD50" s="344"/>
      <c r="UME50" s="344"/>
      <c r="UMF50" s="344"/>
      <c r="UMG50" s="344"/>
      <c r="UMH50" s="344"/>
      <c r="UMI50" s="344"/>
      <c r="UMJ50" s="344"/>
      <c r="UMK50" s="344"/>
      <c r="UML50" s="344"/>
      <c r="UMM50" s="344"/>
      <c r="UMN50" s="344"/>
      <c r="UMO50" s="344"/>
      <c r="UMP50" s="344"/>
      <c r="UMQ50" s="344"/>
      <c r="UMR50" s="344"/>
      <c r="UMS50" s="344"/>
      <c r="UMT50" s="344"/>
      <c r="UMU50" s="344"/>
      <c r="UMV50" s="344"/>
      <c r="UMW50" s="344"/>
      <c r="UMX50" s="344"/>
      <c r="UMY50" s="344"/>
      <c r="UMZ50" s="344"/>
      <c r="UNA50" s="344"/>
      <c r="UNB50" s="344"/>
      <c r="UNC50" s="344"/>
      <c r="UND50" s="344"/>
      <c r="UNE50" s="344"/>
      <c r="UNF50" s="344"/>
      <c r="UNG50" s="344"/>
      <c r="UNH50" s="344"/>
      <c r="UNI50" s="344"/>
      <c r="UNJ50" s="344"/>
      <c r="UNK50" s="344"/>
      <c r="UNL50" s="344"/>
      <c r="UNM50" s="344"/>
      <c r="UNN50" s="344"/>
      <c r="UNO50" s="344"/>
      <c r="UNP50" s="344"/>
      <c r="UNQ50" s="344"/>
      <c r="UNR50" s="344"/>
      <c r="UNS50" s="344"/>
      <c r="UNT50" s="344"/>
      <c r="UNU50" s="344"/>
      <c r="UNV50" s="344"/>
      <c r="UNW50" s="344"/>
      <c r="UNX50" s="344"/>
      <c r="UNY50" s="344"/>
      <c r="UNZ50" s="344"/>
      <c r="UOA50" s="344"/>
      <c r="UOB50" s="344"/>
      <c r="UOC50" s="344"/>
      <c r="UOD50" s="344"/>
      <c r="UOE50" s="344"/>
      <c r="UOF50" s="344"/>
      <c r="UOG50" s="344"/>
      <c r="UOH50" s="344"/>
      <c r="UOI50" s="344"/>
      <c r="UOJ50" s="344"/>
      <c r="UOK50" s="344"/>
      <c r="UOL50" s="344"/>
      <c r="UOM50" s="344"/>
      <c r="UON50" s="344"/>
      <c r="UOO50" s="344"/>
      <c r="UOP50" s="344"/>
      <c r="UOQ50" s="344"/>
      <c r="UOR50" s="344"/>
      <c r="UOS50" s="344"/>
      <c r="UOT50" s="344"/>
      <c r="UOU50" s="344"/>
      <c r="UOV50" s="344"/>
      <c r="UOW50" s="344"/>
      <c r="UOX50" s="344"/>
      <c r="UOY50" s="344"/>
      <c r="UOZ50" s="344"/>
      <c r="UPA50" s="344"/>
      <c r="UPB50" s="344"/>
      <c r="UPC50" s="344"/>
      <c r="UPD50" s="344"/>
      <c r="UPE50" s="344"/>
      <c r="UPF50" s="344"/>
      <c r="UPG50" s="344"/>
      <c r="UPH50" s="344"/>
      <c r="UPI50" s="344"/>
      <c r="UPJ50" s="344"/>
      <c r="UPK50" s="344"/>
      <c r="UPL50" s="344"/>
      <c r="UPM50" s="344"/>
      <c r="UPN50" s="344"/>
      <c r="UPO50" s="344"/>
      <c r="UPP50" s="344"/>
      <c r="UPQ50" s="344"/>
      <c r="UPR50" s="344"/>
      <c r="UPS50" s="344"/>
      <c r="UPT50" s="344"/>
      <c r="UPU50" s="344"/>
      <c r="UPV50" s="344"/>
      <c r="UPW50" s="344"/>
      <c r="UPX50" s="344"/>
      <c r="UPY50" s="344"/>
      <c r="UPZ50" s="344"/>
      <c r="UQA50" s="344"/>
      <c r="UQB50" s="344"/>
      <c r="UQC50" s="344"/>
      <c r="UQD50" s="344"/>
      <c r="UQE50" s="344"/>
      <c r="UQF50" s="344"/>
      <c r="UQG50" s="344"/>
      <c r="UQH50" s="344"/>
      <c r="UQI50" s="344"/>
      <c r="UQJ50" s="344"/>
      <c r="UQK50" s="344"/>
      <c r="UQL50" s="344"/>
      <c r="UQM50" s="344"/>
      <c r="UQN50" s="344"/>
      <c r="UQO50" s="344"/>
      <c r="UQP50" s="344"/>
      <c r="UQQ50" s="344"/>
      <c r="UQR50" s="344"/>
      <c r="UQS50" s="344"/>
      <c r="UQT50" s="344"/>
      <c r="UQU50" s="344"/>
      <c r="UQV50" s="344"/>
      <c r="UQW50" s="344"/>
      <c r="UQX50" s="344"/>
      <c r="UQY50" s="344"/>
      <c r="UQZ50" s="344"/>
      <c r="URA50" s="344"/>
      <c r="URB50" s="344"/>
      <c r="URC50" s="344"/>
      <c r="URD50" s="344"/>
      <c r="URE50" s="344"/>
      <c r="URF50" s="344"/>
      <c r="URG50" s="344"/>
      <c r="URH50" s="344"/>
      <c r="URI50" s="344"/>
      <c r="URJ50" s="344"/>
      <c r="URK50" s="344"/>
      <c r="URL50" s="344"/>
      <c r="URM50" s="344"/>
      <c r="URN50" s="344"/>
      <c r="URO50" s="344"/>
      <c r="URP50" s="344"/>
      <c r="URQ50" s="344"/>
      <c r="URR50" s="344"/>
      <c r="URS50" s="344"/>
      <c r="URT50" s="344"/>
      <c r="URU50" s="344"/>
      <c r="URV50" s="344"/>
      <c r="URW50" s="344"/>
      <c r="URX50" s="344"/>
      <c r="URY50" s="344"/>
      <c r="URZ50" s="344"/>
      <c r="USA50" s="344"/>
      <c r="USB50" s="344"/>
      <c r="USC50" s="344"/>
      <c r="USD50" s="344"/>
      <c r="USE50" s="344"/>
      <c r="USF50" s="344"/>
      <c r="USG50" s="344"/>
      <c r="USH50" s="344"/>
      <c r="USI50" s="344"/>
      <c r="USJ50" s="344"/>
      <c r="USK50" s="344"/>
      <c r="USL50" s="344"/>
      <c r="USM50" s="344"/>
      <c r="USN50" s="344"/>
      <c r="USO50" s="344"/>
      <c r="USP50" s="344"/>
      <c r="USQ50" s="344"/>
      <c r="USR50" s="344"/>
      <c r="USS50" s="344"/>
      <c r="UST50" s="344"/>
      <c r="USU50" s="344"/>
      <c r="USV50" s="344"/>
      <c r="USW50" s="344"/>
      <c r="USX50" s="344"/>
      <c r="USY50" s="344"/>
      <c r="USZ50" s="344"/>
      <c r="UTA50" s="344"/>
      <c r="UTB50" s="344"/>
      <c r="UTC50" s="344"/>
      <c r="UTD50" s="344"/>
      <c r="UTE50" s="344"/>
      <c r="UTF50" s="344"/>
      <c r="UTG50" s="344"/>
      <c r="UTH50" s="344"/>
      <c r="UTI50" s="344"/>
      <c r="UTJ50" s="344"/>
      <c r="UTK50" s="344"/>
      <c r="UTL50" s="344"/>
      <c r="UTM50" s="344"/>
      <c r="UTN50" s="344"/>
      <c r="UTO50" s="344"/>
      <c r="UTP50" s="344"/>
      <c r="UTQ50" s="344"/>
      <c r="UTR50" s="344"/>
      <c r="UTS50" s="344"/>
      <c r="UTT50" s="344"/>
      <c r="UTU50" s="344"/>
      <c r="UTV50" s="344"/>
      <c r="UTW50" s="344"/>
      <c r="UTX50" s="344"/>
      <c r="UTY50" s="344"/>
      <c r="UTZ50" s="344"/>
      <c r="UUA50" s="344"/>
      <c r="UUB50" s="344"/>
      <c r="UUC50" s="344"/>
      <c r="UUD50" s="344"/>
      <c r="UUE50" s="344"/>
      <c r="UUF50" s="344"/>
      <c r="UUG50" s="344"/>
      <c r="UUH50" s="344"/>
      <c r="UUI50" s="344"/>
      <c r="UUJ50" s="344"/>
      <c r="UUK50" s="344"/>
      <c r="UUL50" s="344"/>
      <c r="UUM50" s="344"/>
      <c r="UUN50" s="344"/>
      <c r="UUO50" s="344"/>
      <c r="UUP50" s="344"/>
      <c r="UUQ50" s="344"/>
      <c r="UUR50" s="344"/>
      <c r="UUS50" s="344"/>
      <c r="UUT50" s="344"/>
      <c r="UUU50" s="344"/>
      <c r="UUV50" s="344"/>
      <c r="UUW50" s="344"/>
      <c r="UUX50" s="344"/>
      <c r="UUY50" s="344"/>
      <c r="UUZ50" s="344"/>
      <c r="UVA50" s="344"/>
      <c r="UVB50" s="344"/>
      <c r="UVC50" s="344"/>
      <c r="UVD50" s="344"/>
      <c r="UVE50" s="344"/>
      <c r="UVF50" s="344"/>
      <c r="UVG50" s="344"/>
      <c r="UVH50" s="344"/>
      <c r="UVI50" s="344"/>
      <c r="UVJ50" s="344"/>
      <c r="UVK50" s="344"/>
      <c r="UVL50" s="344"/>
      <c r="UVM50" s="344"/>
      <c r="UVN50" s="344"/>
      <c r="UVO50" s="344"/>
      <c r="UVP50" s="344"/>
      <c r="UVQ50" s="344"/>
      <c r="UVR50" s="344"/>
      <c r="UVS50" s="344"/>
      <c r="UVT50" s="344"/>
      <c r="UVU50" s="344"/>
      <c r="UVV50" s="344"/>
      <c r="UVW50" s="344"/>
      <c r="UVX50" s="344"/>
      <c r="UVY50" s="344"/>
      <c r="UVZ50" s="344"/>
      <c r="UWA50" s="344"/>
      <c r="UWB50" s="344"/>
      <c r="UWC50" s="344"/>
      <c r="UWD50" s="344"/>
      <c r="UWE50" s="344"/>
      <c r="UWF50" s="344"/>
      <c r="UWG50" s="344"/>
      <c r="UWH50" s="344"/>
      <c r="UWI50" s="344"/>
      <c r="UWJ50" s="344"/>
      <c r="UWK50" s="344"/>
      <c r="UWL50" s="344"/>
      <c r="UWM50" s="344"/>
      <c r="UWN50" s="344"/>
      <c r="UWO50" s="344"/>
      <c r="UWP50" s="344"/>
      <c r="UWQ50" s="344"/>
      <c r="UWR50" s="344"/>
      <c r="UWS50" s="344"/>
      <c r="UWT50" s="344"/>
      <c r="UWU50" s="344"/>
      <c r="UWV50" s="344"/>
      <c r="UWW50" s="344"/>
      <c r="UWX50" s="344"/>
      <c r="UWY50" s="344"/>
      <c r="UWZ50" s="344"/>
      <c r="UXA50" s="344"/>
      <c r="UXB50" s="344"/>
      <c r="UXC50" s="344"/>
      <c r="UXD50" s="344"/>
      <c r="UXE50" s="344"/>
      <c r="UXF50" s="344"/>
      <c r="UXG50" s="344"/>
      <c r="UXH50" s="344"/>
      <c r="UXI50" s="344"/>
      <c r="UXJ50" s="344"/>
      <c r="UXK50" s="344"/>
      <c r="UXL50" s="344"/>
      <c r="UXM50" s="344"/>
      <c r="UXN50" s="344"/>
      <c r="UXO50" s="344"/>
      <c r="UXP50" s="344"/>
      <c r="UXQ50" s="344"/>
      <c r="UXR50" s="344"/>
      <c r="UXS50" s="344"/>
      <c r="UXT50" s="344"/>
      <c r="UXU50" s="344"/>
      <c r="UXV50" s="344"/>
      <c r="UXW50" s="344"/>
      <c r="UXX50" s="344"/>
      <c r="UXY50" s="344"/>
      <c r="UXZ50" s="344"/>
      <c r="UYA50" s="344"/>
      <c r="UYB50" s="344"/>
      <c r="UYC50" s="344"/>
      <c r="UYD50" s="344"/>
      <c r="UYE50" s="344"/>
      <c r="UYF50" s="344"/>
      <c r="UYG50" s="344"/>
      <c r="UYH50" s="344"/>
      <c r="UYI50" s="344"/>
      <c r="UYJ50" s="344"/>
      <c r="UYK50" s="344"/>
      <c r="UYL50" s="344"/>
      <c r="UYM50" s="344"/>
      <c r="UYN50" s="344"/>
      <c r="UYO50" s="344"/>
      <c r="UYP50" s="344"/>
      <c r="UYQ50" s="344"/>
      <c r="UYR50" s="344"/>
      <c r="UYS50" s="344"/>
      <c r="UYT50" s="344"/>
      <c r="UYU50" s="344"/>
      <c r="UYV50" s="344"/>
      <c r="UYW50" s="344"/>
      <c r="UYX50" s="344"/>
      <c r="UYY50" s="344"/>
      <c r="UYZ50" s="344"/>
      <c r="UZA50" s="344"/>
      <c r="UZB50" s="344"/>
      <c r="UZC50" s="344"/>
      <c r="UZD50" s="344"/>
      <c r="UZE50" s="344"/>
      <c r="UZF50" s="344"/>
      <c r="UZG50" s="344"/>
      <c r="UZH50" s="344"/>
      <c r="UZI50" s="344"/>
      <c r="UZJ50" s="344"/>
      <c r="UZK50" s="344"/>
      <c r="UZL50" s="344"/>
      <c r="UZM50" s="344"/>
      <c r="UZN50" s="344"/>
      <c r="UZO50" s="344"/>
      <c r="UZP50" s="344"/>
      <c r="UZQ50" s="344"/>
      <c r="UZR50" s="344"/>
      <c r="UZS50" s="344"/>
      <c r="UZT50" s="344"/>
      <c r="UZU50" s="344"/>
      <c r="UZV50" s="344"/>
      <c r="UZW50" s="344"/>
      <c r="UZX50" s="344"/>
      <c r="UZY50" s="344"/>
      <c r="UZZ50" s="344"/>
      <c r="VAA50" s="344"/>
      <c r="VAB50" s="344"/>
      <c r="VAC50" s="344"/>
      <c r="VAD50" s="344"/>
      <c r="VAE50" s="344"/>
      <c r="VAF50" s="344"/>
      <c r="VAG50" s="344"/>
      <c r="VAH50" s="344"/>
      <c r="VAI50" s="344"/>
      <c r="VAJ50" s="344"/>
      <c r="VAK50" s="344"/>
      <c r="VAL50" s="344"/>
      <c r="VAM50" s="344"/>
      <c r="VAN50" s="344"/>
      <c r="VAO50" s="344"/>
      <c r="VAP50" s="344"/>
      <c r="VAQ50" s="344"/>
      <c r="VAR50" s="344"/>
      <c r="VAS50" s="344"/>
      <c r="VAT50" s="344"/>
      <c r="VAU50" s="344"/>
      <c r="VAV50" s="344"/>
      <c r="VAW50" s="344"/>
      <c r="VAX50" s="344"/>
      <c r="VAY50" s="344"/>
      <c r="VAZ50" s="344"/>
      <c r="VBA50" s="344"/>
      <c r="VBB50" s="344"/>
      <c r="VBC50" s="344"/>
      <c r="VBD50" s="344"/>
      <c r="VBE50" s="344"/>
      <c r="VBF50" s="344"/>
      <c r="VBG50" s="344"/>
      <c r="VBH50" s="344"/>
      <c r="VBI50" s="344"/>
      <c r="VBJ50" s="344"/>
      <c r="VBK50" s="344"/>
      <c r="VBL50" s="344"/>
      <c r="VBM50" s="344"/>
      <c r="VBN50" s="344"/>
      <c r="VBO50" s="344"/>
      <c r="VBP50" s="344"/>
      <c r="VBQ50" s="344"/>
      <c r="VBR50" s="344"/>
      <c r="VBS50" s="344"/>
      <c r="VBT50" s="344"/>
      <c r="VBU50" s="344"/>
      <c r="VBV50" s="344"/>
      <c r="VBW50" s="344"/>
      <c r="VBX50" s="344"/>
      <c r="VBY50" s="344"/>
      <c r="VBZ50" s="344"/>
      <c r="VCA50" s="344"/>
      <c r="VCB50" s="344"/>
      <c r="VCC50" s="344"/>
      <c r="VCD50" s="344"/>
      <c r="VCE50" s="344"/>
      <c r="VCF50" s="344"/>
      <c r="VCG50" s="344"/>
      <c r="VCH50" s="344"/>
      <c r="VCI50" s="344"/>
      <c r="VCJ50" s="344"/>
      <c r="VCK50" s="344"/>
      <c r="VCL50" s="344"/>
      <c r="VCM50" s="344"/>
      <c r="VCN50" s="344"/>
      <c r="VCO50" s="344"/>
      <c r="VCP50" s="344"/>
      <c r="VCQ50" s="344"/>
      <c r="VCR50" s="344"/>
      <c r="VCS50" s="344"/>
      <c r="VCT50" s="344"/>
      <c r="VCU50" s="344"/>
      <c r="VCV50" s="344"/>
      <c r="VCW50" s="344"/>
      <c r="VCX50" s="344"/>
      <c r="VCY50" s="344"/>
      <c r="VCZ50" s="344"/>
      <c r="VDA50" s="344"/>
      <c r="VDB50" s="344"/>
      <c r="VDC50" s="344"/>
      <c r="VDD50" s="344"/>
      <c r="VDE50" s="344"/>
      <c r="VDF50" s="344"/>
      <c r="VDG50" s="344"/>
      <c r="VDH50" s="344"/>
      <c r="VDI50" s="344"/>
      <c r="VDJ50" s="344"/>
      <c r="VDK50" s="344"/>
      <c r="VDL50" s="344"/>
      <c r="VDM50" s="344"/>
      <c r="VDN50" s="344"/>
      <c r="VDO50" s="344"/>
      <c r="VDP50" s="344"/>
      <c r="VDQ50" s="344"/>
      <c r="VDR50" s="344"/>
      <c r="VDS50" s="344"/>
      <c r="VDT50" s="344"/>
      <c r="VDU50" s="344"/>
      <c r="VDV50" s="344"/>
      <c r="VDW50" s="344"/>
      <c r="VDX50" s="344"/>
      <c r="VDY50" s="344"/>
      <c r="VDZ50" s="344"/>
      <c r="VEA50" s="344"/>
      <c r="VEB50" s="344"/>
      <c r="VEC50" s="344"/>
      <c r="VED50" s="344"/>
      <c r="VEE50" s="344"/>
      <c r="VEF50" s="344"/>
      <c r="VEG50" s="344"/>
      <c r="VEH50" s="344"/>
      <c r="VEI50" s="344"/>
      <c r="VEJ50" s="344"/>
      <c r="VEK50" s="344"/>
      <c r="VEL50" s="344"/>
      <c r="VEM50" s="344"/>
      <c r="VEN50" s="344"/>
      <c r="VEO50" s="344"/>
      <c r="VEP50" s="344"/>
      <c r="VEQ50" s="344"/>
      <c r="VER50" s="344"/>
      <c r="VES50" s="344"/>
      <c r="VET50" s="344"/>
      <c r="VEU50" s="344"/>
      <c r="VEV50" s="344"/>
      <c r="VEW50" s="344"/>
      <c r="VEX50" s="344"/>
      <c r="VEY50" s="344"/>
      <c r="VEZ50" s="344"/>
      <c r="VFA50" s="344"/>
      <c r="VFB50" s="344"/>
      <c r="VFC50" s="344"/>
      <c r="VFD50" s="344"/>
      <c r="VFE50" s="344"/>
      <c r="VFF50" s="344"/>
      <c r="VFG50" s="344"/>
      <c r="VFH50" s="344"/>
      <c r="VFI50" s="344"/>
      <c r="VFJ50" s="344"/>
      <c r="VFK50" s="344"/>
      <c r="VFL50" s="344"/>
      <c r="VFM50" s="344"/>
      <c r="VFN50" s="344"/>
      <c r="VFO50" s="344"/>
      <c r="VFP50" s="344"/>
      <c r="VFQ50" s="344"/>
      <c r="VFR50" s="344"/>
      <c r="VFS50" s="344"/>
      <c r="VFT50" s="344"/>
      <c r="VFU50" s="344"/>
      <c r="VFV50" s="344"/>
      <c r="VFW50" s="344"/>
      <c r="VFX50" s="344"/>
      <c r="VFY50" s="344"/>
      <c r="VFZ50" s="344"/>
      <c r="VGA50" s="344"/>
      <c r="VGB50" s="344"/>
      <c r="VGC50" s="344"/>
      <c r="VGD50" s="344"/>
      <c r="VGE50" s="344"/>
      <c r="VGF50" s="344"/>
      <c r="VGG50" s="344"/>
      <c r="VGH50" s="344"/>
      <c r="VGI50" s="344"/>
      <c r="VGJ50" s="344"/>
      <c r="VGK50" s="344"/>
      <c r="VGL50" s="344"/>
      <c r="VGM50" s="344"/>
      <c r="VGN50" s="344"/>
      <c r="VGO50" s="344"/>
      <c r="VGP50" s="344"/>
      <c r="VGQ50" s="344"/>
      <c r="VGR50" s="344"/>
      <c r="VGS50" s="344"/>
      <c r="VGT50" s="344"/>
      <c r="VGU50" s="344"/>
      <c r="VGV50" s="344"/>
      <c r="VGW50" s="344"/>
      <c r="VGX50" s="344"/>
      <c r="VGY50" s="344"/>
      <c r="VGZ50" s="344"/>
      <c r="VHA50" s="344"/>
      <c r="VHB50" s="344"/>
      <c r="VHC50" s="344"/>
      <c r="VHD50" s="344"/>
      <c r="VHE50" s="344"/>
      <c r="VHF50" s="344"/>
      <c r="VHG50" s="344"/>
      <c r="VHH50" s="344"/>
      <c r="VHI50" s="344"/>
      <c r="VHJ50" s="344"/>
      <c r="VHK50" s="344"/>
      <c r="VHL50" s="344"/>
      <c r="VHM50" s="344"/>
      <c r="VHN50" s="344"/>
      <c r="VHO50" s="344"/>
      <c r="VHP50" s="344"/>
      <c r="VHQ50" s="344"/>
      <c r="VHR50" s="344"/>
      <c r="VHS50" s="344"/>
      <c r="VHT50" s="344"/>
      <c r="VHU50" s="344"/>
      <c r="VHV50" s="344"/>
      <c r="VHW50" s="344"/>
      <c r="VHX50" s="344"/>
      <c r="VHY50" s="344"/>
      <c r="VHZ50" s="344"/>
      <c r="VIA50" s="344"/>
      <c r="VIB50" s="344"/>
      <c r="VIC50" s="344"/>
      <c r="VID50" s="344"/>
      <c r="VIE50" s="344"/>
      <c r="VIF50" s="344"/>
      <c r="VIG50" s="344"/>
      <c r="VIH50" s="344"/>
      <c r="VII50" s="344"/>
      <c r="VIJ50" s="344"/>
      <c r="VIK50" s="344"/>
      <c r="VIL50" s="344"/>
      <c r="VIM50" s="344"/>
      <c r="VIN50" s="344"/>
      <c r="VIO50" s="344"/>
      <c r="VIP50" s="344"/>
      <c r="VIQ50" s="344"/>
      <c r="VIR50" s="344"/>
      <c r="VIS50" s="344"/>
      <c r="VIT50" s="344"/>
      <c r="VIU50" s="344"/>
      <c r="VIV50" s="344"/>
      <c r="VIW50" s="344"/>
      <c r="VIX50" s="344"/>
      <c r="VIY50" s="344"/>
      <c r="VIZ50" s="344"/>
      <c r="VJA50" s="344"/>
      <c r="VJB50" s="344"/>
      <c r="VJC50" s="344"/>
      <c r="VJD50" s="344"/>
      <c r="VJE50" s="344"/>
      <c r="VJF50" s="344"/>
      <c r="VJG50" s="344"/>
      <c r="VJH50" s="344"/>
      <c r="VJI50" s="344"/>
      <c r="VJJ50" s="344"/>
      <c r="VJK50" s="344"/>
      <c r="VJL50" s="344"/>
      <c r="VJM50" s="344"/>
      <c r="VJN50" s="344"/>
      <c r="VJO50" s="344"/>
      <c r="VJP50" s="344"/>
      <c r="VJQ50" s="344"/>
      <c r="VJR50" s="344"/>
      <c r="VJS50" s="344"/>
      <c r="VJT50" s="344"/>
      <c r="VJU50" s="344"/>
      <c r="VJV50" s="344"/>
      <c r="VJW50" s="344"/>
      <c r="VJX50" s="344"/>
      <c r="VJY50" s="344"/>
      <c r="VJZ50" s="344"/>
      <c r="VKA50" s="344"/>
      <c r="VKB50" s="344"/>
      <c r="VKC50" s="344"/>
      <c r="VKD50" s="344"/>
      <c r="VKE50" s="344"/>
      <c r="VKF50" s="344"/>
      <c r="VKG50" s="344"/>
      <c r="VKH50" s="344"/>
      <c r="VKI50" s="344"/>
      <c r="VKJ50" s="344"/>
      <c r="VKK50" s="344"/>
      <c r="VKL50" s="344"/>
      <c r="VKM50" s="344"/>
      <c r="VKN50" s="344"/>
      <c r="VKO50" s="344"/>
      <c r="VKP50" s="344"/>
      <c r="VKQ50" s="344"/>
      <c r="VKR50" s="344"/>
      <c r="VKS50" s="344"/>
      <c r="VKT50" s="344"/>
      <c r="VKU50" s="344"/>
      <c r="VKV50" s="344"/>
      <c r="VKW50" s="344"/>
      <c r="VKX50" s="344"/>
      <c r="VKY50" s="344"/>
      <c r="VKZ50" s="344"/>
      <c r="VLA50" s="344"/>
      <c r="VLB50" s="344"/>
      <c r="VLC50" s="344"/>
      <c r="VLD50" s="344"/>
      <c r="VLE50" s="344"/>
      <c r="VLF50" s="344"/>
      <c r="VLG50" s="344"/>
      <c r="VLH50" s="344"/>
      <c r="VLI50" s="344"/>
      <c r="VLJ50" s="344"/>
      <c r="VLK50" s="344"/>
      <c r="VLL50" s="344"/>
      <c r="VLM50" s="344"/>
      <c r="VLN50" s="344"/>
      <c r="VLO50" s="344"/>
      <c r="VLP50" s="344"/>
      <c r="VLQ50" s="344"/>
      <c r="VLR50" s="344"/>
      <c r="VLS50" s="344"/>
      <c r="VLT50" s="344"/>
      <c r="VLU50" s="344"/>
      <c r="VLV50" s="344"/>
      <c r="VLW50" s="344"/>
      <c r="VLX50" s="344"/>
      <c r="VLY50" s="344"/>
      <c r="VLZ50" s="344"/>
      <c r="VMA50" s="344"/>
      <c r="VMB50" s="344"/>
      <c r="VMC50" s="344"/>
      <c r="VMD50" s="344"/>
      <c r="VME50" s="344"/>
      <c r="VMF50" s="344"/>
      <c r="VMG50" s="344"/>
      <c r="VMH50" s="344"/>
      <c r="VMI50" s="344"/>
      <c r="VMJ50" s="344"/>
      <c r="VMK50" s="344"/>
      <c r="VML50" s="344"/>
      <c r="VMM50" s="344"/>
      <c r="VMN50" s="344"/>
      <c r="VMO50" s="344"/>
      <c r="VMP50" s="344"/>
      <c r="VMQ50" s="344"/>
      <c r="VMR50" s="344"/>
      <c r="VMS50" s="344"/>
      <c r="VMT50" s="344"/>
      <c r="VMU50" s="344"/>
      <c r="VMV50" s="344"/>
      <c r="VMW50" s="344"/>
      <c r="VMX50" s="344"/>
      <c r="VMY50" s="344"/>
      <c r="VMZ50" s="344"/>
      <c r="VNA50" s="344"/>
      <c r="VNB50" s="344"/>
      <c r="VNC50" s="344"/>
      <c r="VND50" s="344"/>
      <c r="VNE50" s="344"/>
      <c r="VNF50" s="344"/>
      <c r="VNG50" s="344"/>
      <c r="VNH50" s="344"/>
      <c r="VNI50" s="344"/>
      <c r="VNJ50" s="344"/>
      <c r="VNK50" s="344"/>
      <c r="VNL50" s="344"/>
      <c r="VNM50" s="344"/>
      <c r="VNN50" s="344"/>
      <c r="VNO50" s="344"/>
      <c r="VNP50" s="344"/>
      <c r="VNQ50" s="344"/>
      <c r="VNR50" s="344"/>
      <c r="VNS50" s="344"/>
      <c r="VNT50" s="344"/>
      <c r="VNU50" s="344"/>
      <c r="VNV50" s="344"/>
      <c r="VNW50" s="344"/>
      <c r="VNX50" s="344"/>
      <c r="VNY50" s="344"/>
      <c r="VNZ50" s="344"/>
      <c r="VOA50" s="344"/>
      <c r="VOB50" s="344"/>
      <c r="VOC50" s="344"/>
      <c r="VOD50" s="344"/>
      <c r="VOE50" s="344"/>
      <c r="VOF50" s="344"/>
      <c r="VOG50" s="344"/>
      <c r="VOH50" s="344"/>
      <c r="VOI50" s="344"/>
      <c r="VOJ50" s="344"/>
      <c r="VOK50" s="344"/>
      <c r="VOL50" s="344"/>
      <c r="VOM50" s="344"/>
      <c r="VON50" s="344"/>
      <c r="VOO50" s="344"/>
      <c r="VOP50" s="344"/>
      <c r="VOQ50" s="344"/>
      <c r="VOR50" s="344"/>
      <c r="VOS50" s="344"/>
      <c r="VOT50" s="344"/>
      <c r="VOU50" s="344"/>
      <c r="VOV50" s="344"/>
      <c r="VOW50" s="344"/>
      <c r="VOX50" s="344"/>
      <c r="VOY50" s="344"/>
      <c r="VOZ50" s="344"/>
      <c r="VPA50" s="344"/>
      <c r="VPB50" s="344"/>
      <c r="VPC50" s="344"/>
      <c r="VPD50" s="344"/>
      <c r="VPE50" s="344"/>
      <c r="VPF50" s="344"/>
      <c r="VPG50" s="344"/>
      <c r="VPH50" s="344"/>
      <c r="VPI50" s="344"/>
      <c r="VPJ50" s="344"/>
      <c r="VPK50" s="344"/>
      <c r="VPL50" s="344"/>
      <c r="VPM50" s="344"/>
      <c r="VPN50" s="344"/>
      <c r="VPO50" s="344"/>
      <c r="VPP50" s="344"/>
      <c r="VPQ50" s="344"/>
      <c r="VPR50" s="344"/>
      <c r="VPS50" s="344"/>
      <c r="VPT50" s="344"/>
      <c r="VPU50" s="344"/>
      <c r="VPV50" s="344"/>
      <c r="VPW50" s="344"/>
      <c r="VPX50" s="344"/>
      <c r="VPY50" s="344"/>
      <c r="VPZ50" s="344"/>
      <c r="VQA50" s="344"/>
      <c r="VQB50" s="344"/>
      <c r="VQC50" s="344"/>
      <c r="VQD50" s="344"/>
      <c r="VQE50" s="344"/>
      <c r="VQF50" s="344"/>
      <c r="VQG50" s="344"/>
      <c r="VQH50" s="344"/>
      <c r="VQI50" s="344"/>
      <c r="VQJ50" s="344"/>
      <c r="VQK50" s="344"/>
      <c r="VQL50" s="344"/>
      <c r="VQM50" s="344"/>
      <c r="VQN50" s="344"/>
      <c r="VQO50" s="344"/>
      <c r="VQP50" s="344"/>
      <c r="VQQ50" s="344"/>
      <c r="VQR50" s="344"/>
      <c r="VQS50" s="344"/>
      <c r="VQT50" s="344"/>
      <c r="VQU50" s="344"/>
      <c r="VQV50" s="344"/>
      <c r="VQW50" s="344"/>
      <c r="VQX50" s="344"/>
      <c r="VQY50" s="344"/>
      <c r="VQZ50" s="344"/>
      <c r="VRA50" s="344"/>
      <c r="VRB50" s="344"/>
      <c r="VRC50" s="344"/>
      <c r="VRD50" s="344"/>
      <c r="VRE50" s="344"/>
      <c r="VRF50" s="344"/>
      <c r="VRG50" s="344"/>
      <c r="VRH50" s="344"/>
      <c r="VRI50" s="344"/>
      <c r="VRJ50" s="344"/>
      <c r="VRK50" s="344"/>
      <c r="VRL50" s="344"/>
      <c r="VRM50" s="344"/>
      <c r="VRN50" s="344"/>
      <c r="VRO50" s="344"/>
      <c r="VRP50" s="344"/>
      <c r="VRQ50" s="344"/>
      <c r="VRR50" s="344"/>
      <c r="VRS50" s="344"/>
      <c r="VRT50" s="344"/>
      <c r="VRU50" s="344"/>
      <c r="VRV50" s="344"/>
      <c r="VRW50" s="344"/>
      <c r="VRX50" s="344"/>
      <c r="VRY50" s="344"/>
      <c r="VRZ50" s="344"/>
      <c r="VSA50" s="344"/>
      <c r="VSB50" s="344"/>
      <c r="VSC50" s="344"/>
      <c r="VSD50" s="344"/>
      <c r="VSE50" s="344"/>
      <c r="VSF50" s="344"/>
      <c r="VSG50" s="344"/>
      <c r="VSH50" s="344"/>
      <c r="VSI50" s="344"/>
      <c r="VSJ50" s="344"/>
      <c r="VSK50" s="344"/>
      <c r="VSL50" s="344"/>
      <c r="VSM50" s="344"/>
      <c r="VSN50" s="344"/>
      <c r="VSO50" s="344"/>
      <c r="VSP50" s="344"/>
      <c r="VSQ50" s="344"/>
      <c r="VSR50" s="344"/>
      <c r="VSS50" s="344"/>
      <c r="VST50" s="344"/>
      <c r="VSU50" s="344"/>
      <c r="VSV50" s="344"/>
      <c r="VSW50" s="344"/>
      <c r="VSX50" s="344"/>
      <c r="VSY50" s="344"/>
      <c r="VSZ50" s="344"/>
      <c r="VTA50" s="344"/>
      <c r="VTB50" s="344"/>
      <c r="VTC50" s="344"/>
      <c r="VTD50" s="344"/>
      <c r="VTE50" s="344"/>
      <c r="VTF50" s="344"/>
      <c r="VTG50" s="344"/>
      <c r="VTH50" s="344"/>
      <c r="VTI50" s="344"/>
      <c r="VTJ50" s="344"/>
      <c r="VTK50" s="344"/>
      <c r="VTL50" s="344"/>
      <c r="VTM50" s="344"/>
      <c r="VTN50" s="344"/>
      <c r="VTO50" s="344"/>
      <c r="VTP50" s="344"/>
      <c r="VTQ50" s="344"/>
      <c r="VTR50" s="344"/>
      <c r="VTS50" s="344"/>
      <c r="VTT50" s="344"/>
      <c r="VTU50" s="344"/>
      <c r="VTV50" s="344"/>
      <c r="VTW50" s="344"/>
      <c r="VTX50" s="344"/>
      <c r="VTY50" s="344"/>
      <c r="VTZ50" s="344"/>
      <c r="VUA50" s="344"/>
      <c r="VUB50" s="344"/>
      <c r="VUC50" s="344"/>
      <c r="VUD50" s="344"/>
      <c r="VUE50" s="344"/>
      <c r="VUF50" s="344"/>
      <c r="VUG50" s="344"/>
      <c r="VUH50" s="344"/>
      <c r="VUI50" s="344"/>
      <c r="VUJ50" s="344"/>
      <c r="VUK50" s="344"/>
      <c r="VUL50" s="344"/>
      <c r="VUM50" s="344"/>
      <c r="VUN50" s="344"/>
      <c r="VUO50" s="344"/>
      <c r="VUP50" s="344"/>
      <c r="VUQ50" s="344"/>
      <c r="VUR50" s="344"/>
      <c r="VUS50" s="344"/>
      <c r="VUT50" s="344"/>
      <c r="VUU50" s="344"/>
      <c r="VUV50" s="344"/>
      <c r="VUW50" s="344"/>
      <c r="VUX50" s="344"/>
      <c r="VUY50" s="344"/>
      <c r="VUZ50" s="344"/>
      <c r="VVA50" s="344"/>
      <c r="VVB50" s="344"/>
      <c r="VVC50" s="344"/>
      <c r="VVD50" s="344"/>
      <c r="VVE50" s="344"/>
      <c r="VVF50" s="344"/>
      <c r="VVG50" s="344"/>
      <c r="VVH50" s="344"/>
      <c r="VVI50" s="344"/>
      <c r="VVJ50" s="344"/>
      <c r="VVK50" s="344"/>
      <c r="VVL50" s="344"/>
      <c r="VVM50" s="344"/>
      <c r="VVN50" s="344"/>
      <c r="VVO50" s="344"/>
      <c r="VVP50" s="344"/>
      <c r="VVQ50" s="344"/>
      <c r="VVR50" s="344"/>
      <c r="VVS50" s="344"/>
      <c r="VVT50" s="344"/>
      <c r="VVU50" s="344"/>
      <c r="VVV50" s="344"/>
      <c r="VVW50" s="344"/>
      <c r="VVX50" s="344"/>
      <c r="VVY50" s="344"/>
      <c r="VVZ50" s="344"/>
      <c r="VWA50" s="344"/>
      <c r="VWB50" s="344"/>
      <c r="VWC50" s="344"/>
      <c r="VWD50" s="344"/>
      <c r="VWE50" s="344"/>
      <c r="VWF50" s="344"/>
      <c r="VWG50" s="344"/>
      <c r="VWH50" s="344"/>
      <c r="VWI50" s="344"/>
      <c r="VWJ50" s="344"/>
      <c r="VWK50" s="344"/>
      <c r="VWL50" s="344"/>
      <c r="VWM50" s="344"/>
      <c r="VWN50" s="344"/>
      <c r="VWO50" s="344"/>
      <c r="VWP50" s="344"/>
      <c r="VWQ50" s="344"/>
      <c r="VWR50" s="344"/>
      <c r="VWS50" s="344"/>
      <c r="VWT50" s="344"/>
      <c r="VWU50" s="344"/>
      <c r="VWV50" s="344"/>
      <c r="VWW50" s="344"/>
      <c r="VWX50" s="344"/>
      <c r="VWY50" s="344"/>
      <c r="VWZ50" s="344"/>
      <c r="VXA50" s="344"/>
      <c r="VXB50" s="344"/>
      <c r="VXC50" s="344"/>
      <c r="VXD50" s="344"/>
      <c r="VXE50" s="344"/>
      <c r="VXF50" s="344"/>
      <c r="VXG50" s="344"/>
      <c r="VXH50" s="344"/>
      <c r="VXI50" s="344"/>
      <c r="VXJ50" s="344"/>
      <c r="VXK50" s="344"/>
      <c r="VXL50" s="344"/>
      <c r="VXM50" s="344"/>
      <c r="VXN50" s="344"/>
      <c r="VXO50" s="344"/>
      <c r="VXP50" s="344"/>
      <c r="VXQ50" s="344"/>
      <c r="VXR50" s="344"/>
      <c r="VXS50" s="344"/>
      <c r="VXT50" s="344"/>
      <c r="VXU50" s="344"/>
      <c r="VXV50" s="344"/>
      <c r="VXW50" s="344"/>
      <c r="VXX50" s="344"/>
      <c r="VXY50" s="344"/>
      <c r="VXZ50" s="344"/>
      <c r="VYA50" s="344"/>
      <c r="VYB50" s="344"/>
      <c r="VYC50" s="344"/>
      <c r="VYD50" s="344"/>
      <c r="VYE50" s="344"/>
      <c r="VYF50" s="344"/>
      <c r="VYG50" s="344"/>
      <c r="VYH50" s="344"/>
      <c r="VYI50" s="344"/>
      <c r="VYJ50" s="344"/>
      <c r="VYK50" s="344"/>
      <c r="VYL50" s="344"/>
      <c r="VYM50" s="344"/>
      <c r="VYN50" s="344"/>
      <c r="VYO50" s="344"/>
      <c r="VYP50" s="344"/>
      <c r="VYQ50" s="344"/>
      <c r="VYR50" s="344"/>
      <c r="VYS50" s="344"/>
      <c r="VYT50" s="344"/>
      <c r="VYU50" s="344"/>
      <c r="VYV50" s="344"/>
      <c r="VYW50" s="344"/>
      <c r="VYX50" s="344"/>
      <c r="VYY50" s="344"/>
      <c r="VYZ50" s="344"/>
      <c r="VZA50" s="344"/>
      <c r="VZB50" s="344"/>
      <c r="VZC50" s="344"/>
      <c r="VZD50" s="344"/>
      <c r="VZE50" s="344"/>
      <c r="VZF50" s="344"/>
      <c r="VZG50" s="344"/>
      <c r="VZH50" s="344"/>
      <c r="VZI50" s="344"/>
      <c r="VZJ50" s="344"/>
      <c r="VZK50" s="344"/>
      <c r="VZL50" s="344"/>
      <c r="VZM50" s="344"/>
      <c r="VZN50" s="344"/>
      <c r="VZO50" s="344"/>
      <c r="VZP50" s="344"/>
      <c r="VZQ50" s="344"/>
      <c r="VZR50" s="344"/>
      <c r="VZS50" s="344"/>
      <c r="VZT50" s="344"/>
      <c r="VZU50" s="344"/>
      <c r="VZV50" s="344"/>
      <c r="VZW50" s="344"/>
      <c r="VZX50" s="344"/>
      <c r="VZY50" s="344"/>
      <c r="VZZ50" s="344"/>
      <c r="WAA50" s="344"/>
      <c r="WAB50" s="344"/>
      <c r="WAC50" s="344"/>
      <c r="WAD50" s="344"/>
      <c r="WAE50" s="344"/>
      <c r="WAF50" s="344"/>
      <c r="WAG50" s="344"/>
      <c r="WAH50" s="344"/>
      <c r="WAI50" s="344"/>
      <c r="WAJ50" s="344"/>
      <c r="WAK50" s="344"/>
      <c r="WAL50" s="344"/>
      <c r="WAM50" s="344"/>
      <c r="WAN50" s="344"/>
      <c r="WAO50" s="344"/>
      <c r="WAP50" s="344"/>
      <c r="WAQ50" s="344"/>
      <c r="WAR50" s="344"/>
      <c r="WAS50" s="344"/>
      <c r="WAT50" s="344"/>
      <c r="WAU50" s="344"/>
      <c r="WAV50" s="344"/>
      <c r="WAW50" s="344"/>
      <c r="WAX50" s="344"/>
      <c r="WAY50" s="344"/>
      <c r="WAZ50" s="344"/>
      <c r="WBA50" s="344"/>
      <c r="WBB50" s="344"/>
      <c r="WBC50" s="344"/>
      <c r="WBD50" s="344"/>
      <c r="WBE50" s="344"/>
      <c r="WBF50" s="344"/>
      <c r="WBG50" s="344"/>
      <c r="WBH50" s="344"/>
      <c r="WBI50" s="344"/>
      <c r="WBJ50" s="344"/>
      <c r="WBK50" s="344"/>
      <c r="WBL50" s="344"/>
      <c r="WBM50" s="344"/>
      <c r="WBN50" s="344"/>
      <c r="WBO50" s="344"/>
      <c r="WBP50" s="344"/>
      <c r="WBQ50" s="344"/>
      <c r="WBR50" s="344"/>
      <c r="WBS50" s="344"/>
      <c r="WBT50" s="344"/>
      <c r="WBU50" s="344"/>
      <c r="WBV50" s="344"/>
      <c r="WBW50" s="344"/>
      <c r="WBX50" s="344"/>
      <c r="WBY50" s="344"/>
      <c r="WBZ50" s="344"/>
      <c r="WCA50" s="344"/>
      <c r="WCB50" s="344"/>
      <c r="WCC50" s="344"/>
      <c r="WCD50" s="344"/>
      <c r="WCE50" s="344"/>
      <c r="WCF50" s="344"/>
      <c r="WCG50" s="344"/>
      <c r="WCH50" s="344"/>
      <c r="WCI50" s="344"/>
      <c r="WCJ50" s="344"/>
      <c r="WCK50" s="344"/>
      <c r="WCL50" s="344"/>
      <c r="WCM50" s="344"/>
      <c r="WCN50" s="344"/>
      <c r="WCO50" s="344"/>
      <c r="WCP50" s="344"/>
      <c r="WCQ50" s="344"/>
      <c r="WCR50" s="344"/>
      <c r="WCS50" s="344"/>
      <c r="WCT50" s="344"/>
      <c r="WCU50" s="344"/>
      <c r="WCV50" s="344"/>
      <c r="WCW50" s="344"/>
      <c r="WCX50" s="344"/>
      <c r="WCY50" s="344"/>
      <c r="WCZ50" s="344"/>
      <c r="WDA50" s="344"/>
      <c r="WDB50" s="344"/>
      <c r="WDC50" s="344"/>
      <c r="WDD50" s="344"/>
      <c r="WDE50" s="344"/>
      <c r="WDF50" s="344"/>
      <c r="WDG50" s="344"/>
      <c r="WDH50" s="344"/>
      <c r="WDI50" s="344"/>
      <c r="WDJ50" s="344"/>
      <c r="WDK50" s="344"/>
      <c r="WDL50" s="344"/>
      <c r="WDM50" s="344"/>
      <c r="WDN50" s="344"/>
      <c r="WDO50" s="344"/>
      <c r="WDP50" s="344"/>
      <c r="WDQ50" s="344"/>
      <c r="WDR50" s="344"/>
      <c r="WDS50" s="344"/>
      <c r="WDT50" s="344"/>
      <c r="WDU50" s="344"/>
      <c r="WDV50" s="344"/>
      <c r="WDW50" s="344"/>
      <c r="WDX50" s="344"/>
      <c r="WDY50" s="344"/>
      <c r="WDZ50" s="344"/>
      <c r="WEA50" s="344"/>
      <c r="WEB50" s="344"/>
      <c r="WEC50" s="344"/>
      <c r="WED50" s="344"/>
      <c r="WEE50" s="344"/>
      <c r="WEF50" s="344"/>
      <c r="WEG50" s="344"/>
      <c r="WEH50" s="344"/>
      <c r="WEI50" s="344"/>
      <c r="WEJ50" s="344"/>
      <c r="WEK50" s="344"/>
      <c r="WEL50" s="344"/>
      <c r="WEM50" s="344"/>
      <c r="WEN50" s="344"/>
      <c r="WEO50" s="344"/>
      <c r="WEP50" s="344"/>
      <c r="WEQ50" s="344"/>
      <c r="WER50" s="344"/>
      <c r="WES50" s="344"/>
      <c r="WET50" s="344"/>
      <c r="WEU50" s="344"/>
      <c r="WEV50" s="344"/>
      <c r="WEW50" s="344"/>
      <c r="WEX50" s="344"/>
      <c r="WEY50" s="344"/>
      <c r="WEZ50" s="344"/>
      <c r="WFA50" s="344"/>
      <c r="WFB50" s="344"/>
      <c r="WFC50" s="344"/>
      <c r="WFD50" s="344"/>
      <c r="WFE50" s="344"/>
      <c r="WFF50" s="344"/>
      <c r="WFG50" s="344"/>
      <c r="WFH50" s="344"/>
      <c r="WFI50" s="344"/>
      <c r="WFJ50" s="344"/>
      <c r="WFK50" s="344"/>
      <c r="WFL50" s="344"/>
      <c r="WFM50" s="344"/>
      <c r="WFN50" s="344"/>
      <c r="WFO50" s="344"/>
      <c r="WFP50" s="344"/>
      <c r="WFQ50" s="344"/>
      <c r="WFR50" s="344"/>
      <c r="WFS50" s="344"/>
      <c r="WFT50" s="344"/>
      <c r="WFU50" s="344"/>
      <c r="WFV50" s="344"/>
      <c r="WFW50" s="344"/>
      <c r="WFX50" s="344"/>
      <c r="WFY50" s="344"/>
      <c r="WFZ50" s="344"/>
      <c r="WGA50" s="344"/>
      <c r="WGB50" s="344"/>
      <c r="WGC50" s="344"/>
      <c r="WGD50" s="344"/>
      <c r="WGE50" s="344"/>
      <c r="WGF50" s="344"/>
      <c r="WGG50" s="344"/>
      <c r="WGH50" s="344"/>
      <c r="WGI50" s="344"/>
      <c r="WGJ50" s="344"/>
      <c r="WGK50" s="344"/>
      <c r="WGL50" s="344"/>
      <c r="WGM50" s="344"/>
      <c r="WGN50" s="344"/>
      <c r="WGO50" s="344"/>
      <c r="WGP50" s="344"/>
      <c r="WGQ50" s="344"/>
      <c r="WGR50" s="344"/>
      <c r="WGS50" s="344"/>
      <c r="WGT50" s="344"/>
      <c r="WGU50" s="344"/>
      <c r="WGV50" s="344"/>
      <c r="WGW50" s="344"/>
      <c r="WGX50" s="344"/>
      <c r="WGY50" s="344"/>
      <c r="WGZ50" s="344"/>
      <c r="WHA50" s="344"/>
      <c r="WHB50" s="344"/>
      <c r="WHC50" s="344"/>
      <c r="WHD50" s="344"/>
      <c r="WHE50" s="344"/>
      <c r="WHF50" s="344"/>
      <c r="WHG50" s="344"/>
      <c r="WHH50" s="344"/>
      <c r="WHI50" s="344"/>
      <c r="WHJ50" s="344"/>
      <c r="WHK50" s="344"/>
      <c r="WHL50" s="344"/>
      <c r="WHM50" s="344"/>
      <c r="WHN50" s="344"/>
      <c r="WHO50" s="344"/>
      <c r="WHP50" s="344"/>
      <c r="WHQ50" s="344"/>
      <c r="WHR50" s="344"/>
      <c r="WHS50" s="344"/>
      <c r="WHT50" s="344"/>
      <c r="WHU50" s="344"/>
      <c r="WHV50" s="344"/>
      <c r="WHW50" s="344"/>
      <c r="WHX50" s="344"/>
      <c r="WHY50" s="344"/>
      <c r="WHZ50" s="344"/>
      <c r="WIA50" s="344"/>
      <c r="WIB50" s="344"/>
      <c r="WIC50" s="344"/>
      <c r="WID50" s="344"/>
      <c r="WIE50" s="344"/>
      <c r="WIF50" s="344"/>
      <c r="WIG50" s="344"/>
      <c r="WIH50" s="344"/>
      <c r="WII50" s="344"/>
      <c r="WIJ50" s="344"/>
      <c r="WIK50" s="344"/>
      <c r="WIL50" s="344"/>
      <c r="WIM50" s="344"/>
      <c r="WIN50" s="344"/>
      <c r="WIO50" s="344"/>
      <c r="WIP50" s="344"/>
      <c r="WIQ50" s="344"/>
      <c r="WIR50" s="344"/>
      <c r="WIS50" s="344"/>
      <c r="WIT50" s="344"/>
      <c r="WIU50" s="344"/>
      <c r="WIV50" s="344"/>
      <c r="WIW50" s="344"/>
      <c r="WIX50" s="344"/>
      <c r="WIY50" s="344"/>
      <c r="WIZ50" s="344"/>
      <c r="WJA50" s="344"/>
      <c r="WJB50" s="344"/>
      <c r="WJC50" s="344"/>
      <c r="WJD50" s="344"/>
      <c r="WJE50" s="344"/>
      <c r="WJF50" s="344"/>
      <c r="WJG50" s="344"/>
      <c r="WJH50" s="344"/>
      <c r="WJI50" s="344"/>
      <c r="WJJ50" s="344"/>
      <c r="WJK50" s="344"/>
      <c r="WJL50" s="344"/>
      <c r="WJM50" s="344"/>
      <c r="WJN50" s="344"/>
      <c r="WJO50" s="344"/>
      <c r="WJP50" s="344"/>
      <c r="WJQ50" s="344"/>
      <c r="WJR50" s="344"/>
      <c r="WJS50" s="344"/>
      <c r="WJT50" s="344"/>
      <c r="WJU50" s="344"/>
      <c r="WJV50" s="344"/>
      <c r="WJW50" s="344"/>
      <c r="WJX50" s="344"/>
      <c r="WJY50" s="344"/>
      <c r="WJZ50" s="344"/>
      <c r="WKA50" s="344"/>
      <c r="WKB50" s="344"/>
      <c r="WKC50" s="344"/>
      <c r="WKD50" s="344"/>
      <c r="WKE50" s="344"/>
      <c r="WKF50" s="344"/>
      <c r="WKG50" s="344"/>
      <c r="WKH50" s="344"/>
      <c r="WKI50" s="344"/>
      <c r="WKJ50" s="344"/>
      <c r="WKK50" s="344"/>
      <c r="WKL50" s="344"/>
      <c r="WKM50" s="344"/>
      <c r="WKN50" s="344"/>
      <c r="WKO50" s="344"/>
      <c r="WKP50" s="344"/>
      <c r="WKQ50" s="344"/>
      <c r="WKR50" s="344"/>
      <c r="WKS50" s="344"/>
      <c r="WKT50" s="344"/>
      <c r="WKU50" s="344"/>
      <c r="WKV50" s="344"/>
      <c r="WKW50" s="344"/>
      <c r="WKX50" s="344"/>
      <c r="WKY50" s="344"/>
      <c r="WKZ50" s="344"/>
      <c r="WLA50" s="344"/>
      <c r="WLB50" s="344"/>
      <c r="WLC50" s="344"/>
      <c r="WLD50" s="344"/>
      <c r="WLE50" s="344"/>
      <c r="WLF50" s="344"/>
      <c r="WLG50" s="344"/>
      <c r="WLH50" s="344"/>
      <c r="WLI50" s="344"/>
      <c r="WLJ50" s="344"/>
      <c r="WLK50" s="344"/>
      <c r="WLL50" s="344"/>
      <c r="WLM50" s="344"/>
      <c r="WLN50" s="344"/>
      <c r="WLO50" s="344"/>
      <c r="WLP50" s="344"/>
      <c r="WLQ50" s="344"/>
      <c r="WLR50" s="344"/>
      <c r="WLS50" s="344"/>
      <c r="WLT50" s="344"/>
      <c r="WLU50" s="344"/>
      <c r="WLV50" s="344"/>
      <c r="WLW50" s="344"/>
      <c r="WLX50" s="344"/>
      <c r="WLY50" s="344"/>
      <c r="WLZ50" s="344"/>
      <c r="WMA50" s="344"/>
      <c r="WMB50" s="344"/>
      <c r="WMC50" s="344"/>
      <c r="WMD50" s="344"/>
      <c r="WME50" s="344"/>
      <c r="WMF50" s="344"/>
      <c r="WMG50" s="344"/>
      <c r="WMH50" s="344"/>
      <c r="WMI50" s="344"/>
      <c r="WMJ50" s="344"/>
      <c r="WMK50" s="344"/>
      <c r="WML50" s="344"/>
      <c r="WMM50" s="344"/>
      <c r="WMN50" s="344"/>
      <c r="WMO50" s="344"/>
      <c r="WMP50" s="344"/>
      <c r="WMQ50" s="344"/>
      <c r="WMR50" s="344"/>
      <c r="WMS50" s="344"/>
      <c r="WMT50" s="344"/>
      <c r="WMU50" s="344"/>
      <c r="WMV50" s="344"/>
      <c r="WMW50" s="344"/>
      <c r="WMX50" s="344"/>
      <c r="WMY50" s="344"/>
      <c r="WMZ50" s="344"/>
      <c r="WNA50" s="344"/>
      <c r="WNB50" s="344"/>
      <c r="WNC50" s="344"/>
      <c r="WND50" s="344"/>
      <c r="WNE50" s="344"/>
      <c r="WNF50" s="344"/>
      <c r="WNG50" s="344"/>
      <c r="WNH50" s="344"/>
      <c r="WNI50" s="344"/>
      <c r="WNJ50" s="344"/>
      <c r="WNK50" s="344"/>
      <c r="WNL50" s="344"/>
      <c r="WNM50" s="344"/>
      <c r="WNN50" s="344"/>
      <c r="WNO50" s="344"/>
      <c r="WNP50" s="344"/>
      <c r="WNQ50" s="344"/>
      <c r="WNR50" s="344"/>
      <c r="WNS50" s="344"/>
      <c r="WNT50" s="344"/>
      <c r="WNU50" s="344"/>
      <c r="WNV50" s="344"/>
      <c r="WNW50" s="344"/>
      <c r="WNX50" s="344"/>
      <c r="WNY50" s="344"/>
      <c r="WNZ50" s="344"/>
      <c r="WOA50" s="344"/>
      <c r="WOB50" s="344"/>
      <c r="WOC50" s="344"/>
      <c r="WOD50" s="344"/>
      <c r="WOE50" s="344"/>
      <c r="WOF50" s="344"/>
      <c r="WOG50" s="344"/>
      <c r="WOH50" s="344"/>
      <c r="WOI50" s="344"/>
      <c r="WOJ50" s="344"/>
      <c r="WOK50" s="344"/>
      <c r="WOL50" s="344"/>
      <c r="WOM50" s="344"/>
      <c r="WON50" s="344"/>
      <c r="WOO50" s="344"/>
      <c r="WOP50" s="344"/>
      <c r="WOQ50" s="344"/>
      <c r="WOR50" s="344"/>
      <c r="WOS50" s="344"/>
      <c r="WOT50" s="344"/>
      <c r="WOU50" s="344"/>
      <c r="WOV50" s="344"/>
      <c r="WOW50" s="344"/>
      <c r="WOX50" s="344"/>
      <c r="WOY50" s="344"/>
      <c r="WOZ50" s="344"/>
      <c r="WPA50" s="344"/>
      <c r="WPB50" s="344"/>
      <c r="WPC50" s="344"/>
      <c r="WPD50" s="344"/>
      <c r="WPE50" s="344"/>
      <c r="WPF50" s="344"/>
      <c r="WPG50" s="344"/>
      <c r="WPH50" s="344"/>
      <c r="WPI50" s="344"/>
      <c r="WPJ50" s="344"/>
      <c r="WPK50" s="344"/>
      <c r="WPL50" s="344"/>
      <c r="WPM50" s="344"/>
      <c r="WPN50" s="344"/>
      <c r="WPO50" s="344"/>
      <c r="WPP50" s="344"/>
      <c r="WPQ50" s="344"/>
      <c r="WPR50" s="344"/>
      <c r="WPS50" s="344"/>
      <c r="WPT50" s="344"/>
      <c r="WPU50" s="344"/>
      <c r="WPV50" s="344"/>
      <c r="WPW50" s="344"/>
      <c r="WPX50" s="344"/>
      <c r="WPY50" s="344"/>
      <c r="WPZ50" s="344"/>
      <c r="WQA50" s="344"/>
      <c r="WQB50" s="344"/>
      <c r="WQC50" s="344"/>
      <c r="WQD50" s="344"/>
      <c r="WQE50" s="344"/>
      <c r="WQF50" s="344"/>
      <c r="WQG50" s="344"/>
      <c r="WQH50" s="344"/>
      <c r="WQI50" s="344"/>
      <c r="WQJ50" s="344"/>
      <c r="WQK50" s="344"/>
      <c r="WQL50" s="344"/>
      <c r="WQM50" s="344"/>
      <c r="WQN50" s="344"/>
      <c r="WQO50" s="344"/>
      <c r="WQP50" s="344"/>
      <c r="WQQ50" s="344"/>
      <c r="WQR50" s="344"/>
      <c r="WQS50" s="344"/>
      <c r="WQT50" s="344"/>
      <c r="WQU50" s="344"/>
      <c r="WQV50" s="344"/>
      <c r="WQW50" s="344"/>
      <c r="WQX50" s="344"/>
      <c r="WQY50" s="344"/>
      <c r="WQZ50" s="344"/>
      <c r="WRA50" s="344"/>
      <c r="WRB50" s="344"/>
      <c r="WRC50" s="344"/>
      <c r="WRD50" s="344"/>
      <c r="WRE50" s="344"/>
      <c r="WRF50" s="344"/>
      <c r="WRG50" s="344"/>
      <c r="WRH50" s="344"/>
      <c r="WRI50" s="344"/>
      <c r="WRJ50" s="344"/>
      <c r="WRK50" s="344"/>
      <c r="WRL50" s="344"/>
      <c r="WRM50" s="344"/>
      <c r="WRN50" s="344"/>
      <c r="WRO50" s="344"/>
      <c r="WRP50" s="344"/>
      <c r="WRQ50" s="344"/>
      <c r="WRR50" s="344"/>
      <c r="WRS50" s="344"/>
      <c r="WRT50" s="344"/>
      <c r="WRU50" s="344"/>
      <c r="WRV50" s="344"/>
      <c r="WRW50" s="344"/>
      <c r="WRX50" s="344"/>
      <c r="WRY50" s="344"/>
      <c r="WRZ50" s="344"/>
      <c r="WSA50" s="344"/>
      <c r="WSB50" s="344"/>
      <c r="WSC50" s="344"/>
      <c r="WSD50" s="344"/>
      <c r="WSE50" s="344"/>
      <c r="WSF50" s="344"/>
      <c r="WSG50" s="344"/>
      <c r="WSH50" s="344"/>
      <c r="WSI50" s="344"/>
      <c r="WSJ50" s="344"/>
      <c r="WSK50" s="344"/>
      <c r="WSL50" s="344"/>
      <c r="WSM50" s="344"/>
      <c r="WSN50" s="344"/>
      <c r="WSO50" s="344"/>
      <c r="WSP50" s="344"/>
      <c r="WSQ50" s="344"/>
      <c r="WSR50" s="344"/>
      <c r="WSS50" s="344"/>
      <c r="WST50" s="344"/>
      <c r="WSU50" s="344"/>
      <c r="WSV50" s="344"/>
      <c r="WSW50" s="344"/>
      <c r="WSX50" s="344"/>
      <c r="WSY50" s="344"/>
      <c r="WSZ50" s="344"/>
      <c r="WTA50" s="344"/>
      <c r="WTB50" s="344"/>
      <c r="WTC50" s="344"/>
      <c r="WTD50" s="344"/>
      <c r="WTE50" s="344"/>
      <c r="WTF50" s="344"/>
      <c r="WTG50" s="344"/>
      <c r="WTH50" s="344"/>
      <c r="WTI50" s="344"/>
      <c r="WTJ50" s="344"/>
      <c r="WTK50" s="344"/>
      <c r="WTL50" s="344"/>
      <c r="WTM50" s="344"/>
      <c r="WTN50" s="344"/>
      <c r="WTO50" s="344"/>
      <c r="WTP50" s="344"/>
      <c r="WTQ50" s="344"/>
      <c r="WTR50" s="344"/>
      <c r="WTS50" s="344"/>
      <c r="WTT50" s="344"/>
      <c r="WTU50" s="344"/>
      <c r="WTV50" s="344"/>
      <c r="WTW50" s="344"/>
      <c r="WTX50" s="344"/>
      <c r="WTY50" s="344"/>
      <c r="WTZ50" s="344"/>
      <c r="WUA50" s="344"/>
      <c r="WUB50" s="344"/>
      <c r="WUC50" s="344"/>
      <c r="WUD50" s="344"/>
      <c r="WUE50" s="344"/>
      <c r="WUF50" s="344"/>
      <c r="WUG50" s="344"/>
      <c r="WUH50" s="344"/>
      <c r="WUI50" s="344"/>
      <c r="WUJ50" s="344"/>
      <c r="WUK50" s="344"/>
      <c r="WUL50" s="344"/>
      <c r="WUM50" s="344"/>
      <c r="WUN50" s="344"/>
      <c r="WUO50" s="344"/>
      <c r="WUP50" s="344"/>
      <c r="WUQ50" s="344"/>
      <c r="WUR50" s="344"/>
      <c r="WUS50" s="344"/>
      <c r="WUT50" s="344"/>
      <c r="WUU50" s="344"/>
      <c r="WUV50" s="344"/>
      <c r="WUW50" s="344"/>
      <c r="WUX50" s="344"/>
      <c r="WUY50" s="344"/>
      <c r="WUZ50" s="344"/>
      <c r="WVA50" s="344"/>
      <c r="WVB50" s="344"/>
      <c r="WVC50" s="344"/>
      <c r="WVD50" s="344"/>
      <c r="WVE50" s="344"/>
      <c r="WVF50" s="344"/>
      <c r="WVG50" s="344"/>
      <c r="WVH50" s="344"/>
      <c r="WVI50" s="344"/>
      <c r="WVJ50" s="344"/>
      <c r="WVK50" s="344"/>
      <c r="WVL50" s="344"/>
      <c r="WVM50" s="344"/>
      <c r="WVN50" s="344"/>
      <c r="WVO50" s="344"/>
      <c r="WVP50" s="344"/>
      <c r="WVQ50" s="344"/>
      <c r="WVR50" s="344"/>
      <c r="WVS50" s="344"/>
      <c r="WVT50" s="344"/>
      <c r="WVU50" s="344"/>
      <c r="WVV50" s="344"/>
      <c r="WVW50" s="344"/>
      <c r="WVX50" s="344"/>
      <c r="WVY50" s="344"/>
      <c r="WVZ50" s="344"/>
      <c r="WWA50" s="344"/>
      <c r="WWB50" s="344"/>
      <c r="WWC50" s="344"/>
      <c r="WWD50" s="344"/>
      <c r="WWE50" s="344"/>
      <c r="WWF50" s="344"/>
      <c r="WWG50" s="344"/>
      <c r="WWH50" s="344"/>
      <c r="WWI50" s="344"/>
      <c r="WWJ50" s="344"/>
      <c r="WWK50" s="344"/>
      <c r="WWL50" s="344"/>
      <c r="WWM50" s="344"/>
      <c r="WWN50" s="344"/>
      <c r="WWO50" s="344"/>
      <c r="WWP50" s="344"/>
      <c r="WWQ50" s="344"/>
      <c r="WWR50" s="344"/>
      <c r="WWS50" s="344"/>
      <c r="WWT50" s="344"/>
      <c r="WWU50" s="344"/>
      <c r="WWV50" s="344"/>
      <c r="WWW50" s="344"/>
      <c r="WWX50" s="344"/>
      <c r="WWY50" s="344"/>
      <c r="WWZ50" s="344"/>
      <c r="WXA50" s="344"/>
      <c r="WXB50" s="344"/>
      <c r="WXC50" s="344"/>
      <c r="WXD50" s="344"/>
      <c r="WXE50" s="344"/>
      <c r="WXF50" s="344"/>
      <c r="WXG50" s="344"/>
      <c r="WXH50" s="344"/>
      <c r="WXI50" s="344"/>
      <c r="WXJ50" s="344"/>
      <c r="WXK50" s="344"/>
      <c r="WXL50" s="344"/>
      <c r="WXM50" s="344"/>
      <c r="WXN50" s="344"/>
      <c r="WXO50" s="344"/>
      <c r="WXP50" s="344"/>
      <c r="WXQ50" s="344"/>
      <c r="WXR50" s="344"/>
      <c r="WXS50" s="344"/>
      <c r="WXT50" s="344"/>
      <c r="WXU50" s="344"/>
      <c r="WXV50" s="344"/>
      <c r="WXW50" s="344"/>
      <c r="WXX50" s="344"/>
      <c r="WXY50" s="344"/>
      <c r="WXZ50" s="344"/>
      <c r="WYA50" s="344"/>
      <c r="WYB50" s="344"/>
      <c r="WYC50" s="344"/>
      <c r="WYD50" s="344"/>
      <c r="WYE50" s="344"/>
      <c r="WYF50" s="344"/>
      <c r="WYG50" s="344"/>
      <c r="WYH50" s="344"/>
      <c r="WYI50" s="344"/>
      <c r="WYJ50" s="344"/>
      <c r="WYK50" s="344"/>
      <c r="WYL50" s="344"/>
      <c r="WYM50" s="344"/>
      <c r="WYN50" s="344"/>
      <c r="WYO50" s="344"/>
      <c r="WYP50" s="344"/>
      <c r="WYQ50" s="344"/>
      <c r="WYR50" s="344"/>
      <c r="WYS50" s="344"/>
      <c r="WYT50" s="344"/>
      <c r="WYU50" s="344"/>
      <c r="WYV50" s="344"/>
      <c r="WYW50" s="344"/>
      <c r="WYX50" s="344"/>
      <c r="WYY50" s="344"/>
      <c r="WYZ50" s="344"/>
      <c r="WZA50" s="344"/>
      <c r="WZB50" s="344"/>
      <c r="WZC50" s="344"/>
      <c r="WZD50" s="344"/>
      <c r="WZE50" s="344"/>
      <c r="WZF50" s="344"/>
      <c r="WZG50" s="344"/>
      <c r="WZH50" s="344"/>
      <c r="WZI50" s="344"/>
      <c r="WZJ50" s="344"/>
      <c r="WZK50" s="344"/>
      <c r="WZL50" s="344"/>
      <c r="WZM50" s="344"/>
      <c r="WZN50" s="344"/>
      <c r="WZO50" s="344"/>
      <c r="WZP50" s="344"/>
      <c r="WZQ50" s="344"/>
      <c r="WZR50" s="344"/>
      <c r="WZS50" s="344"/>
      <c r="WZT50" s="344"/>
      <c r="WZU50" s="344"/>
      <c r="WZV50" s="344"/>
      <c r="WZW50" s="344"/>
      <c r="WZX50" s="344"/>
      <c r="WZY50" s="344"/>
      <c r="WZZ50" s="344"/>
      <c r="XAA50" s="344"/>
      <c r="XAB50" s="344"/>
      <c r="XAC50" s="344"/>
      <c r="XAD50" s="344"/>
      <c r="XAE50" s="344"/>
      <c r="XAF50" s="344"/>
      <c r="XAG50" s="344"/>
      <c r="XAH50" s="344"/>
      <c r="XAI50" s="344"/>
      <c r="XAJ50" s="344"/>
      <c r="XAK50" s="344"/>
      <c r="XAL50" s="344"/>
      <c r="XAM50" s="344"/>
      <c r="XAN50" s="344"/>
      <c r="XAO50" s="344"/>
      <c r="XAP50" s="344"/>
      <c r="XAQ50" s="344"/>
      <c r="XAR50" s="344"/>
      <c r="XAS50" s="344"/>
      <c r="XAT50" s="344"/>
      <c r="XAU50" s="344"/>
      <c r="XAV50" s="344"/>
      <c r="XAW50" s="344"/>
      <c r="XAX50" s="344"/>
      <c r="XAY50" s="344"/>
      <c r="XAZ50" s="344"/>
      <c r="XBA50" s="344"/>
      <c r="XBB50" s="344"/>
      <c r="XBC50" s="344"/>
      <c r="XBD50" s="344"/>
      <c r="XBE50" s="344"/>
      <c r="XBF50" s="344"/>
      <c r="XBG50" s="344"/>
      <c r="XBH50" s="344"/>
      <c r="XBI50" s="344"/>
      <c r="XBJ50" s="344"/>
      <c r="XBK50" s="344"/>
      <c r="XBL50" s="344"/>
      <c r="XBM50" s="344"/>
      <c r="XBN50" s="344"/>
      <c r="XBO50" s="344"/>
      <c r="XBP50" s="344"/>
      <c r="XBQ50" s="344"/>
      <c r="XBR50" s="344"/>
      <c r="XBS50" s="344"/>
      <c r="XBT50" s="344"/>
      <c r="XBU50" s="344"/>
      <c r="XBV50" s="344"/>
      <c r="XBW50" s="344"/>
      <c r="XBX50" s="344"/>
      <c r="XBY50" s="344"/>
      <c r="XBZ50" s="344"/>
      <c r="XCA50" s="344"/>
      <c r="XCB50" s="344"/>
      <c r="XCC50" s="344"/>
      <c r="XCD50" s="344"/>
      <c r="XCE50" s="344"/>
      <c r="XCF50" s="344"/>
      <c r="XCG50" s="344"/>
      <c r="XCH50" s="344"/>
      <c r="XCI50" s="344"/>
      <c r="XCJ50" s="344"/>
      <c r="XCK50" s="344"/>
      <c r="XCL50" s="344"/>
      <c r="XCM50" s="344"/>
      <c r="XCN50" s="344"/>
      <c r="XCO50" s="344"/>
      <c r="XCP50" s="344"/>
      <c r="XCQ50" s="344"/>
      <c r="XCR50" s="344"/>
      <c r="XCS50" s="344"/>
      <c r="XCT50" s="344"/>
      <c r="XCU50" s="344"/>
      <c r="XCV50" s="344"/>
      <c r="XCW50" s="344"/>
      <c r="XCX50" s="344"/>
      <c r="XCY50" s="344"/>
      <c r="XCZ50" s="344"/>
      <c r="XDA50" s="344"/>
      <c r="XDB50" s="344"/>
      <c r="XDC50" s="344"/>
      <c r="XDD50" s="344"/>
      <c r="XDE50" s="344"/>
      <c r="XDF50" s="344"/>
      <c r="XDG50" s="344"/>
      <c r="XDH50" s="344"/>
      <c r="XDI50" s="344"/>
      <c r="XDJ50" s="344"/>
      <c r="XDK50" s="344"/>
      <c r="XDL50" s="344"/>
      <c r="XDM50" s="344"/>
      <c r="XDN50" s="344"/>
      <c r="XDO50" s="344"/>
      <c r="XDP50" s="344"/>
      <c r="XDQ50" s="344"/>
      <c r="XDR50" s="344"/>
      <c r="XDS50" s="344"/>
      <c r="XDT50" s="344"/>
      <c r="XDU50" s="344"/>
      <c r="XDV50" s="344"/>
      <c r="XDW50" s="344"/>
      <c r="XDX50" s="344"/>
      <c r="XDY50" s="344"/>
      <c r="XDZ50" s="344"/>
      <c r="XEA50" s="344"/>
      <c r="XEB50" s="344"/>
      <c r="XEC50" s="344"/>
      <c r="XED50" s="344"/>
      <c r="XEE50" s="344"/>
      <c r="XEF50" s="344"/>
      <c r="XEG50" s="344"/>
      <c r="XEH50" s="344"/>
      <c r="XEI50" s="344"/>
      <c r="XEJ50" s="344"/>
      <c r="XEK50" s="344"/>
      <c r="XEL50" s="344"/>
      <c r="XEM50" s="344"/>
      <c r="XEN50" s="344"/>
      <c r="XEO50" s="344"/>
      <c r="XEP50" s="344"/>
      <c r="XEQ50" s="344"/>
      <c r="XER50" s="344"/>
      <c r="XES50" s="344"/>
      <c r="XET50" s="344"/>
      <c r="XEU50" s="344"/>
      <c r="XEV50" s="344"/>
      <c r="XEW50" s="344"/>
      <c r="XEX50" s="344"/>
      <c r="XEY50" s="344"/>
      <c r="XEZ50" s="344"/>
      <c r="XFA50" s="344"/>
    </row>
    <row r="51" s="338" customFormat="1" ht="29.25" customHeight="1" spans="1:1024 1025:16381">
      <c r="A51" s="344"/>
      <c r="B51" s="382">
        <v>41</v>
      </c>
      <c r="C51" s="380" t="e">
        <f>_xlfn.XLOOKUP(D51,商品汇总表!$B:$B,商品汇总表!$A:$A,"")</f>
        <v>#N/A</v>
      </c>
      <c r="D51" s="362" t="e" cm="1">
        <f t="array" ref="D51">LOOKUP(1,0/(('5.21出货明细'!AR:AR=$D$52)*('5.21出货明细'!A:A=B51)),'5.21出货明细'!E:E)</f>
        <v>#N/A</v>
      </c>
      <c r="E51" s="358" t="e">
        <f>_xlfn.XLOOKUP(D51,商品汇总表!$B:$B,商品汇总表!$D:$D,"")</f>
        <v>#N/A</v>
      </c>
      <c r="F51" s="363" t="e" cm="1">
        <f t="array" ref="F51">_xlfn.LET(_xlpm.数组,B51&amp;D51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51" s="373"/>
      <c r="H51" s="364"/>
      <c r="I51" s="365"/>
      <c r="J51" s="366"/>
      <c r="K51" s="367"/>
      <c r="L51" s="368"/>
      <c r="M51" s="369" t="s">
        <v>2953</v>
      </c>
      <c r="N51" s="370"/>
      <c r="O51" s="370"/>
      <c r="P51" s="383"/>
      <c r="Q51" s="372"/>
      <c r="R51" s="372"/>
      <c r="S51" s="372"/>
      <c r="T51" s="372"/>
      <c r="U51" s="344"/>
      <c r="V51" s="344"/>
      <c r="W51" s="344"/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4"/>
      <c r="AQ51" s="344"/>
      <c r="AR51" s="344"/>
      <c r="AS51" s="344"/>
      <c r="AT51" s="344"/>
      <c r="AU51" s="344"/>
      <c r="AV51" s="344"/>
      <c r="AW51" s="344"/>
      <c r="AX51" s="344"/>
      <c r="AY51" s="344"/>
      <c r="AZ51" s="344"/>
      <c r="BA51" s="344"/>
      <c r="BB51" s="344"/>
      <c r="BC51" s="344"/>
      <c r="BD51" s="344"/>
      <c r="BE51" s="344"/>
      <c r="BF51" s="344"/>
      <c r="BG51" s="344"/>
      <c r="BH51" s="344"/>
      <c r="BI51" s="344"/>
      <c r="BJ51" s="344"/>
      <c r="BK51" s="344"/>
      <c r="BL51" s="344"/>
      <c r="BM51" s="344"/>
      <c r="BN51" s="344"/>
      <c r="BO51" s="344"/>
      <c r="BP51" s="344"/>
      <c r="BQ51" s="344"/>
      <c r="BR51" s="344"/>
      <c r="BS51" s="344"/>
      <c r="BT51" s="344"/>
      <c r="BU51" s="344"/>
      <c r="BV51" s="344"/>
      <c r="BW51" s="344"/>
      <c r="BX51" s="344"/>
      <c r="BY51" s="344"/>
      <c r="BZ51" s="344"/>
      <c r="CA51" s="344"/>
      <c r="CB51" s="344"/>
      <c r="CC51" s="344"/>
      <c r="CD51" s="344"/>
      <c r="CE51" s="344"/>
      <c r="CF51" s="344"/>
      <c r="CG51" s="344"/>
      <c r="CH51" s="344"/>
      <c r="CI51" s="344"/>
      <c r="CJ51" s="344"/>
      <c r="CK51" s="344"/>
      <c r="CL51" s="344"/>
      <c r="CM51" s="344"/>
      <c r="CN51" s="344"/>
      <c r="CO51" s="344"/>
      <c r="CP51" s="344"/>
      <c r="CQ51" s="344"/>
      <c r="CR51" s="344"/>
      <c r="CS51" s="344"/>
      <c r="CT51" s="344"/>
      <c r="CU51" s="344"/>
      <c r="CV51" s="344"/>
      <c r="CW51" s="344"/>
      <c r="CX51" s="344"/>
      <c r="CY51" s="344"/>
      <c r="CZ51" s="344"/>
      <c r="DA51" s="344"/>
      <c r="DB51" s="344"/>
      <c r="DC51" s="344"/>
      <c r="DD51" s="344"/>
      <c r="DE51" s="344"/>
      <c r="DF51" s="344"/>
      <c r="DG51" s="344"/>
      <c r="DH51" s="344"/>
      <c r="DI51" s="344"/>
      <c r="DJ51" s="344"/>
      <c r="DK51" s="344"/>
      <c r="DL51" s="344"/>
      <c r="DM51" s="344"/>
      <c r="DN51" s="344"/>
      <c r="DO51" s="344"/>
      <c r="DP51" s="344"/>
      <c r="DQ51" s="344"/>
      <c r="DR51" s="344"/>
      <c r="DS51" s="344"/>
      <c r="DT51" s="344"/>
      <c r="DU51" s="344"/>
      <c r="DV51" s="344"/>
      <c r="DW51" s="344"/>
      <c r="DX51" s="344"/>
      <c r="DY51" s="344"/>
      <c r="DZ51" s="344"/>
      <c r="EA51" s="344"/>
      <c r="EB51" s="344"/>
      <c r="EC51" s="344"/>
      <c r="ED51" s="344"/>
      <c r="EE51" s="344"/>
      <c r="EF51" s="344"/>
      <c r="EG51" s="344"/>
      <c r="EH51" s="344"/>
      <c r="EI51" s="344"/>
      <c r="EJ51" s="344"/>
      <c r="EK51" s="344"/>
      <c r="EL51" s="344"/>
      <c r="EM51" s="344"/>
      <c r="EN51" s="344"/>
      <c r="EO51" s="344"/>
      <c r="EP51" s="344"/>
      <c r="EQ51" s="344"/>
      <c r="ER51" s="344"/>
      <c r="ES51" s="344"/>
      <c r="ET51" s="344"/>
      <c r="EU51" s="344"/>
      <c r="EV51" s="344"/>
      <c r="EW51" s="344"/>
      <c r="EX51" s="344"/>
      <c r="EY51" s="344"/>
      <c r="EZ51" s="344"/>
      <c r="FA51" s="344"/>
      <c r="FB51" s="344"/>
      <c r="FC51" s="344"/>
      <c r="FD51" s="344"/>
      <c r="FE51" s="344"/>
      <c r="FF51" s="344"/>
      <c r="FG51" s="344"/>
      <c r="FH51" s="344"/>
      <c r="FI51" s="344"/>
      <c r="FJ51" s="344"/>
      <c r="FK51" s="344"/>
      <c r="FL51" s="344"/>
      <c r="FM51" s="344"/>
      <c r="FN51" s="344"/>
      <c r="FO51" s="344"/>
      <c r="FP51" s="344"/>
      <c r="FQ51" s="344"/>
      <c r="FR51" s="344"/>
      <c r="FS51" s="344"/>
      <c r="FT51" s="344"/>
      <c r="FU51" s="344"/>
      <c r="FV51" s="344"/>
      <c r="FW51" s="344"/>
      <c r="FX51" s="344"/>
      <c r="FY51" s="344"/>
      <c r="FZ51" s="344"/>
      <c r="GA51" s="344"/>
      <c r="GB51" s="344"/>
      <c r="GC51" s="344"/>
      <c r="GD51" s="344"/>
      <c r="GE51" s="344"/>
      <c r="GF51" s="344"/>
      <c r="GG51" s="344"/>
      <c r="GH51" s="344"/>
      <c r="GI51" s="344"/>
      <c r="GJ51" s="344"/>
      <c r="GK51" s="344"/>
      <c r="GL51" s="344"/>
      <c r="GM51" s="344"/>
      <c r="GN51" s="344"/>
      <c r="GO51" s="344"/>
      <c r="GP51" s="344"/>
      <c r="GQ51" s="344"/>
      <c r="GR51" s="344"/>
      <c r="GS51" s="344"/>
      <c r="GT51" s="344"/>
      <c r="GU51" s="344"/>
      <c r="GV51" s="344"/>
      <c r="GW51" s="344"/>
      <c r="GX51" s="344"/>
      <c r="GY51" s="344"/>
      <c r="GZ51" s="344"/>
      <c r="HA51" s="344"/>
      <c r="HB51" s="344"/>
      <c r="HC51" s="344"/>
      <c r="HD51" s="344"/>
      <c r="HE51" s="344"/>
      <c r="HF51" s="344"/>
      <c r="HG51" s="344"/>
      <c r="HH51" s="344"/>
      <c r="HI51" s="344"/>
      <c r="HJ51" s="344"/>
      <c r="HK51" s="344"/>
      <c r="HL51" s="344"/>
      <c r="HM51" s="344"/>
      <c r="HN51" s="344"/>
      <c r="HO51" s="344"/>
      <c r="HP51" s="344"/>
      <c r="HQ51" s="344"/>
      <c r="HR51" s="344"/>
      <c r="HS51" s="344"/>
      <c r="HT51" s="344"/>
      <c r="HU51" s="344"/>
      <c r="HV51" s="344"/>
      <c r="HW51" s="344"/>
      <c r="HX51" s="344"/>
      <c r="HY51" s="344"/>
      <c r="HZ51" s="344"/>
      <c r="IA51" s="344"/>
      <c r="IB51" s="344"/>
      <c r="IC51" s="344"/>
      <c r="ID51" s="344"/>
      <c r="IE51" s="344"/>
      <c r="IF51" s="344"/>
      <c r="IG51" s="344"/>
      <c r="IH51" s="344"/>
      <c r="II51" s="344"/>
      <c r="IJ51" s="344"/>
      <c r="IK51" s="344"/>
      <c r="IL51" s="344"/>
      <c r="IM51" s="344"/>
      <c r="IN51" s="344"/>
      <c r="IO51" s="344"/>
      <c r="IP51" s="344"/>
      <c r="IQ51" s="344"/>
      <c r="IR51" s="344"/>
      <c r="IS51" s="344"/>
      <c r="IT51" s="344"/>
      <c r="IU51" s="344"/>
      <c r="IV51" s="344"/>
      <c r="IW51" s="344"/>
      <c r="IX51" s="344"/>
      <c r="IY51" s="344"/>
      <c r="IZ51" s="344"/>
      <c r="JA51" s="344"/>
      <c r="JB51" s="344"/>
      <c r="JC51" s="344"/>
      <c r="JD51" s="344"/>
      <c r="JE51" s="344"/>
      <c r="JF51" s="344"/>
      <c r="JG51" s="344"/>
      <c r="JH51" s="344"/>
      <c r="JI51" s="344"/>
      <c r="JJ51" s="344"/>
      <c r="JK51" s="344"/>
      <c r="JL51" s="344"/>
      <c r="JM51" s="344"/>
      <c r="JN51" s="344"/>
      <c r="JO51" s="344"/>
      <c r="JP51" s="344"/>
      <c r="JQ51" s="344"/>
      <c r="JR51" s="344"/>
      <c r="JS51" s="344"/>
      <c r="JT51" s="344"/>
      <c r="JU51" s="344"/>
      <c r="JV51" s="344"/>
      <c r="JW51" s="344"/>
      <c r="JX51" s="344"/>
      <c r="JY51" s="344"/>
      <c r="JZ51" s="344"/>
      <c r="KA51" s="344"/>
      <c r="KB51" s="344"/>
      <c r="KC51" s="344"/>
      <c r="KD51" s="344"/>
      <c r="KE51" s="344"/>
      <c r="KF51" s="344"/>
      <c r="KG51" s="344"/>
      <c r="KH51" s="344"/>
      <c r="KI51" s="344"/>
      <c r="KJ51" s="344"/>
      <c r="KK51" s="344"/>
      <c r="KL51" s="344"/>
      <c r="KM51" s="344"/>
      <c r="KN51" s="344"/>
      <c r="KO51" s="344"/>
      <c r="KP51" s="344"/>
      <c r="KQ51" s="344"/>
      <c r="KR51" s="344"/>
      <c r="KS51" s="344"/>
      <c r="KT51" s="344"/>
      <c r="KU51" s="344"/>
      <c r="KV51" s="344"/>
      <c r="KW51" s="344"/>
      <c r="KX51" s="344"/>
      <c r="KY51" s="344"/>
      <c r="KZ51" s="344"/>
      <c r="LA51" s="344"/>
      <c r="LB51" s="344"/>
      <c r="LC51" s="344"/>
      <c r="LD51" s="344"/>
      <c r="LE51" s="344"/>
      <c r="LF51" s="344"/>
      <c r="LG51" s="344"/>
      <c r="LH51" s="344"/>
      <c r="LI51" s="344"/>
      <c r="LJ51" s="344"/>
      <c r="LK51" s="344"/>
      <c r="LL51" s="344"/>
      <c r="LM51" s="344"/>
      <c r="LN51" s="344"/>
      <c r="LO51" s="344"/>
      <c r="LP51" s="344"/>
      <c r="LQ51" s="344"/>
      <c r="LR51" s="344"/>
      <c r="LS51" s="344"/>
      <c r="LT51" s="344"/>
      <c r="LU51" s="344"/>
      <c r="LV51" s="344"/>
      <c r="LW51" s="344"/>
      <c r="LX51" s="344"/>
      <c r="LY51" s="344"/>
      <c r="LZ51" s="344"/>
      <c r="MA51" s="344"/>
      <c r="MB51" s="344"/>
      <c r="MC51" s="344"/>
      <c r="MD51" s="344"/>
      <c r="ME51" s="344"/>
      <c r="MF51" s="344"/>
      <c r="MG51" s="344"/>
      <c r="MH51" s="344"/>
      <c r="MI51" s="344"/>
      <c r="MJ51" s="344"/>
      <c r="MK51" s="344"/>
      <c r="ML51" s="344"/>
      <c r="MM51" s="344"/>
      <c r="MN51" s="344"/>
      <c r="MO51" s="344"/>
      <c r="MP51" s="344"/>
      <c r="MQ51" s="344"/>
      <c r="MR51" s="344"/>
      <c r="MS51" s="344"/>
      <c r="MT51" s="344"/>
      <c r="MU51" s="344"/>
      <c r="MV51" s="344"/>
      <c r="MW51" s="344"/>
      <c r="MX51" s="344"/>
      <c r="MY51" s="344"/>
      <c r="MZ51" s="344"/>
      <c r="NA51" s="344"/>
      <c r="NB51" s="344"/>
      <c r="NC51" s="344"/>
      <c r="ND51" s="344"/>
      <c r="NE51" s="344"/>
      <c r="NF51" s="344"/>
      <c r="NG51" s="344"/>
      <c r="NH51" s="344"/>
      <c r="NI51" s="344"/>
      <c r="NJ51" s="344"/>
      <c r="NK51" s="344"/>
      <c r="NL51" s="344"/>
      <c r="NM51" s="344"/>
      <c r="NN51" s="344"/>
      <c r="NO51" s="344"/>
      <c r="NP51" s="344"/>
      <c r="NQ51" s="344"/>
      <c r="NR51" s="344"/>
      <c r="NS51" s="344"/>
      <c r="NT51" s="344"/>
      <c r="NU51" s="344"/>
      <c r="NV51" s="344"/>
      <c r="NW51" s="344"/>
      <c r="NX51" s="344"/>
      <c r="NY51" s="344"/>
      <c r="NZ51" s="344"/>
      <c r="OA51" s="344"/>
      <c r="OB51" s="344"/>
      <c r="OC51" s="344"/>
      <c r="OD51" s="344"/>
      <c r="OE51" s="344"/>
      <c r="OF51" s="344"/>
      <c r="OG51" s="344"/>
      <c r="OH51" s="344"/>
      <c r="OI51" s="344"/>
      <c r="OJ51" s="344"/>
      <c r="OK51" s="344"/>
      <c r="OL51" s="344"/>
      <c r="OM51" s="344"/>
      <c r="ON51" s="344"/>
      <c r="OO51" s="344"/>
      <c r="OP51" s="344"/>
      <c r="OQ51" s="344"/>
      <c r="OR51" s="344"/>
      <c r="OS51" s="344"/>
      <c r="OT51" s="344"/>
      <c r="OU51" s="344"/>
      <c r="OV51" s="344"/>
      <c r="OW51" s="344"/>
      <c r="OX51" s="344"/>
      <c r="OY51" s="344"/>
      <c r="OZ51" s="344"/>
      <c r="PA51" s="344"/>
      <c r="PB51" s="344"/>
      <c r="PC51" s="344"/>
      <c r="PD51" s="344"/>
      <c r="PE51" s="344"/>
      <c r="PF51" s="344"/>
      <c r="PG51" s="344"/>
      <c r="PH51" s="344"/>
      <c r="PI51" s="344"/>
      <c r="PJ51" s="344"/>
      <c r="PK51" s="344"/>
      <c r="PL51" s="344"/>
      <c r="PM51" s="344"/>
      <c r="PN51" s="344"/>
      <c r="PO51" s="344"/>
      <c r="PP51" s="344"/>
      <c r="PQ51" s="344"/>
      <c r="PR51" s="344"/>
      <c r="PS51" s="344"/>
      <c r="PT51" s="344"/>
      <c r="PU51" s="344"/>
      <c r="PV51" s="344"/>
      <c r="PW51" s="344"/>
      <c r="PX51" s="344"/>
      <c r="PY51" s="344"/>
      <c r="PZ51" s="344"/>
      <c r="QA51" s="344"/>
      <c r="QB51" s="344"/>
      <c r="QC51" s="344"/>
      <c r="QD51" s="344"/>
      <c r="QE51" s="344"/>
      <c r="QF51" s="344"/>
      <c r="QG51" s="344"/>
      <c r="QH51" s="344"/>
      <c r="QI51" s="344"/>
      <c r="QJ51" s="344"/>
      <c r="QK51" s="344"/>
      <c r="QL51" s="344"/>
      <c r="QM51" s="344"/>
      <c r="QN51" s="344"/>
      <c r="QO51" s="344"/>
      <c r="QP51" s="344"/>
      <c r="QQ51" s="344"/>
      <c r="QR51" s="344"/>
      <c r="QS51" s="344"/>
      <c r="QT51" s="344"/>
      <c r="QU51" s="344"/>
      <c r="QV51" s="344"/>
      <c r="QW51" s="344"/>
      <c r="QX51" s="344"/>
      <c r="QY51" s="344"/>
      <c r="QZ51" s="344"/>
      <c r="RA51" s="344"/>
      <c r="RB51" s="344"/>
      <c r="RC51" s="344"/>
      <c r="RD51" s="344"/>
      <c r="RE51" s="344"/>
      <c r="RF51" s="344"/>
      <c r="RG51" s="344"/>
      <c r="RH51" s="344"/>
      <c r="RI51" s="344"/>
      <c r="RJ51" s="344"/>
      <c r="RK51" s="344"/>
      <c r="RL51" s="344"/>
      <c r="RM51" s="344"/>
      <c r="RN51" s="344"/>
      <c r="RO51" s="344"/>
      <c r="RP51" s="344"/>
      <c r="RQ51" s="344"/>
      <c r="RR51" s="344"/>
      <c r="RS51" s="344"/>
      <c r="RT51" s="344"/>
      <c r="RU51" s="344"/>
      <c r="RV51" s="344"/>
      <c r="RW51" s="344"/>
      <c r="RX51" s="344"/>
      <c r="RY51" s="344"/>
      <c r="RZ51" s="344"/>
      <c r="SA51" s="344"/>
      <c r="SB51" s="344"/>
      <c r="SC51" s="344"/>
      <c r="SD51" s="344"/>
      <c r="SE51" s="344"/>
      <c r="SF51" s="344"/>
      <c r="SG51" s="344"/>
      <c r="SH51" s="344"/>
      <c r="SI51" s="344"/>
      <c r="SJ51" s="344"/>
      <c r="SK51" s="344"/>
      <c r="SL51" s="344"/>
      <c r="SM51" s="344"/>
      <c r="SN51" s="344"/>
      <c r="SO51" s="344"/>
      <c r="SP51" s="344"/>
      <c r="SQ51" s="344"/>
      <c r="SR51" s="344"/>
      <c r="SS51" s="344"/>
      <c r="ST51" s="344"/>
      <c r="SU51" s="344"/>
      <c r="SV51" s="344"/>
      <c r="SW51" s="344"/>
      <c r="SX51" s="344"/>
      <c r="SY51" s="344"/>
      <c r="SZ51" s="344"/>
      <c r="TA51" s="344"/>
      <c r="TB51" s="344"/>
      <c r="TC51" s="344"/>
      <c r="TD51" s="344"/>
      <c r="TE51" s="344"/>
      <c r="TF51" s="344"/>
      <c r="TG51" s="344"/>
      <c r="TH51" s="344"/>
      <c r="TI51" s="344"/>
      <c r="TJ51" s="344"/>
      <c r="TK51" s="344"/>
      <c r="TL51" s="344"/>
      <c r="TM51" s="344"/>
      <c r="TN51" s="344"/>
      <c r="TO51" s="344"/>
      <c r="TP51" s="344"/>
      <c r="TQ51" s="344"/>
      <c r="TR51" s="344"/>
      <c r="TS51" s="344"/>
      <c r="TT51" s="344"/>
      <c r="TU51" s="344"/>
      <c r="TV51" s="344"/>
      <c r="TW51" s="344"/>
      <c r="TX51" s="344"/>
      <c r="TY51" s="344"/>
      <c r="TZ51" s="344"/>
      <c r="UA51" s="344"/>
      <c r="UB51" s="344"/>
      <c r="UC51" s="344"/>
      <c r="UD51" s="344"/>
      <c r="UE51" s="344"/>
      <c r="UF51" s="344"/>
      <c r="UG51" s="344"/>
      <c r="UH51" s="344"/>
      <c r="UI51" s="344"/>
      <c r="UJ51" s="344"/>
      <c r="UK51" s="344"/>
      <c r="UL51" s="344"/>
      <c r="UM51" s="344"/>
      <c r="UN51" s="344"/>
      <c r="UO51" s="344"/>
      <c r="UP51" s="344"/>
      <c r="UQ51" s="344"/>
      <c r="UR51" s="344"/>
      <c r="US51" s="344"/>
      <c r="UT51" s="344"/>
      <c r="UU51" s="344"/>
      <c r="UV51" s="344"/>
      <c r="UW51" s="344"/>
      <c r="UX51" s="344"/>
      <c r="UY51" s="344"/>
      <c r="UZ51" s="344"/>
      <c r="VA51" s="344"/>
      <c r="VB51" s="344"/>
      <c r="VC51" s="344"/>
      <c r="VD51" s="344"/>
      <c r="VE51" s="344"/>
      <c r="VF51" s="344"/>
      <c r="VG51" s="344"/>
      <c r="VH51" s="344"/>
      <c r="VI51" s="344"/>
      <c r="VJ51" s="344"/>
      <c r="VK51" s="344"/>
      <c r="VL51" s="344"/>
      <c r="VM51" s="344"/>
      <c r="VN51" s="344"/>
      <c r="VO51" s="344"/>
      <c r="VP51" s="344"/>
      <c r="VQ51" s="344"/>
      <c r="VR51" s="344"/>
      <c r="VS51" s="344"/>
      <c r="VT51" s="344"/>
      <c r="VU51" s="344"/>
      <c r="VV51" s="344"/>
      <c r="VW51" s="344"/>
      <c r="VX51" s="344"/>
      <c r="VY51" s="344"/>
      <c r="VZ51" s="344"/>
      <c r="WA51" s="344"/>
      <c r="WB51" s="344"/>
      <c r="WC51" s="344"/>
      <c r="WD51" s="344"/>
      <c r="WE51" s="344"/>
      <c r="WF51" s="344"/>
      <c r="WG51" s="344"/>
      <c r="WH51" s="344"/>
      <c r="WI51" s="344"/>
      <c r="WJ51" s="344"/>
      <c r="WK51" s="344"/>
      <c r="WL51" s="344"/>
      <c r="WM51" s="344"/>
      <c r="WN51" s="344"/>
      <c r="WO51" s="344"/>
      <c r="WP51" s="344"/>
      <c r="WQ51" s="344"/>
      <c r="WR51" s="344"/>
      <c r="WS51" s="344"/>
      <c r="WT51" s="344"/>
      <c r="WU51" s="344"/>
      <c r="WV51" s="344"/>
      <c r="WW51" s="344"/>
      <c r="WX51" s="344"/>
      <c r="WY51" s="344"/>
      <c r="WZ51" s="344"/>
      <c r="XA51" s="344"/>
      <c r="XB51" s="344"/>
      <c r="XC51" s="344"/>
      <c r="XD51" s="344"/>
      <c r="XE51" s="344"/>
      <c r="XF51" s="344"/>
      <c r="XG51" s="344"/>
      <c r="XH51" s="344"/>
      <c r="XI51" s="344"/>
      <c r="XJ51" s="344"/>
      <c r="XK51" s="344"/>
      <c r="XL51" s="344"/>
      <c r="XM51" s="344"/>
      <c r="XN51" s="344"/>
      <c r="XO51" s="344"/>
      <c r="XP51" s="344"/>
      <c r="XQ51" s="344"/>
      <c r="XR51" s="344"/>
      <c r="XS51" s="344"/>
      <c r="XT51" s="344"/>
      <c r="XU51" s="344"/>
      <c r="XV51" s="344"/>
      <c r="XW51" s="344"/>
      <c r="XX51" s="344"/>
      <c r="XY51" s="344"/>
      <c r="XZ51" s="344"/>
      <c r="YA51" s="344"/>
      <c r="YB51" s="344"/>
      <c r="YC51" s="344"/>
      <c r="YD51" s="344"/>
      <c r="YE51" s="344"/>
      <c r="YF51" s="344"/>
      <c r="YG51" s="344"/>
      <c r="YH51" s="344"/>
      <c r="YI51" s="344"/>
      <c r="YJ51" s="344"/>
      <c r="YK51" s="344"/>
      <c r="YL51" s="344"/>
      <c r="YM51" s="344"/>
      <c r="YN51" s="344"/>
      <c r="YO51" s="344"/>
      <c r="YP51" s="344"/>
      <c r="YQ51" s="344"/>
      <c r="YR51" s="344"/>
      <c r="YS51" s="344"/>
      <c r="YT51" s="344"/>
      <c r="YU51" s="344"/>
      <c r="YV51" s="344"/>
      <c r="YW51" s="344"/>
      <c r="YX51" s="344"/>
      <c r="YY51" s="344"/>
      <c r="YZ51" s="344"/>
      <c r="ZA51" s="344"/>
      <c r="ZB51" s="344"/>
      <c r="ZC51" s="344"/>
      <c r="ZD51" s="344"/>
      <c r="ZE51" s="344"/>
      <c r="ZF51" s="344"/>
      <c r="ZG51" s="344"/>
      <c r="ZH51" s="344"/>
      <c r="ZI51" s="344"/>
      <c r="ZJ51" s="344"/>
      <c r="ZK51" s="344"/>
      <c r="ZL51" s="344"/>
      <c r="ZM51" s="344"/>
      <c r="ZN51" s="344"/>
      <c r="ZO51" s="344"/>
      <c r="ZP51" s="344"/>
      <c r="ZQ51" s="344"/>
      <c r="ZR51" s="344"/>
      <c r="ZS51" s="344"/>
      <c r="ZT51" s="344"/>
      <c r="ZU51" s="344"/>
      <c r="ZV51" s="344"/>
      <c r="ZW51" s="344"/>
      <c r="ZX51" s="344"/>
      <c r="ZY51" s="344"/>
      <c r="ZZ51" s="344"/>
      <c r="AAA51" s="344"/>
      <c r="AAB51" s="344"/>
      <c r="AAC51" s="344"/>
      <c r="AAD51" s="344"/>
      <c r="AAE51" s="344"/>
      <c r="AAF51" s="344"/>
      <c r="AAG51" s="344"/>
      <c r="AAH51" s="344"/>
      <c r="AAI51" s="344"/>
      <c r="AAJ51" s="344"/>
      <c r="AAK51" s="344"/>
      <c r="AAL51" s="344"/>
      <c r="AAM51" s="344"/>
      <c r="AAN51" s="344"/>
      <c r="AAO51" s="344"/>
      <c r="AAP51" s="344"/>
      <c r="AAQ51" s="344"/>
      <c r="AAR51" s="344"/>
      <c r="AAS51" s="344"/>
      <c r="AAT51" s="344"/>
      <c r="AAU51" s="344"/>
      <c r="AAV51" s="344"/>
      <c r="AAW51" s="344"/>
      <c r="AAX51" s="344"/>
      <c r="AAY51" s="344"/>
      <c r="AAZ51" s="344"/>
      <c r="ABA51" s="344"/>
      <c r="ABB51" s="344"/>
      <c r="ABC51" s="344"/>
      <c r="ABD51" s="344"/>
      <c r="ABE51" s="344"/>
      <c r="ABF51" s="344"/>
      <c r="ABG51" s="344"/>
      <c r="ABH51" s="344"/>
      <c r="ABI51" s="344"/>
      <c r="ABJ51" s="344"/>
      <c r="ABK51" s="344"/>
      <c r="ABL51" s="344"/>
      <c r="ABM51" s="344"/>
      <c r="ABN51" s="344"/>
      <c r="ABO51" s="344"/>
      <c r="ABP51" s="344"/>
      <c r="ABQ51" s="344"/>
      <c r="ABR51" s="344"/>
      <c r="ABS51" s="344"/>
      <c r="ABT51" s="344"/>
      <c r="ABU51" s="344"/>
      <c r="ABV51" s="344"/>
      <c r="ABW51" s="344"/>
      <c r="ABX51" s="344"/>
      <c r="ABY51" s="344"/>
      <c r="ABZ51" s="344"/>
      <c r="ACA51" s="344"/>
      <c r="ACB51" s="344"/>
      <c r="ACC51" s="344"/>
      <c r="ACD51" s="344"/>
      <c r="ACE51" s="344"/>
      <c r="ACF51" s="344"/>
      <c r="ACG51" s="344"/>
      <c r="ACH51" s="344"/>
      <c r="ACI51" s="344"/>
      <c r="ACJ51" s="344"/>
      <c r="ACK51" s="344"/>
      <c r="ACL51" s="344"/>
      <c r="ACM51" s="344"/>
      <c r="ACN51" s="344"/>
      <c r="ACO51" s="344"/>
      <c r="ACP51" s="344"/>
      <c r="ACQ51" s="344"/>
      <c r="ACR51" s="344"/>
      <c r="ACS51" s="344"/>
      <c r="ACT51" s="344"/>
      <c r="ACU51" s="344"/>
      <c r="ACV51" s="344"/>
      <c r="ACW51" s="344"/>
      <c r="ACX51" s="344"/>
      <c r="ACY51" s="344"/>
      <c r="ACZ51" s="344"/>
      <c r="ADA51" s="344"/>
      <c r="ADB51" s="344"/>
      <c r="ADC51" s="344"/>
      <c r="ADD51" s="344"/>
      <c r="ADE51" s="344"/>
      <c r="ADF51" s="344"/>
      <c r="ADG51" s="344"/>
      <c r="ADH51" s="344"/>
      <c r="ADI51" s="344"/>
      <c r="ADJ51" s="344"/>
      <c r="ADK51" s="344"/>
      <c r="ADL51" s="344"/>
      <c r="ADM51" s="344"/>
      <c r="ADN51" s="344"/>
      <c r="ADO51" s="344"/>
      <c r="ADP51" s="344"/>
      <c r="ADQ51" s="344"/>
      <c r="ADR51" s="344"/>
      <c r="ADS51" s="344"/>
      <c r="ADT51" s="344"/>
      <c r="ADU51" s="344"/>
      <c r="ADV51" s="344"/>
      <c r="ADW51" s="344"/>
      <c r="ADX51" s="344"/>
      <c r="ADY51" s="344"/>
      <c r="ADZ51" s="344"/>
      <c r="AEA51" s="344"/>
      <c r="AEB51" s="344"/>
      <c r="AEC51" s="344"/>
      <c r="AED51" s="344"/>
      <c r="AEE51" s="344"/>
      <c r="AEF51" s="344"/>
      <c r="AEG51" s="344"/>
      <c r="AEH51" s="344"/>
      <c r="AEI51" s="344"/>
      <c r="AEJ51" s="344"/>
      <c r="AEK51" s="344"/>
      <c r="AEL51" s="344"/>
      <c r="AEM51" s="344"/>
      <c r="AEN51" s="344"/>
      <c r="AEO51" s="344"/>
      <c r="AEP51" s="344"/>
      <c r="AEQ51" s="344"/>
      <c r="AER51" s="344"/>
      <c r="AES51" s="344"/>
      <c r="AET51" s="344"/>
      <c r="AEU51" s="344"/>
      <c r="AEV51" s="344"/>
      <c r="AEW51" s="344"/>
      <c r="AEX51" s="344"/>
      <c r="AEY51" s="344"/>
      <c r="AEZ51" s="344"/>
      <c r="AFA51" s="344"/>
      <c r="AFB51" s="344"/>
      <c r="AFC51" s="344"/>
      <c r="AFD51" s="344"/>
      <c r="AFE51" s="344"/>
      <c r="AFF51" s="344"/>
      <c r="AFG51" s="344"/>
      <c r="AFH51" s="344"/>
      <c r="AFI51" s="344"/>
      <c r="AFJ51" s="344"/>
      <c r="AFK51" s="344"/>
      <c r="AFL51" s="344"/>
      <c r="AFM51" s="344"/>
      <c r="AFN51" s="344"/>
      <c r="AFO51" s="344"/>
      <c r="AFP51" s="344"/>
      <c r="AFQ51" s="344"/>
      <c r="AFR51" s="344"/>
      <c r="AFS51" s="344"/>
      <c r="AFT51" s="344"/>
      <c r="AFU51" s="344"/>
      <c r="AFV51" s="344"/>
      <c r="AFW51" s="344"/>
      <c r="AFX51" s="344"/>
      <c r="AFY51" s="344"/>
      <c r="AFZ51" s="344"/>
      <c r="AGA51" s="344"/>
      <c r="AGB51" s="344"/>
      <c r="AGC51" s="344"/>
      <c r="AGD51" s="344"/>
      <c r="AGE51" s="344"/>
      <c r="AGF51" s="344"/>
      <c r="AGG51" s="344"/>
      <c r="AGH51" s="344"/>
      <c r="AGI51" s="344"/>
      <c r="AGJ51" s="344"/>
      <c r="AGK51" s="344"/>
      <c r="AGL51" s="344"/>
      <c r="AGM51" s="344"/>
      <c r="AGN51" s="344"/>
      <c r="AGO51" s="344"/>
      <c r="AGP51" s="344"/>
      <c r="AGQ51" s="344"/>
      <c r="AGR51" s="344"/>
      <c r="AGS51" s="344"/>
      <c r="AGT51" s="344"/>
      <c r="AGU51" s="344"/>
      <c r="AGV51" s="344"/>
      <c r="AGW51" s="344"/>
      <c r="AGX51" s="344"/>
      <c r="AGY51" s="344"/>
      <c r="AGZ51" s="344"/>
      <c r="AHA51" s="344"/>
      <c r="AHB51" s="344"/>
      <c r="AHC51" s="344"/>
      <c r="AHD51" s="344"/>
      <c r="AHE51" s="344"/>
      <c r="AHF51" s="344"/>
      <c r="AHG51" s="344"/>
      <c r="AHH51" s="344"/>
      <c r="AHI51" s="344"/>
      <c r="AHJ51" s="344"/>
      <c r="AHK51" s="344"/>
      <c r="AHL51" s="344"/>
      <c r="AHM51" s="344"/>
      <c r="AHN51" s="344"/>
      <c r="AHO51" s="344"/>
      <c r="AHP51" s="344"/>
      <c r="AHQ51" s="344"/>
      <c r="AHR51" s="344"/>
      <c r="AHS51" s="344"/>
      <c r="AHT51" s="344"/>
      <c r="AHU51" s="344"/>
      <c r="AHV51" s="344"/>
      <c r="AHW51" s="344"/>
      <c r="AHX51" s="344"/>
      <c r="AHY51" s="344"/>
      <c r="AHZ51" s="344"/>
      <c r="AIA51" s="344"/>
      <c r="AIB51" s="344"/>
      <c r="AIC51" s="344"/>
      <c r="AID51" s="344"/>
      <c r="AIE51" s="344"/>
      <c r="AIF51" s="344"/>
      <c r="AIG51" s="344"/>
      <c r="AIH51" s="344"/>
      <c r="AII51" s="344"/>
      <c r="AIJ51" s="344"/>
      <c r="AIK51" s="344"/>
      <c r="AIL51" s="344"/>
      <c r="AIM51" s="344"/>
      <c r="AIN51" s="344"/>
      <c r="AIO51" s="344"/>
      <c r="AIP51" s="344"/>
      <c r="AIQ51" s="344"/>
      <c r="AIR51" s="344"/>
      <c r="AIS51" s="344"/>
      <c r="AIT51" s="344"/>
      <c r="AIU51" s="344"/>
      <c r="AIV51" s="344"/>
      <c r="AIW51" s="344"/>
      <c r="AIX51" s="344"/>
      <c r="AIY51" s="344"/>
      <c r="AIZ51" s="344"/>
      <c r="AJA51" s="344"/>
      <c r="AJB51" s="344"/>
      <c r="AJC51" s="344"/>
      <c r="AJD51" s="344"/>
      <c r="AJE51" s="344"/>
      <c r="AJF51" s="344"/>
      <c r="AJG51" s="344"/>
      <c r="AJH51" s="344"/>
      <c r="AJI51" s="344"/>
      <c r="AJJ51" s="344"/>
      <c r="AJK51" s="344"/>
      <c r="AJL51" s="344"/>
      <c r="AJM51" s="344"/>
      <c r="AJN51" s="344"/>
      <c r="AJO51" s="344"/>
      <c r="AJP51" s="344"/>
      <c r="AJQ51" s="344"/>
      <c r="AJR51" s="344"/>
      <c r="AJS51" s="344"/>
      <c r="AJT51" s="344"/>
      <c r="AJU51" s="344"/>
      <c r="AJV51" s="344"/>
      <c r="AJW51" s="344"/>
      <c r="AJX51" s="344"/>
      <c r="AJY51" s="344"/>
      <c r="AJZ51" s="344"/>
      <c r="AKA51" s="344"/>
      <c r="AKB51" s="344"/>
      <c r="AKC51" s="344"/>
      <c r="AKD51" s="344"/>
      <c r="AKE51" s="344"/>
      <c r="AKF51" s="344"/>
      <c r="AKG51" s="344"/>
      <c r="AKH51" s="344"/>
      <c r="AKI51" s="344"/>
      <c r="AKJ51" s="344"/>
      <c r="AKK51" s="344"/>
      <c r="AKL51" s="344"/>
      <c r="AKM51" s="344"/>
      <c r="AKN51" s="344"/>
      <c r="AKO51" s="344"/>
      <c r="AKP51" s="344"/>
      <c r="AKQ51" s="344"/>
      <c r="AKR51" s="344"/>
      <c r="AKS51" s="344"/>
      <c r="AKT51" s="344"/>
      <c r="AKU51" s="344"/>
      <c r="AKV51" s="344"/>
      <c r="AKW51" s="344"/>
      <c r="AKX51" s="344"/>
      <c r="AKY51" s="344"/>
      <c r="AKZ51" s="344"/>
      <c r="ALA51" s="344"/>
      <c r="ALB51" s="344"/>
      <c r="ALC51" s="344"/>
      <c r="ALD51" s="344"/>
      <c r="ALE51" s="344"/>
      <c r="ALF51" s="344"/>
      <c r="ALG51" s="344"/>
      <c r="ALH51" s="344"/>
      <c r="ALI51" s="344"/>
      <c r="ALJ51" s="344"/>
      <c r="ALK51" s="344"/>
      <c r="ALL51" s="344"/>
      <c r="ALM51" s="344"/>
      <c r="ALN51" s="344"/>
      <c r="ALO51" s="344"/>
      <c r="ALP51" s="344"/>
      <c r="ALQ51" s="344"/>
      <c r="ALR51" s="344"/>
      <c r="ALS51" s="344"/>
      <c r="ALT51" s="344"/>
      <c r="ALU51" s="344"/>
      <c r="ALV51" s="344"/>
      <c r="ALW51" s="344"/>
      <c r="ALX51" s="344"/>
      <c r="ALY51" s="344"/>
      <c r="ALZ51" s="344"/>
      <c r="AMA51" s="344"/>
      <c r="AMB51" s="344"/>
      <c r="AMC51" s="344"/>
      <c r="AMD51" s="344"/>
      <c r="AME51" s="344"/>
      <c r="AMF51" s="344"/>
      <c r="AMG51" s="344"/>
      <c r="AMH51" s="344"/>
      <c r="AMI51" s="344"/>
      <c r="AMJ51" s="344"/>
      <c r="AMK51" s="344"/>
      <c r="AML51" s="344"/>
      <c r="AMM51" s="344"/>
      <c r="AMN51" s="344"/>
      <c r="AMO51" s="344"/>
      <c r="AMP51" s="344"/>
      <c r="AMQ51" s="344"/>
      <c r="AMR51" s="344"/>
      <c r="AMS51" s="344"/>
      <c r="AMT51" s="344"/>
      <c r="AMU51" s="344"/>
      <c r="AMV51" s="344"/>
      <c r="AMW51" s="344"/>
      <c r="AMX51" s="344"/>
      <c r="AMY51" s="344"/>
      <c r="AMZ51" s="344"/>
      <c r="ANA51" s="344"/>
      <c r="ANB51" s="344"/>
      <c r="ANC51" s="344"/>
      <c r="AND51" s="344"/>
      <c r="ANE51" s="344"/>
      <c r="ANF51" s="344"/>
      <c r="ANG51" s="344"/>
      <c r="ANH51" s="344"/>
      <c r="ANI51" s="344"/>
      <c r="ANJ51" s="344"/>
      <c r="ANK51" s="344"/>
      <c r="ANL51" s="344"/>
      <c r="ANM51" s="344"/>
      <c r="ANN51" s="344"/>
      <c r="ANO51" s="344"/>
      <c r="ANP51" s="344"/>
      <c r="ANQ51" s="344"/>
      <c r="ANR51" s="344"/>
      <c r="ANS51" s="344"/>
      <c r="ANT51" s="344"/>
      <c r="ANU51" s="344"/>
      <c r="ANV51" s="344"/>
      <c r="ANW51" s="344"/>
      <c r="ANX51" s="344"/>
      <c r="ANY51" s="344"/>
      <c r="ANZ51" s="344"/>
      <c r="AOA51" s="344"/>
      <c r="AOB51" s="344"/>
      <c r="AOC51" s="344"/>
      <c r="AOD51" s="344"/>
      <c r="AOE51" s="344"/>
      <c r="AOF51" s="344"/>
      <c r="AOG51" s="344"/>
      <c r="AOH51" s="344"/>
      <c r="AOI51" s="344"/>
      <c r="AOJ51" s="344"/>
      <c r="AOK51" s="344"/>
      <c r="AOL51" s="344"/>
      <c r="AOM51" s="344"/>
      <c r="AON51" s="344"/>
      <c r="AOO51" s="344"/>
      <c r="AOP51" s="344"/>
      <c r="AOQ51" s="344"/>
      <c r="AOR51" s="344"/>
      <c r="AOS51" s="344"/>
      <c r="AOT51" s="344"/>
      <c r="AOU51" s="344"/>
      <c r="AOV51" s="344"/>
      <c r="AOW51" s="344"/>
      <c r="AOX51" s="344"/>
      <c r="AOY51" s="344"/>
      <c r="AOZ51" s="344"/>
      <c r="APA51" s="344"/>
      <c r="APB51" s="344"/>
      <c r="APC51" s="344"/>
      <c r="APD51" s="344"/>
      <c r="APE51" s="344"/>
      <c r="APF51" s="344"/>
      <c r="APG51" s="344"/>
      <c r="APH51" s="344"/>
      <c r="API51" s="344"/>
      <c r="APJ51" s="344"/>
      <c r="APK51" s="344"/>
      <c r="APL51" s="344"/>
      <c r="APM51" s="344"/>
      <c r="APN51" s="344"/>
      <c r="APO51" s="344"/>
      <c r="APP51" s="344"/>
      <c r="APQ51" s="344"/>
      <c r="APR51" s="344"/>
      <c r="APS51" s="344"/>
      <c r="APT51" s="344"/>
      <c r="APU51" s="344"/>
      <c r="APV51" s="344"/>
      <c r="APW51" s="344"/>
      <c r="APX51" s="344"/>
      <c r="APY51" s="344"/>
      <c r="APZ51" s="344"/>
      <c r="AQA51" s="344"/>
      <c r="AQB51" s="344"/>
      <c r="AQC51" s="344"/>
      <c r="AQD51" s="344"/>
      <c r="AQE51" s="344"/>
      <c r="AQF51" s="344"/>
      <c r="AQG51" s="344"/>
      <c r="AQH51" s="344"/>
      <c r="AQI51" s="344"/>
      <c r="AQJ51" s="344"/>
      <c r="AQK51" s="344"/>
      <c r="AQL51" s="344"/>
      <c r="AQM51" s="344"/>
      <c r="AQN51" s="344"/>
      <c r="AQO51" s="344"/>
      <c r="AQP51" s="344"/>
      <c r="AQQ51" s="344"/>
      <c r="AQR51" s="344"/>
      <c r="AQS51" s="344"/>
      <c r="AQT51" s="344"/>
      <c r="AQU51" s="344"/>
      <c r="AQV51" s="344"/>
      <c r="AQW51" s="344"/>
      <c r="AQX51" s="344"/>
      <c r="AQY51" s="344"/>
      <c r="AQZ51" s="344"/>
      <c r="ARA51" s="344"/>
      <c r="ARB51" s="344"/>
      <c r="ARC51" s="344"/>
      <c r="ARD51" s="344"/>
      <c r="ARE51" s="344"/>
      <c r="ARF51" s="344"/>
      <c r="ARG51" s="344"/>
      <c r="ARH51" s="344"/>
      <c r="ARI51" s="344"/>
      <c r="ARJ51" s="344"/>
      <c r="ARK51" s="344"/>
      <c r="ARL51" s="344"/>
      <c r="ARM51" s="344"/>
      <c r="ARN51" s="344"/>
      <c r="ARO51" s="344"/>
      <c r="ARP51" s="344"/>
      <c r="ARQ51" s="344"/>
      <c r="ARR51" s="344"/>
      <c r="ARS51" s="344"/>
      <c r="ART51" s="344"/>
      <c r="ARU51" s="344"/>
      <c r="ARV51" s="344"/>
      <c r="ARW51" s="344"/>
      <c r="ARX51" s="344"/>
      <c r="ARY51" s="344"/>
      <c r="ARZ51" s="344"/>
      <c r="ASA51" s="344"/>
      <c r="ASB51" s="344"/>
      <c r="ASC51" s="344"/>
      <c r="ASD51" s="344"/>
      <c r="ASE51" s="344"/>
      <c r="ASF51" s="344"/>
      <c r="ASG51" s="344"/>
      <c r="ASH51" s="344"/>
      <c r="ASI51" s="344"/>
      <c r="ASJ51" s="344"/>
      <c r="ASK51" s="344"/>
      <c r="ASL51" s="344"/>
      <c r="ASM51" s="344"/>
      <c r="ASN51" s="344"/>
      <c r="ASO51" s="344"/>
      <c r="ASP51" s="344"/>
      <c r="ASQ51" s="344"/>
      <c r="ASR51" s="344"/>
      <c r="ASS51" s="344"/>
      <c r="AST51" s="344"/>
      <c r="ASU51" s="344"/>
      <c r="ASV51" s="344"/>
      <c r="ASW51" s="344"/>
      <c r="ASX51" s="344"/>
      <c r="ASY51" s="344"/>
      <c r="ASZ51" s="344"/>
      <c r="ATA51" s="344"/>
      <c r="ATB51" s="344"/>
      <c r="ATC51" s="344"/>
      <c r="ATD51" s="344"/>
      <c r="ATE51" s="344"/>
      <c r="ATF51" s="344"/>
      <c r="ATG51" s="344"/>
      <c r="ATH51" s="344"/>
      <c r="ATI51" s="344"/>
      <c r="ATJ51" s="344"/>
      <c r="ATK51" s="344"/>
      <c r="ATL51" s="344"/>
      <c r="ATM51" s="344"/>
      <c r="ATN51" s="344"/>
      <c r="ATO51" s="344"/>
      <c r="ATP51" s="344"/>
      <c r="ATQ51" s="344"/>
      <c r="ATR51" s="344"/>
      <c r="ATS51" s="344"/>
      <c r="ATT51" s="344"/>
      <c r="ATU51" s="344"/>
      <c r="ATV51" s="344"/>
      <c r="ATW51" s="344"/>
      <c r="ATX51" s="344"/>
      <c r="ATY51" s="344"/>
      <c r="ATZ51" s="344"/>
      <c r="AUA51" s="344"/>
      <c r="AUB51" s="344"/>
      <c r="AUC51" s="344"/>
      <c r="AUD51" s="344"/>
      <c r="AUE51" s="344"/>
      <c r="AUF51" s="344"/>
      <c r="AUG51" s="344"/>
      <c r="AUH51" s="344"/>
      <c r="AUI51" s="344"/>
      <c r="AUJ51" s="344"/>
      <c r="AUK51" s="344"/>
      <c r="AUL51" s="344"/>
      <c r="AUM51" s="344"/>
      <c r="AUN51" s="344"/>
      <c r="AUO51" s="344"/>
      <c r="AUP51" s="344"/>
      <c r="AUQ51" s="344"/>
      <c r="AUR51" s="344"/>
      <c r="AUS51" s="344"/>
      <c r="AUT51" s="344"/>
      <c r="AUU51" s="344"/>
      <c r="AUV51" s="344"/>
      <c r="AUW51" s="344"/>
      <c r="AUX51" s="344"/>
      <c r="AUY51" s="344"/>
      <c r="AUZ51" s="344"/>
      <c r="AVA51" s="344"/>
      <c r="AVB51" s="344"/>
      <c r="AVC51" s="344"/>
      <c r="AVD51" s="344"/>
      <c r="AVE51" s="344"/>
      <c r="AVF51" s="344"/>
      <c r="AVG51" s="344"/>
      <c r="AVH51" s="344"/>
      <c r="AVI51" s="344"/>
      <c r="AVJ51" s="344"/>
      <c r="AVK51" s="344"/>
      <c r="AVL51" s="344"/>
      <c r="AVM51" s="344"/>
      <c r="AVN51" s="344"/>
      <c r="AVO51" s="344"/>
      <c r="AVP51" s="344"/>
      <c r="AVQ51" s="344"/>
      <c r="AVR51" s="344"/>
      <c r="AVS51" s="344"/>
      <c r="AVT51" s="344"/>
      <c r="AVU51" s="344"/>
      <c r="AVV51" s="344"/>
      <c r="AVW51" s="344"/>
      <c r="AVX51" s="344"/>
      <c r="AVY51" s="344"/>
      <c r="AVZ51" s="344"/>
      <c r="AWA51" s="344"/>
      <c r="AWB51" s="344"/>
      <c r="AWC51" s="344"/>
      <c r="AWD51" s="344"/>
      <c r="AWE51" s="344"/>
      <c r="AWF51" s="344"/>
      <c r="AWG51" s="344"/>
      <c r="AWH51" s="344"/>
      <c r="AWI51" s="344"/>
      <c r="AWJ51" s="344"/>
      <c r="AWK51" s="344"/>
      <c r="AWL51" s="344"/>
      <c r="AWM51" s="344"/>
      <c r="AWN51" s="344"/>
      <c r="AWO51" s="344"/>
      <c r="AWP51" s="344"/>
      <c r="AWQ51" s="344"/>
      <c r="AWR51" s="344"/>
      <c r="AWS51" s="344"/>
      <c r="AWT51" s="344"/>
      <c r="AWU51" s="344"/>
      <c r="AWV51" s="344"/>
      <c r="AWW51" s="344"/>
      <c r="AWX51" s="344"/>
      <c r="AWY51" s="344"/>
      <c r="AWZ51" s="344"/>
      <c r="AXA51" s="344"/>
      <c r="AXB51" s="344"/>
      <c r="AXC51" s="344"/>
      <c r="AXD51" s="344"/>
      <c r="AXE51" s="344"/>
      <c r="AXF51" s="344"/>
      <c r="AXG51" s="344"/>
      <c r="AXH51" s="344"/>
      <c r="AXI51" s="344"/>
      <c r="AXJ51" s="344"/>
      <c r="AXK51" s="344"/>
      <c r="AXL51" s="344"/>
      <c r="AXM51" s="344"/>
      <c r="AXN51" s="344"/>
      <c r="AXO51" s="344"/>
      <c r="AXP51" s="344"/>
      <c r="AXQ51" s="344"/>
      <c r="AXR51" s="344"/>
      <c r="AXS51" s="344"/>
      <c r="AXT51" s="344"/>
      <c r="AXU51" s="344"/>
      <c r="AXV51" s="344"/>
      <c r="AXW51" s="344"/>
      <c r="AXX51" s="344"/>
      <c r="AXY51" s="344"/>
      <c r="AXZ51" s="344"/>
      <c r="AYA51" s="344"/>
      <c r="AYB51" s="344"/>
      <c r="AYC51" s="344"/>
      <c r="AYD51" s="344"/>
      <c r="AYE51" s="344"/>
      <c r="AYF51" s="344"/>
      <c r="AYG51" s="344"/>
      <c r="AYH51" s="344"/>
      <c r="AYI51" s="344"/>
      <c r="AYJ51" s="344"/>
      <c r="AYK51" s="344"/>
      <c r="AYL51" s="344"/>
      <c r="AYM51" s="344"/>
      <c r="AYN51" s="344"/>
      <c r="AYO51" s="344"/>
      <c r="AYP51" s="344"/>
      <c r="AYQ51" s="344"/>
      <c r="AYR51" s="344"/>
      <c r="AYS51" s="344"/>
      <c r="AYT51" s="344"/>
      <c r="AYU51" s="344"/>
      <c r="AYV51" s="344"/>
      <c r="AYW51" s="344"/>
      <c r="AYX51" s="344"/>
      <c r="AYY51" s="344"/>
      <c r="AYZ51" s="344"/>
      <c r="AZA51" s="344"/>
      <c r="AZB51" s="344"/>
      <c r="AZC51" s="344"/>
      <c r="AZD51" s="344"/>
      <c r="AZE51" s="344"/>
      <c r="AZF51" s="344"/>
      <c r="AZG51" s="344"/>
      <c r="AZH51" s="344"/>
      <c r="AZI51" s="344"/>
      <c r="AZJ51" s="344"/>
      <c r="AZK51" s="344"/>
      <c r="AZL51" s="344"/>
      <c r="AZM51" s="344"/>
      <c r="AZN51" s="344"/>
      <c r="AZO51" s="344"/>
      <c r="AZP51" s="344"/>
      <c r="AZQ51" s="344"/>
      <c r="AZR51" s="344"/>
      <c r="AZS51" s="344"/>
      <c r="AZT51" s="344"/>
      <c r="AZU51" s="344"/>
      <c r="AZV51" s="344"/>
      <c r="AZW51" s="344"/>
      <c r="AZX51" s="344"/>
      <c r="AZY51" s="344"/>
      <c r="AZZ51" s="344"/>
      <c r="BAA51" s="344"/>
      <c r="BAB51" s="344"/>
      <c r="BAC51" s="344"/>
      <c r="BAD51" s="344"/>
      <c r="BAE51" s="344"/>
      <c r="BAF51" s="344"/>
      <c r="BAG51" s="344"/>
      <c r="BAH51" s="344"/>
      <c r="BAI51" s="344"/>
      <c r="BAJ51" s="344"/>
      <c r="BAK51" s="344"/>
      <c r="BAL51" s="344"/>
      <c r="BAM51" s="344"/>
      <c r="BAN51" s="344"/>
      <c r="BAO51" s="344"/>
      <c r="BAP51" s="344"/>
      <c r="BAQ51" s="344"/>
      <c r="BAR51" s="344"/>
      <c r="BAS51" s="344"/>
      <c r="BAT51" s="344"/>
      <c r="BAU51" s="344"/>
      <c r="BAV51" s="344"/>
      <c r="BAW51" s="344"/>
      <c r="BAX51" s="344"/>
      <c r="BAY51" s="344"/>
      <c r="BAZ51" s="344"/>
      <c r="BBA51" s="344"/>
      <c r="BBB51" s="344"/>
      <c r="BBC51" s="344"/>
      <c r="BBD51" s="344"/>
      <c r="BBE51" s="344"/>
      <c r="BBF51" s="344"/>
      <c r="BBG51" s="344"/>
      <c r="BBH51" s="344"/>
      <c r="BBI51" s="344"/>
      <c r="BBJ51" s="344"/>
      <c r="BBK51" s="344"/>
      <c r="BBL51" s="344"/>
      <c r="BBM51" s="344"/>
      <c r="BBN51" s="344"/>
      <c r="BBO51" s="344"/>
      <c r="BBP51" s="344"/>
      <c r="BBQ51" s="344"/>
      <c r="BBR51" s="344"/>
      <c r="BBS51" s="344"/>
      <c r="BBT51" s="344"/>
      <c r="BBU51" s="344"/>
      <c r="BBV51" s="344"/>
      <c r="BBW51" s="344"/>
      <c r="BBX51" s="344"/>
      <c r="BBY51" s="344"/>
      <c r="BBZ51" s="344"/>
      <c r="BCA51" s="344"/>
      <c r="BCB51" s="344"/>
      <c r="BCC51" s="344"/>
      <c r="BCD51" s="344"/>
      <c r="BCE51" s="344"/>
      <c r="BCF51" s="344"/>
      <c r="BCG51" s="344"/>
      <c r="BCH51" s="344"/>
      <c r="BCI51" s="344"/>
      <c r="BCJ51" s="344"/>
      <c r="BCK51" s="344"/>
      <c r="BCL51" s="344"/>
      <c r="BCM51" s="344"/>
      <c r="BCN51" s="344"/>
      <c r="BCO51" s="344"/>
      <c r="BCP51" s="344"/>
      <c r="BCQ51" s="344"/>
      <c r="BCR51" s="344"/>
      <c r="BCS51" s="344"/>
      <c r="BCT51" s="344"/>
      <c r="BCU51" s="344"/>
      <c r="BCV51" s="344"/>
      <c r="BCW51" s="344"/>
      <c r="BCX51" s="344"/>
      <c r="BCY51" s="344"/>
      <c r="BCZ51" s="344"/>
      <c r="BDA51" s="344"/>
      <c r="BDB51" s="344"/>
      <c r="BDC51" s="344"/>
      <c r="BDD51" s="344"/>
      <c r="BDE51" s="344"/>
      <c r="BDF51" s="344"/>
      <c r="BDG51" s="344"/>
      <c r="BDH51" s="344"/>
      <c r="BDI51" s="344"/>
      <c r="BDJ51" s="344"/>
      <c r="BDK51" s="344"/>
      <c r="BDL51" s="344"/>
      <c r="BDM51" s="344"/>
      <c r="BDN51" s="344"/>
      <c r="BDO51" s="344"/>
      <c r="BDP51" s="344"/>
      <c r="BDQ51" s="344"/>
      <c r="BDR51" s="344"/>
      <c r="BDS51" s="344"/>
      <c r="BDT51" s="344"/>
      <c r="BDU51" s="344"/>
      <c r="BDV51" s="344"/>
      <c r="BDW51" s="344"/>
      <c r="BDX51" s="344"/>
      <c r="BDY51" s="344"/>
      <c r="BDZ51" s="344"/>
      <c r="BEA51" s="344"/>
      <c r="BEB51" s="344"/>
      <c r="BEC51" s="344"/>
      <c r="BED51" s="344"/>
      <c r="BEE51" s="344"/>
      <c r="BEF51" s="344"/>
      <c r="BEG51" s="344"/>
      <c r="BEH51" s="344"/>
      <c r="BEI51" s="344"/>
      <c r="BEJ51" s="344"/>
      <c r="BEK51" s="344"/>
      <c r="BEL51" s="344"/>
      <c r="BEM51" s="344"/>
      <c r="BEN51" s="344"/>
      <c r="BEO51" s="344"/>
      <c r="BEP51" s="344"/>
      <c r="BEQ51" s="344"/>
      <c r="BER51" s="344"/>
      <c r="BES51" s="344"/>
      <c r="BET51" s="344"/>
      <c r="BEU51" s="344"/>
      <c r="BEV51" s="344"/>
      <c r="BEW51" s="344"/>
      <c r="BEX51" s="344"/>
      <c r="BEY51" s="344"/>
      <c r="BEZ51" s="344"/>
      <c r="BFA51" s="344"/>
      <c r="BFB51" s="344"/>
      <c r="BFC51" s="344"/>
      <c r="BFD51" s="344"/>
      <c r="BFE51" s="344"/>
      <c r="BFF51" s="344"/>
      <c r="BFG51" s="344"/>
      <c r="BFH51" s="344"/>
      <c r="BFI51" s="344"/>
      <c r="BFJ51" s="344"/>
      <c r="BFK51" s="344"/>
      <c r="BFL51" s="344"/>
      <c r="BFM51" s="344"/>
      <c r="BFN51" s="344"/>
      <c r="BFO51" s="344"/>
      <c r="BFP51" s="344"/>
      <c r="BFQ51" s="344"/>
      <c r="BFR51" s="344"/>
      <c r="BFS51" s="344"/>
      <c r="BFT51" s="344"/>
      <c r="BFU51" s="344"/>
      <c r="BFV51" s="344"/>
      <c r="BFW51" s="344"/>
      <c r="BFX51" s="344"/>
      <c r="BFY51" s="344"/>
      <c r="BFZ51" s="344"/>
      <c r="BGA51" s="344"/>
      <c r="BGB51" s="344"/>
      <c r="BGC51" s="344"/>
      <c r="BGD51" s="344"/>
      <c r="BGE51" s="344"/>
      <c r="BGF51" s="344"/>
      <c r="BGG51" s="344"/>
      <c r="BGH51" s="344"/>
      <c r="BGI51" s="344"/>
      <c r="BGJ51" s="344"/>
      <c r="BGK51" s="344"/>
      <c r="BGL51" s="344"/>
      <c r="BGM51" s="344"/>
      <c r="BGN51" s="344"/>
      <c r="BGO51" s="344"/>
      <c r="BGP51" s="344"/>
      <c r="BGQ51" s="344"/>
      <c r="BGR51" s="344"/>
      <c r="BGS51" s="344"/>
      <c r="BGT51" s="344"/>
      <c r="BGU51" s="344"/>
      <c r="BGV51" s="344"/>
      <c r="BGW51" s="344"/>
      <c r="BGX51" s="344"/>
      <c r="BGY51" s="344"/>
      <c r="BGZ51" s="344"/>
      <c r="BHA51" s="344"/>
      <c r="BHB51" s="344"/>
      <c r="BHC51" s="344"/>
      <c r="BHD51" s="344"/>
      <c r="BHE51" s="344"/>
      <c r="BHF51" s="344"/>
      <c r="BHG51" s="344"/>
      <c r="BHH51" s="344"/>
      <c r="BHI51" s="344"/>
      <c r="BHJ51" s="344"/>
      <c r="BHK51" s="344"/>
      <c r="BHL51" s="344"/>
      <c r="BHM51" s="344"/>
      <c r="BHN51" s="344"/>
      <c r="BHO51" s="344"/>
      <c r="BHP51" s="344"/>
      <c r="BHQ51" s="344"/>
      <c r="BHR51" s="344"/>
      <c r="BHS51" s="344"/>
      <c r="BHT51" s="344"/>
      <c r="BHU51" s="344"/>
      <c r="BHV51" s="344"/>
      <c r="BHW51" s="344"/>
      <c r="BHX51" s="344"/>
      <c r="BHY51" s="344"/>
      <c r="BHZ51" s="344"/>
      <c r="BIA51" s="344"/>
      <c r="BIB51" s="344"/>
      <c r="BIC51" s="344"/>
      <c r="BID51" s="344"/>
      <c r="BIE51" s="344"/>
      <c r="BIF51" s="344"/>
      <c r="BIG51" s="344"/>
      <c r="BIH51" s="344"/>
      <c r="BII51" s="344"/>
      <c r="BIJ51" s="344"/>
      <c r="BIK51" s="344"/>
      <c r="BIL51" s="344"/>
      <c r="BIM51" s="344"/>
      <c r="BIN51" s="344"/>
      <c r="BIO51" s="344"/>
      <c r="BIP51" s="344"/>
      <c r="BIQ51" s="344"/>
      <c r="BIR51" s="344"/>
      <c r="BIS51" s="344"/>
      <c r="BIT51" s="344"/>
      <c r="BIU51" s="344"/>
      <c r="BIV51" s="344"/>
      <c r="BIW51" s="344"/>
      <c r="BIX51" s="344"/>
      <c r="BIY51" s="344"/>
      <c r="BIZ51" s="344"/>
      <c r="BJA51" s="344"/>
      <c r="BJB51" s="344"/>
      <c r="BJC51" s="344"/>
      <c r="BJD51" s="344"/>
      <c r="BJE51" s="344"/>
      <c r="BJF51" s="344"/>
      <c r="BJG51" s="344"/>
      <c r="BJH51" s="344"/>
      <c r="BJI51" s="344"/>
      <c r="BJJ51" s="344"/>
      <c r="BJK51" s="344"/>
      <c r="BJL51" s="344"/>
      <c r="BJM51" s="344"/>
      <c r="BJN51" s="344"/>
      <c r="BJO51" s="344"/>
      <c r="BJP51" s="344"/>
      <c r="BJQ51" s="344"/>
      <c r="BJR51" s="344"/>
      <c r="BJS51" s="344"/>
      <c r="BJT51" s="344"/>
      <c r="BJU51" s="344"/>
      <c r="BJV51" s="344"/>
      <c r="BJW51" s="344"/>
      <c r="BJX51" s="344"/>
      <c r="BJY51" s="344"/>
      <c r="BJZ51" s="344"/>
      <c r="BKA51" s="344"/>
      <c r="BKB51" s="344"/>
      <c r="BKC51" s="344"/>
      <c r="BKD51" s="344"/>
      <c r="BKE51" s="344"/>
      <c r="BKF51" s="344"/>
      <c r="BKG51" s="344"/>
      <c r="BKH51" s="344"/>
      <c r="BKI51" s="344"/>
      <c r="BKJ51" s="344"/>
      <c r="BKK51" s="344"/>
      <c r="BKL51" s="344"/>
      <c r="BKM51" s="344"/>
      <c r="BKN51" s="344"/>
      <c r="BKO51" s="344"/>
      <c r="BKP51" s="344"/>
      <c r="BKQ51" s="344"/>
      <c r="BKR51" s="344"/>
      <c r="BKS51" s="344"/>
      <c r="BKT51" s="344"/>
      <c r="BKU51" s="344"/>
      <c r="BKV51" s="344"/>
      <c r="BKW51" s="344"/>
      <c r="BKX51" s="344"/>
      <c r="BKY51" s="344"/>
      <c r="BKZ51" s="344"/>
      <c r="BLA51" s="344"/>
      <c r="BLB51" s="344"/>
      <c r="BLC51" s="344"/>
      <c r="BLD51" s="344"/>
      <c r="BLE51" s="344"/>
      <c r="BLF51" s="344"/>
      <c r="BLG51" s="344"/>
      <c r="BLH51" s="344"/>
      <c r="BLI51" s="344"/>
      <c r="BLJ51" s="344"/>
      <c r="BLK51" s="344"/>
      <c r="BLL51" s="344"/>
      <c r="BLM51" s="344"/>
      <c r="BLN51" s="344"/>
      <c r="BLO51" s="344"/>
      <c r="BLP51" s="344"/>
      <c r="BLQ51" s="344"/>
      <c r="BLR51" s="344"/>
      <c r="BLS51" s="344"/>
      <c r="BLT51" s="344"/>
      <c r="BLU51" s="344"/>
      <c r="BLV51" s="344"/>
      <c r="BLW51" s="344"/>
      <c r="BLX51" s="344"/>
      <c r="BLY51" s="344"/>
      <c r="BLZ51" s="344"/>
      <c r="BMA51" s="344"/>
      <c r="BMB51" s="344"/>
      <c r="BMC51" s="344"/>
      <c r="BMD51" s="344"/>
      <c r="BME51" s="344"/>
      <c r="BMF51" s="344"/>
      <c r="BMG51" s="344"/>
      <c r="BMH51" s="344"/>
      <c r="BMI51" s="344"/>
      <c r="BMJ51" s="344"/>
      <c r="BMK51" s="344"/>
      <c r="BML51" s="344"/>
      <c r="BMM51" s="344"/>
      <c r="BMN51" s="344"/>
      <c r="BMO51" s="344"/>
      <c r="BMP51" s="344"/>
      <c r="BMQ51" s="344"/>
      <c r="BMR51" s="344"/>
      <c r="BMS51" s="344"/>
      <c r="BMT51" s="344"/>
      <c r="BMU51" s="344"/>
      <c r="BMV51" s="344"/>
      <c r="BMW51" s="344"/>
      <c r="BMX51" s="344"/>
      <c r="BMY51" s="344"/>
      <c r="BMZ51" s="344"/>
      <c r="BNA51" s="344"/>
      <c r="BNB51" s="344"/>
      <c r="BNC51" s="344"/>
      <c r="BND51" s="344"/>
      <c r="BNE51" s="344"/>
      <c r="BNF51" s="344"/>
      <c r="BNG51" s="344"/>
      <c r="BNH51" s="344"/>
      <c r="BNI51" s="344"/>
      <c r="BNJ51" s="344"/>
      <c r="BNK51" s="344"/>
      <c r="BNL51" s="344"/>
      <c r="BNM51" s="344"/>
      <c r="BNN51" s="344"/>
      <c r="BNO51" s="344"/>
      <c r="BNP51" s="344"/>
      <c r="BNQ51" s="344"/>
      <c r="BNR51" s="344"/>
      <c r="BNS51" s="344"/>
      <c r="BNT51" s="344"/>
      <c r="BNU51" s="344"/>
      <c r="BNV51" s="344"/>
      <c r="BNW51" s="344"/>
      <c r="BNX51" s="344"/>
      <c r="BNY51" s="344"/>
      <c r="BNZ51" s="344"/>
      <c r="BOA51" s="344"/>
      <c r="BOB51" s="344"/>
      <c r="BOC51" s="344"/>
      <c r="BOD51" s="344"/>
      <c r="BOE51" s="344"/>
      <c r="BOF51" s="344"/>
      <c r="BOG51" s="344"/>
      <c r="BOH51" s="344"/>
      <c r="BOI51" s="344"/>
      <c r="BOJ51" s="344"/>
      <c r="BOK51" s="344"/>
      <c r="BOL51" s="344"/>
      <c r="BOM51" s="344"/>
      <c r="BON51" s="344"/>
      <c r="BOO51" s="344"/>
      <c r="BOP51" s="344"/>
      <c r="BOQ51" s="344"/>
      <c r="BOR51" s="344"/>
      <c r="BOS51" s="344"/>
      <c r="BOT51" s="344"/>
      <c r="BOU51" s="344"/>
      <c r="BOV51" s="344"/>
      <c r="BOW51" s="344"/>
      <c r="BOX51" s="344"/>
      <c r="BOY51" s="344"/>
      <c r="BOZ51" s="344"/>
      <c r="BPA51" s="344"/>
      <c r="BPB51" s="344"/>
      <c r="BPC51" s="344"/>
      <c r="BPD51" s="344"/>
      <c r="BPE51" s="344"/>
      <c r="BPF51" s="344"/>
      <c r="BPG51" s="344"/>
      <c r="BPH51" s="344"/>
      <c r="BPI51" s="344"/>
      <c r="BPJ51" s="344"/>
      <c r="BPK51" s="344"/>
      <c r="BPL51" s="344"/>
      <c r="BPM51" s="344"/>
      <c r="BPN51" s="344"/>
      <c r="BPO51" s="344"/>
      <c r="BPP51" s="344"/>
      <c r="BPQ51" s="344"/>
      <c r="BPR51" s="344"/>
      <c r="BPS51" s="344"/>
      <c r="BPT51" s="344"/>
      <c r="BPU51" s="344"/>
      <c r="BPV51" s="344"/>
      <c r="BPW51" s="344"/>
      <c r="BPX51" s="344"/>
      <c r="BPY51" s="344"/>
      <c r="BPZ51" s="344"/>
      <c r="BQA51" s="344"/>
      <c r="BQB51" s="344"/>
      <c r="BQC51" s="344"/>
      <c r="BQD51" s="344"/>
      <c r="BQE51" s="344"/>
      <c r="BQF51" s="344"/>
      <c r="BQG51" s="344"/>
      <c r="BQH51" s="344"/>
      <c r="BQI51" s="344"/>
      <c r="BQJ51" s="344"/>
      <c r="BQK51" s="344"/>
      <c r="BQL51" s="344"/>
      <c r="BQM51" s="344"/>
      <c r="BQN51" s="344"/>
      <c r="BQO51" s="344"/>
      <c r="BQP51" s="344"/>
      <c r="BQQ51" s="344"/>
      <c r="BQR51" s="344"/>
      <c r="BQS51" s="344"/>
      <c r="BQT51" s="344"/>
      <c r="BQU51" s="344"/>
      <c r="BQV51" s="344"/>
      <c r="BQW51" s="344"/>
      <c r="BQX51" s="344"/>
      <c r="BQY51" s="344"/>
      <c r="BQZ51" s="344"/>
      <c r="BRA51" s="344"/>
      <c r="BRB51" s="344"/>
      <c r="BRC51" s="344"/>
      <c r="BRD51" s="344"/>
      <c r="BRE51" s="344"/>
      <c r="BRF51" s="344"/>
      <c r="BRG51" s="344"/>
      <c r="BRH51" s="344"/>
      <c r="BRI51" s="344"/>
      <c r="BRJ51" s="344"/>
      <c r="BRK51" s="344"/>
      <c r="BRL51" s="344"/>
      <c r="BRM51" s="344"/>
      <c r="BRN51" s="344"/>
      <c r="BRO51" s="344"/>
      <c r="BRP51" s="344"/>
      <c r="BRQ51" s="344"/>
      <c r="BRR51" s="344"/>
      <c r="BRS51" s="344"/>
      <c r="BRT51" s="344"/>
      <c r="BRU51" s="344"/>
      <c r="BRV51" s="344"/>
      <c r="BRW51" s="344"/>
      <c r="BRX51" s="344"/>
      <c r="BRY51" s="344"/>
      <c r="BRZ51" s="344"/>
      <c r="BSA51" s="344"/>
      <c r="BSB51" s="344"/>
      <c r="BSC51" s="344"/>
      <c r="BSD51" s="344"/>
      <c r="BSE51" s="344"/>
      <c r="BSF51" s="344"/>
      <c r="BSG51" s="344"/>
      <c r="BSH51" s="344"/>
      <c r="BSI51" s="344"/>
      <c r="BSJ51" s="344"/>
      <c r="BSK51" s="344"/>
      <c r="BSL51" s="344"/>
      <c r="BSM51" s="344"/>
      <c r="BSN51" s="344"/>
      <c r="BSO51" s="344"/>
      <c r="BSP51" s="344"/>
      <c r="BSQ51" s="344"/>
      <c r="BSR51" s="344"/>
      <c r="BSS51" s="344"/>
      <c r="BST51" s="344"/>
      <c r="BSU51" s="344"/>
      <c r="BSV51" s="344"/>
      <c r="BSW51" s="344"/>
      <c r="BSX51" s="344"/>
      <c r="BSY51" s="344"/>
      <c r="BSZ51" s="344"/>
      <c r="BTA51" s="344"/>
      <c r="BTB51" s="344"/>
      <c r="BTC51" s="344"/>
      <c r="BTD51" s="344"/>
      <c r="BTE51" s="344"/>
      <c r="BTF51" s="344"/>
      <c r="BTG51" s="344"/>
      <c r="BTH51" s="344"/>
      <c r="BTI51" s="344"/>
      <c r="BTJ51" s="344"/>
      <c r="BTK51" s="344"/>
      <c r="BTL51" s="344"/>
      <c r="BTM51" s="344"/>
      <c r="BTN51" s="344"/>
      <c r="BTO51" s="344"/>
      <c r="BTP51" s="344"/>
      <c r="BTQ51" s="344"/>
      <c r="BTR51" s="344"/>
      <c r="BTS51" s="344"/>
      <c r="BTT51" s="344"/>
      <c r="BTU51" s="344"/>
      <c r="BTV51" s="344"/>
      <c r="BTW51" s="344"/>
      <c r="BTX51" s="344"/>
      <c r="BTY51" s="344"/>
      <c r="BTZ51" s="344"/>
      <c r="BUA51" s="344"/>
      <c r="BUB51" s="344"/>
      <c r="BUC51" s="344"/>
      <c r="BUD51" s="344"/>
      <c r="BUE51" s="344"/>
      <c r="BUF51" s="344"/>
      <c r="BUG51" s="344"/>
      <c r="BUH51" s="344"/>
      <c r="BUI51" s="344"/>
      <c r="BUJ51" s="344"/>
      <c r="BUK51" s="344"/>
      <c r="BUL51" s="344"/>
      <c r="BUM51" s="344"/>
      <c r="BUN51" s="344"/>
      <c r="BUO51" s="344"/>
      <c r="BUP51" s="344"/>
      <c r="BUQ51" s="344"/>
      <c r="BUR51" s="344"/>
      <c r="BUS51" s="344"/>
      <c r="BUT51" s="344"/>
      <c r="BUU51" s="344"/>
      <c r="BUV51" s="344"/>
      <c r="BUW51" s="344"/>
      <c r="BUX51" s="344"/>
      <c r="BUY51" s="344"/>
      <c r="BUZ51" s="344"/>
      <c r="BVA51" s="344"/>
      <c r="BVB51" s="344"/>
      <c r="BVC51" s="344"/>
      <c r="BVD51" s="344"/>
      <c r="BVE51" s="344"/>
      <c r="BVF51" s="344"/>
      <c r="BVG51" s="344"/>
      <c r="BVH51" s="344"/>
      <c r="BVI51" s="344"/>
      <c r="BVJ51" s="344"/>
      <c r="BVK51" s="344"/>
      <c r="BVL51" s="344"/>
      <c r="BVM51" s="344"/>
      <c r="BVN51" s="344"/>
      <c r="BVO51" s="344"/>
      <c r="BVP51" s="344"/>
      <c r="BVQ51" s="344"/>
      <c r="BVR51" s="344"/>
      <c r="BVS51" s="344"/>
      <c r="BVT51" s="344"/>
      <c r="BVU51" s="344"/>
      <c r="BVV51" s="344"/>
      <c r="BVW51" s="344"/>
      <c r="BVX51" s="344"/>
      <c r="BVY51" s="344"/>
      <c r="BVZ51" s="344"/>
      <c r="BWA51" s="344"/>
      <c r="BWB51" s="344"/>
      <c r="BWC51" s="344"/>
      <c r="BWD51" s="344"/>
      <c r="BWE51" s="344"/>
      <c r="BWF51" s="344"/>
      <c r="BWG51" s="344"/>
      <c r="BWH51" s="344"/>
      <c r="BWI51" s="344"/>
      <c r="BWJ51" s="344"/>
      <c r="BWK51" s="344"/>
      <c r="BWL51" s="344"/>
      <c r="BWM51" s="344"/>
      <c r="BWN51" s="344"/>
      <c r="BWO51" s="344"/>
      <c r="BWP51" s="344"/>
      <c r="BWQ51" s="344"/>
      <c r="BWR51" s="344"/>
      <c r="BWS51" s="344"/>
      <c r="BWT51" s="344"/>
      <c r="BWU51" s="344"/>
      <c r="BWV51" s="344"/>
      <c r="BWW51" s="344"/>
      <c r="BWX51" s="344"/>
      <c r="BWY51" s="344"/>
      <c r="BWZ51" s="344"/>
      <c r="BXA51" s="344"/>
      <c r="BXB51" s="344"/>
      <c r="BXC51" s="344"/>
      <c r="BXD51" s="344"/>
      <c r="BXE51" s="344"/>
      <c r="BXF51" s="344"/>
      <c r="BXG51" s="344"/>
      <c r="BXH51" s="344"/>
      <c r="BXI51" s="344"/>
      <c r="BXJ51" s="344"/>
      <c r="BXK51" s="344"/>
      <c r="BXL51" s="344"/>
      <c r="BXM51" s="344"/>
      <c r="BXN51" s="344"/>
      <c r="BXO51" s="344"/>
      <c r="BXP51" s="344"/>
      <c r="BXQ51" s="344"/>
      <c r="BXR51" s="344"/>
      <c r="BXS51" s="344"/>
      <c r="BXT51" s="344"/>
      <c r="BXU51" s="344"/>
      <c r="BXV51" s="344"/>
      <c r="BXW51" s="344"/>
      <c r="BXX51" s="344"/>
      <c r="BXY51" s="344"/>
      <c r="BXZ51" s="344"/>
      <c r="BYA51" s="344"/>
      <c r="BYB51" s="344"/>
      <c r="BYC51" s="344"/>
      <c r="BYD51" s="344"/>
      <c r="BYE51" s="344"/>
      <c r="BYF51" s="344"/>
      <c r="BYG51" s="344"/>
      <c r="BYH51" s="344"/>
      <c r="BYI51" s="344"/>
      <c r="BYJ51" s="344"/>
      <c r="BYK51" s="344"/>
      <c r="BYL51" s="344"/>
      <c r="BYM51" s="344"/>
      <c r="BYN51" s="344"/>
      <c r="BYO51" s="344"/>
      <c r="BYP51" s="344"/>
      <c r="BYQ51" s="344"/>
      <c r="BYR51" s="344"/>
      <c r="BYS51" s="344"/>
      <c r="BYT51" s="344"/>
      <c r="BYU51" s="344"/>
      <c r="BYV51" s="344"/>
      <c r="BYW51" s="344"/>
      <c r="BYX51" s="344"/>
      <c r="BYY51" s="344"/>
      <c r="BYZ51" s="344"/>
      <c r="BZA51" s="344"/>
      <c r="BZB51" s="344"/>
      <c r="BZC51" s="344"/>
      <c r="BZD51" s="344"/>
      <c r="BZE51" s="344"/>
      <c r="BZF51" s="344"/>
      <c r="BZG51" s="344"/>
      <c r="BZH51" s="344"/>
      <c r="BZI51" s="344"/>
      <c r="BZJ51" s="344"/>
      <c r="BZK51" s="344"/>
      <c r="BZL51" s="344"/>
      <c r="BZM51" s="344"/>
      <c r="BZN51" s="344"/>
      <c r="BZO51" s="344"/>
      <c r="BZP51" s="344"/>
      <c r="BZQ51" s="344"/>
      <c r="BZR51" s="344"/>
      <c r="BZS51" s="344"/>
      <c r="BZT51" s="344"/>
      <c r="BZU51" s="344"/>
      <c r="BZV51" s="344"/>
      <c r="BZW51" s="344"/>
      <c r="BZX51" s="344"/>
      <c r="BZY51" s="344"/>
      <c r="BZZ51" s="344"/>
      <c r="CAA51" s="344"/>
      <c r="CAB51" s="344"/>
      <c r="CAC51" s="344"/>
      <c r="CAD51" s="344"/>
      <c r="CAE51" s="344"/>
      <c r="CAF51" s="344"/>
      <c r="CAG51" s="344"/>
      <c r="CAH51" s="344"/>
      <c r="CAI51" s="344"/>
      <c r="CAJ51" s="344"/>
      <c r="CAK51" s="344"/>
      <c r="CAL51" s="344"/>
      <c r="CAM51" s="344"/>
      <c r="CAN51" s="344"/>
      <c r="CAO51" s="344"/>
      <c r="CAP51" s="344"/>
      <c r="CAQ51" s="344"/>
      <c r="CAR51" s="344"/>
      <c r="CAS51" s="344"/>
      <c r="CAT51" s="344"/>
      <c r="CAU51" s="344"/>
      <c r="CAV51" s="344"/>
      <c r="CAW51" s="344"/>
      <c r="CAX51" s="344"/>
      <c r="CAY51" s="344"/>
      <c r="CAZ51" s="344"/>
      <c r="CBA51" s="344"/>
      <c r="CBB51" s="344"/>
      <c r="CBC51" s="344"/>
      <c r="CBD51" s="344"/>
      <c r="CBE51" s="344"/>
      <c r="CBF51" s="344"/>
      <c r="CBG51" s="344"/>
      <c r="CBH51" s="344"/>
      <c r="CBI51" s="344"/>
      <c r="CBJ51" s="344"/>
      <c r="CBK51" s="344"/>
      <c r="CBL51" s="344"/>
      <c r="CBM51" s="344"/>
      <c r="CBN51" s="344"/>
      <c r="CBO51" s="344"/>
      <c r="CBP51" s="344"/>
      <c r="CBQ51" s="344"/>
      <c r="CBR51" s="344"/>
      <c r="CBS51" s="344"/>
      <c r="CBT51" s="344"/>
      <c r="CBU51" s="344"/>
      <c r="CBV51" s="344"/>
      <c r="CBW51" s="344"/>
      <c r="CBX51" s="344"/>
      <c r="CBY51" s="344"/>
      <c r="CBZ51" s="344"/>
      <c r="CCA51" s="344"/>
      <c r="CCB51" s="344"/>
      <c r="CCC51" s="344"/>
      <c r="CCD51" s="344"/>
      <c r="CCE51" s="344"/>
      <c r="CCF51" s="344"/>
      <c r="CCG51" s="344"/>
      <c r="CCH51" s="344"/>
      <c r="CCI51" s="344"/>
      <c r="CCJ51" s="344"/>
      <c r="CCK51" s="344"/>
      <c r="CCL51" s="344"/>
      <c r="CCM51" s="344"/>
      <c r="CCN51" s="344"/>
      <c r="CCO51" s="344"/>
      <c r="CCP51" s="344"/>
      <c r="CCQ51" s="344"/>
      <c r="CCR51" s="344"/>
      <c r="CCS51" s="344"/>
      <c r="CCT51" s="344"/>
      <c r="CCU51" s="344"/>
      <c r="CCV51" s="344"/>
      <c r="CCW51" s="344"/>
      <c r="CCX51" s="344"/>
      <c r="CCY51" s="344"/>
      <c r="CCZ51" s="344"/>
      <c r="CDA51" s="344"/>
      <c r="CDB51" s="344"/>
      <c r="CDC51" s="344"/>
      <c r="CDD51" s="344"/>
      <c r="CDE51" s="344"/>
      <c r="CDF51" s="344"/>
      <c r="CDG51" s="344"/>
      <c r="CDH51" s="344"/>
      <c r="CDI51" s="344"/>
      <c r="CDJ51" s="344"/>
      <c r="CDK51" s="344"/>
      <c r="CDL51" s="344"/>
      <c r="CDM51" s="344"/>
      <c r="CDN51" s="344"/>
      <c r="CDO51" s="344"/>
      <c r="CDP51" s="344"/>
      <c r="CDQ51" s="344"/>
      <c r="CDR51" s="344"/>
      <c r="CDS51" s="344"/>
      <c r="CDT51" s="344"/>
      <c r="CDU51" s="344"/>
      <c r="CDV51" s="344"/>
      <c r="CDW51" s="344"/>
      <c r="CDX51" s="344"/>
      <c r="CDY51" s="344"/>
      <c r="CDZ51" s="344"/>
      <c r="CEA51" s="344"/>
      <c r="CEB51" s="344"/>
      <c r="CEC51" s="344"/>
      <c r="CED51" s="344"/>
      <c r="CEE51" s="344"/>
      <c r="CEF51" s="344"/>
      <c r="CEG51" s="344"/>
      <c r="CEH51" s="344"/>
      <c r="CEI51" s="344"/>
      <c r="CEJ51" s="344"/>
      <c r="CEK51" s="344"/>
      <c r="CEL51" s="344"/>
      <c r="CEM51" s="344"/>
      <c r="CEN51" s="344"/>
      <c r="CEO51" s="344"/>
      <c r="CEP51" s="344"/>
      <c r="CEQ51" s="344"/>
      <c r="CER51" s="344"/>
      <c r="CES51" s="344"/>
      <c r="CET51" s="344"/>
      <c r="CEU51" s="344"/>
      <c r="CEV51" s="344"/>
      <c r="CEW51" s="344"/>
      <c r="CEX51" s="344"/>
      <c r="CEY51" s="344"/>
      <c r="CEZ51" s="344"/>
      <c r="CFA51" s="344"/>
      <c r="CFB51" s="344"/>
      <c r="CFC51" s="344"/>
      <c r="CFD51" s="344"/>
      <c r="CFE51" s="344"/>
      <c r="CFF51" s="344"/>
      <c r="CFG51" s="344"/>
      <c r="CFH51" s="344"/>
      <c r="CFI51" s="344"/>
      <c r="CFJ51" s="344"/>
      <c r="CFK51" s="344"/>
      <c r="CFL51" s="344"/>
      <c r="CFM51" s="344"/>
      <c r="CFN51" s="344"/>
      <c r="CFO51" s="344"/>
      <c r="CFP51" s="344"/>
      <c r="CFQ51" s="344"/>
      <c r="CFR51" s="344"/>
      <c r="CFS51" s="344"/>
      <c r="CFT51" s="344"/>
      <c r="CFU51" s="344"/>
      <c r="CFV51" s="344"/>
      <c r="CFW51" s="344"/>
      <c r="CFX51" s="344"/>
      <c r="CFY51" s="344"/>
      <c r="CFZ51" s="344"/>
      <c r="CGA51" s="344"/>
      <c r="CGB51" s="344"/>
      <c r="CGC51" s="344"/>
      <c r="CGD51" s="344"/>
      <c r="CGE51" s="344"/>
      <c r="CGF51" s="344"/>
      <c r="CGG51" s="344"/>
      <c r="CGH51" s="344"/>
      <c r="CGI51" s="344"/>
      <c r="CGJ51" s="344"/>
      <c r="CGK51" s="344"/>
      <c r="CGL51" s="344"/>
      <c r="CGM51" s="344"/>
      <c r="CGN51" s="344"/>
      <c r="CGO51" s="344"/>
      <c r="CGP51" s="344"/>
      <c r="CGQ51" s="344"/>
      <c r="CGR51" s="344"/>
      <c r="CGS51" s="344"/>
      <c r="CGT51" s="344"/>
      <c r="CGU51" s="344"/>
      <c r="CGV51" s="344"/>
      <c r="CGW51" s="344"/>
      <c r="CGX51" s="344"/>
      <c r="CGY51" s="344"/>
      <c r="CGZ51" s="344"/>
      <c r="CHA51" s="344"/>
      <c r="CHB51" s="344"/>
      <c r="CHC51" s="344"/>
      <c r="CHD51" s="344"/>
      <c r="CHE51" s="344"/>
      <c r="CHF51" s="344"/>
      <c r="CHG51" s="344"/>
      <c r="CHH51" s="344"/>
      <c r="CHI51" s="344"/>
      <c r="CHJ51" s="344"/>
      <c r="CHK51" s="344"/>
      <c r="CHL51" s="344"/>
      <c r="CHM51" s="344"/>
      <c r="CHN51" s="344"/>
      <c r="CHO51" s="344"/>
      <c r="CHP51" s="344"/>
      <c r="CHQ51" s="344"/>
      <c r="CHR51" s="344"/>
      <c r="CHS51" s="344"/>
      <c r="CHT51" s="344"/>
      <c r="CHU51" s="344"/>
      <c r="CHV51" s="344"/>
      <c r="CHW51" s="344"/>
      <c r="CHX51" s="344"/>
      <c r="CHY51" s="344"/>
      <c r="CHZ51" s="344"/>
      <c r="CIA51" s="344"/>
      <c r="CIB51" s="344"/>
      <c r="CIC51" s="344"/>
      <c r="CID51" s="344"/>
      <c r="CIE51" s="344"/>
      <c r="CIF51" s="344"/>
      <c r="CIG51" s="344"/>
      <c r="CIH51" s="344"/>
      <c r="CII51" s="344"/>
      <c r="CIJ51" s="344"/>
      <c r="CIK51" s="344"/>
      <c r="CIL51" s="344"/>
      <c r="CIM51" s="344"/>
      <c r="CIN51" s="344"/>
      <c r="CIO51" s="344"/>
      <c r="CIP51" s="344"/>
      <c r="CIQ51" s="344"/>
      <c r="CIR51" s="344"/>
      <c r="CIS51" s="344"/>
      <c r="CIT51" s="344"/>
      <c r="CIU51" s="344"/>
      <c r="CIV51" s="344"/>
      <c r="CIW51" s="344"/>
      <c r="CIX51" s="344"/>
      <c r="CIY51" s="344"/>
      <c r="CIZ51" s="344"/>
      <c r="CJA51" s="344"/>
      <c r="CJB51" s="344"/>
      <c r="CJC51" s="344"/>
      <c r="CJD51" s="344"/>
      <c r="CJE51" s="344"/>
      <c r="CJF51" s="344"/>
      <c r="CJG51" s="344"/>
      <c r="CJH51" s="344"/>
      <c r="CJI51" s="344"/>
      <c r="CJJ51" s="344"/>
      <c r="CJK51" s="344"/>
      <c r="CJL51" s="344"/>
      <c r="CJM51" s="344"/>
      <c r="CJN51" s="344"/>
      <c r="CJO51" s="344"/>
      <c r="CJP51" s="344"/>
      <c r="CJQ51" s="344"/>
      <c r="CJR51" s="344"/>
      <c r="CJS51" s="344"/>
      <c r="CJT51" s="344"/>
      <c r="CJU51" s="344"/>
      <c r="CJV51" s="344"/>
      <c r="CJW51" s="344"/>
      <c r="CJX51" s="344"/>
      <c r="CJY51" s="344"/>
      <c r="CJZ51" s="344"/>
      <c r="CKA51" s="344"/>
      <c r="CKB51" s="344"/>
      <c r="CKC51" s="344"/>
      <c r="CKD51" s="344"/>
      <c r="CKE51" s="344"/>
      <c r="CKF51" s="344"/>
      <c r="CKG51" s="344"/>
      <c r="CKH51" s="344"/>
      <c r="CKI51" s="344"/>
      <c r="CKJ51" s="344"/>
      <c r="CKK51" s="344"/>
      <c r="CKL51" s="344"/>
      <c r="CKM51" s="344"/>
      <c r="CKN51" s="344"/>
      <c r="CKO51" s="344"/>
      <c r="CKP51" s="344"/>
      <c r="CKQ51" s="344"/>
      <c r="CKR51" s="344"/>
      <c r="CKS51" s="344"/>
      <c r="CKT51" s="344"/>
      <c r="CKU51" s="344"/>
      <c r="CKV51" s="344"/>
      <c r="CKW51" s="344"/>
      <c r="CKX51" s="344"/>
      <c r="CKY51" s="344"/>
      <c r="CKZ51" s="344"/>
      <c r="CLA51" s="344"/>
      <c r="CLB51" s="344"/>
      <c r="CLC51" s="344"/>
      <c r="CLD51" s="344"/>
      <c r="CLE51" s="344"/>
      <c r="CLF51" s="344"/>
      <c r="CLG51" s="344"/>
      <c r="CLH51" s="344"/>
      <c r="CLI51" s="344"/>
      <c r="CLJ51" s="344"/>
      <c r="CLK51" s="344"/>
      <c r="CLL51" s="344"/>
      <c r="CLM51" s="344"/>
      <c r="CLN51" s="344"/>
      <c r="CLO51" s="344"/>
      <c r="CLP51" s="344"/>
      <c r="CLQ51" s="344"/>
      <c r="CLR51" s="344"/>
      <c r="CLS51" s="344"/>
      <c r="CLT51" s="344"/>
      <c r="CLU51" s="344"/>
      <c r="CLV51" s="344"/>
      <c r="CLW51" s="344"/>
      <c r="CLX51" s="344"/>
      <c r="CLY51" s="344"/>
      <c r="CLZ51" s="344"/>
      <c r="CMA51" s="344"/>
      <c r="CMB51" s="344"/>
      <c r="CMC51" s="344"/>
      <c r="CMD51" s="344"/>
      <c r="CME51" s="344"/>
      <c r="CMF51" s="344"/>
      <c r="CMG51" s="344"/>
      <c r="CMH51" s="344"/>
      <c r="CMI51" s="344"/>
      <c r="CMJ51" s="344"/>
      <c r="CMK51" s="344"/>
      <c r="CML51" s="344"/>
      <c r="CMM51" s="344"/>
      <c r="CMN51" s="344"/>
      <c r="CMO51" s="344"/>
      <c r="CMP51" s="344"/>
      <c r="CMQ51" s="344"/>
      <c r="CMR51" s="344"/>
      <c r="CMS51" s="344"/>
      <c r="CMT51" s="344"/>
      <c r="CMU51" s="344"/>
      <c r="CMV51" s="344"/>
      <c r="CMW51" s="344"/>
      <c r="CMX51" s="344"/>
      <c r="CMY51" s="344"/>
      <c r="CMZ51" s="344"/>
      <c r="CNA51" s="344"/>
      <c r="CNB51" s="344"/>
      <c r="CNC51" s="344"/>
      <c r="CND51" s="344"/>
      <c r="CNE51" s="344"/>
      <c r="CNF51" s="344"/>
      <c r="CNG51" s="344"/>
      <c r="CNH51" s="344"/>
      <c r="CNI51" s="344"/>
      <c r="CNJ51" s="344"/>
      <c r="CNK51" s="344"/>
      <c r="CNL51" s="344"/>
      <c r="CNM51" s="344"/>
      <c r="CNN51" s="344"/>
      <c r="CNO51" s="344"/>
      <c r="CNP51" s="344"/>
      <c r="CNQ51" s="344"/>
      <c r="CNR51" s="344"/>
      <c r="CNS51" s="344"/>
      <c r="CNT51" s="344"/>
      <c r="CNU51" s="344"/>
      <c r="CNV51" s="344"/>
      <c r="CNW51" s="344"/>
      <c r="CNX51" s="344"/>
      <c r="CNY51" s="344"/>
      <c r="CNZ51" s="344"/>
      <c r="COA51" s="344"/>
      <c r="COB51" s="344"/>
      <c r="COC51" s="344"/>
      <c r="COD51" s="344"/>
      <c r="COE51" s="344"/>
      <c r="COF51" s="344"/>
      <c r="COG51" s="344"/>
      <c r="COH51" s="344"/>
      <c r="COI51" s="344"/>
      <c r="COJ51" s="344"/>
      <c r="COK51" s="344"/>
      <c r="COL51" s="344"/>
      <c r="COM51" s="344"/>
      <c r="CON51" s="344"/>
      <c r="COO51" s="344"/>
      <c r="COP51" s="344"/>
      <c r="COQ51" s="344"/>
      <c r="COR51" s="344"/>
      <c r="COS51" s="344"/>
      <c r="COT51" s="344"/>
      <c r="COU51" s="344"/>
      <c r="COV51" s="344"/>
      <c r="COW51" s="344"/>
      <c r="COX51" s="344"/>
      <c r="COY51" s="344"/>
      <c r="COZ51" s="344"/>
      <c r="CPA51" s="344"/>
      <c r="CPB51" s="344"/>
      <c r="CPC51" s="344"/>
      <c r="CPD51" s="344"/>
      <c r="CPE51" s="344"/>
      <c r="CPF51" s="344"/>
      <c r="CPG51" s="344"/>
      <c r="CPH51" s="344"/>
      <c r="CPI51" s="344"/>
      <c r="CPJ51" s="344"/>
      <c r="CPK51" s="344"/>
      <c r="CPL51" s="344"/>
      <c r="CPM51" s="344"/>
      <c r="CPN51" s="344"/>
      <c r="CPO51" s="344"/>
      <c r="CPP51" s="344"/>
      <c r="CPQ51" s="344"/>
      <c r="CPR51" s="344"/>
      <c r="CPS51" s="344"/>
      <c r="CPT51" s="344"/>
      <c r="CPU51" s="344"/>
      <c r="CPV51" s="344"/>
      <c r="CPW51" s="344"/>
      <c r="CPX51" s="344"/>
      <c r="CPY51" s="344"/>
      <c r="CPZ51" s="344"/>
      <c r="CQA51" s="344"/>
      <c r="CQB51" s="344"/>
      <c r="CQC51" s="344"/>
      <c r="CQD51" s="344"/>
      <c r="CQE51" s="344"/>
      <c r="CQF51" s="344"/>
      <c r="CQG51" s="344"/>
      <c r="CQH51" s="344"/>
      <c r="CQI51" s="344"/>
      <c r="CQJ51" s="344"/>
      <c r="CQK51" s="344"/>
      <c r="CQL51" s="344"/>
      <c r="CQM51" s="344"/>
      <c r="CQN51" s="344"/>
      <c r="CQO51" s="344"/>
      <c r="CQP51" s="344"/>
      <c r="CQQ51" s="344"/>
      <c r="CQR51" s="344"/>
      <c r="CQS51" s="344"/>
      <c r="CQT51" s="344"/>
      <c r="CQU51" s="344"/>
      <c r="CQV51" s="344"/>
      <c r="CQW51" s="344"/>
      <c r="CQX51" s="344"/>
      <c r="CQY51" s="344"/>
      <c r="CQZ51" s="344"/>
      <c r="CRA51" s="344"/>
      <c r="CRB51" s="344"/>
      <c r="CRC51" s="344"/>
      <c r="CRD51" s="344"/>
      <c r="CRE51" s="344"/>
      <c r="CRF51" s="344"/>
      <c r="CRG51" s="344"/>
      <c r="CRH51" s="344"/>
      <c r="CRI51" s="344"/>
      <c r="CRJ51" s="344"/>
      <c r="CRK51" s="344"/>
      <c r="CRL51" s="344"/>
      <c r="CRM51" s="344"/>
      <c r="CRN51" s="344"/>
      <c r="CRO51" s="344"/>
      <c r="CRP51" s="344"/>
      <c r="CRQ51" s="344"/>
      <c r="CRR51" s="344"/>
      <c r="CRS51" s="344"/>
      <c r="CRT51" s="344"/>
      <c r="CRU51" s="344"/>
      <c r="CRV51" s="344"/>
      <c r="CRW51" s="344"/>
      <c r="CRX51" s="344"/>
      <c r="CRY51" s="344"/>
      <c r="CRZ51" s="344"/>
      <c r="CSA51" s="344"/>
      <c r="CSB51" s="344"/>
      <c r="CSC51" s="344"/>
      <c r="CSD51" s="344"/>
      <c r="CSE51" s="344"/>
      <c r="CSF51" s="344"/>
      <c r="CSG51" s="344"/>
      <c r="CSH51" s="344"/>
      <c r="CSI51" s="344"/>
      <c r="CSJ51" s="344"/>
      <c r="CSK51" s="344"/>
      <c r="CSL51" s="344"/>
      <c r="CSM51" s="344"/>
      <c r="CSN51" s="344"/>
      <c r="CSO51" s="344"/>
      <c r="CSP51" s="344"/>
      <c r="CSQ51" s="344"/>
      <c r="CSR51" s="344"/>
      <c r="CSS51" s="344"/>
      <c r="CST51" s="344"/>
      <c r="CSU51" s="344"/>
      <c r="CSV51" s="344"/>
      <c r="CSW51" s="344"/>
      <c r="CSX51" s="344"/>
      <c r="CSY51" s="344"/>
      <c r="CSZ51" s="344"/>
      <c r="CTA51" s="344"/>
      <c r="CTB51" s="344"/>
      <c r="CTC51" s="344"/>
      <c r="CTD51" s="344"/>
      <c r="CTE51" s="344"/>
      <c r="CTF51" s="344"/>
      <c r="CTG51" s="344"/>
      <c r="CTH51" s="344"/>
      <c r="CTI51" s="344"/>
      <c r="CTJ51" s="344"/>
      <c r="CTK51" s="344"/>
      <c r="CTL51" s="344"/>
      <c r="CTM51" s="344"/>
      <c r="CTN51" s="344"/>
      <c r="CTO51" s="344"/>
      <c r="CTP51" s="344"/>
      <c r="CTQ51" s="344"/>
      <c r="CTR51" s="344"/>
      <c r="CTS51" s="344"/>
      <c r="CTT51" s="344"/>
      <c r="CTU51" s="344"/>
      <c r="CTV51" s="344"/>
      <c r="CTW51" s="344"/>
      <c r="CTX51" s="344"/>
      <c r="CTY51" s="344"/>
      <c r="CTZ51" s="344"/>
      <c r="CUA51" s="344"/>
      <c r="CUB51" s="344"/>
      <c r="CUC51" s="344"/>
      <c r="CUD51" s="344"/>
      <c r="CUE51" s="344"/>
      <c r="CUF51" s="344"/>
      <c r="CUG51" s="344"/>
      <c r="CUH51" s="344"/>
      <c r="CUI51" s="344"/>
      <c r="CUJ51" s="344"/>
      <c r="CUK51" s="344"/>
      <c r="CUL51" s="344"/>
      <c r="CUM51" s="344"/>
      <c r="CUN51" s="344"/>
      <c r="CUO51" s="344"/>
      <c r="CUP51" s="344"/>
      <c r="CUQ51" s="344"/>
      <c r="CUR51" s="344"/>
      <c r="CUS51" s="344"/>
      <c r="CUT51" s="344"/>
      <c r="CUU51" s="344"/>
      <c r="CUV51" s="344"/>
      <c r="CUW51" s="344"/>
      <c r="CUX51" s="344"/>
      <c r="CUY51" s="344"/>
      <c r="CUZ51" s="344"/>
      <c r="CVA51" s="344"/>
      <c r="CVB51" s="344"/>
      <c r="CVC51" s="344"/>
      <c r="CVD51" s="344"/>
      <c r="CVE51" s="344"/>
      <c r="CVF51" s="344"/>
      <c r="CVG51" s="344"/>
      <c r="CVH51" s="344"/>
      <c r="CVI51" s="344"/>
      <c r="CVJ51" s="344"/>
      <c r="CVK51" s="344"/>
      <c r="CVL51" s="344"/>
      <c r="CVM51" s="344"/>
      <c r="CVN51" s="344"/>
      <c r="CVO51" s="344"/>
      <c r="CVP51" s="344"/>
      <c r="CVQ51" s="344"/>
      <c r="CVR51" s="344"/>
      <c r="CVS51" s="344"/>
      <c r="CVT51" s="344"/>
      <c r="CVU51" s="344"/>
      <c r="CVV51" s="344"/>
      <c r="CVW51" s="344"/>
      <c r="CVX51" s="344"/>
      <c r="CVY51" s="344"/>
      <c r="CVZ51" s="344"/>
      <c r="CWA51" s="344"/>
      <c r="CWB51" s="344"/>
      <c r="CWC51" s="344"/>
      <c r="CWD51" s="344"/>
      <c r="CWE51" s="344"/>
      <c r="CWF51" s="344"/>
      <c r="CWG51" s="344"/>
      <c r="CWH51" s="344"/>
      <c r="CWI51" s="344"/>
      <c r="CWJ51" s="344"/>
      <c r="CWK51" s="344"/>
      <c r="CWL51" s="344"/>
      <c r="CWM51" s="344"/>
      <c r="CWN51" s="344"/>
      <c r="CWO51" s="344"/>
      <c r="CWP51" s="344"/>
      <c r="CWQ51" s="344"/>
      <c r="CWR51" s="344"/>
      <c r="CWS51" s="344"/>
      <c r="CWT51" s="344"/>
      <c r="CWU51" s="344"/>
      <c r="CWV51" s="344"/>
      <c r="CWW51" s="344"/>
      <c r="CWX51" s="344"/>
      <c r="CWY51" s="344"/>
      <c r="CWZ51" s="344"/>
      <c r="CXA51" s="344"/>
      <c r="CXB51" s="344"/>
      <c r="CXC51" s="344"/>
      <c r="CXD51" s="344"/>
      <c r="CXE51" s="344"/>
      <c r="CXF51" s="344"/>
      <c r="CXG51" s="344"/>
      <c r="CXH51" s="344"/>
      <c r="CXI51" s="344"/>
      <c r="CXJ51" s="344"/>
      <c r="CXK51" s="344"/>
      <c r="CXL51" s="344"/>
      <c r="CXM51" s="344"/>
      <c r="CXN51" s="344"/>
      <c r="CXO51" s="344"/>
      <c r="CXP51" s="344"/>
      <c r="CXQ51" s="344"/>
      <c r="CXR51" s="344"/>
      <c r="CXS51" s="344"/>
      <c r="CXT51" s="344"/>
      <c r="CXU51" s="344"/>
      <c r="CXV51" s="344"/>
      <c r="CXW51" s="344"/>
      <c r="CXX51" s="344"/>
      <c r="CXY51" s="344"/>
      <c r="CXZ51" s="344"/>
      <c r="CYA51" s="344"/>
      <c r="CYB51" s="344"/>
      <c r="CYC51" s="344"/>
      <c r="CYD51" s="344"/>
      <c r="CYE51" s="344"/>
      <c r="CYF51" s="344"/>
      <c r="CYG51" s="344"/>
      <c r="CYH51" s="344"/>
      <c r="CYI51" s="344"/>
      <c r="CYJ51" s="344"/>
      <c r="CYK51" s="344"/>
      <c r="CYL51" s="344"/>
      <c r="CYM51" s="344"/>
      <c r="CYN51" s="344"/>
      <c r="CYO51" s="344"/>
      <c r="CYP51" s="344"/>
      <c r="CYQ51" s="344"/>
      <c r="CYR51" s="344"/>
      <c r="CYS51" s="344"/>
      <c r="CYT51" s="344"/>
      <c r="CYU51" s="344"/>
      <c r="CYV51" s="344"/>
      <c r="CYW51" s="344"/>
      <c r="CYX51" s="344"/>
      <c r="CYY51" s="344"/>
      <c r="CYZ51" s="344"/>
      <c r="CZA51" s="344"/>
      <c r="CZB51" s="344"/>
      <c r="CZC51" s="344"/>
      <c r="CZD51" s="344"/>
      <c r="CZE51" s="344"/>
      <c r="CZF51" s="344"/>
      <c r="CZG51" s="344"/>
      <c r="CZH51" s="344"/>
      <c r="CZI51" s="344"/>
      <c r="CZJ51" s="344"/>
      <c r="CZK51" s="344"/>
      <c r="CZL51" s="344"/>
      <c r="CZM51" s="344"/>
      <c r="CZN51" s="344"/>
      <c r="CZO51" s="344"/>
      <c r="CZP51" s="344"/>
      <c r="CZQ51" s="344"/>
      <c r="CZR51" s="344"/>
      <c r="CZS51" s="344"/>
      <c r="CZT51" s="344"/>
      <c r="CZU51" s="344"/>
      <c r="CZV51" s="344"/>
      <c r="CZW51" s="344"/>
      <c r="CZX51" s="344"/>
      <c r="CZY51" s="344"/>
      <c r="CZZ51" s="344"/>
      <c r="DAA51" s="344"/>
      <c r="DAB51" s="344"/>
      <c r="DAC51" s="344"/>
      <c r="DAD51" s="344"/>
      <c r="DAE51" s="344"/>
      <c r="DAF51" s="344"/>
      <c r="DAG51" s="344"/>
      <c r="DAH51" s="344"/>
      <c r="DAI51" s="344"/>
      <c r="DAJ51" s="344"/>
      <c r="DAK51" s="344"/>
      <c r="DAL51" s="344"/>
      <c r="DAM51" s="344"/>
      <c r="DAN51" s="344"/>
      <c r="DAO51" s="344"/>
      <c r="DAP51" s="344"/>
      <c r="DAQ51" s="344"/>
      <c r="DAR51" s="344"/>
      <c r="DAS51" s="344"/>
      <c r="DAT51" s="344"/>
      <c r="DAU51" s="344"/>
      <c r="DAV51" s="344"/>
      <c r="DAW51" s="344"/>
      <c r="DAX51" s="344"/>
      <c r="DAY51" s="344"/>
      <c r="DAZ51" s="344"/>
      <c r="DBA51" s="344"/>
      <c r="DBB51" s="344"/>
      <c r="DBC51" s="344"/>
      <c r="DBD51" s="344"/>
      <c r="DBE51" s="344"/>
      <c r="DBF51" s="344"/>
      <c r="DBG51" s="344"/>
      <c r="DBH51" s="344"/>
      <c r="DBI51" s="344"/>
      <c r="DBJ51" s="344"/>
      <c r="DBK51" s="344"/>
      <c r="DBL51" s="344"/>
      <c r="DBM51" s="344"/>
      <c r="DBN51" s="344"/>
      <c r="DBO51" s="344"/>
      <c r="DBP51" s="344"/>
      <c r="DBQ51" s="344"/>
      <c r="DBR51" s="344"/>
      <c r="DBS51" s="344"/>
      <c r="DBT51" s="344"/>
      <c r="DBU51" s="344"/>
      <c r="DBV51" s="344"/>
      <c r="DBW51" s="344"/>
      <c r="DBX51" s="344"/>
      <c r="DBY51" s="344"/>
      <c r="DBZ51" s="344"/>
      <c r="DCA51" s="344"/>
      <c r="DCB51" s="344"/>
      <c r="DCC51" s="344"/>
      <c r="DCD51" s="344"/>
      <c r="DCE51" s="344"/>
      <c r="DCF51" s="344"/>
      <c r="DCG51" s="344"/>
      <c r="DCH51" s="344"/>
      <c r="DCI51" s="344"/>
      <c r="DCJ51" s="344"/>
      <c r="DCK51" s="344"/>
      <c r="DCL51" s="344"/>
      <c r="DCM51" s="344"/>
      <c r="DCN51" s="344"/>
      <c r="DCO51" s="344"/>
      <c r="DCP51" s="344"/>
      <c r="DCQ51" s="344"/>
      <c r="DCR51" s="344"/>
      <c r="DCS51" s="344"/>
      <c r="DCT51" s="344"/>
      <c r="DCU51" s="344"/>
      <c r="DCV51" s="344"/>
      <c r="DCW51" s="344"/>
      <c r="DCX51" s="344"/>
      <c r="DCY51" s="344"/>
      <c r="DCZ51" s="344"/>
      <c r="DDA51" s="344"/>
      <c r="DDB51" s="344"/>
      <c r="DDC51" s="344"/>
      <c r="DDD51" s="344"/>
      <c r="DDE51" s="344"/>
      <c r="DDF51" s="344"/>
      <c r="DDG51" s="344"/>
      <c r="DDH51" s="344"/>
      <c r="DDI51" s="344"/>
      <c r="DDJ51" s="344"/>
      <c r="DDK51" s="344"/>
      <c r="DDL51" s="344"/>
      <c r="DDM51" s="344"/>
      <c r="DDN51" s="344"/>
      <c r="DDO51" s="344"/>
      <c r="DDP51" s="344"/>
      <c r="DDQ51" s="344"/>
      <c r="DDR51" s="344"/>
      <c r="DDS51" s="344"/>
      <c r="DDT51" s="344"/>
      <c r="DDU51" s="344"/>
      <c r="DDV51" s="344"/>
      <c r="DDW51" s="344"/>
      <c r="DDX51" s="344"/>
      <c r="DDY51" s="344"/>
      <c r="DDZ51" s="344"/>
      <c r="DEA51" s="344"/>
      <c r="DEB51" s="344"/>
      <c r="DEC51" s="344"/>
      <c r="DED51" s="344"/>
      <c r="DEE51" s="344"/>
      <c r="DEF51" s="344"/>
      <c r="DEG51" s="344"/>
      <c r="DEH51" s="344"/>
      <c r="DEI51" s="344"/>
      <c r="DEJ51" s="344"/>
      <c r="DEK51" s="344"/>
      <c r="DEL51" s="344"/>
      <c r="DEM51" s="344"/>
      <c r="DEN51" s="344"/>
      <c r="DEO51" s="344"/>
      <c r="DEP51" s="344"/>
      <c r="DEQ51" s="344"/>
      <c r="DER51" s="344"/>
      <c r="DES51" s="344"/>
      <c r="DET51" s="344"/>
      <c r="DEU51" s="344"/>
      <c r="DEV51" s="344"/>
      <c r="DEW51" s="344"/>
      <c r="DEX51" s="344"/>
      <c r="DEY51" s="344"/>
      <c r="DEZ51" s="344"/>
      <c r="DFA51" s="344"/>
      <c r="DFB51" s="344"/>
      <c r="DFC51" s="344"/>
      <c r="DFD51" s="344"/>
      <c r="DFE51" s="344"/>
      <c r="DFF51" s="344"/>
      <c r="DFG51" s="344"/>
      <c r="DFH51" s="344"/>
      <c r="DFI51" s="344"/>
      <c r="DFJ51" s="344"/>
      <c r="DFK51" s="344"/>
      <c r="DFL51" s="344"/>
      <c r="DFM51" s="344"/>
      <c r="DFN51" s="344"/>
      <c r="DFO51" s="344"/>
      <c r="DFP51" s="344"/>
      <c r="DFQ51" s="344"/>
      <c r="DFR51" s="344"/>
      <c r="DFS51" s="344"/>
      <c r="DFT51" s="344"/>
      <c r="DFU51" s="344"/>
      <c r="DFV51" s="344"/>
      <c r="DFW51" s="344"/>
      <c r="DFX51" s="344"/>
      <c r="DFY51" s="344"/>
      <c r="DFZ51" s="344"/>
      <c r="DGA51" s="344"/>
      <c r="DGB51" s="344"/>
      <c r="DGC51" s="344"/>
      <c r="DGD51" s="344"/>
      <c r="DGE51" s="344"/>
      <c r="DGF51" s="344"/>
      <c r="DGG51" s="344"/>
      <c r="DGH51" s="344"/>
      <c r="DGI51" s="344"/>
      <c r="DGJ51" s="344"/>
      <c r="DGK51" s="344"/>
      <c r="DGL51" s="344"/>
      <c r="DGM51" s="344"/>
      <c r="DGN51" s="344"/>
      <c r="DGO51" s="344"/>
      <c r="DGP51" s="344"/>
      <c r="DGQ51" s="344"/>
      <c r="DGR51" s="344"/>
      <c r="DGS51" s="344"/>
      <c r="DGT51" s="344"/>
      <c r="DGU51" s="344"/>
      <c r="DGV51" s="344"/>
      <c r="DGW51" s="344"/>
      <c r="DGX51" s="344"/>
      <c r="DGY51" s="344"/>
      <c r="DGZ51" s="344"/>
      <c r="DHA51" s="344"/>
      <c r="DHB51" s="344"/>
      <c r="DHC51" s="344"/>
      <c r="DHD51" s="344"/>
      <c r="DHE51" s="344"/>
      <c r="DHF51" s="344"/>
      <c r="DHG51" s="344"/>
      <c r="DHH51" s="344"/>
      <c r="DHI51" s="344"/>
      <c r="DHJ51" s="344"/>
      <c r="DHK51" s="344"/>
      <c r="DHL51" s="344"/>
      <c r="DHM51" s="344"/>
      <c r="DHN51" s="344"/>
      <c r="DHO51" s="344"/>
      <c r="DHP51" s="344"/>
      <c r="DHQ51" s="344"/>
      <c r="DHR51" s="344"/>
      <c r="DHS51" s="344"/>
      <c r="DHT51" s="344"/>
      <c r="DHU51" s="344"/>
      <c r="DHV51" s="344"/>
      <c r="DHW51" s="344"/>
      <c r="DHX51" s="344"/>
      <c r="DHY51" s="344"/>
      <c r="DHZ51" s="344"/>
      <c r="DIA51" s="344"/>
      <c r="DIB51" s="344"/>
      <c r="DIC51" s="344"/>
      <c r="DID51" s="344"/>
      <c r="DIE51" s="344"/>
      <c r="DIF51" s="344"/>
      <c r="DIG51" s="344"/>
      <c r="DIH51" s="344"/>
      <c r="DII51" s="344"/>
      <c r="DIJ51" s="344"/>
      <c r="DIK51" s="344"/>
      <c r="DIL51" s="344"/>
      <c r="DIM51" s="344"/>
      <c r="DIN51" s="344"/>
      <c r="DIO51" s="344"/>
      <c r="DIP51" s="344"/>
      <c r="DIQ51" s="344"/>
      <c r="DIR51" s="344"/>
      <c r="DIS51" s="344"/>
      <c r="DIT51" s="344"/>
      <c r="DIU51" s="344"/>
      <c r="DIV51" s="344"/>
      <c r="DIW51" s="344"/>
      <c r="DIX51" s="344"/>
      <c r="DIY51" s="344"/>
      <c r="DIZ51" s="344"/>
      <c r="DJA51" s="344"/>
      <c r="DJB51" s="344"/>
      <c r="DJC51" s="344"/>
      <c r="DJD51" s="344"/>
      <c r="DJE51" s="344"/>
      <c r="DJF51" s="344"/>
      <c r="DJG51" s="344"/>
      <c r="DJH51" s="344"/>
      <c r="DJI51" s="344"/>
      <c r="DJJ51" s="344"/>
      <c r="DJK51" s="344"/>
      <c r="DJL51" s="344"/>
      <c r="DJM51" s="344"/>
      <c r="DJN51" s="344"/>
      <c r="DJO51" s="344"/>
      <c r="DJP51" s="344"/>
      <c r="DJQ51" s="344"/>
      <c r="DJR51" s="344"/>
      <c r="DJS51" s="344"/>
      <c r="DJT51" s="344"/>
      <c r="DJU51" s="344"/>
      <c r="DJV51" s="344"/>
      <c r="DJW51" s="344"/>
      <c r="DJX51" s="344"/>
      <c r="DJY51" s="344"/>
      <c r="DJZ51" s="344"/>
      <c r="DKA51" s="344"/>
      <c r="DKB51" s="344"/>
      <c r="DKC51" s="344"/>
      <c r="DKD51" s="344"/>
      <c r="DKE51" s="344"/>
      <c r="DKF51" s="344"/>
      <c r="DKG51" s="344"/>
      <c r="DKH51" s="344"/>
      <c r="DKI51" s="344"/>
      <c r="DKJ51" s="344"/>
      <c r="DKK51" s="344"/>
      <c r="DKL51" s="344"/>
      <c r="DKM51" s="344"/>
      <c r="DKN51" s="344"/>
      <c r="DKO51" s="344"/>
      <c r="DKP51" s="344"/>
      <c r="DKQ51" s="344"/>
      <c r="DKR51" s="344"/>
      <c r="DKS51" s="344"/>
      <c r="DKT51" s="344"/>
      <c r="DKU51" s="344"/>
      <c r="DKV51" s="344"/>
      <c r="DKW51" s="344"/>
      <c r="DKX51" s="344"/>
      <c r="DKY51" s="344"/>
      <c r="DKZ51" s="344"/>
      <c r="DLA51" s="344"/>
      <c r="DLB51" s="344"/>
      <c r="DLC51" s="344"/>
      <c r="DLD51" s="344"/>
      <c r="DLE51" s="344"/>
      <c r="DLF51" s="344"/>
      <c r="DLG51" s="344"/>
      <c r="DLH51" s="344"/>
      <c r="DLI51" s="344"/>
      <c r="DLJ51" s="344"/>
      <c r="DLK51" s="344"/>
      <c r="DLL51" s="344"/>
      <c r="DLM51" s="344"/>
      <c r="DLN51" s="344"/>
      <c r="DLO51" s="344"/>
      <c r="DLP51" s="344"/>
      <c r="DLQ51" s="344"/>
      <c r="DLR51" s="344"/>
      <c r="DLS51" s="344"/>
      <c r="DLT51" s="344"/>
      <c r="DLU51" s="344"/>
      <c r="DLV51" s="344"/>
      <c r="DLW51" s="344"/>
      <c r="DLX51" s="344"/>
      <c r="DLY51" s="344"/>
      <c r="DLZ51" s="344"/>
      <c r="DMA51" s="344"/>
      <c r="DMB51" s="344"/>
      <c r="DMC51" s="344"/>
      <c r="DMD51" s="344"/>
      <c r="DME51" s="344"/>
      <c r="DMF51" s="344"/>
      <c r="DMG51" s="344"/>
      <c r="DMH51" s="344"/>
      <c r="DMI51" s="344"/>
      <c r="DMJ51" s="344"/>
      <c r="DMK51" s="344"/>
      <c r="DML51" s="344"/>
      <c r="DMM51" s="344"/>
      <c r="DMN51" s="344"/>
      <c r="DMO51" s="344"/>
      <c r="DMP51" s="344"/>
      <c r="DMQ51" s="344"/>
      <c r="DMR51" s="344"/>
      <c r="DMS51" s="344"/>
      <c r="DMT51" s="344"/>
      <c r="DMU51" s="344"/>
      <c r="DMV51" s="344"/>
      <c r="DMW51" s="344"/>
      <c r="DMX51" s="344"/>
      <c r="DMY51" s="344"/>
      <c r="DMZ51" s="344"/>
      <c r="DNA51" s="344"/>
      <c r="DNB51" s="344"/>
      <c r="DNC51" s="344"/>
      <c r="DND51" s="344"/>
      <c r="DNE51" s="344"/>
      <c r="DNF51" s="344"/>
      <c r="DNG51" s="344"/>
      <c r="DNH51" s="344"/>
      <c r="DNI51" s="344"/>
      <c r="DNJ51" s="344"/>
      <c r="DNK51" s="344"/>
      <c r="DNL51" s="344"/>
      <c r="DNM51" s="344"/>
      <c r="DNN51" s="344"/>
      <c r="DNO51" s="344"/>
      <c r="DNP51" s="344"/>
      <c r="DNQ51" s="344"/>
      <c r="DNR51" s="344"/>
      <c r="DNS51" s="344"/>
      <c r="DNT51" s="344"/>
      <c r="DNU51" s="344"/>
      <c r="DNV51" s="344"/>
      <c r="DNW51" s="344"/>
      <c r="DNX51" s="344"/>
      <c r="DNY51" s="344"/>
      <c r="DNZ51" s="344"/>
      <c r="DOA51" s="344"/>
      <c r="DOB51" s="344"/>
      <c r="DOC51" s="344"/>
      <c r="DOD51" s="344"/>
      <c r="DOE51" s="344"/>
      <c r="DOF51" s="344"/>
      <c r="DOG51" s="344"/>
      <c r="DOH51" s="344"/>
      <c r="DOI51" s="344"/>
      <c r="DOJ51" s="344"/>
      <c r="DOK51" s="344"/>
      <c r="DOL51" s="344"/>
      <c r="DOM51" s="344"/>
      <c r="DON51" s="344"/>
      <c r="DOO51" s="344"/>
      <c r="DOP51" s="344"/>
      <c r="DOQ51" s="344"/>
      <c r="DOR51" s="344"/>
      <c r="DOS51" s="344"/>
      <c r="DOT51" s="344"/>
      <c r="DOU51" s="344"/>
      <c r="DOV51" s="344"/>
      <c r="DOW51" s="344"/>
      <c r="DOX51" s="344"/>
      <c r="DOY51" s="344"/>
      <c r="DOZ51" s="344"/>
      <c r="DPA51" s="344"/>
      <c r="DPB51" s="344"/>
      <c r="DPC51" s="344"/>
      <c r="DPD51" s="344"/>
      <c r="DPE51" s="344"/>
      <c r="DPF51" s="344"/>
      <c r="DPG51" s="344"/>
      <c r="DPH51" s="344"/>
      <c r="DPI51" s="344"/>
      <c r="DPJ51" s="344"/>
      <c r="DPK51" s="344"/>
      <c r="DPL51" s="344"/>
      <c r="DPM51" s="344"/>
      <c r="DPN51" s="344"/>
      <c r="DPO51" s="344"/>
      <c r="DPP51" s="344"/>
      <c r="DPQ51" s="344"/>
      <c r="DPR51" s="344"/>
      <c r="DPS51" s="344"/>
      <c r="DPT51" s="344"/>
      <c r="DPU51" s="344"/>
      <c r="DPV51" s="344"/>
      <c r="DPW51" s="344"/>
      <c r="DPX51" s="344"/>
      <c r="DPY51" s="344"/>
      <c r="DPZ51" s="344"/>
      <c r="DQA51" s="344"/>
      <c r="DQB51" s="344"/>
      <c r="DQC51" s="344"/>
      <c r="DQD51" s="344"/>
      <c r="DQE51" s="344"/>
      <c r="DQF51" s="344"/>
      <c r="DQG51" s="344"/>
      <c r="DQH51" s="344"/>
      <c r="DQI51" s="344"/>
      <c r="DQJ51" s="344"/>
      <c r="DQK51" s="344"/>
      <c r="DQL51" s="344"/>
      <c r="DQM51" s="344"/>
      <c r="DQN51" s="344"/>
      <c r="DQO51" s="344"/>
      <c r="DQP51" s="344"/>
      <c r="DQQ51" s="344"/>
      <c r="DQR51" s="344"/>
      <c r="DQS51" s="344"/>
      <c r="DQT51" s="344"/>
      <c r="DQU51" s="344"/>
      <c r="DQV51" s="344"/>
      <c r="DQW51" s="344"/>
      <c r="DQX51" s="344"/>
      <c r="DQY51" s="344"/>
      <c r="DQZ51" s="344"/>
      <c r="DRA51" s="344"/>
      <c r="DRB51" s="344"/>
      <c r="DRC51" s="344"/>
      <c r="DRD51" s="344"/>
      <c r="DRE51" s="344"/>
      <c r="DRF51" s="344"/>
      <c r="DRG51" s="344"/>
      <c r="DRH51" s="344"/>
      <c r="DRI51" s="344"/>
      <c r="DRJ51" s="344"/>
      <c r="DRK51" s="344"/>
      <c r="DRL51" s="344"/>
      <c r="DRM51" s="344"/>
      <c r="DRN51" s="344"/>
      <c r="DRO51" s="344"/>
      <c r="DRP51" s="344"/>
      <c r="DRQ51" s="344"/>
      <c r="DRR51" s="344"/>
      <c r="DRS51" s="344"/>
      <c r="DRT51" s="344"/>
      <c r="DRU51" s="344"/>
      <c r="DRV51" s="344"/>
      <c r="DRW51" s="344"/>
      <c r="DRX51" s="344"/>
      <c r="DRY51" s="344"/>
      <c r="DRZ51" s="344"/>
      <c r="DSA51" s="344"/>
      <c r="DSB51" s="344"/>
      <c r="DSC51" s="344"/>
      <c r="DSD51" s="344"/>
      <c r="DSE51" s="344"/>
      <c r="DSF51" s="344"/>
      <c r="DSG51" s="344"/>
      <c r="DSH51" s="344"/>
      <c r="DSI51" s="344"/>
      <c r="DSJ51" s="344"/>
      <c r="DSK51" s="344"/>
      <c r="DSL51" s="344"/>
      <c r="DSM51" s="344"/>
      <c r="DSN51" s="344"/>
      <c r="DSO51" s="344"/>
      <c r="DSP51" s="344"/>
      <c r="DSQ51" s="344"/>
      <c r="DSR51" s="344"/>
      <c r="DSS51" s="344"/>
      <c r="DST51" s="344"/>
      <c r="DSU51" s="344"/>
      <c r="DSV51" s="344"/>
      <c r="DSW51" s="344"/>
      <c r="DSX51" s="344"/>
      <c r="DSY51" s="344"/>
      <c r="DSZ51" s="344"/>
      <c r="DTA51" s="344"/>
      <c r="DTB51" s="344"/>
      <c r="DTC51" s="344"/>
      <c r="DTD51" s="344"/>
      <c r="DTE51" s="344"/>
      <c r="DTF51" s="344"/>
      <c r="DTG51" s="344"/>
      <c r="DTH51" s="344"/>
      <c r="DTI51" s="344"/>
      <c r="DTJ51" s="344"/>
      <c r="DTK51" s="344"/>
      <c r="DTL51" s="344"/>
      <c r="DTM51" s="344"/>
      <c r="DTN51" s="344"/>
      <c r="DTO51" s="344"/>
      <c r="DTP51" s="344"/>
      <c r="DTQ51" s="344"/>
      <c r="DTR51" s="344"/>
      <c r="DTS51" s="344"/>
      <c r="DTT51" s="344"/>
      <c r="DTU51" s="344"/>
      <c r="DTV51" s="344"/>
      <c r="DTW51" s="344"/>
      <c r="DTX51" s="344"/>
      <c r="DTY51" s="344"/>
      <c r="DTZ51" s="344"/>
      <c r="DUA51" s="344"/>
      <c r="DUB51" s="344"/>
      <c r="DUC51" s="344"/>
      <c r="DUD51" s="344"/>
      <c r="DUE51" s="344"/>
      <c r="DUF51" s="344"/>
      <c r="DUG51" s="344"/>
      <c r="DUH51" s="344"/>
      <c r="DUI51" s="344"/>
      <c r="DUJ51" s="344"/>
      <c r="DUK51" s="344"/>
      <c r="DUL51" s="344"/>
      <c r="DUM51" s="344"/>
      <c r="DUN51" s="344"/>
      <c r="DUO51" s="344"/>
      <c r="DUP51" s="344"/>
      <c r="DUQ51" s="344"/>
      <c r="DUR51" s="344"/>
      <c r="DUS51" s="344"/>
      <c r="DUT51" s="344"/>
      <c r="DUU51" s="344"/>
      <c r="DUV51" s="344"/>
      <c r="DUW51" s="344"/>
      <c r="DUX51" s="344"/>
      <c r="DUY51" s="344"/>
      <c r="DUZ51" s="344"/>
      <c r="DVA51" s="344"/>
      <c r="DVB51" s="344"/>
      <c r="DVC51" s="344"/>
      <c r="DVD51" s="344"/>
      <c r="DVE51" s="344"/>
      <c r="DVF51" s="344"/>
      <c r="DVG51" s="344"/>
      <c r="DVH51" s="344"/>
      <c r="DVI51" s="344"/>
      <c r="DVJ51" s="344"/>
      <c r="DVK51" s="344"/>
      <c r="DVL51" s="344"/>
      <c r="DVM51" s="344"/>
      <c r="DVN51" s="344"/>
      <c r="DVO51" s="344"/>
      <c r="DVP51" s="344"/>
      <c r="DVQ51" s="344"/>
      <c r="DVR51" s="344"/>
      <c r="DVS51" s="344"/>
      <c r="DVT51" s="344"/>
      <c r="DVU51" s="344"/>
      <c r="DVV51" s="344"/>
      <c r="DVW51" s="344"/>
      <c r="DVX51" s="344"/>
      <c r="DVY51" s="344"/>
      <c r="DVZ51" s="344"/>
      <c r="DWA51" s="344"/>
      <c r="DWB51" s="344"/>
      <c r="DWC51" s="344"/>
      <c r="DWD51" s="344"/>
      <c r="DWE51" s="344"/>
      <c r="DWF51" s="344"/>
      <c r="DWG51" s="344"/>
      <c r="DWH51" s="344"/>
      <c r="DWI51" s="344"/>
      <c r="DWJ51" s="344"/>
      <c r="DWK51" s="344"/>
      <c r="DWL51" s="344"/>
      <c r="DWM51" s="344"/>
      <c r="DWN51" s="344"/>
      <c r="DWO51" s="344"/>
      <c r="DWP51" s="344"/>
      <c r="DWQ51" s="344"/>
      <c r="DWR51" s="344"/>
      <c r="DWS51" s="344"/>
      <c r="DWT51" s="344"/>
      <c r="DWU51" s="344"/>
      <c r="DWV51" s="344"/>
      <c r="DWW51" s="344"/>
      <c r="DWX51" s="344"/>
      <c r="DWY51" s="344"/>
      <c r="DWZ51" s="344"/>
      <c r="DXA51" s="344"/>
      <c r="DXB51" s="344"/>
      <c r="DXC51" s="344"/>
      <c r="DXD51" s="344"/>
      <c r="DXE51" s="344"/>
      <c r="DXF51" s="344"/>
      <c r="DXG51" s="344"/>
      <c r="DXH51" s="344"/>
      <c r="DXI51" s="344"/>
      <c r="DXJ51" s="344"/>
      <c r="DXK51" s="344"/>
      <c r="DXL51" s="344"/>
      <c r="DXM51" s="344"/>
      <c r="DXN51" s="344"/>
      <c r="DXO51" s="344"/>
      <c r="DXP51" s="344"/>
      <c r="DXQ51" s="344"/>
      <c r="DXR51" s="344"/>
      <c r="DXS51" s="344"/>
      <c r="DXT51" s="344"/>
      <c r="DXU51" s="344"/>
      <c r="DXV51" s="344"/>
      <c r="DXW51" s="344"/>
      <c r="DXX51" s="344"/>
      <c r="DXY51" s="344"/>
      <c r="DXZ51" s="344"/>
      <c r="DYA51" s="344"/>
      <c r="DYB51" s="344"/>
      <c r="DYC51" s="344"/>
      <c r="DYD51" s="344"/>
      <c r="DYE51" s="344"/>
      <c r="DYF51" s="344"/>
      <c r="DYG51" s="344"/>
      <c r="DYH51" s="344"/>
      <c r="DYI51" s="344"/>
      <c r="DYJ51" s="344"/>
      <c r="DYK51" s="344"/>
      <c r="DYL51" s="344"/>
      <c r="DYM51" s="344"/>
      <c r="DYN51" s="344"/>
      <c r="DYO51" s="344"/>
      <c r="DYP51" s="344"/>
      <c r="DYQ51" s="344"/>
      <c r="DYR51" s="344"/>
      <c r="DYS51" s="344"/>
      <c r="DYT51" s="344"/>
      <c r="DYU51" s="344"/>
      <c r="DYV51" s="344"/>
      <c r="DYW51" s="344"/>
      <c r="DYX51" s="344"/>
      <c r="DYY51" s="344"/>
      <c r="DYZ51" s="344"/>
      <c r="DZA51" s="344"/>
      <c r="DZB51" s="344"/>
      <c r="DZC51" s="344"/>
      <c r="DZD51" s="344"/>
      <c r="DZE51" s="344"/>
      <c r="DZF51" s="344"/>
      <c r="DZG51" s="344"/>
      <c r="DZH51" s="344"/>
      <c r="DZI51" s="344"/>
      <c r="DZJ51" s="344"/>
      <c r="DZK51" s="344"/>
      <c r="DZL51" s="344"/>
      <c r="DZM51" s="344"/>
      <c r="DZN51" s="344"/>
      <c r="DZO51" s="344"/>
      <c r="DZP51" s="344"/>
      <c r="DZQ51" s="344"/>
      <c r="DZR51" s="344"/>
      <c r="DZS51" s="344"/>
      <c r="DZT51" s="344"/>
      <c r="DZU51" s="344"/>
      <c r="DZV51" s="344"/>
      <c r="DZW51" s="344"/>
      <c r="DZX51" s="344"/>
      <c r="DZY51" s="344"/>
      <c r="DZZ51" s="344"/>
      <c r="EAA51" s="344"/>
      <c r="EAB51" s="344"/>
      <c r="EAC51" s="344"/>
      <c r="EAD51" s="344"/>
      <c r="EAE51" s="344"/>
      <c r="EAF51" s="344"/>
      <c r="EAG51" s="344"/>
      <c r="EAH51" s="344"/>
      <c r="EAI51" s="344"/>
      <c r="EAJ51" s="344"/>
      <c r="EAK51" s="344"/>
      <c r="EAL51" s="344"/>
      <c r="EAM51" s="344"/>
      <c r="EAN51" s="344"/>
      <c r="EAO51" s="344"/>
      <c r="EAP51" s="344"/>
      <c r="EAQ51" s="344"/>
      <c r="EAR51" s="344"/>
      <c r="EAS51" s="344"/>
      <c r="EAT51" s="344"/>
      <c r="EAU51" s="344"/>
      <c r="EAV51" s="344"/>
      <c r="EAW51" s="344"/>
      <c r="EAX51" s="344"/>
      <c r="EAY51" s="344"/>
      <c r="EAZ51" s="344"/>
      <c r="EBA51" s="344"/>
      <c r="EBB51" s="344"/>
      <c r="EBC51" s="344"/>
      <c r="EBD51" s="344"/>
      <c r="EBE51" s="344"/>
      <c r="EBF51" s="344"/>
      <c r="EBG51" s="344"/>
      <c r="EBH51" s="344"/>
      <c r="EBI51" s="344"/>
      <c r="EBJ51" s="344"/>
      <c r="EBK51" s="344"/>
      <c r="EBL51" s="344"/>
      <c r="EBM51" s="344"/>
      <c r="EBN51" s="344"/>
      <c r="EBO51" s="344"/>
      <c r="EBP51" s="344"/>
      <c r="EBQ51" s="344"/>
      <c r="EBR51" s="344"/>
      <c r="EBS51" s="344"/>
      <c r="EBT51" s="344"/>
      <c r="EBU51" s="344"/>
      <c r="EBV51" s="344"/>
      <c r="EBW51" s="344"/>
      <c r="EBX51" s="344"/>
      <c r="EBY51" s="344"/>
      <c r="EBZ51" s="344"/>
      <c r="ECA51" s="344"/>
      <c r="ECB51" s="344"/>
      <c r="ECC51" s="344"/>
      <c r="ECD51" s="344"/>
      <c r="ECE51" s="344"/>
      <c r="ECF51" s="344"/>
      <c r="ECG51" s="344"/>
      <c r="ECH51" s="344"/>
      <c r="ECI51" s="344"/>
      <c r="ECJ51" s="344"/>
      <c r="ECK51" s="344"/>
      <c r="ECL51" s="344"/>
      <c r="ECM51" s="344"/>
      <c r="ECN51" s="344"/>
      <c r="ECO51" s="344"/>
      <c r="ECP51" s="344"/>
      <c r="ECQ51" s="344"/>
      <c r="ECR51" s="344"/>
      <c r="ECS51" s="344"/>
      <c r="ECT51" s="344"/>
      <c r="ECU51" s="344"/>
      <c r="ECV51" s="344"/>
      <c r="ECW51" s="344"/>
      <c r="ECX51" s="344"/>
      <c r="ECY51" s="344"/>
      <c r="ECZ51" s="344"/>
      <c r="EDA51" s="344"/>
      <c r="EDB51" s="344"/>
      <c r="EDC51" s="344"/>
      <c r="EDD51" s="344"/>
      <c r="EDE51" s="344"/>
      <c r="EDF51" s="344"/>
      <c r="EDG51" s="344"/>
      <c r="EDH51" s="344"/>
      <c r="EDI51" s="344"/>
      <c r="EDJ51" s="344"/>
      <c r="EDK51" s="344"/>
      <c r="EDL51" s="344"/>
      <c r="EDM51" s="344"/>
      <c r="EDN51" s="344"/>
      <c r="EDO51" s="344"/>
      <c r="EDP51" s="344"/>
      <c r="EDQ51" s="344"/>
      <c r="EDR51" s="344"/>
      <c r="EDS51" s="344"/>
      <c r="EDT51" s="344"/>
      <c r="EDU51" s="344"/>
      <c r="EDV51" s="344"/>
      <c r="EDW51" s="344"/>
      <c r="EDX51" s="344"/>
      <c r="EDY51" s="344"/>
      <c r="EDZ51" s="344"/>
      <c r="EEA51" s="344"/>
      <c r="EEB51" s="344"/>
      <c r="EEC51" s="344"/>
      <c r="EED51" s="344"/>
      <c r="EEE51" s="344"/>
      <c r="EEF51" s="344"/>
      <c r="EEG51" s="344"/>
      <c r="EEH51" s="344"/>
      <c r="EEI51" s="344"/>
      <c r="EEJ51" s="344"/>
      <c r="EEK51" s="344"/>
      <c r="EEL51" s="344"/>
      <c r="EEM51" s="344"/>
      <c r="EEN51" s="344"/>
      <c r="EEO51" s="344"/>
      <c r="EEP51" s="344"/>
      <c r="EEQ51" s="344"/>
      <c r="EER51" s="344"/>
      <c r="EES51" s="344"/>
      <c r="EET51" s="344"/>
      <c r="EEU51" s="344"/>
      <c r="EEV51" s="344"/>
      <c r="EEW51" s="344"/>
      <c r="EEX51" s="344"/>
      <c r="EEY51" s="344"/>
      <c r="EEZ51" s="344"/>
      <c r="EFA51" s="344"/>
      <c r="EFB51" s="344"/>
      <c r="EFC51" s="344"/>
      <c r="EFD51" s="344"/>
      <c r="EFE51" s="344"/>
      <c r="EFF51" s="344"/>
      <c r="EFG51" s="344"/>
      <c r="EFH51" s="344"/>
      <c r="EFI51" s="344"/>
      <c r="EFJ51" s="344"/>
      <c r="EFK51" s="344"/>
      <c r="EFL51" s="344"/>
      <c r="EFM51" s="344"/>
      <c r="EFN51" s="344"/>
      <c r="EFO51" s="344"/>
      <c r="EFP51" s="344"/>
      <c r="EFQ51" s="344"/>
      <c r="EFR51" s="344"/>
      <c r="EFS51" s="344"/>
      <c r="EFT51" s="344"/>
      <c r="EFU51" s="344"/>
      <c r="EFV51" s="344"/>
      <c r="EFW51" s="344"/>
      <c r="EFX51" s="344"/>
      <c r="EFY51" s="344"/>
      <c r="EFZ51" s="344"/>
      <c r="EGA51" s="344"/>
      <c r="EGB51" s="344"/>
      <c r="EGC51" s="344"/>
      <c r="EGD51" s="344"/>
      <c r="EGE51" s="344"/>
      <c r="EGF51" s="344"/>
      <c r="EGG51" s="344"/>
      <c r="EGH51" s="344"/>
      <c r="EGI51" s="344"/>
      <c r="EGJ51" s="344"/>
      <c r="EGK51" s="344"/>
      <c r="EGL51" s="344"/>
      <c r="EGM51" s="344"/>
      <c r="EGN51" s="344"/>
      <c r="EGO51" s="344"/>
      <c r="EGP51" s="344"/>
      <c r="EGQ51" s="344"/>
      <c r="EGR51" s="344"/>
      <c r="EGS51" s="344"/>
      <c r="EGT51" s="344"/>
      <c r="EGU51" s="344"/>
      <c r="EGV51" s="344"/>
      <c r="EGW51" s="344"/>
      <c r="EGX51" s="344"/>
      <c r="EGY51" s="344"/>
      <c r="EGZ51" s="344"/>
      <c r="EHA51" s="344"/>
      <c r="EHB51" s="344"/>
      <c r="EHC51" s="344"/>
      <c r="EHD51" s="344"/>
      <c r="EHE51" s="344"/>
      <c r="EHF51" s="344"/>
      <c r="EHG51" s="344"/>
      <c r="EHH51" s="344"/>
      <c r="EHI51" s="344"/>
      <c r="EHJ51" s="344"/>
      <c r="EHK51" s="344"/>
      <c r="EHL51" s="344"/>
      <c r="EHM51" s="344"/>
      <c r="EHN51" s="344"/>
      <c r="EHO51" s="344"/>
      <c r="EHP51" s="344"/>
      <c r="EHQ51" s="344"/>
      <c r="EHR51" s="344"/>
      <c r="EHS51" s="344"/>
      <c r="EHT51" s="344"/>
      <c r="EHU51" s="344"/>
      <c r="EHV51" s="344"/>
      <c r="EHW51" s="344"/>
      <c r="EHX51" s="344"/>
      <c r="EHY51" s="344"/>
      <c r="EHZ51" s="344"/>
      <c r="EIA51" s="344"/>
      <c r="EIB51" s="344"/>
      <c r="EIC51" s="344"/>
      <c r="EID51" s="344"/>
      <c r="EIE51" s="344"/>
      <c r="EIF51" s="344"/>
      <c r="EIG51" s="344"/>
      <c r="EIH51" s="344"/>
      <c r="EII51" s="344"/>
      <c r="EIJ51" s="344"/>
      <c r="EIK51" s="344"/>
      <c r="EIL51" s="344"/>
      <c r="EIM51" s="344"/>
      <c r="EIN51" s="344"/>
      <c r="EIO51" s="344"/>
      <c r="EIP51" s="344"/>
      <c r="EIQ51" s="344"/>
      <c r="EIR51" s="344"/>
      <c r="EIS51" s="344"/>
      <c r="EIT51" s="344"/>
      <c r="EIU51" s="344"/>
      <c r="EIV51" s="344"/>
      <c r="EIW51" s="344"/>
      <c r="EIX51" s="344"/>
      <c r="EIY51" s="344"/>
      <c r="EIZ51" s="344"/>
      <c r="EJA51" s="344"/>
      <c r="EJB51" s="344"/>
      <c r="EJC51" s="344"/>
      <c r="EJD51" s="344"/>
      <c r="EJE51" s="344"/>
      <c r="EJF51" s="344"/>
      <c r="EJG51" s="344"/>
      <c r="EJH51" s="344"/>
      <c r="EJI51" s="344"/>
      <c r="EJJ51" s="344"/>
      <c r="EJK51" s="344"/>
      <c r="EJL51" s="344"/>
      <c r="EJM51" s="344"/>
      <c r="EJN51" s="344"/>
      <c r="EJO51" s="344"/>
      <c r="EJP51" s="344"/>
      <c r="EJQ51" s="344"/>
      <c r="EJR51" s="344"/>
      <c r="EJS51" s="344"/>
      <c r="EJT51" s="344"/>
      <c r="EJU51" s="344"/>
      <c r="EJV51" s="344"/>
      <c r="EJW51" s="344"/>
      <c r="EJX51" s="344"/>
      <c r="EJY51" s="344"/>
      <c r="EJZ51" s="344"/>
      <c r="EKA51" s="344"/>
      <c r="EKB51" s="344"/>
      <c r="EKC51" s="344"/>
      <c r="EKD51" s="344"/>
      <c r="EKE51" s="344"/>
      <c r="EKF51" s="344"/>
      <c r="EKG51" s="344"/>
      <c r="EKH51" s="344"/>
      <c r="EKI51" s="344"/>
      <c r="EKJ51" s="344"/>
      <c r="EKK51" s="344"/>
      <c r="EKL51" s="344"/>
      <c r="EKM51" s="344"/>
      <c r="EKN51" s="344"/>
      <c r="EKO51" s="344"/>
      <c r="EKP51" s="344"/>
      <c r="EKQ51" s="344"/>
      <c r="EKR51" s="344"/>
      <c r="EKS51" s="344"/>
      <c r="EKT51" s="344"/>
      <c r="EKU51" s="344"/>
      <c r="EKV51" s="344"/>
      <c r="EKW51" s="344"/>
      <c r="EKX51" s="344"/>
      <c r="EKY51" s="344"/>
      <c r="EKZ51" s="344"/>
      <c r="ELA51" s="344"/>
      <c r="ELB51" s="344"/>
      <c r="ELC51" s="344"/>
      <c r="ELD51" s="344"/>
      <c r="ELE51" s="344"/>
      <c r="ELF51" s="344"/>
      <c r="ELG51" s="344"/>
      <c r="ELH51" s="344"/>
      <c r="ELI51" s="344"/>
      <c r="ELJ51" s="344"/>
      <c r="ELK51" s="344"/>
      <c r="ELL51" s="344"/>
      <c r="ELM51" s="344"/>
      <c r="ELN51" s="344"/>
      <c r="ELO51" s="344"/>
      <c r="ELP51" s="344"/>
      <c r="ELQ51" s="344"/>
      <c r="ELR51" s="344"/>
      <c r="ELS51" s="344"/>
      <c r="ELT51" s="344"/>
      <c r="ELU51" s="344"/>
      <c r="ELV51" s="344"/>
      <c r="ELW51" s="344"/>
      <c r="ELX51" s="344"/>
      <c r="ELY51" s="344"/>
      <c r="ELZ51" s="344"/>
      <c r="EMA51" s="344"/>
      <c r="EMB51" s="344"/>
      <c r="EMC51" s="344"/>
      <c r="EMD51" s="344"/>
      <c r="EME51" s="344"/>
      <c r="EMF51" s="344"/>
      <c r="EMG51" s="344"/>
      <c r="EMH51" s="344"/>
      <c r="EMI51" s="344"/>
      <c r="EMJ51" s="344"/>
      <c r="EMK51" s="344"/>
      <c r="EML51" s="344"/>
      <c r="EMM51" s="344"/>
      <c r="EMN51" s="344"/>
      <c r="EMO51" s="344"/>
      <c r="EMP51" s="344"/>
      <c r="EMQ51" s="344"/>
      <c r="EMR51" s="344"/>
      <c r="EMS51" s="344"/>
      <c r="EMT51" s="344"/>
      <c r="EMU51" s="344"/>
      <c r="EMV51" s="344"/>
      <c r="EMW51" s="344"/>
      <c r="EMX51" s="344"/>
      <c r="EMY51" s="344"/>
      <c r="EMZ51" s="344"/>
      <c r="ENA51" s="344"/>
      <c r="ENB51" s="344"/>
      <c r="ENC51" s="344"/>
      <c r="END51" s="344"/>
      <c r="ENE51" s="344"/>
      <c r="ENF51" s="344"/>
      <c r="ENG51" s="344"/>
      <c r="ENH51" s="344"/>
      <c r="ENI51" s="344"/>
      <c r="ENJ51" s="344"/>
      <c r="ENK51" s="344"/>
      <c r="ENL51" s="344"/>
      <c r="ENM51" s="344"/>
      <c r="ENN51" s="344"/>
      <c r="ENO51" s="344"/>
      <c r="ENP51" s="344"/>
      <c r="ENQ51" s="344"/>
      <c r="ENR51" s="344"/>
      <c r="ENS51" s="344"/>
      <c r="ENT51" s="344"/>
      <c r="ENU51" s="344"/>
      <c r="ENV51" s="344"/>
      <c r="ENW51" s="344"/>
      <c r="ENX51" s="344"/>
      <c r="ENY51" s="344"/>
      <c r="ENZ51" s="344"/>
      <c r="EOA51" s="344"/>
      <c r="EOB51" s="344"/>
      <c r="EOC51" s="344"/>
      <c r="EOD51" s="344"/>
      <c r="EOE51" s="344"/>
      <c r="EOF51" s="344"/>
      <c r="EOG51" s="344"/>
      <c r="EOH51" s="344"/>
      <c r="EOI51" s="344"/>
      <c r="EOJ51" s="344"/>
      <c r="EOK51" s="344"/>
      <c r="EOL51" s="344"/>
      <c r="EOM51" s="344"/>
      <c r="EON51" s="344"/>
      <c r="EOO51" s="344"/>
      <c r="EOP51" s="344"/>
      <c r="EOQ51" s="344"/>
      <c r="EOR51" s="344"/>
      <c r="EOS51" s="344"/>
      <c r="EOT51" s="344"/>
      <c r="EOU51" s="344"/>
      <c r="EOV51" s="344"/>
      <c r="EOW51" s="344"/>
      <c r="EOX51" s="344"/>
      <c r="EOY51" s="344"/>
      <c r="EOZ51" s="344"/>
      <c r="EPA51" s="344"/>
      <c r="EPB51" s="344"/>
      <c r="EPC51" s="344"/>
      <c r="EPD51" s="344"/>
      <c r="EPE51" s="344"/>
      <c r="EPF51" s="344"/>
      <c r="EPG51" s="344"/>
      <c r="EPH51" s="344"/>
      <c r="EPI51" s="344"/>
      <c r="EPJ51" s="344"/>
      <c r="EPK51" s="344"/>
      <c r="EPL51" s="344"/>
      <c r="EPM51" s="344"/>
      <c r="EPN51" s="344"/>
      <c r="EPO51" s="344"/>
      <c r="EPP51" s="344"/>
      <c r="EPQ51" s="344"/>
      <c r="EPR51" s="344"/>
      <c r="EPS51" s="344"/>
      <c r="EPT51" s="344"/>
      <c r="EPU51" s="344"/>
      <c r="EPV51" s="344"/>
      <c r="EPW51" s="344"/>
      <c r="EPX51" s="344"/>
      <c r="EPY51" s="344"/>
      <c r="EPZ51" s="344"/>
      <c r="EQA51" s="344"/>
      <c r="EQB51" s="344"/>
      <c r="EQC51" s="344"/>
      <c r="EQD51" s="344"/>
      <c r="EQE51" s="344"/>
      <c r="EQF51" s="344"/>
      <c r="EQG51" s="344"/>
      <c r="EQH51" s="344"/>
      <c r="EQI51" s="344"/>
      <c r="EQJ51" s="344"/>
      <c r="EQK51" s="344"/>
      <c r="EQL51" s="344"/>
      <c r="EQM51" s="344"/>
      <c r="EQN51" s="344"/>
      <c r="EQO51" s="344"/>
      <c r="EQP51" s="344"/>
      <c r="EQQ51" s="344"/>
      <c r="EQR51" s="344"/>
      <c r="EQS51" s="344"/>
      <c r="EQT51" s="344"/>
      <c r="EQU51" s="344"/>
      <c r="EQV51" s="344"/>
      <c r="EQW51" s="344"/>
      <c r="EQX51" s="344"/>
      <c r="EQY51" s="344"/>
      <c r="EQZ51" s="344"/>
      <c r="ERA51" s="344"/>
      <c r="ERB51" s="344"/>
      <c r="ERC51" s="344"/>
      <c r="ERD51" s="344"/>
      <c r="ERE51" s="344"/>
      <c r="ERF51" s="344"/>
      <c r="ERG51" s="344"/>
      <c r="ERH51" s="344"/>
      <c r="ERI51" s="344"/>
      <c r="ERJ51" s="344"/>
      <c r="ERK51" s="344"/>
      <c r="ERL51" s="344"/>
      <c r="ERM51" s="344"/>
      <c r="ERN51" s="344"/>
      <c r="ERO51" s="344"/>
      <c r="ERP51" s="344"/>
      <c r="ERQ51" s="344"/>
      <c r="ERR51" s="344"/>
      <c r="ERS51" s="344"/>
      <c r="ERT51" s="344"/>
      <c r="ERU51" s="344"/>
      <c r="ERV51" s="344"/>
      <c r="ERW51" s="344"/>
      <c r="ERX51" s="344"/>
      <c r="ERY51" s="344"/>
      <c r="ERZ51" s="344"/>
      <c r="ESA51" s="344"/>
      <c r="ESB51" s="344"/>
      <c r="ESC51" s="344"/>
      <c r="ESD51" s="344"/>
      <c r="ESE51" s="344"/>
      <c r="ESF51" s="344"/>
      <c r="ESG51" s="344"/>
      <c r="ESH51" s="344"/>
      <c r="ESI51" s="344"/>
      <c r="ESJ51" s="344"/>
      <c r="ESK51" s="344"/>
      <c r="ESL51" s="344"/>
      <c r="ESM51" s="344"/>
      <c r="ESN51" s="344"/>
      <c r="ESO51" s="344"/>
      <c r="ESP51" s="344"/>
      <c r="ESQ51" s="344"/>
      <c r="ESR51" s="344"/>
      <c r="ESS51" s="344"/>
      <c r="EST51" s="344"/>
      <c r="ESU51" s="344"/>
      <c r="ESV51" s="344"/>
      <c r="ESW51" s="344"/>
      <c r="ESX51" s="344"/>
      <c r="ESY51" s="344"/>
      <c r="ESZ51" s="344"/>
      <c r="ETA51" s="344"/>
      <c r="ETB51" s="344"/>
      <c r="ETC51" s="344"/>
      <c r="ETD51" s="344"/>
      <c r="ETE51" s="344"/>
      <c r="ETF51" s="344"/>
      <c r="ETG51" s="344"/>
      <c r="ETH51" s="344"/>
      <c r="ETI51" s="344"/>
      <c r="ETJ51" s="344"/>
      <c r="ETK51" s="344"/>
      <c r="ETL51" s="344"/>
      <c r="ETM51" s="344"/>
      <c r="ETN51" s="344"/>
      <c r="ETO51" s="344"/>
      <c r="ETP51" s="344"/>
      <c r="ETQ51" s="344"/>
      <c r="ETR51" s="344"/>
      <c r="ETS51" s="344"/>
      <c r="ETT51" s="344"/>
      <c r="ETU51" s="344"/>
      <c r="ETV51" s="344"/>
      <c r="ETW51" s="344"/>
      <c r="ETX51" s="344"/>
      <c r="ETY51" s="344"/>
      <c r="ETZ51" s="344"/>
      <c r="EUA51" s="344"/>
      <c r="EUB51" s="344"/>
      <c r="EUC51" s="344"/>
      <c r="EUD51" s="344"/>
      <c r="EUE51" s="344"/>
      <c r="EUF51" s="344"/>
      <c r="EUG51" s="344"/>
      <c r="EUH51" s="344"/>
      <c r="EUI51" s="344"/>
      <c r="EUJ51" s="344"/>
      <c r="EUK51" s="344"/>
      <c r="EUL51" s="344"/>
      <c r="EUM51" s="344"/>
      <c r="EUN51" s="344"/>
      <c r="EUO51" s="344"/>
      <c r="EUP51" s="344"/>
      <c r="EUQ51" s="344"/>
      <c r="EUR51" s="344"/>
      <c r="EUS51" s="344"/>
      <c r="EUT51" s="344"/>
      <c r="EUU51" s="344"/>
      <c r="EUV51" s="344"/>
      <c r="EUW51" s="344"/>
      <c r="EUX51" s="344"/>
      <c r="EUY51" s="344"/>
      <c r="EUZ51" s="344"/>
      <c r="EVA51" s="344"/>
      <c r="EVB51" s="344"/>
      <c r="EVC51" s="344"/>
      <c r="EVD51" s="344"/>
      <c r="EVE51" s="344"/>
      <c r="EVF51" s="344"/>
      <c r="EVG51" s="344"/>
      <c r="EVH51" s="344"/>
      <c r="EVI51" s="344"/>
      <c r="EVJ51" s="344"/>
      <c r="EVK51" s="344"/>
      <c r="EVL51" s="344"/>
      <c r="EVM51" s="344"/>
      <c r="EVN51" s="344"/>
      <c r="EVO51" s="344"/>
      <c r="EVP51" s="344"/>
      <c r="EVQ51" s="344"/>
      <c r="EVR51" s="344"/>
      <c r="EVS51" s="344"/>
      <c r="EVT51" s="344"/>
      <c r="EVU51" s="344"/>
      <c r="EVV51" s="344"/>
      <c r="EVW51" s="344"/>
      <c r="EVX51" s="344"/>
      <c r="EVY51" s="344"/>
      <c r="EVZ51" s="344"/>
      <c r="EWA51" s="344"/>
      <c r="EWB51" s="344"/>
      <c r="EWC51" s="344"/>
      <c r="EWD51" s="344"/>
      <c r="EWE51" s="344"/>
      <c r="EWF51" s="344"/>
      <c r="EWG51" s="344"/>
      <c r="EWH51" s="344"/>
      <c r="EWI51" s="344"/>
      <c r="EWJ51" s="344"/>
      <c r="EWK51" s="344"/>
      <c r="EWL51" s="344"/>
      <c r="EWM51" s="344"/>
      <c r="EWN51" s="344"/>
      <c r="EWO51" s="344"/>
      <c r="EWP51" s="344"/>
      <c r="EWQ51" s="344"/>
      <c r="EWR51" s="344"/>
      <c r="EWS51" s="344"/>
      <c r="EWT51" s="344"/>
      <c r="EWU51" s="344"/>
      <c r="EWV51" s="344"/>
      <c r="EWW51" s="344"/>
      <c r="EWX51" s="344"/>
      <c r="EWY51" s="344"/>
      <c r="EWZ51" s="344"/>
      <c r="EXA51" s="344"/>
      <c r="EXB51" s="344"/>
      <c r="EXC51" s="344"/>
      <c r="EXD51" s="344"/>
      <c r="EXE51" s="344"/>
      <c r="EXF51" s="344"/>
      <c r="EXG51" s="344"/>
      <c r="EXH51" s="344"/>
      <c r="EXI51" s="344"/>
      <c r="EXJ51" s="344"/>
      <c r="EXK51" s="344"/>
      <c r="EXL51" s="344"/>
      <c r="EXM51" s="344"/>
      <c r="EXN51" s="344"/>
      <c r="EXO51" s="344"/>
      <c r="EXP51" s="344"/>
      <c r="EXQ51" s="344"/>
      <c r="EXR51" s="344"/>
      <c r="EXS51" s="344"/>
      <c r="EXT51" s="344"/>
      <c r="EXU51" s="344"/>
      <c r="EXV51" s="344"/>
      <c r="EXW51" s="344"/>
      <c r="EXX51" s="344"/>
      <c r="EXY51" s="344"/>
      <c r="EXZ51" s="344"/>
      <c r="EYA51" s="344"/>
      <c r="EYB51" s="344"/>
      <c r="EYC51" s="344"/>
      <c r="EYD51" s="344"/>
      <c r="EYE51" s="344"/>
      <c r="EYF51" s="344"/>
      <c r="EYG51" s="344"/>
      <c r="EYH51" s="344"/>
      <c r="EYI51" s="344"/>
      <c r="EYJ51" s="344"/>
      <c r="EYK51" s="344"/>
      <c r="EYL51" s="344"/>
      <c r="EYM51" s="344"/>
      <c r="EYN51" s="344"/>
      <c r="EYO51" s="344"/>
      <c r="EYP51" s="344"/>
      <c r="EYQ51" s="344"/>
      <c r="EYR51" s="344"/>
      <c r="EYS51" s="344"/>
      <c r="EYT51" s="344"/>
      <c r="EYU51" s="344"/>
      <c r="EYV51" s="344"/>
      <c r="EYW51" s="344"/>
      <c r="EYX51" s="344"/>
      <c r="EYY51" s="344"/>
      <c r="EYZ51" s="344"/>
      <c r="EZA51" s="344"/>
      <c r="EZB51" s="344"/>
      <c r="EZC51" s="344"/>
      <c r="EZD51" s="344"/>
      <c r="EZE51" s="344"/>
      <c r="EZF51" s="344"/>
      <c r="EZG51" s="344"/>
      <c r="EZH51" s="344"/>
      <c r="EZI51" s="344"/>
      <c r="EZJ51" s="344"/>
      <c r="EZK51" s="344"/>
      <c r="EZL51" s="344"/>
      <c r="EZM51" s="344"/>
      <c r="EZN51" s="344"/>
      <c r="EZO51" s="344"/>
      <c r="EZP51" s="344"/>
      <c r="EZQ51" s="344"/>
      <c r="EZR51" s="344"/>
      <c r="EZS51" s="344"/>
      <c r="EZT51" s="344"/>
      <c r="EZU51" s="344"/>
      <c r="EZV51" s="344"/>
      <c r="EZW51" s="344"/>
      <c r="EZX51" s="344"/>
      <c r="EZY51" s="344"/>
      <c r="EZZ51" s="344"/>
      <c r="FAA51" s="344"/>
      <c r="FAB51" s="344"/>
      <c r="FAC51" s="344"/>
      <c r="FAD51" s="344"/>
      <c r="FAE51" s="344"/>
      <c r="FAF51" s="344"/>
      <c r="FAG51" s="344"/>
      <c r="FAH51" s="344"/>
      <c r="FAI51" s="344"/>
      <c r="FAJ51" s="344"/>
      <c r="FAK51" s="344"/>
      <c r="FAL51" s="344"/>
      <c r="FAM51" s="344"/>
      <c r="FAN51" s="344"/>
      <c r="FAO51" s="344"/>
      <c r="FAP51" s="344"/>
      <c r="FAQ51" s="344"/>
      <c r="FAR51" s="344"/>
      <c r="FAS51" s="344"/>
      <c r="FAT51" s="344"/>
      <c r="FAU51" s="344"/>
      <c r="FAV51" s="344"/>
      <c r="FAW51" s="344"/>
      <c r="FAX51" s="344"/>
      <c r="FAY51" s="344"/>
      <c r="FAZ51" s="344"/>
      <c r="FBA51" s="344"/>
      <c r="FBB51" s="344"/>
      <c r="FBC51" s="344"/>
      <c r="FBD51" s="344"/>
      <c r="FBE51" s="344"/>
      <c r="FBF51" s="344"/>
      <c r="FBG51" s="344"/>
      <c r="FBH51" s="344"/>
      <c r="FBI51" s="344"/>
      <c r="FBJ51" s="344"/>
      <c r="FBK51" s="344"/>
      <c r="FBL51" s="344"/>
      <c r="FBM51" s="344"/>
      <c r="FBN51" s="344"/>
      <c r="FBO51" s="344"/>
      <c r="FBP51" s="344"/>
      <c r="FBQ51" s="344"/>
      <c r="FBR51" s="344"/>
      <c r="FBS51" s="344"/>
      <c r="FBT51" s="344"/>
      <c r="FBU51" s="344"/>
      <c r="FBV51" s="344"/>
      <c r="FBW51" s="344"/>
      <c r="FBX51" s="344"/>
      <c r="FBY51" s="344"/>
      <c r="FBZ51" s="344"/>
      <c r="FCA51" s="344"/>
      <c r="FCB51" s="344"/>
      <c r="FCC51" s="344"/>
      <c r="FCD51" s="344"/>
      <c r="FCE51" s="344"/>
      <c r="FCF51" s="344"/>
      <c r="FCG51" s="344"/>
      <c r="FCH51" s="344"/>
      <c r="FCI51" s="344"/>
      <c r="FCJ51" s="344"/>
      <c r="FCK51" s="344"/>
      <c r="FCL51" s="344"/>
      <c r="FCM51" s="344"/>
      <c r="FCN51" s="344"/>
      <c r="FCO51" s="344"/>
      <c r="FCP51" s="344"/>
      <c r="FCQ51" s="344"/>
      <c r="FCR51" s="344"/>
      <c r="FCS51" s="344"/>
      <c r="FCT51" s="344"/>
      <c r="FCU51" s="344"/>
      <c r="FCV51" s="344"/>
      <c r="FCW51" s="344"/>
      <c r="FCX51" s="344"/>
      <c r="FCY51" s="344"/>
      <c r="FCZ51" s="344"/>
      <c r="FDA51" s="344"/>
      <c r="FDB51" s="344"/>
      <c r="FDC51" s="344"/>
      <c r="FDD51" s="344"/>
      <c r="FDE51" s="344"/>
      <c r="FDF51" s="344"/>
      <c r="FDG51" s="344"/>
      <c r="FDH51" s="344"/>
      <c r="FDI51" s="344"/>
      <c r="FDJ51" s="344"/>
      <c r="FDK51" s="344"/>
      <c r="FDL51" s="344"/>
      <c r="FDM51" s="344"/>
      <c r="FDN51" s="344"/>
      <c r="FDO51" s="344"/>
      <c r="FDP51" s="344"/>
      <c r="FDQ51" s="344"/>
      <c r="FDR51" s="344"/>
      <c r="FDS51" s="344"/>
      <c r="FDT51" s="344"/>
      <c r="FDU51" s="344"/>
      <c r="FDV51" s="344"/>
      <c r="FDW51" s="344"/>
      <c r="FDX51" s="344"/>
      <c r="FDY51" s="344"/>
      <c r="FDZ51" s="344"/>
      <c r="FEA51" s="344"/>
      <c r="FEB51" s="344"/>
      <c r="FEC51" s="344"/>
      <c r="FED51" s="344"/>
      <c r="FEE51" s="344"/>
      <c r="FEF51" s="344"/>
      <c r="FEG51" s="344"/>
      <c r="FEH51" s="344"/>
      <c r="FEI51" s="344"/>
      <c r="FEJ51" s="344"/>
      <c r="FEK51" s="344"/>
      <c r="FEL51" s="344"/>
      <c r="FEM51" s="344"/>
      <c r="FEN51" s="344"/>
      <c r="FEO51" s="344"/>
      <c r="FEP51" s="344"/>
      <c r="FEQ51" s="344"/>
      <c r="FER51" s="344"/>
      <c r="FES51" s="344"/>
      <c r="FET51" s="344"/>
      <c r="FEU51" s="344"/>
      <c r="FEV51" s="344"/>
      <c r="FEW51" s="344"/>
      <c r="FEX51" s="344"/>
      <c r="FEY51" s="344"/>
      <c r="FEZ51" s="344"/>
      <c r="FFA51" s="344"/>
      <c r="FFB51" s="344"/>
      <c r="FFC51" s="344"/>
      <c r="FFD51" s="344"/>
      <c r="FFE51" s="344"/>
      <c r="FFF51" s="344"/>
      <c r="FFG51" s="344"/>
      <c r="FFH51" s="344"/>
      <c r="FFI51" s="344"/>
      <c r="FFJ51" s="344"/>
      <c r="FFK51" s="344"/>
      <c r="FFL51" s="344"/>
      <c r="FFM51" s="344"/>
      <c r="FFN51" s="344"/>
      <c r="FFO51" s="344"/>
      <c r="FFP51" s="344"/>
      <c r="FFQ51" s="344"/>
      <c r="FFR51" s="344"/>
      <c r="FFS51" s="344"/>
      <c r="FFT51" s="344"/>
      <c r="FFU51" s="344"/>
      <c r="FFV51" s="344"/>
      <c r="FFW51" s="344"/>
      <c r="FFX51" s="344"/>
      <c r="FFY51" s="344"/>
      <c r="FFZ51" s="344"/>
      <c r="FGA51" s="344"/>
      <c r="FGB51" s="344"/>
      <c r="FGC51" s="344"/>
      <c r="FGD51" s="344"/>
      <c r="FGE51" s="344"/>
      <c r="FGF51" s="344"/>
      <c r="FGG51" s="344"/>
      <c r="FGH51" s="344"/>
      <c r="FGI51" s="344"/>
      <c r="FGJ51" s="344"/>
      <c r="FGK51" s="344"/>
      <c r="FGL51" s="344"/>
      <c r="FGM51" s="344"/>
      <c r="FGN51" s="344"/>
      <c r="FGO51" s="344"/>
      <c r="FGP51" s="344"/>
      <c r="FGQ51" s="344"/>
      <c r="FGR51" s="344"/>
      <c r="FGS51" s="344"/>
      <c r="FGT51" s="344"/>
      <c r="FGU51" s="344"/>
      <c r="FGV51" s="344"/>
      <c r="FGW51" s="344"/>
      <c r="FGX51" s="344"/>
      <c r="FGY51" s="344"/>
      <c r="FGZ51" s="344"/>
      <c r="FHA51" s="344"/>
      <c r="FHB51" s="344"/>
      <c r="FHC51" s="344"/>
      <c r="FHD51" s="344"/>
      <c r="FHE51" s="344"/>
      <c r="FHF51" s="344"/>
      <c r="FHG51" s="344"/>
      <c r="FHH51" s="344"/>
      <c r="FHI51" s="344"/>
      <c r="FHJ51" s="344"/>
      <c r="FHK51" s="344"/>
      <c r="FHL51" s="344"/>
      <c r="FHM51" s="344"/>
      <c r="FHN51" s="344"/>
      <c r="FHO51" s="344"/>
      <c r="FHP51" s="344"/>
      <c r="FHQ51" s="344"/>
      <c r="FHR51" s="344"/>
      <c r="FHS51" s="344"/>
      <c r="FHT51" s="344"/>
      <c r="FHU51" s="344"/>
      <c r="FHV51" s="344"/>
      <c r="FHW51" s="344"/>
      <c r="FHX51" s="344"/>
      <c r="FHY51" s="344"/>
      <c r="FHZ51" s="344"/>
      <c r="FIA51" s="344"/>
      <c r="FIB51" s="344"/>
      <c r="FIC51" s="344"/>
      <c r="FID51" s="344"/>
      <c r="FIE51" s="344"/>
      <c r="FIF51" s="344"/>
      <c r="FIG51" s="344"/>
      <c r="FIH51" s="344"/>
      <c r="FII51" s="344"/>
      <c r="FIJ51" s="344"/>
      <c r="FIK51" s="344"/>
      <c r="FIL51" s="344"/>
      <c r="FIM51" s="344"/>
      <c r="FIN51" s="344"/>
      <c r="FIO51" s="344"/>
      <c r="FIP51" s="344"/>
      <c r="FIQ51" s="344"/>
      <c r="FIR51" s="344"/>
      <c r="FIS51" s="344"/>
      <c r="FIT51" s="344"/>
      <c r="FIU51" s="344"/>
      <c r="FIV51" s="344"/>
      <c r="FIW51" s="344"/>
      <c r="FIX51" s="344"/>
      <c r="FIY51" s="344"/>
      <c r="FIZ51" s="344"/>
      <c r="FJA51" s="344"/>
      <c r="FJB51" s="344"/>
      <c r="FJC51" s="344"/>
      <c r="FJD51" s="344"/>
      <c r="FJE51" s="344"/>
      <c r="FJF51" s="344"/>
      <c r="FJG51" s="344"/>
      <c r="FJH51" s="344"/>
      <c r="FJI51" s="344"/>
      <c r="FJJ51" s="344"/>
      <c r="FJK51" s="344"/>
      <c r="FJL51" s="344"/>
      <c r="FJM51" s="344"/>
      <c r="FJN51" s="344"/>
      <c r="FJO51" s="344"/>
      <c r="FJP51" s="344"/>
      <c r="FJQ51" s="344"/>
      <c r="FJR51" s="344"/>
      <c r="FJS51" s="344"/>
      <c r="FJT51" s="344"/>
      <c r="FJU51" s="344"/>
      <c r="FJV51" s="344"/>
      <c r="FJW51" s="344"/>
      <c r="FJX51" s="344"/>
      <c r="FJY51" s="344"/>
      <c r="FJZ51" s="344"/>
      <c r="FKA51" s="344"/>
      <c r="FKB51" s="344"/>
      <c r="FKC51" s="344"/>
      <c r="FKD51" s="344"/>
      <c r="FKE51" s="344"/>
      <c r="FKF51" s="344"/>
      <c r="FKG51" s="344"/>
      <c r="FKH51" s="344"/>
      <c r="FKI51" s="344"/>
      <c r="FKJ51" s="344"/>
      <c r="FKK51" s="344"/>
      <c r="FKL51" s="344"/>
      <c r="FKM51" s="344"/>
      <c r="FKN51" s="344"/>
      <c r="FKO51" s="344"/>
      <c r="FKP51" s="344"/>
      <c r="FKQ51" s="344"/>
      <c r="FKR51" s="344"/>
      <c r="FKS51" s="344"/>
      <c r="FKT51" s="344"/>
      <c r="FKU51" s="344"/>
      <c r="FKV51" s="344"/>
      <c r="FKW51" s="344"/>
      <c r="FKX51" s="344"/>
      <c r="FKY51" s="344"/>
      <c r="FKZ51" s="344"/>
      <c r="FLA51" s="344"/>
      <c r="FLB51" s="344"/>
      <c r="FLC51" s="344"/>
      <c r="FLD51" s="344"/>
      <c r="FLE51" s="344"/>
      <c r="FLF51" s="344"/>
      <c r="FLG51" s="344"/>
      <c r="FLH51" s="344"/>
      <c r="FLI51" s="344"/>
      <c r="FLJ51" s="344"/>
      <c r="FLK51" s="344"/>
      <c r="FLL51" s="344"/>
      <c r="FLM51" s="344"/>
      <c r="FLN51" s="344"/>
      <c r="FLO51" s="344"/>
      <c r="FLP51" s="344"/>
      <c r="FLQ51" s="344"/>
      <c r="FLR51" s="344"/>
      <c r="FLS51" s="344"/>
      <c r="FLT51" s="344"/>
      <c r="FLU51" s="344"/>
      <c r="FLV51" s="344"/>
      <c r="FLW51" s="344"/>
      <c r="FLX51" s="344"/>
      <c r="FLY51" s="344"/>
      <c r="FLZ51" s="344"/>
      <c r="FMA51" s="344"/>
      <c r="FMB51" s="344"/>
      <c r="FMC51" s="344"/>
      <c r="FMD51" s="344"/>
      <c r="FME51" s="344"/>
      <c r="FMF51" s="344"/>
      <c r="FMG51" s="344"/>
      <c r="FMH51" s="344"/>
      <c r="FMI51" s="344"/>
      <c r="FMJ51" s="344"/>
      <c r="FMK51" s="344"/>
      <c r="FML51" s="344"/>
      <c r="FMM51" s="344"/>
      <c r="FMN51" s="344"/>
      <c r="FMO51" s="344"/>
      <c r="FMP51" s="344"/>
      <c r="FMQ51" s="344"/>
      <c r="FMR51" s="344"/>
      <c r="FMS51" s="344"/>
      <c r="FMT51" s="344"/>
      <c r="FMU51" s="344"/>
      <c r="FMV51" s="344"/>
      <c r="FMW51" s="344"/>
      <c r="FMX51" s="344"/>
      <c r="FMY51" s="344"/>
      <c r="FMZ51" s="344"/>
      <c r="FNA51" s="344"/>
      <c r="FNB51" s="344"/>
      <c r="FNC51" s="344"/>
      <c r="FND51" s="344"/>
      <c r="FNE51" s="344"/>
      <c r="FNF51" s="344"/>
      <c r="FNG51" s="344"/>
      <c r="FNH51" s="344"/>
      <c r="FNI51" s="344"/>
      <c r="FNJ51" s="344"/>
      <c r="FNK51" s="344"/>
      <c r="FNL51" s="344"/>
      <c r="FNM51" s="344"/>
      <c r="FNN51" s="344"/>
      <c r="FNO51" s="344"/>
      <c r="FNP51" s="344"/>
      <c r="FNQ51" s="344"/>
      <c r="FNR51" s="344"/>
      <c r="FNS51" s="344"/>
      <c r="FNT51" s="344"/>
      <c r="FNU51" s="344"/>
      <c r="FNV51" s="344"/>
      <c r="FNW51" s="344"/>
      <c r="FNX51" s="344"/>
      <c r="FNY51" s="344"/>
      <c r="FNZ51" s="344"/>
      <c r="FOA51" s="344"/>
      <c r="FOB51" s="344"/>
      <c r="FOC51" s="344"/>
      <c r="FOD51" s="344"/>
      <c r="FOE51" s="344"/>
      <c r="FOF51" s="344"/>
      <c r="FOG51" s="344"/>
      <c r="FOH51" s="344"/>
      <c r="FOI51" s="344"/>
      <c r="FOJ51" s="344"/>
      <c r="FOK51" s="344"/>
      <c r="FOL51" s="344"/>
      <c r="FOM51" s="344"/>
      <c r="FON51" s="344"/>
      <c r="FOO51" s="344"/>
      <c r="FOP51" s="344"/>
      <c r="FOQ51" s="344"/>
      <c r="FOR51" s="344"/>
      <c r="FOS51" s="344"/>
      <c r="FOT51" s="344"/>
      <c r="FOU51" s="344"/>
      <c r="FOV51" s="344"/>
      <c r="FOW51" s="344"/>
      <c r="FOX51" s="344"/>
      <c r="FOY51" s="344"/>
      <c r="FOZ51" s="344"/>
      <c r="FPA51" s="344"/>
      <c r="FPB51" s="344"/>
      <c r="FPC51" s="344"/>
      <c r="FPD51" s="344"/>
      <c r="FPE51" s="344"/>
      <c r="FPF51" s="344"/>
      <c r="FPG51" s="344"/>
      <c r="FPH51" s="344"/>
      <c r="FPI51" s="344"/>
      <c r="FPJ51" s="344"/>
      <c r="FPK51" s="344"/>
      <c r="FPL51" s="344"/>
      <c r="FPM51" s="344"/>
      <c r="FPN51" s="344"/>
      <c r="FPO51" s="344"/>
      <c r="FPP51" s="344"/>
      <c r="FPQ51" s="344"/>
      <c r="FPR51" s="344"/>
      <c r="FPS51" s="344"/>
      <c r="FPT51" s="344"/>
      <c r="FPU51" s="344"/>
      <c r="FPV51" s="344"/>
      <c r="FPW51" s="344"/>
      <c r="FPX51" s="344"/>
      <c r="FPY51" s="344"/>
      <c r="FPZ51" s="344"/>
      <c r="FQA51" s="344"/>
      <c r="FQB51" s="344"/>
      <c r="FQC51" s="344"/>
      <c r="FQD51" s="344"/>
      <c r="FQE51" s="344"/>
      <c r="FQF51" s="344"/>
      <c r="FQG51" s="344"/>
      <c r="FQH51" s="344"/>
      <c r="FQI51" s="344"/>
      <c r="FQJ51" s="344"/>
      <c r="FQK51" s="344"/>
      <c r="FQL51" s="344"/>
      <c r="FQM51" s="344"/>
      <c r="FQN51" s="344"/>
      <c r="FQO51" s="344"/>
      <c r="FQP51" s="344"/>
      <c r="FQQ51" s="344"/>
      <c r="FQR51" s="344"/>
      <c r="FQS51" s="344"/>
      <c r="FQT51" s="344"/>
      <c r="FQU51" s="344"/>
      <c r="FQV51" s="344"/>
      <c r="FQW51" s="344"/>
      <c r="FQX51" s="344"/>
      <c r="FQY51" s="344"/>
      <c r="FQZ51" s="344"/>
      <c r="FRA51" s="344"/>
      <c r="FRB51" s="344"/>
      <c r="FRC51" s="344"/>
      <c r="FRD51" s="344"/>
      <c r="FRE51" s="344"/>
      <c r="FRF51" s="344"/>
      <c r="FRG51" s="344"/>
      <c r="FRH51" s="344"/>
      <c r="FRI51" s="344"/>
      <c r="FRJ51" s="344"/>
      <c r="FRK51" s="344"/>
      <c r="FRL51" s="344"/>
      <c r="FRM51" s="344"/>
      <c r="FRN51" s="344"/>
      <c r="FRO51" s="344"/>
      <c r="FRP51" s="344"/>
      <c r="FRQ51" s="344"/>
      <c r="FRR51" s="344"/>
      <c r="FRS51" s="344"/>
      <c r="FRT51" s="344"/>
      <c r="FRU51" s="344"/>
      <c r="FRV51" s="344"/>
      <c r="FRW51" s="344"/>
      <c r="FRX51" s="344"/>
      <c r="FRY51" s="344"/>
      <c r="FRZ51" s="344"/>
      <c r="FSA51" s="344"/>
      <c r="FSB51" s="344"/>
      <c r="FSC51" s="344"/>
      <c r="FSD51" s="344"/>
      <c r="FSE51" s="344"/>
      <c r="FSF51" s="344"/>
      <c r="FSG51" s="344"/>
      <c r="FSH51" s="344"/>
      <c r="FSI51" s="344"/>
      <c r="FSJ51" s="344"/>
      <c r="FSK51" s="344"/>
      <c r="FSL51" s="344"/>
      <c r="FSM51" s="344"/>
      <c r="FSN51" s="344"/>
      <c r="FSO51" s="344"/>
      <c r="FSP51" s="344"/>
      <c r="FSQ51" s="344"/>
      <c r="FSR51" s="344"/>
      <c r="FSS51" s="344"/>
      <c r="FST51" s="344"/>
      <c r="FSU51" s="344"/>
      <c r="FSV51" s="344"/>
      <c r="FSW51" s="344"/>
      <c r="FSX51" s="344"/>
      <c r="FSY51" s="344"/>
      <c r="FSZ51" s="344"/>
      <c r="FTA51" s="344"/>
      <c r="FTB51" s="344"/>
      <c r="FTC51" s="344"/>
      <c r="FTD51" s="344"/>
      <c r="FTE51" s="344"/>
      <c r="FTF51" s="344"/>
      <c r="FTG51" s="344"/>
      <c r="FTH51" s="344"/>
      <c r="FTI51" s="344"/>
      <c r="FTJ51" s="344"/>
      <c r="FTK51" s="344"/>
      <c r="FTL51" s="344"/>
      <c r="FTM51" s="344"/>
      <c r="FTN51" s="344"/>
      <c r="FTO51" s="344"/>
      <c r="FTP51" s="344"/>
      <c r="FTQ51" s="344"/>
      <c r="FTR51" s="344"/>
      <c r="FTS51" s="344"/>
      <c r="FTT51" s="344"/>
      <c r="FTU51" s="344"/>
      <c r="FTV51" s="344"/>
      <c r="FTW51" s="344"/>
      <c r="FTX51" s="344"/>
      <c r="FTY51" s="344"/>
      <c r="FTZ51" s="344"/>
      <c r="FUA51" s="344"/>
      <c r="FUB51" s="344"/>
      <c r="FUC51" s="344"/>
      <c r="FUD51" s="344"/>
      <c r="FUE51" s="344"/>
      <c r="FUF51" s="344"/>
      <c r="FUG51" s="344"/>
      <c r="FUH51" s="344"/>
      <c r="FUI51" s="344"/>
      <c r="FUJ51" s="344"/>
      <c r="FUK51" s="344"/>
      <c r="FUL51" s="344"/>
      <c r="FUM51" s="344"/>
      <c r="FUN51" s="344"/>
      <c r="FUO51" s="344"/>
      <c r="FUP51" s="344"/>
      <c r="FUQ51" s="344"/>
      <c r="FUR51" s="344"/>
      <c r="FUS51" s="344"/>
      <c r="FUT51" s="344"/>
      <c r="FUU51" s="344"/>
      <c r="FUV51" s="344"/>
      <c r="FUW51" s="344"/>
      <c r="FUX51" s="344"/>
      <c r="FUY51" s="344"/>
      <c r="FUZ51" s="344"/>
      <c r="FVA51" s="344"/>
      <c r="FVB51" s="344"/>
      <c r="FVC51" s="344"/>
      <c r="FVD51" s="344"/>
      <c r="FVE51" s="344"/>
      <c r="FVF51" s="344"/>
      <c r="FVG51" s="344"/>
      <c r="FVH51" s="344"/>
      <c r="FVI51" s="344"/>
      <c r="FVJ51" s="344"/>
      <c r="FVK51" s="344"/>
      <c r="FVL51" s="344"/>
      <c r="FVM51" s="344"/>
      <c r="FVN51" s="344"/>
      <c r="FVO51" s="344"/>
      <c r="FVP51" s="344"/>
      <c r="FVQ51" s="344"/>
      <c r="FVR51" s="344"/>
      <c r="FVS51" s="344"/>
      <c r="FVT51" s="344"/>
      <c r="FVU51" s="344"/>
      <c r="FVV51" s="344"/>
      <c r="FVW51" s="344"/>
      <c r="FVX51" s="344"/>
      <c r="FVY51" s="344"/>
      <c r="FVZ51" s="344"/>
      <c r="FWA51" s="344"/>
      <c r="FWB51" s="344"/>
      <c r="FWC51" s="344"/>
      <c r="FWD51" s="344"/>
      <c r="FWE51" s="344"/>
      <c r="FWF51" s="344"/>
      <c r="FWG51" s="344"/>
      <c r="FWH51" s="344"/>
      <c r="FWI51" s="344"/>
      <c r="FWJ51" s="344"/>
      <c r="FWK51" s="344"/>
      <c r="FWL51" s="344"/>
      <c r="FWM51" s="344"/>
      <c r="FWN51" s="344"/>
      <c r="FWO51" s="344"/>
      <c r="FWP51" s="344"/>
      <c r="FWQ51" s="344"/>
      <c r="FWR51" s="344"/>
      <c r="FWS51" s="344"/>
      <c r="FWT51" s="344"/>
      <c r="FWU51" s="344"/>
      <c r="FWV51" s="344"/>
      <c r="FWW51" s="344"/>
      <c r="FWX51" s="344"/>
      <c r="FWY51" s="344"/>
      <c r="FWZ51" s="344"/>
      <c r="FXA51" s="344"/>
      <c r="FXB51" s="344"/>
      <c r="FXC51" s="344"/>
      <c r="FXD51" s="344"/>
      <c r="FXE51" s="344"/>
      <c r="FXF51" s="344"/>
      <c r="FXG51" s="344"/>
      <c r="FXH51" s="344"/>
      <c r="FXI51" s="344"/>
      <c r="FXJ51" s="344"/>
      <c r="FXK51" s="344"/>
      <c r="FXL51" s="344"/>
      <c r="FXM51" s="344"/>
      <c r="FXN51" s="344"/>
      <c r="FXO51" s="344"/>
      <c r="FXP51" s="344"/>
      <c r="FXQ51" s="344"/>
      <c r="FXR51" s="344"/>
      <c r="FXS51" s="344"/>
      <c r="FXT51" s="344"/>
      <c r="FXU51" s="344"/>
      <c r="FXV51" s="344"/>
      <c r="FXW51" s="344"/>
      <c r="FXX51" s="344"/>
      <c r="FXY51" s="344"/>
      <c r="FXZ51" s="344"/>
      <c r="FYA51" s="344"/>
      <c r="FYB51" s="344"/>
      <c r="FYC51" s="344"/>
      <c r="FYD51" s="344"/>
      <c r="FYE51" s="344"/>
      <c r="FYF51" s="344"/>
      <c r="FYG51" s="344"/>
      <c r="FYH51" s="344"/>
      <c r="FYI51" s="344"/>
      <c r="FYJ51" s="344"/>
      <c r="FYK51" s="344"/>
      <c r="FYL51" s="344"/>
      <c r="FYM51" s="344"/>
      <c r="FYN51" s="344"/>
      <c r="FYO51" s="344"/>
      <c r="FYP51" s="344"/>
      <c r="FYQ51" s="344"/>
      <c r="FYR51" s="344"/>
      <c r="FYS51" s="344"/>
      <c r="FYT51" s="344"/>
      <c r="FYU51" s="344"/>
      <c r="FYV51" s="344"/>
      <c r="FYW51" s="344"/>
      <c r="FYX51" s="344"/>
      <c r="FYY51" s="344"/>
      <c r="FYZ51" s="344"/>
      <c r="FZA51" s="344"/>
      <c r="FZB51" s="344"/>
      <c r="FZC51" s="344"/>
      <c r="FZD51" s="344"/>
      <c r="FZE51" s="344"/>
      <c r="FZF51" s="344"/>
      <c r="FZG51" s="344"/>
      <c r="FZH51" s="344"/>
      <c r="FZI51" s="344"/>
      <c r="FZJ51" s="344"/>
      <c r="FZK51" s="344"/>
      <c r="FZL51" s="344"/>
      <c r="FZM51" s="344"/>
      <c r="FZN51" s="344"/>
      <c r="FZO51" s="344"/>
      <c r="FZP51" s="344"/>
      <c r="FZQ51" s="344"/>
      <c r="FZR51" s="344"/>
      <c r="FZS51" s="344"/>
      <c r="FZT51" s="344"/>
      <c r="FZU51" s="344"/>
      <c r="FZV51" s="344"/>
      <c r="FZW51" s="344"/>
      <c r="FZX51" s="344"/>
      <c r="FZY51" s="344"/>
      <c r="FZZ51" s="344"/>
      <c r="GAA51" s="344"/>
      <c r="GAB51" s="344"/>
      <c r="GAC51" s="344"/>
      <c r="GAD51" s="344"/>
      <c r="GAE51" s="344"/>
      <c r="GAF51" s="344"/>
      <c r="GAG51" s="344"/>
      <c r="GAH51" s="344"/>
      <c r="GAI51" s="344"/>
      <c r="GAJ51" s="344"/>
      <c r="GAK51" s="344"/>
      <c r="GAL51" s="344"/>
      <c r="GAM51" s="344"/>
      <c r="GAN51" s="344"/>
      <c r="GAO51" s="344"/>
      <c r="GAP51" s="344"/>
      <c r="GAQ51" s="344"/>
      <c r="GAR51" s="344"/>
      <c r="GAS51" s="344"/>
      <c r="GAT51" s="344"/>
      <c r="GAU51" s="344"/>
      <c r="GAV51" s="344"/>
      <c r="GAW51" s="344"/>
      <c r="GAX51" s="344"/>
      <c r="GAY51" s="344"/>
      <c r="GAZ51" s="344"/>
      <c r="GBA51" s="344"/>
      <c r="GBB51" s="344"/>
      <c r="GBC51" s="344"/>
      <c r="GBD51" s="344"/>
      <c r="GBE51" s="344"/>
      <c r="GBF51" s="344"/>
      <c r="GBG51" s="344"/>
      <c r="GBH51" s="344"/>
      <c r="GBI51" s="344"/>
      <c r="GBJ51" s="344"/>
      <c r="GBK51" s="344"/>
      <c r="GBL51" s="344"/>
      <c r="GBM51" s="344"/>
      <c r="GBN51" s="344"/>
      <c r="GBO51" s="344"/>
      <c r="GBP51" s="344"/>
      <c r="GBQ51" s="344"/>
      <c r="GBR51" s="344"/>
      <c r="GBS51" s="344"/>
      <c r="GBT51" s="344"/>
      <c r="GBU51" s="344"/>
      <c r="GBV51" s="344"/>
      <c r="GBW51" s="344"/>
      <c r="GBX51" s="344"/>
      <c r="GBY51" s="344"/>
      <c r="GBZ51" s="344"/>
      <c r="GCA51" s="344"/>
      <c r="GCB51" s="344"/>
      <c r="GCC51" s="344"/>
      <c r="GCD51" s="344"/>
      <c r="GCE51" s="344"/>
      <c r="GCF51" s="344"/>
      <c r="GCG51" s="344"/>
      <c r="GCH51" s="344"/>
      <c r="GCI51" s="344"/>
      <c r="GCJ51" s="344"/>
      <c r="GCK51" s="344"/>
      <c r="GCL51" s="344"/>
      <c r="GCM51" s="344"/>
      <c r="GCN51" s="344"/>
      <c r="GCO51" s="344"/>
      <c r="GCP51" s="344"/>
      <c r="GCQ51" s="344"/>
      <c r="GCR51" s="344"/>
      <c r="GCS51" s="344"/>
      <c r="GCT51" s="344"/>
      <c r="GCU51" s="344"/>
      <c r="GCV51" s="344"/>
      <c r="GCW51" s="344"/>
      <c r="GCX51" s="344"/>
      <c r="GCY51" s="344"/>
      <c r="GCZ51" s="344"/>
      <c r="GDA51" s="344"/>
      <c r="GDB51" s="344"/>
      <c r="GDC51" s="344"/>
      <c r="GDD51" s="344"/>
      <c r="GDE51" s="344"/>
      <c r="GDF51" s="344"/>
      <c r="GDG51" s="344"/>
      <c r="GDH51" s="344"/>
      <c r="GDI51" s="344"/>
      <c r="GDJ51" s="344"/>
      <c r="GDK51" s="344"/>
      <c r="GDL51" s="344"/>
      <c r="GDM51" s="344"/>
      <c r="GDN51" s="344"/>
      <c r="GDO51" s="344"/>
      <c r="GDP51" s="344"/>
      <c r="GDQ51" s="344"/>
      <c r="GDR51" s="344"/>
      <c r="GDS51" s="344"/>
      <c r="GDT51" s="344"/>
      <c r="GDU51" s="344"/>
      <c r="GDV51" s="344"/>
      <c r="GDW51" s="344"/>
      <c r="GDX51" s="344"/>
      <c r="GDY51" s="344"/>
      <c r="GDZ51" s="344"/>
      <c r="GEA51" s="344"/>
      <c r="GEB51" s="344"/>
      <c r="GEC51" s="344"/>
      <c r="GED51" s="344"/>
      <c r="GEE51" s="344"/>
      <c r="GEF51" s="344"/>
      <c r="GEG51" s="344"/>
      <c r="GEH51" s="344"/>
      <c r="GEI51" s="344"/>
      <c r="GEJ51" s="344"/>
      <c r="GEK51" s="344"/>
      <c r="GEL51" s="344"/>
      <c r="GEM51" s="344"/>
      <c r="GEN51" s="344"/>
      <c r="GEO51" s="344"/>
      <c r="GEP51" s="344"/>
      <c r="GEQ51" s="344"/>
      <c r="GER51" s="344"/>
      <c r="GES51" s="344"/>
      <c r="GET51" s="344"/>
      <c r="GEU51" s="344"/>
      <c r="GEV51" s="344"/>
      <c r="GEW51" s="344"/>
      <c r="GEX51" s="344"/>
      <c r="GEY51" s="344"/>
      <c r="GEZ51" s="344"/>
      <c r="GFA51" s="344"/>
      <c r="GFB51" s="344"/>
      <c r="GFC51" s="344"/>
      <c r="GFD51" s="344"/>
      <c r="GFE51" s="344"/>
      <c r="GFF51" s="344"/>
      <c r="GFG51" s="344"/>
      <c r="GFH51" s="344"/>
      <c r="GFI51" s="344"/>
      <c r="GFJ51" s="344"/>
      <c r="GFK51" s="344"/>
      <c r="GFL51" s="344"/>
      <c r="GFM51" s="344"/>
      <c r="GFN51" s="344"/>
      <c r="GFO51" s="344"/>
      <c r="GFP51" s="344"/>
      <c r="GFQ51" s="344"/>
      <c r="GFR51" s="344"/>
      <c r="GFS51" s="344"/>
      <c r="GFT51" s="344"/>
      <c r="GFU51" s="344"/>
      <c r="GFV51" s="344"/>
      <c r="GFW51" s="344"/>
      <c r="GFX51" s="344"/>
      <c r="GFY51" s="344"/>
      <c r="GFZ51" s="344"/>
      <c r="GGA51" s="344"/>
      <c r="GGB51" s="344"/>
      <c r="GGC51" s="344"/>
      <c r="GGD51" s="344"/>
      <c r="GGE51" s="344"/>
      <c r="GGF51" s="344"/>
      <c r="GGG51" s="344"/>
      <c r="GGH51" s="344"/>
      <c r="GGI51" s="344"/>
      <c r="GGJ51" s="344"/>
      <c r="GGK51" s="344"/>
      <c r="GGL51" s="344"/>
      <c r="GGM51" s="344"/>
      <c r="GGN51" s="344"/>
      <c r="GGO51" s="344"/>
      <c r="GGP51" s="344"/>
      <c r="GGQ51" s="344"/>
      <c r="GGR51" s="344"/>
      <c r="GGS51" s="344"/>
      <c r="GGT51" s="344"/>
      <c r="GGU51" s="344"/>
      <c r="GGV51" s="344"/>
      <c r="GGW51" s="344"/>
      <c r="GGX51" s="344"/>
      <c r="GGY51" s="344"/>
      <c r="GGZ51" s="344"/>
      <c r="GHA51" s="344"/>
      <c r="GHB51" s="344"/>
      <c r="GHC51" s="344"/>
      <c r="GHD51" s="344"/>
      <c r="GHE51" s="344"/>
      <c r="GHF51" s="344"/>
      <c r="GHG51" s="344"/>
      <c r="GHH51" s="344"/>
      <c r="GHI51" s="344"/>
      <c r="GHJ51" s="344"/>
      <c r="GHK51" s="344"/>
      <c r="GHL51" s="344"/>
      <c r="GHM51" s="344"/>
      <c r="GHN51" s="344"/>
      <c r="GHO51" s="344"/>
      <c r="GHP51" s="344"/>
      <c r="GHQ51" s="344"/>
      <c r="GHR51" s="344"/>
      <c r="GHS51" s="344"/>
      <c r="GHT51" s="344"/>
      <c r="GHU51" s="344"/>
      <c r="GHV51" s="344"/>
      <c r="GHW51" s="344"/>
      <c r="GHX51" s="344"/>
      <c r="GHY51" s="344"/>
      <c r="GHZ51" s="344"/>
      <c r="GIA51" s="344"/>
      <c r="GIB51" s="344"/>
      <c r="GIC51" s="344"/>
      <c r="GID51" s="344"/>
      <c r="GIE51" s="344"/>
      <c r="GIF51" s="344"/>
      <c r="GIG51" s="344"/>
      <c r="GIH51" s="344"/>
      <c r="GII51" s="344"/>
      <c r="GIJ51" s="344"/>
      <c r="GIK51" s="344"/>
      <c r="GIL51" s="344"/>
      <c r="GIM51" s="344"/>
      <c r="GIN51" s="344"/>
      <c r="GIO51" s="344"/>
      <c r="GIP51" s="344"/>
      <c r="GIQ51" s="344"/>
      <c r="GIR51" s="344"/>
      <c r="GIS51" s="344"/>
      <c r="GIT51" s="344"/>
      <c r="GIU51" s="344"/>
      <c r="GIV51" s="344"/>
      <c r="GIW51" s="344"/>
      <c r="GIX51" s="344"/>
      <c r="GIY51" s="344"/>
      <c r="GIZ51" s="344"/>
      <c r="GJA51" s="344"/>
      <c r="GJB51" s="344"/>
      <c r="GJC51" s="344"/>
      <c r="GJD51" s="344"/>
      <c r="GJE51" s="344"/>
      <c r="GJF51" s="344"/>
      <c r="GJG51" s="344"/>
      <c r="GJH51" s="344"/>
      <c r="GJI51" s="344"/>
      <c r="GJJ51" s="344"/>
      <c r="GJK51" s="344"/>
      <c r="GJL51" s="344"/>
      <c r="GJM51" s="344"/>
      <c r="GJN51" s="344"/>
      <c r="GJO51" s="344"/>
      <c r="GJP51" s="344"/>
      <c r="GJQ51" s="344"/>
      <c r="GJR51" s="344"/>
      <c r="GJS51" s="344"/>
      <c r="GJT51" s="344"/>
      <c r="GJU51" s="344"/>
      <c r="GJV51" s="344"/>
      <c r="GJW51" s="344"/>
      <c r="GJX51" s="344"/>
      <c r="GJY51" s="344"/>
      <c r="GJZ51" s="344"/>
      <c r="GKA51" s="344"/>
      <c r="GKB51" s="344"/>
      <c r="GKC51" s="344"/>
      <c r="GKD51" s="344"/>
      <c r="GKE51" s="344"/>
      <c r="GKF51" s="344"/>
      <c r="GKG51" s="344"/>
      <c r="GKH51" s="344"/>
      <c r="GKI51" s="344"/>
      <c r="GKJ51" s="344"/>
      <c r="GKK51" s="344"/>
      <c r="GKL51" s="344"/>
      <c r="GKM51" s="344"/>
      <c r="GKN51" s="344"/>
      <c r="GKO51" s="344"/>
      <c r="GKP51" s="344"/>
      <c r="GKQ51" s="344"/>
      <c r="GKR51" s="344"/>
      <c r="GKS51" s="344"/>
      <c r="GKT51" s="344"/>
      <c r="GKU51" s="344"/>
      <c r="GKV51" s="344"/>
      <c r="GKW51" s="344"/>
      <c r="GKX51" s="344"/>
      <c r="GKY51" s="344"/>
      <c r="GKZ51" s="344"/>
      <c r="GLA51" s="344"/>
      <c r="GLB51" s="344"/>
      <c r="GLC51" s="344"/>
      <c r="GLD51" s="344"/>
      <c r="GLE51" s="344"/>
      <c r="GLF51" s="344"/>
      <c r="GLG51" s="344"/>
      <c r="GLH51" s="344"/>
      <c r="GLI51" s="344"/>
      <c r="GLJ51" s="344"/>
      <c r="GLK51" s="344"/>
      <c r="GLL51" s="344"/>
      <c r="GLM51" s="344"/>
      <c r="GLN51" s="344"/>
      <c r="GLO51" s="344"/>
      <c r="GLP51" s="344"/>
      <c r="GLQ51" s="344"/>
      <c r="GLR51" s="344"/>
      <c r="GLS51" s="344"/>
      <c r="GLT51" s="344"/>
      <c r="GLU51" s="344"/>
      <c r="GLV51" s="344"/>
      <c r="GLW51" s="344"/>
      <c r="GLX51" s="344"/>
      <c r="GLY51" s="344"/>
      <c r="GLZ51" s="344"/>
      <c r="GMA51" s="344"/>
      <c r="GMB51" s="344"/>
      <c r="GMC51" s="344"/>
      <c r="GMD51" s="344"/>
      <c r="GME51" s="344"/>
      <c r="GMF51" s="344"/>
      <c r="GMG51" s="344"/>
      <c r="GMH51" s="344"/>
      <c r="GMI51" s="344"/>
      <c r="GMJ51" s="344"/>
      <c r="GMK51" s="344"/>
      <c r="GML51" s="344"/>
      <c r="GMM51" s="344"/>
      <c r="GMN51" s="344"/>
      <c r="GMO51" s="344"/>
      <c r="GMP51" s="344"/>
      <c r="GMQ51" s="344"/>
      <c r="GMR51" s="344"/>
      <c r="GMS51" s="344"/>
      <c r="GMT51" s="344"/>
      <c r="GMU51" s="344"/>
      <c r="GMV51" s="344"/>
      <c r="GMW51" s="344"/>
      <c r="GMX51" s="344"/>
      <c r="GMY51" s="344"/>
      <c r="GMZ51" s="344"/>
      <c r="GNA51" s="344"/>
      <c r="GNB51" s="344"/>
      <c r="GNC51" s="344"/>
      <c r="GND51" s="344"/>
      <c r="GNE51" s="344"/>
      <c r="GNF51" s="344"/>
      <c r="GNG51" s="344"/>
      <c r="GNH51" s="344"/>
      <c r="GNI51" s="344"/>
      <c r="GNJ51" s="344"/>
      <c r="GNK51" s="344"/>
      <c r="GNL51" s="344"/>
      <c r="GNM51" s="344"/>
      <c r="GNN51" s="344"/>
      <c r="GNO51" s="344"/>
      <c r="GNP51" s="344"/>
      <c r="GNQ51" s="344"/>
      <c r="GNR51" s="344"/>
      <c r="GNS51" s="344"/>
      <c r="GNT51" s="344"/>
      <c r="GNU51" s="344"/>
      <c r="GNV51" s="344"/>
      <c r="GNW51" s="344"/>
      <c r="GNX51" s="344"/>
      <c r="GNY51" s="344"/>
      <c r="GNZ51" s="344"/>
      <c r="GOA51" s="344"/>
      <c r="GOB51" s="344"/>
      <c r="GOC51" s="344"/>
      <c r="GOD51" s="344"/>
      <c r="GOE51" s="344"/>
      <c r="GOF51" s="344"/>
      <c r="GOG51" s="344"/>
      <c r="GOH51" s="344"/>
      <c r="GOI51" s="344"/>
      <c r="GOJ51" s="344"/>
      <c r="GOK51" s="344"/>
      <c r="GOL51" s="344"/>
      <c r="GOM51" s="344"/>
      <c r="GON51" s="344"/>
      <c r="GOO51" s="344"/>
      <c r="GOP51" s="344"/>
      <c r="GOQ51" s="344"/>
      <c r="GOR51" s="344"/>
      <c r="GOS51" s="344"/>
      <c r="GOT51" s="344"/>
      <c r="GOU51" s="344"/>
      <c r="GOV51" s="344"/>
      <c r="GOW51" s="344"/>
      <c r="GOX51" s="344"/>
      <c r="GOY51" s="344"/>
      <c r="GOZ51" s="344"/>
      <c r="GPA51" s="344"/>
      <c r="GPB51" s="344"/>
      <c r="GPC51" s="344"/>
      <c r="GPD51" s="344"/>
      <c r="GPE51" s="344"/>
      <c r="GPF51" s="344"/>
      <c r="GPG51" s="344"/>
      <c r="GPH51" s="344"/>
      <c r="GPI51" s="344"/>
      <c r="GPJ51" s="344"/>
      <c r="GPK51" s="344"/>
      <c r="GPL51" s="344"/>
      <c r="GPM51" s="344"/>
      <c r="GPN51" s="344"/>
      <c r="GPO51" s="344"/>
      <c r="GPP51" s="344"/>
      <c r="GPQ51" s="344"/>
      <c r="GPR51" s="344"/>
      <c r="GPS51" s="344"/>
      <c r="GPT51" s="344"/>
      <c r="GPU51" s="344"/>
      <c r="GPV51" s="344"/>
      <c r="GPW51" s="344"/>
      <c r="GPX51" s="344"/>
      <c r="GPY51" s="344"/>
      <c r="GPZ51" s="344"/>
      <c r="GQA51" s="344"/>
      <c r="GQB51" s="344"/>
      <c r="GQC51" s="344"/>
      <c r="GQD51" s="344"/>
      <c r="GQE51" s="344"/>
      <c r="GQF51" s="344"/>
      <c r="GQG51" s="344"/>
      <c r="GQH51" s="344"/>
      <c r="GQI51" s="344"/>
      <c r="GQJ51" s="344"/>
      <c r="GQK51" s="344"/>
      <c r="GQL51" s="344"/>
      <c r="GQM51" s="344"/>
      <c r="GQN51" s="344"/>
      <c r="GQO51" s="344"/>
      <c r="GQP51" s="344"/>
      <c r="GQQ51" s="344"/>
      <c r="GQR51" s="344"/>
      <c r="GQS51" s="344"/>
      <c r="GQT51" s="344"/>
      <c r="GQU51" s="344"/>
      <c r="GQV51" s="344"/>
      <c r="GQW51" s="344"/>
      <c r="GQX51" s="344"/>
      <c r="GQY51" s="344"/>
      <c r="GQZ51" s="344"/>
      <c r="GRA51" s="344"/>
      <c r="GRB51" s="344"/>
      <c r="GRC51" s="344"/>
      <c r="GRD51" s="344"/>
      <c r="GRE51" s="344"/>
      <c r="GRF51" s="344"/>
      <c r="GRG51" s="344"/>
      <c r="GRH51" s="344"/>
      <c r="GRI51" s="344"/>
      <c r="GRJ51" s="344"/>
      <c r="GRK51" s="344"/>
      <c r="GRL51" s="344"/>
      <c r="GRM51" s="344"/>
      <c r="GRN51" s="344"/>
      <c r="GRO51" s="344"/>
      <c r="GRP51" s="344"/>
      <c r="GRQ51" s="344"/>
      <c r="GRR51" s="344"/>
      <c r="GRS51" s="344"/>
      <c r="GRT51" s="344"/>
      <c r="GRU51" s="344"/>
      <c r="GRV51" s="344"/>
      <c r="GRW51" s="344"/>
      <c r="GRX51" s="344"/>
      <c r="GRY51" s="344"/>
      <c r="GRZ51" s="344"/>
      <c r="GSA51" s="344"/>
      <c r="GSB51" s="344"/>
      <c r="GSC51" s="344"/>
      <c r="GSD51" s="344"/>
      <c r="GSE51" s="344"/>
      <c r="GSF51" s="344"/>
      <c r="GSG51" s="344"/>
      <c r="GSH51" s="344"/>
      <c r="GSI51" s="344"/>
      <c r="GSJ51" s="344"/>
      <c r="GSK51" s="344"/>
      <c r="GSL51" s="344"/>
      <c r="GSM51" s="344"/>
      <c r="GSN51" s="344"/>
      <c r="GSO51" s="344"/>
      <c r="GSP51" s="344"/>
      <c r="GSQ51" s="344"/>
      <c r="GSR51" s="344"/>
      <c r="GSS51" s="344"/>
      <c r="GST51" s="344"/>
      <c r="GSU51" s="344"/>
      <c r="GSV51" s="344"/>
      <c r="GSW51" s="344"/>
      <c r="GSX51" s="344"/>
      <c r="GSY51" s="344"/>
      <c r="GSZ51" s="344"/>
      <c r="GTA51" s="344"/>
      <c r="GTB51" s="344"/>
      <c r="GTC51" s="344"/>
      <c r="GTD51" s="344"/>
      <c r="GTE51" s="344"/>
      <c r="GTF51" s="344"/>
      <c r="GTG51" s="344"/>
      <c r="GTH51" s="344"/>
      <c r="GTI51" s="344"/>
      <c r="GTJ51" s="344"/>
      <c r="GTK51" s="344"/>
      <c r="GTL51" s="344"/>
      <c r="GTM51" s="344"/>
      <c r="GTN51" s="344"/>
      <c r="GTO51" s="344"/>
      <c r="GTP51" s="344"/>
      <c r="GTQ51" s="344"/>
      <c r="GTR51" s="344"/>
      <c r="GTS51" s="344"/>
      <c r="GTT51" s="344"/>
      <c r="GTU51" s="344"/>
      <c r="GTV51" s="344"/>
      <c r="GTW51" s="344"/>
      <c r="GTX51" s="344"/>
      <c r="GTY51" s="344"/>
      <c r="GTZ51" s="344"/>
      <c r="GUA51" s="344"/>
      <c r="GUB51" s="344"/>
      <c r="GUC51" s="344"/>
      <c r="GUD51" s="344"/>
      <c r="GUE51" s="344"/>
      <c r="GUF51" s="344"/>
      <c r="GUG51" s="344"/>
      <c r="GUH51" s="344"/>
      <c r="GUI51" s="344"/>
      <c r="GUJ51" s="344"/>
      <c r="GUK51" s="344"/>
      <c r="GUL51" s="344"/>
      <c r="GUM51" s="344"/>
      <c r="GUN51" s="344"/>
      <c r="GUO51" s="344"/>
      <c r="GUP51" s="344"/>
      <c r="GUQ51" s="344"/>
      <c r="GUR51" s="344"/>
      <c r="GUS51" s="344"/>
      <c r="GUT51" s="344"/>
      <c r="GUU51" s="344"/>
      <c r="GUV51" s="344"/>
      <c r="GUW51" s="344"/>
      <c r="GUX51" s="344"/>
      <c r="GUY51" s="344"/>
      <c r="GUZ51" s="344"/>
      <c r="GVA51" s="344"/>
      <c r="GVB51" s="344"/>
      <c r="GVC51" s="344"/>
      <c r="GVD51" s="344"/>
      <c r="GVE51" s="344"/>
      <c r="GVF51" s="344"/>
      <c r="GVG51" s="344"/>
      <c r="GVH51" s="344"/>
      <c r="GVI51" s="344"/>
      <c r="GVJ51" s="344"/>
      <c r="GVK51" s="344"/>
      <c r="GVL51" s="344"/>
      <c r="GVM51" s="344"/>
      <c r="GVN51" s="344"/>
      <c r="GVO51" s="344"/>
      <c r="GVP51" s="344"/>
      <c r="GVQ51" s="344"/>
      <c r="GVR51" s="344"/>
      <c r="GVS51" s="344"/>
      <c r="GVT51" s="344"/>
      <c r="GVU51" s="344"/>
      <c r="GVV51" s="344"/>
      <c r="GVW51" s="344"/>
      <c r="GVX51" s="344"/>
      <c r="GVY51" s="344"/>
      <c r="GVZ51" s="344"/>
      <c r="GWA51" s="344"/>
      <c r="GWB51" s="344"/>
      <c r="GWC51" s="344"/>
      <c r="GWD51" s="344"/>
      <c r="GWE51" s="344"/>
      <c r="GWF51" s="344"/>
      <c r="GWG51" s="344"/>
      <c r="GWH51" s="344"/>
      <c r="GWI51" s="344"/>
      <c r="GWJ51" s="344"/>
      <c r="GWK51" s="344"/>
      <c r="GWL51" s="344"/>
      <c r="GWM51" s="344"/>
      <c r="GWN51" s="344"/>
      <c r="GWO51" s="344"/>
      <c r="GWP51" s="344"/>
      <c r="GWQ51" s="344"/>
      <c r="GWR51" s="344"/>
      <c r="GWS51" s="344"/>
      <c r="GWT51" s="344"/>
      <c r="GWU51" s="344"/>
      <c r="GWV51" s="344"/>
      <c r="GWW51" s="344"/>
      <c r="GWX51" s="344"/>
      <c r="GWY51" s="344"/>
      <c r="GWZ51" s="344"/>
      <c r="GXA51" s="344"/>
      <c r="GXB51" s="344"/>
      <c r="GXC51" s="344"/>
      <c r="GXD51" s="344"/>
      <c r="GXE51" s="344"/>
      <c r="GXF51" s="344"/>
      <c r="GXG51" s="344"/>
      <c r="GXH51" s="344"/>
      <c r="GXI51" s="344"/>
      <c r="GXJ51" s="344"/>
      <c r="GXK51" s="344"/>
      <c r="GXL51" s="344"/>
      <c r="GXM51" s="344"/>
      <c r="GXN51" s="344"/>
      <c r="GXO51" s="344"/>
      <c r="GXP51" s="344"/>
      <c r="GXQ51" s="344"/>
      <c r="GXR51" s="344"/>
      <c r="GXS51" s="344"/>
      <c r="GXT51" s="344"/>
      <c r="GXU51" s="344"/>
      <c r="GXV51" s="344"/>
      <c r="GXW51" s="344"/>
      <c r="GXX51" s="344"/>
      <c r="GXY51" s="344"/>
      <c r="GXZ51" s="344"/>
      <c r="GYA51" s="344"/>
      <c r="GYB51" s="344"/>
      <c r="GYC51" s="344"/>
      <c r="GYD51" s="344"/>
      <c r="GYE51" s="344"/>
      <c r="GYF51" s="344"/>
      <c r="GYG51" s="344"/>
      <c r="GYH51" s="344"/>
      <c r="GYI51" s="344"/>
      <c r="GYJ51" s="344"/>
      <c r="GYK51" s="344"/>
      <c r="GYL51" s="344"/>
      <c r="GYM51" s="344"/>
      <c r="GYN51" s="344"/>
      <c r="GYO51" s="344"/>
      <c r="GYP51" s="344"/>
      <c r="GYQ51" s="344"/>
      <c r="GYR51" s="344"/>
      <c r="GYS51" s="344"/>
      <c r="GYT51" s="344"/>
      <c r="GYU51" s="344"/>
      <c r="GYV51" s="344"/>
      <c r="GYW51" s="344"/>
      <c r="GYX51" s="344"/>
      <c r="GYY51" s="344"/>
      <c r="GYZ51" s="344"/>
      <c r="GZA51" s="344"/>
      <c r="GZB51" s="344"/>
      <c r="GZC51" s="344"/>
      <c r="GZD51" s="344"/>
      <c r="GZE51" s="344"/>
      <c r="GZF51" s="344"/>
      <c r="GZG51" s="344"/>
      <c r="GZH51" s="344"/>
      <c r="GZI51" s="344"/>
      <c r="GZJ51" s="344"/>
      <c r="GZK51" s="344"/>
      <c r="GZL51" s="344"/>
      <c r="GZM51" s="344"/>
      <c r="GZN51" s="344"/>
      <c r="GZO51" s="344"/>
      <c r="GZP51" s="344"/>
      <c r="GZQ51" s="344"/>
      <c r="GZR51" s="344"/>
      <c r="GZS51" s="344"/>
      <c r="GZT51" s="344"/>
      <c r="GZU51" s="344"/>
      <c r="GZV51" s="344"/>
      <c r="GZW51" s="344"/>
      <c r="GZX51" s="344"/>
      <c r="GZY51" s="344"/>
      <c r="GZZ51" s="344"/>
      <c r="HAA51" s="344"/>
      <c r="HAB51" s="344"/>
      <c r="HAC51" s="344"/>
      <c r="HAD51" s="344"/>
      <c r="HAE51" s="344"/>
      <c r="HAF51" s="344"/>
      <c r="HAG51" s="344"/>
      <c r="HAH51" s="344"/>
      <c r="HAI51" s="344"/>
      <c r="HAJ51" s="344"/>
      <c r="HAK51" s="344"/>
      <c r="HAL51" s="344"/>
      <c r="HAM51" s="344"/>
      <c r="HAN51" s="344"/>
      <c r="HAO51" s="344"/>
      <c r="HAP51" s="344"/>
      <c r="HAQ51" s="344"/>
      <c r="HAR51" s="344"/>
      <c r="HAS51" s="344"/>
      <c r="HAT51" s="344"/>
      <c r="HAU51" s="344"/>
      <c r="HAV51" s="344"/>
      <c r="HAW51" s="344"/>
      <c r="HAX51" s="344"/>
      <c r="HAY51" s="344"/>
      <c r="HAZ51" s="344"/>
      <c r="HBA51" s="344"/>
      <c r="HBB51" s="344"/>
      <c r="HBC51" s="344"/>
      <c r="HBD51" s="344"/>
      <c r="HBE51" s="344"/>
      <c r="HBF51" s="344"/>
      <c r="HBG51" s="344"/>
      <c r="HBH51" s="344"/>
      <c r="HBI51" s="344"/>
      <c r="HBJ51" s="344"/>
      <c r="HBK51" s="344"/>
      <c r="HBL51" s="344"/>
      <c r="HBM51" s="344"/>
      <c r="HBN51" s="344"/>
      <c r="HBO51" s="344"/>
      <c r="HBP51" s="344"/>
      <c r="HBQ51" s="344"/>
      <c r="HBR51" s="344"/>
      <c r="HBS51" s="344"/>
      <c r="HBT51" s="344"/>
      <c r="HBU51" s="344"/>
      <c r="HBV51" s="344"/>
      <c r="HBW51" s="344"/>
      <c r="HBX51" s="344"/>
      <c r="HBY51" s="344"/>
      <c r="HBZ51" s="344"/>
      <c r="HCA51" s="344"/>
      <c r="HCB51" s="344"/>
      <c r="HCC51" s="344"/>
      <c r="HCD51" s="344"/>
      <c r="HCE51" s="344"/>
      <c r="HCF51" s="344"/>
      <c r="HCG51" s="344"/>
      <c r="HCH51" s="344"/>
      <c r="HCI51" s="344"/>
      <c r="HCJ51" s="344"/>
      <c r="HCK51" s="344"/>
      <c r="HCL51" s="344"/>
      <c r="HCM51" s="344"/>
      <c r="HCN51" s="344"/>
      <c r="HCO51" s="344"/>
      <c r="HCP51" s="344"/>
      <c r="HCQ51" s="344"/>
      <c r="HCR51" s="344"/>
      <c r="HCS51" s="344"/>
      <c r="HCT51" s="344"/>
      <c r="HCU51" s="344"/>
      <c r="HCV51" s="344"/>
      <c r="HCW51" s="344"/>
      <c r="HCX51" s="344"/>
      <c r="HCY51" s="344"/>
      <c r="HCZ51" s="344"/>
      <c r="HDA51" s="344"/>
      <c r="HDB51" s="344"/>
      <c r="HDC51" s="344"/>
      <c r="HDD51" s="344"/>
      <c r="HDE51" s="344"/>
      <c r="HDF51" s="344"/>
      <c r="HDG51" s="344"/>
      <c r="HDH51" s="344"/>
      <c r="HDI51" s="344"/>
      <c r="HDJ51" s="344"/>
      <c r="HDK51" s="344"/>
      <c r="HDL51" s="344"/>
      <c r="HDM51" s="344"/>
      <c r="HDN51" s="344"/>
      <c r="HDO51" s="344"/>
      <c r="HDP51" s="344"/>
      <c r="HDQ51" s="344"/>
      <c r="HDR51" s="344"/>
      <c r="HDS51" s="344"/>
      <c r="HDT51" s="344"/>
      <c r="HDU51" s="344"/>
      <c r="HDV51" s="344"/>
      <c r="HDW51" s="344"/>
      <c r="HDX51" s="344"/>
      <c r="HDY51" s="344"/>
      <c r="HDZ51" s="344"/>
      <c r="HEA51" s="344"/>
      <c r="HEB51" s="344"/>
      <c r="HEC51" s="344"/>
      <c r="HED51" s="344"/>
      <c r="HEE51" s="344"/>
      <c r="HEF51" s="344"/>
      <c r="HEG51" s="344"/>
      <c r="HEH51" s="344"/>
      <c r="HEI51" s="344"/>
      <c r="HEJ51" s="344"/>
      <c r="HEK51" s="344"/>
      <c r="HEL51" s="344"/>
      <c r="HEM51" s="344"/>
      <c r="HEN51" s="344"/>
      <c r="HEO51" s="344"/>
      <c r="HEP51" s="344"/>
      <c r="HEQ51" s="344"/>
      <c r="HER51" s="344"/>
      <c r="HES51" s="344"/>
      <c r="HET51" s="344"/>
      <c r="HEU51" s="344"/>
      <c r="HEV51" s="344"/>
      <c r="HEW51" s="344"/>
      <c r="HEX51" s="344"/>
      <c r="HEY51" s="344"/>
      <c r="HEZ51" s="344"/>
      <c r="HFA51" s="344"/>
      <c r="HFB51" s="344"/>
      <c r="HFC51" s="344"/>
      <c r="HFD51" s="344"/>
      <c r="HFE51" s="344"/>
      <c r="HFF51" s="344"/>
      <c r="HFG51" s="344"/>
      <c r="HFH51" s="344"/>
      <c r="HFI51" s="344"/>
      <c r="HFJ51" s="344"/>
      <c r="HFK51" s="344"/>
      <c r="HFL51" s="344"/>
      <c r="HFM51" s="344"/>
      <c r="HFN51" s="344"/>
      <c r="HFO51" s="344"/>
      <c r="HFP51" s="344"/>
      <c r="HFQ51" s="344"/>
      <c r="HFR51" s="344"/>
      <c r="HFS51" s="344"/>
      <c r="HFT51" s="344"/>
      <c r="HFU51" s="344"/>
      <c r="HFV51" s="344"/>
      <c r="HFW51" s="344"/>
      <c r="HFX51" s="344"/>
      <c r="HFY51" s="344"/>
      <c r="HFZ51" s="344"/>
      <c r="HGA51" s="344"/>
      <c r="HGB51" s="344"/>
      <c r="HGC51" s="344"/>
      <c r="HGD51" s="344"/>
      <c r="HGE51" s="344"/>
      <c r="HGF51" s="344"/>
      <c r="HGG51" s="344"/>
      <c r="HGH51" s="344"/>
      <c r="HGI51" s="344"/>
      <c r="HGJ51" s="344"/>
      <c r="HGK51" s="344"/>
      <c r="HGL51" s="344"/>
      <c r="HGM51" s="344"/>
      <c r="HGN51" s="344"/>
      <c r="HGO51" s="344"/>
      <c r="HGP51" s="344"/>
      <c r="HGQ51" s="344"/>
      <c r="HGR51" s="344"/>
      <c r="HGS51" s="344"/>
      <c r="HGT51" s="344"/>
      <c r="HGU51" s="344"/>
      <c r="HGV51" s="344"/>
      <c r="HGW51" s="344"/>
      <c r="HGX51" s="344"/>
      <c r="HGY51" s="344"/>
      <c r="HGZ51" s="344"/>
      <c r="HHA51" s="344"/>
      <c r="HHB51" s="344"/>
      <c r="HHC51" s="344"/>
      <c r="HHD51" s="344"/>
      <c r="HHE51" s="344"/>
      <c r="HHF51" s="344"/>
      <c r="HHG51" s="344"/>
      <c r="HHH51" s="344"/>
      <c r="HHI51" s="344"/>
      <c r="HHJ51" s="344"/>
      <c r="HHK51" s="344"/>
      <c r="HHL51" s="344"/>
      <c r="HHM51" s="344"/>
      <c r="HHN51" s="344"/>
      <c r="HHO51" s="344"/>
      <c r="HHP51" s="344"/>
      <c r="HHQ51" s="344"/>
      <c r="HHR51" s="344"/>
      <c r="HHS51" s="344"/>
      <c r="HHT51" s="344"/>
      <c r="HHU51" s="344"/>
      <c r="HHV51" s="344"/>
      <c r="HHW51" s="344"/>
      <c r="HHX51" s="344"/>
      <c r="HHY51" s="344"/>
      <c r="HHZ51" s="344"/>
      <c r="HIA51" s="344"/>
      <c r="HIB51" s="344"/>
      <c r="HIC51" s="344"/>
      <c r="HID51" s="344"/>
      <c r="HIE51" s="344"/>
      <c r="HIF51" s="344"/>
      <c r="HIG51" s="344"/>
      <c r="HIH51" s="344"/>
      <c r="HII51" s="344"/>
      <c r="HIJ51" s="344"/>
      <c r="HIK51" s="344"/>
      <c r="HIL51" s="344"/>
      <c r="HIM51" s="344"/>
      <c r="HIN51" s="344"/>
      <c r="HIO51" s="344"/>
      <c r="HIP51" s="344"/>
      <c r="HIQ51" s="344"/>
      <c r="HIR51" s="344"/>
      <c r="HIS51" s="344"/>
      <c r="HIT51" s="344"/>
      <c r="HIU51" s="344"/>
      <c r="HIV51" s="344"/>
      <c r="HIW51" s="344"/>
      <c r="HIX51" s="344"/>
      <c r="HIY51" s="344"/>
      <c r="HIZ51" s="344"/>
      <c r="HJA51" s="344"/>
      <c r="HJB51" s="344"/>
      <c r="HJC51" s="344"/>
      <c r="HJD51" s="344"/>
      <c r="HJE51" s="344"/>
      <c r="HJF51" s="344"/>
      <c r="HJG51" s="344"/>
      <c r="HJH51" s="344"/>
      <c r="HJI51" s="344"/>
      <c r="HJJ51" s="344"/>
      <c r="HJK51" s="344"/>
      <c r="HJL51" s="344"/>
      <c r="HJM51" s="344"/>
      <c r="HJN51" s="344"/>
      <c r="HJO51" s="344"/>
      <c r="HJP51" s="344"/>
      <c r="HJQ51" s="344"/>
      <c r="HJR51" s="344"/>
      <c r="HJS51" s="344"/>
      <c r="HJT51" s="344"/>
      <c r="HJU51" s="344"/>
      <c r="HJV51" s="344"/>
      <c r="HJW51" s="344"/>
      <c r="HJX51" s="344"/>
      <c r="HJY51" s="344"/>
      <c r="HJZ51" s="344"/>
      <c r="HKA51" s="344"/>
      <c r="HKB51" s="344"/>
      <c r="HKC51" s="344"/>
      <c r="HKD51" s="344"/>
      <c r="HKE51" s="344"/>
      <c r="HKF51" s="344"/>
      <c r="HKG51" s="344"/>
      <c r="HKH51" s="344"/>
      <c r="HKI51" s="344"/>
      <c r="HKJ51" s="344"/>
      <c r="HKK51" s="344"/>
      <c r="HKL51" s="344"/>
      <c r="HKM51" s="344"/>
      <c r="HKN51" s="344"/>
      <c r="HKO51" s="344"/>
      <c r="HKP51" s="344"/>
      <c r="HKQ51" s="344"/>
      <c r="HKR51" s="344"/>
      <c r="HKS51" s="344"/>
      <c r="HKT51" s="344"/>
      <c r="HKU51" s="344"/>
      <c r="HKV51" s="344"/>
      <c r="HKW51" s="344"/>
      <c r="HKX51" s="344"/>
      <c r="HKY51" s="344"/>
      <c r="HKZ51" s="344"/>
      <c r="HLA51" s="344"/>
      <c r="HLB51" s="344"/>
      <c r="HLC51" s="344"/>
      <c r="HLD51" s="344"/>
      <c r="HLE51" s="344"/>
      <c r="HLF51" s="344"/>
      <c r="HLG51" s="344"/>
      <c r="HLH51" s="344"/>
      <c r="HLI51" s="344"/>
      <c r="HLJ51" s="344"/>
      <c r="HLK51" s="344"/>
      <c r="HLL51" s="344"/>
      <c r="HLM51" s="344"/>
      <c r="HLN51" s="344"/>
      <c r="HLO51" s="344"/>
      <c r="HLP51" s="344"/>
      <c r="HLQ51" s="344"/>
      <c r="HLR51" s="344"/>
      <c r="HLS51" s="344"/>
      <c r="HLT51" s="344"/>
      <c r="HLU51" s="344"/>
      <c r="HLV51" s="344"/>
      <c r="HLW51" s="344"/>
      <c r="HLX51" s="344"/>
      <c r="HLY51" s="344"/>
      <c r="HLZ51" s="344"/>
      <c r="HMA51" s="344"/>
      <c r="HMB51" s="344"/>
      <c r="HMC51" s="344"/>
      <c r="HMD51" s="344"/>
      <c r="HME51" s="344"/>
      <c r="HMF51" s="344"/>
      <c r="HMG51" s="344"/>
      <c r="HMH51" s="344"/>
      <c r="HMI51" s="344"/>
      <c r="HMJ51" s="344"/>
      <c r="HMK51" s="344"/>
      <c r="HML51" s="344"/>
      <c r="HMM51" s="344"/>
      <c r="HMN51" s="344"/>
      <c r="HMO51" s="344"/>
      <c r="HMP51" s="344"/>
      <c r="HMQ51" s="344"/>
      <c r="HMR51" s="344"/>
      <c r="HMS51" s="344"/>
      <c r="HMT51" s="344"/>
      <c r="HMU51" s="344"/>
      <c r="HMV51" s="344"/>
      <c r="HMW51" s="344"/>
      <c r="HMX51" s="344"/>
      <c r="HMY51" s="344"/>
      <c r="HMZ51" s="344"/>
      <c r="HNA51" s="344"/>
      <c r="HNB51" s="344"/>
      <c r="HNC51" s="344"/>
      <c r="HND51" s="344"/>
      <c r="HNE51" s="344"/>
      <c r="HNF51" s="344"/>
      <c r="HNG51" s="344"/>
      <c r="HNH51" s="344"/>
      <c r="HNI51" s="344"/>
      <c r="HNJ51" s="344"/>
      <c r="HNK51" s="344"/>
      <c r="HNL51" s="344"/>
      <c r="HNM51" s="344"/>
      <c r="HNN51" s="344"/>
      <c r="HNO51" s="344"/>
      <c r="HNP51" s="344"/>
      <c r="HNQ51" s="344"/>
      <c r="HNR51" s="344"/>
      <c r="HNS51" s="344"/>
      <c r="HNT51" s="344"/>
      <c r="HNU51" s="344"/>
      <c r="HNV51" s="344"/>
      <c r="HNW51" s="344"/>
      <c r="HNX51" s="344"/>
      <c r="HNY51" s="344"/>
      <c r="HNZ51" s="344"/>
      <c r="HOA51" s="344"/>
      <c r="HOB51" s="344"/>
      <c r="HOC51" s="344"/>
      <c r="HOD51" s="344"/>
      <c r="HOE51" s="344"/>
      <c r="HOF51" s="344"/>
      <c r="HOG51" s="344"/>
      <c r="HOH51" s="344"/>
      <c r="HOI51" s="344"/>
      <c r="HOJ51" s="344"/>
      <c r="HOK51" s="344"/>
      <c r="HOL51" s="344"/>
      <c r="HOM51" s="344"/>
      <c r="HON51" s="344"/>
      <c r="HOO51" s="344"/>
      <c r="HOP51" s="344"/>
      <c r="HOQ51" s="344"/>
      <c r="HOR51" s="344"/>
      <c r="HOS51" s="344"/>
      <c r="HOT51" s="344"/>
      <c r="HOU51" s="344"/>
      <c r="HOV51" s="344"/>
      <c r="HOW51" s="344"/>
      <c r="HOX51" s="344"/>
      <c r="HOY51" s="344"/>
      <c r="HOZ51" s="344"/>
      <c r="HPA51" s="344"/>
      <c r="HPB51" s="344"/>
      <c r="HPC51" s="344"/>
      <c r="HPD51" s="344"/>
      <c r="HPE51" s="344"/>
      <c r="HPF51" s="344"/>
      <c r="HPG51" s="344"/>
      <c r="HPH51" s="344"/>
      <c r="HPI51" s="344"/>
      <c r="HPJ51" s="344"/>
      <c r="HPK51" s="344"/>
      <c r="HPL51" s="344"/>
      <c r="HPM51" s="344"/>
      <c r="HPN51" s="344"/>
      <c r="HPO51" s="344"/>
      <c r="HPP51" s="344"/>
      <c r="HPQ51" s="344"/>
      <c r="HPR51" s="344"/>
      <c r="HPS51" s="344"/>
      <c r="HPT51" s="344"/>
      <c r="HPU51" s="344"/>
      <c r="HPV51" s="344"/>
      <c r="HPW51" s="344"/>
      <c r="HPX51" s="344"/>
      <c r="HPY51" s="344"/>
      <c r="HPZ51" s="344"/>
      <c r="HQA51" s="344"/>
      <c r="HQB51" s="344"/>
      <c r="HQC51" s="344"/>
      <c r="HQD51" s="344"/>
      <c r="HQE51" s="344"/>
      <c r="HQF51" s="344"/>
      <c r="HQG51" s="344"/>
      <c r="HQH51" s="344"/>
      <c r="HQI51" s="344"/>
      <c r="HQJ51" s="344"/>
      <c r="HQK51" s="344"/>
      <c r="HQL51" s="344"/>
      <c r="HQM51" s="344"/>
      <c r="HQN51" s="344"/>
      <c r="HQO51" s="344"/>
      <c r="HQP51" s="344"/>
      <c r="HQQ51" s="344"/>
      <c r="HQR51" s="344"/>
      <c r="HQS51" s="344"/>
      <c r="HQT51" s="344"/>
      <c r="HQU51" s="344"/>
      <c r="HQV51" s="344"/>
      <c r="HQW51" s="344"/>
      <c r="HQX51" s="344"/>
      <c r="HQY51" s="344"/>
      <c r="HQZ51" s="344"/>
      <c r="HRA51" s="344"/>
      <c r="HRB51" s="344"/>
      <c r="HRC51" s="344"/>
      <c r="HRD51" s="344"/>
      <c r="HRE51" s="344"/>
      <c r="HRF51" s="344"/>
      <c r="HRG51" s="344"/>
      <c r="HRH51" s="344"/>
      <c r="HRI51" s="344"/>
      <c r="HRJ51" s="344"/>
      <c r="HRK51" s="344"/>
      <c r="HRL51" s="344"/>
      <c r="HRM51" s="344"/>
      <c r="HRN51" s="344"/>
      <c r="HRO51" s="344"/>
      <c r="HRP51" s="344"/>
      <c r="HRQ51" s="344"/>
      <c r="HRR51" s="344"/>
      <c r="HRS51" s="344"/>
      <c r="HRT51" s="344"/>
      <c r="HRU51" s="344"/>
      <c r="HRV51" s="344"/>
      <c r="HRW51" s="344"/>
      <c r="HRX51" s="344"/>
      <c r="HRY51" s="344"/>
      <c r="HRZ51" s="344"/>
      <c r="HSA51" s="344"/>
      <c r="HSB51" s="344"/>
      <c r="HSC51" s="344"/>
      <c r="HSD51" s="344"/>
      <c r="HSE51" s="344"/>
      <c r="HSF51" s="344"/>
      <c r="HSG51" s="344"/>
      <c r="HSH51" s="344"/>
      <c r="HSI51" s="344"/>
      <c r="HSJ51" s="344"/>
      <c r="HSK51" s="344"/>
      <c r="HSL51" s="344"/>
      <c r="HSM51" s="344"/>
      <c r="HSN51" s="344"/>
      <c r="HSO51" s="344"/>
      <c r="HSP51" s="344"/>
      <c r="HSQ51" s="344"/>
      <c r="HSR51" s="344"/>
      <c r="HSS51" s="344"/>
      <c r="HST51" s="344"/>
      <c r="HSU51" s="344"/>
      <c r="HSV51" s="344"/>
      <c r="HSW51" s="344"/>
      <c r="HSX51" s="344"/>
      <c r="HSY51" s="344"/>
      <c r="HSZ51" s="344"/>
      <c r="HTA51" s="344"/>
      <c r="HTB51" s="344"/>
      <c r="HTC51" s="344"/>
      <c r="HTD51" s="344"/>
      <c r="HTE51" s="344"/>
      <c r="HTF51" s="344"/>
      <c r="HTG51" s="344"/>
      <c r="HTH51" s="344"/>
      <c r="HTI51" s="344"/>
      <c r="HTJ51" s="344"/>
      <c r="HTK51" s="344"/>
      <c r="HTL51" s="344"/>
      <c r="HTM51" s="344"/>
      <c r="HTN51" s="344"/>
      <c r="HTO51" s="344"/>
      <c r="HTP51" s="344"/>
      <c r="HTQ51" s="344"/>
      <c r="HTR51" s="344"/>
      <c r="HTS51" s="344"/>
      <c r="HTT51" s="344"/>
      <c r="HTU51" s="344"/>
      <c r="HTV51" s="344"/>
      <c r="HTW51" s="344"/>
      <c r="HTX51" s="344"/>
      <c r="HTY51" s="344"/>
      <c r="HTZ51" s="344"/>
      <c r="HUA51" s="344"/>
      <c r="HUB51" s="344"/>
      <c r="HUC51" s="344"/>
      <c r="HUD51" s="344"/>
      <c r="HUE51" s="344"/>
      <c r="HUF51" s="344"/>
      <c r="HUG51" s="344"/>
      <c r="HUH51" s="344"/>
      <c r="HUI51" s="344"/>
      <c r="HUJ51" s="344"/>
      <c r="HUK51" s="344"/>
      <c r="HUL51" s="344"/>
      <c r="HUM51" s="344"/>
      <c r="HUN51" s="344"/>
      <c r="HUO51" s="344"/>
      <c r="HUP51" s="344"/>
      <c r="HUQ51" s="344"/>
      <c r="HUR51" s="344"/>
      <c r="HUS51" s="344"/>
      <c r="HUT51" s="344"/>
      <c r="HUU51" s="344"/>
      <c r="HUV51" s="344"/>
      <c r="HUW51" s="344"/>
      <c r="HUX51" s="344"/>
      <c r="HUY51" s="344"/>
      <c r="HUZ51" s="344"/>
      <c r="HVA51" s="344"/>
      <c r="HVB51" s="344"/>
      <c r="HVC51" s="344"/>
      <c r="HVD51" s="344"/>
      <c r="HVE51" s="344"/>
      <c r="HVF51" s="344"/>
      <c r="HVG51" s="344"/>
      <c r="HVH51" s="344"/>
      <c r="HVI51" s="344"/>
      <c r="HVJ51" s="344"/>
      <c r="HVK51" s="344"/>
      <c r="HVL51" s="344"/>
      <c r="HVM51" s="344"/>
      <c r="HVN51" s="344"/>
      <c r="HVO51" s="344"/>
      <c r="HVP51" s="344"/>
      <c r="HVQ51" s="344"/>
      <c r="HVR51" s="344"/>
      <c r="HVS51" s="344"/>
      <c r="HVT51" s="344"/>
      <c r="HVU51" s="344"/>
      <c r="HVV51" s="344"/>
      <c r="HVW51" s="344"/>
      <c r="HVX51" s="344"/>
      <c r="HVY51" s="344"/>
      <c r="HVZ51" s="344"/>
      <c r="HWA51" s="344"/>
      <c r="HWB51" s="344"/>
      <c r="HWC51" s="344"/>
      <c r="HWD51" s="344"/>
      <c r="HWE51" s="344"/>
      <c r="HWF51" s="344"/>
      <c r="HWG51" s="344"/>
      <c r="HWH51" s="344"/>
      <c r="HWI51" s="344"/>
      <c r="HWJ51" s="344"/>
      <c r="HWK51" s="344"/>
      <c r="HWL51" s="344"/>
      <c r="HWM51" s="344"/>
      <c r="HWN51" s="344"/>
      <c r="HWO51" s="344"/>
      <c r="HWP51" s="344"/>
      <c r="HWQ51" s="344"/>
      <c r="HWR51" s="344"/>
      <c r="HWS51" s="344"/>
      <c r="HWT51" s="344"/>
      <c r="HWU51" s="344"/>
      <c r="HWV51" s="344"/>
      <c r="HWW51" s="344"/>
      <c r="HWX51" s="344"/>
      <c r="HWY51" s="344"/>
      <c r="HWZ51" s="344"/>
      <c r="HXA51" s="344"/>
      <c r="HXB51" s="344"/>
      <c r="HXC51" s="344"/>
      <c r="HXD51" s="344"/>
      <c r="HXE51" s="344"/>
      <c r="HXF51" s="344"/>
      <c r="HXG51" s="344"/>
      <c r="HXH51" s="344"/>
      <c r="HXI51" s="344"/>
      <c r="HXJ51" s="344"/>
      <c r="HXK51" s="344"/>
      <c r="HXL51" s="344"/>
      <c r="HXM51" s="344"/>
      <c r="HXN51" s="344"/>
      <c r="HXO51" s="344"/>
      <c r="HXP51" s="344"/>
      <c r="HXQ51" s="344"/>
      <c r="HXR51" s="344"/>
      <c r="HXS51" s="344"/>
      <c r="HXT51" s="344"/>
      <c r="HXU51" s="344"/>
      <c r="HXV51" s="344"/>
      <c r="HXW51" s="344"/>
      <c r="HXX51" s="344"/>
      <c r="HXY51" s="344"/>
      <c r="HXZ51" s="344"/>
      <c r="HYA51" s="344"/>
      <c r="HYB51" s="344"/>
      <c r="HYC51" s="344"/>
      <c r="HYD51" s="344"/>
      <c r="HYE51" s="344"/>
      <c r="HYF51" s="344"/>
      <c r="HYG51" s="344"/>
      <c r="HYH51" s="344"/>
      <c r="HYI51" s="344"/>
      <c r="HYJ51" s="344"/>
      <c r="HYK51" s="344"/>
      <c r="HYL51" s="344"/>
      <c r="HYM51" s="344"/>
      <c r="HYN51" s="344"/>
      <c r="HYO51" s="344"/>
      <c r="HYP51" s="344"/>
      <c r="HYQ51" s="344"/>
      <c r="HYR51" s="344"/>
      <c r="HYS51" s="344"/>
      <c r="HYT51" s="344"/>
      <c r="HYU51" s="344"/>
      <c r="HYV51" s="344"/>
      <c r="HYW51" s="344"/>
      <c r="HYX51" s="344"/>
      <c r="HYY51" s="344"/>
      <c r="HYZ51" s="344"/>
      <c r="HZA51" s="344"/>
      <c r="HZB51" s="344"/>
      <c r="HZC51" s="344"/>
      <c r="HZD51" s="344"/>
      <c r="HZE51" s="344"/>
      <c r="HZF51" s="344"/>
      <c r="HZG51" s="344"/>
      <c r="HZH51" s="344"/>
      <c r="HZI51" s="344"/>
      <c r="HZJ51" s="344"/>
      <c r="HZK51" s="344"/>
      <c r="HZL51" s="344"/>
      <c r="HZM51" s="344"/>
      <c r="HZN51" s="344"/>
      <c r="HZO51" s="344"/>
      <c r="HZP51" s="344"/>
      <c r="HZQ51" s="344"/>
      <c r="HZR51" s="344"/>
      <c r="HZS51" s="344"/>
      <c r="HZT51" s="344"/>
      <c r="HZU51" s="344"/>
      <c r="HZV51" s="344"/>
      <c r="HZW51" s="344"/>
      <c r="HZX51" s="344"/>
      <c r="HZY51" s="344"/>
      <c r="HZZ51" s="344"/>
      <c r="IAA51" s="344"/>
      <c r="IAB51" s="344"/>
      <c r="IAC51" s="344"/>
      <c r="IAD51" s="344"/>
      <c r="IAE51" s="344"/>
      <c r="IAF51" s="344"/>
      <c r="IAG51" s="344"/>
      <c r="IAH51" s="344"/>
      <c r="IAI51" s="344"/>
      <c r="IAJ51" s="344"/>
      <c r="IAK51" s="344"/>
      <c r="IAL51" s="344"/>
      <c r="IAM51" s="344"/>
      <c r="IAN51" s="344"/>
      <c r="IAO51" s="344"/>
      <c r="IAP51" s="344"/>
      <c r="IAQ51" s="344"/>
      <c r="IAR51" s="344"/>
      <c r="IAS51" s="344"/>
      <c r="IAT51" s="344"/>
      <c r="IAU51" s="344"/>
      <c r="IAV51" s="344"/>
      <c r="IAW51" s="344"/>
      <c r="IAX51" s="344"/>
      <c r="IAY51" s="344"/>
      <c r="IAZ51" s="344"/>
      <c r="IBA51" s="344"/>
      <c r="IBB51" s="344"/>
      <c r="IBC51" s="344"/>
      <c r="IBD51" s="344"/>
      <c r="IBE51" s="344"/>
      <c r="IBF51" s="344"/>
      <c r="IBG51" s="344"/>
      <c r="IBH51" s="344"/>
      <c r="IBI51" s="344"/>
      <c r="IBJ51" s="344"/>
      <c r="IBK51" s="344"/>
      <c r="IBL51" s="344"/>
      <c r="IBM51" s="344"/>
      <c r="IBN51" s="344"/>
      <c r="IBO51" s="344"/>
      <c r="IBP51" s="344"/>
      <c r="IBQ51" s="344"/>
      <c r="IBR51" s="344"/>
      <c r="IBS51" s="344"/>
      <c r="IBT51" s="344"/>
      <c r="IBU51" s="344"/>
      <c r="IBV51" s="344"/>
      <c r="IBW51" s="344"/>
      <c r="IBX51" s="344"/>
      <c r="IBY51" s="344"/>
      <c r="IBZ51" s="344"/>
      <c r="ICA51" s="344"/>
      <c r="ICB51" s="344"/>
      <c r="ICC51" s="344"/>
      <c r="ICD51" s="344"/>
      <c r="ICE51" s="344"/>
      <c r="ICF51" s="344"/>
      <c r="ICG51" s="344"/>
      <c r="ICH51" s="344"/>
      <c r="ICI51" s="344"/>
      <c r="ICJ51" s="344"/>
      <c r="ICK51" s="344"/>
      <c r="ICL51" s="344"/>
      <c r="ICM51" s="344"/>
      <c r="ICN51" s="344"/>
      <c r="ICO51" s="344"/>
      <c r="ICP51" s="344"/>
      <c r="ICQ51" s="344"/>
      <c r="ICR51" s="344"/>
      <c r="ICS51" s="344"/>
      <c r="ICT51" s="344"/>
      <c r="ICU51" s="344"/>
      <c r="ICV51" s="344"/>
      <c r="ICW51" s="344"/>
      <c r="ICX51" s="344"/>
      <c r="ICY51" s="344"/>
      <c r="ICZ51" s="344"/>
      <c r="IDA51" s="344"/>
      <c r="IDB51" s="344"/>
      <c r="IDC51" s="344"/>
      <c r="IDD51" s="344"/>
      <c r="IDE51" s="344"/>
      <c r="IDF51" s="344"/>
      <c r="IDG51" s="344"/>
      <c r="IDH51" s="344"/>
      <c r="IDI51" s="344"/>
      <c r="IDJ51" s="344"/>
      <c r="IDK51" s="344"/>
      <c r="IDL51" s="344"/>
      <c r="IDM51" s="344"/>
      <c r="IDN51" s="344"/>
      <c r="IDO51" s="344"/>
      <c r="IDP51" s="344"/>
      <c r="IDQ51" s="344"/>
      <c r="IDR51" s="344"/>
      <c r="IDS51" s="344"/>
      <c r="IDT51" s="344"/>
      <c r="IDU51" s="344"/>
      <c r="IDV51" s="344"/>
      <c r="IDW51" s="344"/>
      <c r="IDX51" s="344"/>
      <c r="IDY51" s="344"/>
      <c r="IDZ51" s="344"/>
      <c r="IEA51" s="344"/>
      <c r="IEB51" s="344"/>
      <c r="IEC51" s="344"/>
      <c r="IED51" s="344"/>
      <c r="IEE51" s="344"/>
      <c r="IEF51" s="344"/>
      <c r="IEG51" s="344"/>
      <c r="IEH51" s="344"/>
      <c r="IEI51" s="344"/>
      <c r="IEJ51" s="344"/>
      <c r="IEK51" s="344"/>
      <c r="IEL51" s="344"/>
      <c r="IEM51" s="344"/>
      <c r="IEN51" s="344"/>
      <c r="IEO51" s="344"/>
      <c r="IEP51" s="344"/>
      <c r="IEQ51" s="344"/>
      <c r="IER51" s="344"/>
      <c r="IES51" s="344"/>
      <c r="IET51" s="344"/>
      <c r="IEU51" s="344"/>
      <c r="IEV51" s="344"/>
      <c r="IEW51" s="344"/>
      <c r="IEX51" s="344"/>
      <c r="IEY51" s="344"/>
      <c r="IEZ51" s="344"/>
      <c r="IFA51" s="344"/>
      <c r="IFB51" s="344"/>
      <c r="IFC51" s="344"/>
      <c r="IFD51" s="344"/>
      <c r="IFE51" s="344"/>
      <c r="IFF51" s="344"/>
      <c r="IFG51" s="344"/>
      <c r="IFH51" s="344"/>
      <c r="IFI51" s="344"/>
      <c r="IFJ51" s="344"/>
      <c r="IFK51" s="344"/>
      <c r="IFL51" s="344"/>
      <c r="IFM51" s="344"/>
      <c r="IFN51" s="344"/>
      <c r="IFO51" s="344"/>
      <c r="IFP51" s="344"/>
      <c r="IFQ51" s="344"/>
      <c r="IFR51" s="344"/>
      <c r="IFS51" s="344"/>
      <c r="IFT51" s="344"/>
      <c r="IFU51" s="344"/>
      <c r="IFV51" s="344"/>
      <c r="IFW51" s="344"/>
      <c r="IFX51" s="344"/>
      <c r="IFY51" s="344"/>
      <c r="IFZ51" s="344"/>
      <c r="IGA51" s="344"/>
      <c r="IGB51" s="344"/>
      <c r="IGC51" s="344"/>
      <c r="IGD51" s="344"/>
      <c r="IGE51" s="344"/>
      <c r="IGF51" s="344"/>
      <c r="IGG51" s="344"/>
      <c r="IGH51" s="344"/>
      <c r="IGI51" s="344"/>
      <c r="IGJ51" s="344"/>
      <c r="IGK51" s="344"/>
      <c r="IGL51" s="344"/>
      <c r="IGM51" s="344"/>
      <c r="IGN51" s="344"/>
      <c r="IGO51" s="344"/>
      <c r="IGP51" s="344"/>
      <c r="IGQ51" s="344"/>
      <c r="IGR51" s="344"/>
      <c r="IGS51" s="344"/>
      <c r="IGT51" s="344"/>
      <c r="IGU51" s="344"/>
      <c r="IGV51" s="344"/>
      <c r="IGW51" s="344"/>
      <c r="IGX51" s="344"/>
      <c r="IGY51" s="344"/>
      <c r="IGZ51" s="344"/>
      <c r="IHA51" s="344"/>
      <c r="IHB51" s="344"/>
      <c r="IHC51" s="344"/>
      <c r="IHD51" s="344"/>
      <c r="IHE51" s="344"/>
      <c r="IHF51" s="344"/>
      <c r="IHG51" s="344"/>
      <c r="IHH51" s="344"/>
      <c r="IHI51" s="344"/>
      <c r="IHJ51" s="344"/>
      <c r="IHK51" s="344"/>
      <c r="IHL51" s="344"/>
      <c r="IHM51" s="344"/>
      <c r="IHN51" s="344"/>
      <c r="IHO51" s="344"/>
      <c r="IHP51" s="344"/>
      <c r="IHQ51" s="344"/>
      <c r="IHR51" s="344"/>
      <c r="IHS51" s="344"/>
      <c r="IHT51" s="344"/>
      <c r="IHU51" s="344"/>
      <c r="IHV51" s="344"/>
      <c r="IHW51" s="344"/>
      <c r="IHX51" s="344"/>
      <c r="IHY51" s="344"/>
      <c r="IHZ51" s="344"/>
      <c r="IIA51" s="344"/>
      <c r="IIB51" s="344"/>
      <c r="IIC51" s="344"/>
      <c r="IID51" s="344"/>
      <c r="IIE51" s="344"/>
      <c r="IIF51" s="344"/>
      <c r="IIG51" s="344"/>
      <c r="IIH51" s="344"/>
      <c r="III51" s="344"/>
      <c r="IIJ51" s="344"/>
      <c r="IIK51" s="344"/>
      <c r="IIL51" s="344"/>
      <c r="IIM51" s="344"/>
      <c r="IIN51" s="344"/>
      <c r="IIO51" s="344"/>
      <c r="IIP51" s="344"/>
      <c r="IIQ51" s="344"/>
      <c r="IIR51" s="344"/>
      <c r="IIS51" s="344"/>
      <c r="IIT51" s="344"/>
      <c r="IIU51" s="344"/>
      <c r="IIV51" s="344"/>
      <c r="IIW51" s="344"/>
      <c r="IIX51" s="344"/>
      <c r="IIY51" s="344"/>
      <c r="IIZ51" s="344"/>
      <c r="IJA51" s="344"/>
      <c r="IJB51" s="344"/>
      <c r="IJC51" s="344"/>
      <c r="IJD51" s="344"/>
      <c r="IJE51" s="344"/>
      <c r="IJF51" s="344"/>
      <c r="IJG51" s="344"/>
      <c r="IJH51" s="344"/>
      <c r="IJI51" s="344"/>
      <c r="IJJ51" s="344"/>
      <c r="IJK51" s="344"/>
      <c r="IJL51" s="344"/>
      <c r="IJM51" s="344"/>
      <c r="IJN51" s="344"/>
      <c r="IJO51" s="344"/>
      <c r="IJP51" s="344"/>
      <c r="IJQ51" s="344"/>
      <c r="IJR51" s="344"/>
      <c r="IJS51" s="344"/>
      <c r="IJT51" s="344"/>
      <c r="IJU51" s="344"/>
      <c r="IJV51" s="344"/>
      <c r="IJW51" s="344"/>
      <c r="IJX51" s="344"/>
      <c r="IJY51" s="344"/>
      <c r="IJZ51" s="344"/>
      <c r="IKA51" s="344"/>
      <c r="IKB51" s="344"/>
      <c r="IKC51" s="344"/>
      <c r="IKD51" s="344"/>
      <c r="IKE51" s="344"/>
      <c r="IKF51" s="344"/>
      <c r="IKG51" s="344"/>
      <c r="IKH51" s="344"/>
      <c r="IKI51" s="344"/>
      <c r="IKJ51" s="344"/>
      <c r="IKK51" s="344"/>
      <c r="IKL51" s="344"/>
      <c r="IKM51" s="344"/>
      <c r="IKN51" s="344"/>
      <c r="IKO51" s="344"/>
      <c r="IKP51" s="344"/>
      <c r="IKQ51" s="344"/>
      <c r="IKR51" s="344"/>
      <c r="IKS51" s="344"/>
      <c r="IKT51" s="344"/>
      <c r="IKU51" s="344"/>
      <c r="IKV51" s="344"/>
      <c r="IKW51" s="344"/>
      <c r="IKX51" s="344"/>
      <c r="IKY51" s="344"/>
      <c r="IKZ51" s="344"/>
      <c r="ILA51" s="344"/>
      <c r="ILB51" s="344"/>
      <c r="ILC51" s="344"/>
      <c r="ILD51" s="344"/>
      <c r="ILE51" s="344"/>
      <c r="ILF51" s="344"/>
      <c r="ILG51" s="344"/>
      <c r="ILH51" s="344"/>
      <c r="ILI51" s="344"/>
      <c r="ILJ51" s="344"/>
      <c r="ILK51" s="344"/>
      <c r="ILL51" s="344"/>
      <c r="ILM51" s="344"/>
      <c r="ILN51" s="344"/>
      <c r="ILO51" s="344"/>
      <c r="ILP51" s="344"/>
      <c r="ILQ51" s="344"/>
      <c r="ILR51" s="344"/>
      <c r="ILS51" s="344"/>
      <c r="ILT51" s="344"/>
      <c r="ILU51" s="344"/>
      <c r="ILV51" s="344"/>
      <c r="ILW51" s="344"/>
      <c r="ILX51" s="344"/>
      <c r="ILY51" s="344"/>
      <c r="ILZ51" s="344"/>
      <c r="IMA51" s="344"/>
      <c r="IMB51" s="344"/>
      <c r="IMC51" s="344"/>
      <c r="IMD51" s="344"/>
      <c r="IME51" s="344"/>
      <c r="IMF51" s="344"/>
      <c r="IMG51" s="344"/>
      <c r="IMH51" s="344"/>
      <c r="IMI51" s="344"/>
      <c r="IMJ51" s="344"/>
      <c r="IMK51" s="344"/>
      <c r="IML51" s="344"/>
      <c r="IMM51" s="344"/>
      <c r="IMN51" s="344"/>
      <c r="IMO51" s="344"/>
      <c r="IMP51" s="344"/>
      <c r="IMQ51" s="344"/>
      <c r="IMR51" s="344"/>
      <c r="IMS51" s="344"/>
      <c r="IMT51" s="344"/>
      <c r="IMU51" s="344"/>
      <c r="IMV51" s="344"/>
      <c r="IMW51" s="344"/>
      <c r="IMX51" s="344"/>
      <c r="IMY51" s="344"/>
      <c r="IMZ51" s="344"/>
      <c r="INA51" s="344"/>
      <c r="INB51" s="344"/>
      <c r="INC51" s="344"/>
      <c r="IND51" s="344"/>
      <c r="INE51" s="344"/>
      <c r="INF51" s="344"/>
      <c r="ING51" s="344"/>
      <c r="INH51" s="344"/>
      <c r="INI51" s="344"/>
      <c r="INJ51" s="344"/>
      <c r="INK51" s="344"/>
      <c r="INL51" s="344"/>
      <c r="INM51" s="344"/>
      <c r="INN51" s="344"/>
      <c r="INO51" s="344"/>
      <c r="INP51" s="344"/>
      <c r="INQ51" s="344"/>
      <c r="INR51" s="344"/>
      <c r="INS51" s="344"/>
      <c r="INT51" s="344"/>
      <c r="INU51" s="344"/>
      <c r="INV51" s="344"/>
      <c r="INW51" s="344"/>
      <c r="INX51" s="344"/>
      <c r="INY51" s="344"/>
      <c r="INZ51" s="344"/>
      <c r="IOA51" s="344"/>
      <c r="IOB51" s="344"/>
      <c r="IOC51" s="344"/>
      <c r="IOD51" s="344"/>
      <c r="IOE51" s="344"/>
      <c r="IOF51" s="344"/>
      <c r="IOG51" s="344"/>
      <c r="IOH51" s="344"/>
      <c r="IOI51" s="344"/>
      <c r="IOJ51" s="344"/>
      <c r="IOK51" s="344"/>
      <c r="IOL51" s="344"/>
      <c r="IOM51" s="344"/>
      <c r="ION51" s="344"/>
      <c r="IOO51" s="344"/>
      <c r="IOP51" s="344"/>
      <c r="IOQ51" s="344"/>
      <c r="IOR51" s="344"/>
      <c r="IOS51" s="344"/>
      <c r="IOT51" s="344"/>
      <c r="IOU51" s="344"/>
      <c r="IOV51" s="344"/>
      <c r="IOW51" s="344"/>
      <c r="IOX51" s="344"/>
      <c r="IOY51" s="344"/>
      <c r="IOZ51" s="344"/>
      <c r="IPA51" s="344"/>
      <c r="IPB51" s="344"/>
      <c r="IPC51" s="344"/>
      <c r="IPD51" s="344"/>
      <c r="IPE51" s="344"/>
      <c r="IPF51" s="344"/>
      <c r="IPG51" s="344"/>
      <c r="IPH51" s="344"/>
      <c r="IPI51" s="344"/>
      <c r="IPJ51" s="344"/>
      <c r="IPK51" s="344"/>
      <c r="IPL51" s="344"/>
      <c r="IPM51" s="344"/>
      <c r="IPN51" s="344"/>
      <c r="IPO51" s="344"/>
      <c r="IPP51" s="344"/>
      <c r="IPQ51" s="344"/>
      <c r="IPR51" s="344"/>
      <c r="IPS51" s="344"/>
      <c r="IPT51" s="344"/>
      <c r="IPU51" s="344"/>
      <c r="IPV51" s="344"/>
      <c r="IPW51" s="344"/>
      <c r="IPX51" s="344"/>
      <c r="IPY51" s="344"/>
      <c r="IPZ51" s="344"/>
      <c r="IQA51" s="344"/>
      <c r="IQB51" s="344"/>
      <c r="IQC51" s="344"/>
      <c r="IQD51" s="344"/>
      <c r="IQE51" s="344"/>
      <c r="IQF51" s="344"/>
      <c r="IQG51" s="344"/>
      <c r="IQH51" s="344"/>
      <c r="IQI51" s="344"/>
      <c r="IQJ51" s="344"/>
      <c r="IQK51" s="344"/>
      <c r="IQL51" s="344"/>
      <c r="IQM51" s="344"/>
      <c r="IQN51" s="344"/>
      <c r="IQO51" s="344"/>
      <c r="IQP51" s="344"/>
      <c r="IQQ51" s="344"/>
      <c r="IQR51" s="344"/>
      <c r="IQS51" s="344"/>
      <c r="IQT51" s="344"/>
      <c r="IQU51" s="344"/>
      <c r="IQV51" s="344"/>
      <c r="IQW51" s="344"/>
      <c r="IQX51" s="344"/>
      <c r="IQY51" s="344"/>
      <c r="IQZ51" s="344"/>
      <c r="IRA51" s="344"/>
      <c r="IRB51" s="344"/>
      <c r="IRC51" s="344"/>
      <c r="IRD51" s="344"/>
      <c r="IRE51" s="344"/>
      <c r="IRF51" s="344"/>
      <c r="IRG51" s="344"/>
      <c r="IRH51" s="344"/>
      <c r="IRI51" s="344"/>
      <c r="IRJ51" s="344"/>
      <c r="IRK51" s="344"/>
      <c r="IRL51" s="344"/>
      <c r="IRM51" s="344"/>
      <c r="IRN51" s="344"/>
      <c r="IRO51" s="344"/>
      <c r="IRP51" s="344"/>
      <c r="IRQ51" s="344"/>
      <c r="IRR51" s="344"/>
      <c r="IRS51" s="344"/>
      <c r="IRT51" s="344"/>
      <c r="IRU51" s="344"/>
      <c r="IRV51" s="344"/>
      <c r="IRW51" s="344"/>
      <c r="IRX51" s="344"/>
      <c r="IRY51" s="344"/>
      <c r="IRZ51" s="344"/>
      <c r="ISA51" s="344"/>
      <c r="ISB51" s="344"/>
      <c r="ISC51" s="344"/>
      <c r="ISD51" s="344"/>
      <c r="ISE51" s="344"/>
      <c r="ISF51" s="344"/>
      <c r="ISG51" s="344"/>
      <c r="ISH51" s="344"/>
      <c r="ISI51" s="344"/>
      <c r="ISJ51" s="344"/>
      <c r="ISK51" s="344"/>
      <c r="ISL51" s="344"/>
      <c r="ISM51" s="344"/>
      <c r="ISN51" s="344"/>
      <c r="ISO51" s="344"/>
      <c r="ISP51" s="344"/>
      <c r="ISQ51" s="344"/>
      <c r="ISR51" s="344"/>
      <c r="ISS51" s="344"/>
      <c r="IST51" s="344"/>
      <c r="ISU51" s="344"/>
      <c r="ISV51" s="344"/>
      <c r="ISW51" s="344"/>
      <c r="ISX51" s="344"/>
      <c r="ISY51" s="344"/>
      <c r="ISZ51" s="344"/>
      <c r="ITA51" s="344"/>
      <c r="ITB51" s="344"/>
      <c r="ITC51" s="344"/>
      <c r="ITD51" s="344"/>
      <c r="ITE51" s="344"/>
      <c r="ITF51" s="344"/>
      <c r="ITG51" s="344"/>
      <c r="ITH51" s="344"/>
      <c r="ITI51" s="344"/>
      <c r="ITJ51" s="344"/>
      <c r="ITK51" s="344"/>
      <c r="ITL51" s="344"/>
      <c r="ITM51" s="344"/>
      <c r="ITN51" s="344"/>
      <c r="ITO51" s="344"/>
      <c r="ITP51" s="344"/>
      <c r="ITQ51" s="344"/>
      <c r="ITR51" s="344"/>
      <c r="ITS51" s="344"/>
      <c r="ITT51" s="344"/>
      <c r="ITU51" s="344"/>
      <c r="ITV51" s="344"/>
      <c r="ITW51" s="344"/>
      <c r="ITX51" s="344"/>
      <c r="ITY51" s="344"/>
      <c r="ITZ51" s="344"/>
      <c r="IUA51" s="344"/>
      <c r="IUB51" s="344"/>
      <c r="IUC51" s="344"/>
      <c r="IUD51" s="344"/>
      <c r="IUE51" s="344"/>
      <c r="IUF51" s="344"/>
      <c r="IUG51" s="344"/>
      <c r="IUH51" s="344"/>
      <c r="IUI51" s="344"/>
      <c r="IUJ51" s="344"/>
      <c r="IUK51" s="344"/>
      <c r="IUL51" s="344"/>
      <c r="IUM51" s="344"/>
      <c r="IUN51" s="344"/>
      <c r="IUO51" s="344"/>
      <c r="IUP51" s="344"/>
      <c r="IUQ51" s="344"/>
      <c r="IUR51" s="344"/>
      <c r="IUS51" s="344"/>
      <c r="IUT51" s="344"/>
      <c r="IUU51" s="344"/>
      <c r="IUV51" s="344"/>
      <c r="IUW51" s="344"/>
      <c r="IUX51" s="344"/>
      <c r="IUY51" s="344"/>
      <c r="IUZ51" s="344"/>
      <c r="IVA51" s="344"/>
      <c r="IVB51" s="344"/>
      <c r="IVC51" s="344"/>
      <c r="IVD51" s="344"/>
      <c r="IVE51" s="344"/>
      <c r="IVF51" s="344"/>
      <c r="IVG51" s="344"/>
      <c r="IVH51" s="344"/>
      <c r="IVI51" s="344"/>
      <c r="IVJ51" s="344"/>
      <c r="IVK51" s="344"/>
      <c r="IVL51" s="344"/>
      <c r="IVM51" s="344"/>
      <c r="IVN51" s="344"/>
      <c r="IVO51" s="344"/>
      <c r="IVP51" s="344"/>
      <c r="IVQ51" s="344"/>
      <c r="IVR51" s="344"/>
      <c r="IVS51" s="344"/>
      <c r="IVT51" s="344"/>
      <c r="IVU51" s="344"/>
      <c r="IVV51" s="344"/>
      <c r="IVW51" s="344"/>
      <c r="IVX51" s="344"/>
      <c r="IVY51" s="344"/>
      <c r="IVZ51" s="344"/>
      <c r="IWA51" s="344"/>
      <c r="IWB51" s="344"/>
      <c r="IWC51" s="344"/>
      <c r="IWD51" s="344"/>
      <c r="IWE51" s="344"/>
      <c r="IWF51" s="344"/>
      <c r="IWG51" s="344"/>
      <c r="IWH51" s="344"/>
      <c r="IWI51" s="344"/>
      <c r="IWJ51" s="344"/>
      <c r="IWK51" s="344"/>
      <c r="IWL51" s="344"/>
      <c r="IWM51" s="344"/>
      <c r="IWN51" s="344"/>
      <c r="IWO51" s="344"/>
      <c r="IWP51" s="344"/>
      <c r="IWQ51" s="344"/>
      <c r="IWR51" s="344"/>
      <c r="IWS51" s="344"/>
      <c r="IWT51" s="344"/>
      <c r="IWU51" s="344"/>
      <c r="IWV51" s="344"/>
      <c r="IWW51" s="344"/>
      <c r="IWX51" s="344"/>
      <c r="IWY51" s="344"/>
      <c r="IWZ51" s="344"/>
      <c r="IXA51" s="344"/>
      <c r="IXB51" s="344"/>
      <c r="IXC51" s="344"/>
      <c r="IXD51" s="344"/>
      <c r="IXE51" s="344"/>
      <c r="IXF51" s="344"/>
      <c r="IXG51" s="344"/>
      <c r="IXH51" s="344"/>
      <c r="IXI51" s="344"/>
      <c r="IXJ51" s="344"/>
      <c r="IXK51" s="344"/>
      <c r="IXL51" s="344"/>
      <c r="IXM51" s="344"/>
      <c r="IXN51" s="344"/>
      <c r="IXO51" s="344"/>
      <c r="IXP51" s="344"/>
      <c r="IXQ51" s="344"/>
      <c r="IXR51" s="344"/>
      <c r="IXS51" s="344"/>
      <c r="IXT51" s="344"/>
      <c r="IXU51" s="344"/>
      <c r="IXV51" s="344"/>
      <c r="IXW51" s="344"/>
      <c r="IXX51" s="344"/>
      <c r="IXY51" s="344"/>
      <c r="IXZ51" s="344"/>
      <c r="IYA51" s="344"/>
      <c r="IYB51" s="344"/>
      <c r="IYC51" s="344"/>
      <c r="IYD51" s="344"/>
      <c r="IYE51" s="344"/>
      <c r="IYF51" s="344"/>
      <c r="IYG51" s="344"/>
      <c r="IYH51" s="344"/>
      <c r="IYI51" s="344"/>
      <c r="IYJ51" s="344"/>
      <c r="IYK51" s="344"/>
      <c r="IYL51" s="344"/>
      <c r="IYM51" s="344"/>
      <c r="IYN51" s="344"/>
      <c r="IYO51" s="344"/>
      <c r="IYP51" s="344"/>
      <c r="IYQ51" s="344"/>
      <c r="IYR51" s="344"/>
      <c r="IYS51" s="344"/>
      <c r="IYT51" s="344"/>
      <c r="IYU51" s="344"/>
      <c r="IYV51" s="344"/>
      <c r="IYW51" s="344"/>
      <c r="IYX51" s="344"/>
      <c r="IYY51" s="344"/>
      <c r="IYZ51" s="344"/>
      <c r="IZA51" s="344"/>
      <c r="IZB51" s="344"/>
      <c r="IZC51" s="344"/>
      <c r="IZD51" s="344"/>
      <c r="IZE51" s="344"/>
      <c r="IZF51" s="344"/>
      <c r="IZG51" s="344"/>
      <c r="IZH51" s="344"/>
      <c r="IZI51" s="344"/>
      <c r="IZJ51" s="344"/>
      <c r="IZK51" s="344"/>
      <c r="IZL51" s="344"/>
      <c r="IZM51" s="344"/>
      <c r="IZN51" s="344"/>
      <c r="IZO51" s="344"/>
      <c r="IZP51" s="344"/>
      <c r="IZQ51" s="344"/>
      <c r="IZR51" s="344"/>
      <c r="IZS51" s="344"/>
      <c r="IZT51" s="344"/>
      <c r="IZU51" s="344"/>
      <c r="IZV51" s="344"/>
      <c r="IZW51" s="344"/>
      <c r="IZX51" s="344"/>
      <c r="IZY51" s="344"/>
      <c r="IZZ51" s="344"/>
      <c r="JAA51" s="344"/>
      <c r="JAB51" s="344"/>
      <c r="JAC51" s="344"/>
      <c r="JAD51" s="344"/>
      <c r="JAE51" s="344"/>
      <c r="JAF51" s="344"/>
      <c r="JAG51" s="344"/>
      <c r="JAH51" s="344"/>
      <c r="JAI51" s="344"/>
      <c r="JAJ51" s="344"/>
      <c r="JAK51" s="344"/>
      <c r="JAL51" s="344"/>
      <c r="JAM51" s="344"/>
      <c r="JAN51" s="344"/>
      <c r="JAO51" s="344"/>
      <c r="JAP51" s="344"/>
      <c r="JAQ51" s="344"/>
      <c r="JAR51" s="344"/>
      <c r="JAS51" s="344"/>
      <c r="JAT51" s="344"/>
      <c r="JAU51" s="344"/>
      <c r="JAV51" s="344"/>
      <c r="JAW51" s="344"/>
      <c r="JAX51" s="344"/>
      <c r="JAY51" s="344"/>
      <c r="JAZ51" s="344"/>
      <c r="JBA51" s="344"/>
      <c r="JBB51" s="344"/>
      <c r="JBC51" s="344"/>
      <c r="JBD51" s="344"/>
      <c r="JBE51" s="344"/>
      <c r="JBF51" s="344"/>
      <c r="JBG51" s="344"/>
      <c r="JBH51" s="344"/>
      <c r="JBI51" s="344"/>
      <c r="JBJ51" s="344"/>
      <c r="JBK51" s="344"/>
      <c r="JBL51" s="344"/>
      <c r="JBM51" s="344"/>
      <c r="JBN51" s="344"/>
      <c r="JBO51" s="344"/>
      <c r="JBP51" s="344"/>
      <c r="JBQ51" s="344"/>
      <c r="JBR51" s="344"/>
      <c r="JBS51" s="344"/>
      <c r="JBT51" s="344"/>
      <c r="JBU51" s="344"/>
      <c r="JBV51" s="344"/>
      <c r="JBW51" s="344"/>
      <c r="JBX51" s="344"/>
      <c r="JBY51" s="344"/>
      <c r="JBZ51" s="344"/>
      <c r="JCA51" s="344"/>
      <c r="JCB51" s="344"/>
      <c r="JCC51" s="344"/>
      <c r="JCD51" s="344"/>
      <c r="JCE51" s="344"/>
      <c r="JCF51" s="344"/>
      <c r="JCG51" s="344"/>
      <c r="JCH51" s="344"/>
      <c r="JCI51" s="344"/>
      <c r="JCJ51" s="344"/>
      <c r="JCK51" s="344"/>
      <c r="JCL51" s="344"/>
      <c r="JCM51" s="344"/>
      <c r="JCN51" s="344"/>
      <c r="JCO51" s="344"/>
      <c r="JCP51" s="344"/>
      <c r="JCQ51" s="344"/>
      <c r="JCR51" s="344"/>
      <c r="JCS51" s="344"/>
      <c r="JCT51" s="344"/>
      <c r="JCU51" s="344"/>
      <c r="JCV51" s="344"/>
      <c r="JCW51" s="344"/>
      <c r="JCX51" s="344"/>
      <c r="JCY51" s="344"/>
      <c r="JCZ51" s="344"/>
      <c r="JDA51" s="344"/>
      <c r="JDB51" s="344"/>
      <c r="JDC51" s="344"/>
      <c r="JDD51" s="344"/>
      <c r="JDE51" s="344"/>
      <c r="JDF51" s="344"/>
      <c r="JDG51" s="344"/>
      <c r="JDH51" s="344"/>
      <c r="JDI51" s="344"/>
      <c r="JDJ51" s="344"/>
      <c r="JDK51" s="344"/>
      <c r="JDL51" s="344"/>
      <c r="JDM51" s="344"/>
      <c r="JDN51" s="344"/>
      <c r="JDO51" s="344"/>
      <c r="JDP51" s="344"/>
      <c r="JDQ51" s="344"/>
      <c r="JDR51" s="344"/>
      <c r="JDS51" s="344"/>
      <c r="JDT51" s="344"/>
      <c r="JDU51" s="344"/>
      <c r="JDV51" s="344"/>
      <c r="JDW51" s="344"/>
      <c r="JDX51" s="344"/>
      <c r="JDY51" s="344"/>
      <c r="JDZ51" s="344"/>
      <c r="JEA51" s="344"/>
      <c r="JEB51" s="344"/>
      <c r="JEC51" s="344"/>
      <c r="JED51" s="344"/>
      <c r="JEE51" s="344"/>
      <c r="JEF51" s="344"/>
      <c r="JEG51" s="344"/>
      <c r="JEH51" s="344"/>
      <c r="JEI51" s="344"/>
      <c r="JEJ51" s="344"/>
      <c r="JEK51" s="344"/>
      <c r="JEL51" s="344"/>
      <c r="JEM51" s="344"/>
      <c r="JEN51" s="344"/>
      <c r="JEO51" s="344"/>
      <c r="JEP51" s="344"/>
      <c r="JEQ51" s="344"/>
      <c r="JER51" s="344"/>
      <c r="JES51" s="344"/>
      <c r="JET51" s="344"/>
      <c r="JEU51" s="344"/>
      <c r="JEV51" s="344"/>
      <c r="JEW51" s="344"/>
      <c r="JEX51" s="344"/>
      <c r="JEY51" s="344"/>
      <c r="JEZ51" s="344"/>
      <c r="JFA51" s="344"/>
      <c r="JFB51" s="344"/>
      <c r="JFC51" s="344"/>
      <c r="JFD51" s="344"/>
      <c r="JFE51" s="344"/>
      <c r="JFF51" s="344"/>
      <c r="JFG51" s="344"/>
      <c r="JFH51" s="344"/>
      <c r="JFI51" s="344"/>
      <c r="JFJ51" s="344"/>
      <c r="JFK51" s="344"/>
      <c r="JFL51" s="344"/>
      <c r="JFM51" s="344"/>
      <c r="JFN51" s="344"/>
      <c r="JFO51" s="344"/>
      <c r="JFP51" s="344"/>
      <c r="JFQ51" s="344"/>
      <c r="JFR51" s="344"/>
      <c r="JFS51" s="344"/>
      <c r="JFT51" s="344"/>
      <c r="JFU51" s="344"/>
      <c r="JFV51" s="344"/>
      <c r="JFW51" s="344"/>
      <c r="JFX51" s="344"/>
      <c r="JFY51" s="344"/>
      <c r="JFZ51" s="344"/>
      <c r="JGA51" s="344"/>
      <c r="JGB51" s="344"/>
      <c r="JGC51" s="344"/>
      <c r="JGD51" s="344"/>
      <c r="JGE51" s="344"/>
      <c r="JGF51" s="344"/>
      <c r="JGG51" s="344"/>
      <c r="JGH51" s="344"/>
      <c r="JGI51" s="344"/>
      <c r="JGJ51" s="344"/>
      <c r="JGK51" s="344"/>
      <c r="JGL51" s="344"/>
      <c r="JGM51" s="344"/>
      <c r="JGN51" s="344"/>
      <c r="JGO51" s="344"/>
      <c r="JGP51" s="344"/>
      <c r="JGQ51" s="344"/>
      <c r="JGR51" s="344"/>
      <c r="JGS51" s="344"/>
      <c r="JGT51" s="344"/>
      <c r="JGU51" s="344"/>
      <c r="JGV51" s="344"/>
      <c r="JGW51" s="344"/>
      <c r="JGX51" s="344"/>
      <c r="JGY51" s="344"/>
      <c r="JGZ51" s="344"/>
      <c r="JHA51" s="344"/>
      <c r="JHB51" s="344"/>
      <c r="JHC51" s="344"/>
      <c r="JHD51" s="344"/>
      <c r="JHE51" s="344"/>
      <c r="JHF51" s="344"/>
      <c r="JHG51" s="344"/>
      <c r="JHH51" s="344"/>
      <c r="JHI51" s="344"/>
      <c r="JHJ51" s="344"/>
      <c r="JHK51" s="344"/>
      <c r="JHL51" s="344"/>
      <c r="JHM51" s="344"/>
      <c r="JHN51" s="344"/>
      <c r="JHO51" s="344"/>
      <c r="JHP51" s="344"/>
      <c r="JHQ51" s="344"/>
      <c r="JHR51" s="344"/>
      <c r="JHS51" s="344"/>
      <c r="JHT51" s="344"/>
      <c r="JHU51" s="344"/>
      <c r="JHV51" s="344"/>
      <c r="JHW51" s="344"/>
      <c r="JHX51" s="344"/>
      <c r="JHY51" s="344"/>
      <c r="JHZ51" s="344"/>
      <c r="JIA51" s="344"/>
      <c r="JIB51" s="344"/>
      <c r="JIC51" s="344"/>
      <c r="JID51" s="344"/>
      <c r="JIE51" s="344"/>
      <c r="JIF51" s="344"/>
      <c r="JIG51" s="344"/>
      <c r="JIH51" s="344"/>
      <c r="JII51" s="344"/>
      <c r="JIJ51" s="344"/>
      <c r="JIK51" s="344"/>
      <c r="JIL51" s="344"/>
      <c r="JIM51" s="344"/>
      <c r="JIN51" s="344"/>
      <c r="JIO51" s="344"/>
      <c r="JIP51" s="344"/>
      <c r="JIQ51" s="344"/>
      <c r="JIR51" s="344"/>
      <c r="JIS51" s="344"/>
      <c r="JIT51" s="344"/>
      <c r="JIU51" s="344"/>
      <c r="JIV51" s="344"/>
      <c r="JIW51" s="344"/>
      <c r="JIX51" s="344"/>
      <c r="JIY51" s="344"/>
      <c r="JIZ51" s="344"/>
      <c r="JJA51" s="344"/>
      <c r="JJB51" s="344"/>
      <c r="JJC51" s="344"/>
      <c r="JJD51" s="344"/>
      <c r="JJE51" s="344"/>
      <c r="JJF51" s="344"/>
      <c r="JJG51" s="344"/>
      <c r="JJH51" s="344"/>
      <c r="JJI51" s="344"/>
      <c r="JJJ51" s="344"/>
      <c r="JJK51" s="344"/>
      <c r="JJL51" s="344"/>
      <c r="JJM51" s="344"/>
      <c r="JJN51" s="344"/>
      <c r="JJO51" s="344"/>
      <c r="JJP51" s="344"/>
      <c r="JJQ51" s="344"/>
      <c r="JJR51" s="344"/>
      <c r="JJS51" s="344"/>
      <c r="JJT51" s="344"/>
      <c r="JJU51" s="344"/>
      <c r="JJV51" s="344"/>
      <c r="JJW51" s="344"/>
      <c r="JJX51" s="344"/>
      <c r="JJY51" s="344"/>
      <c r="JJZ51" s="344"/>
      <c r="JKA51" s="344"/>
      <c r="JKB51" s="344"/>
      <c r="JKC51" s="344"/>
      <c r="JKD51" s="344"/>
      <c r="JKE51" s="344"/>
      <c r="JKF51" s="344"/>
      <c r="JKG51" s="344"/>
      <c r="JKH51" s="344"/>
      <c r="JKI51" s="344"/>
      <c r="JKJ51" s="344"/>
      <c r="JKK51" s="344"/>
      <c r="JKL51" s="344"/>
      <c r="JKM51" s="344"/>
      <c r="JKN51" s="344"/>
      <c r="JKO51" s="344"/>
      <c r="JKP51" s="344"/>
      <c r="JKQ51" s="344"/>
      <c r="JKR51" s="344"/>
      <c r="JKS51" s="344"/>
      <c r="JKT51" s="344"/>
      <c r="JKU51" s="344"/>
      <c r="JKV51" s="344"/>
      <c r="JKW51" s="344"/>
      <c r="JKX51" s="344"/>
      <c r="JKY51" s="344"/>
      <c r="JKZ51" s="344"/>
      <c r="JLA51" s="344"/>
      <c r="JLB51" s="344"/>
      <c r="JLC51" s="344"/>
      <c r="JLD51" s="344"/>
      <c r="JLE51" s="344"/>
      <c r="JLF51" s="344"/>
      <c r="JLG51" s="344"/>
      <c r="JLH51" s="344"/>
      <c r="JLI51" s="344"/>
      <c r="JLJ51" s="344"/>
      <c r="JLK51" s="344"/>
      <c r="JLL51" s="344"/>
      <c r="JLM51" s="344"/>
      <c r="JLN51" s="344"/>
      <c r="JLO51" s="344"/>
      <c r="JLP51" s="344"/>
      <c r="JLQ51" s="344"/>
      <c r="JLR51" s="344"/>
      <c r="JLS51" s="344"/>
      <c r="JLT51" s="344"/>
      <c r="JLU51" s="344"/>
      <c r="JLV51" s="344"/>
      <c r="JLW51" s="344"/>
      <c r="JLX51" s="344"/>
      <c r="JLY51" s="344"/>
      <c r="JLZ51" s="344"/>
      <c r="JMA51" s="344"/>
      <c r="JMB51" s="344"/>
      <c r="JMC51" s="344"/>
      <c r="JMD51" s="344"/>
      <c r="JME51" s="344"/>
      <c r="JMF51" s="344"/>
      <c r="JMG51" s="344"/>
      <c r="JMH51" s="344"/>
      <c r="JMI51" s="344"/>
      <c r="JMJ51" s="344"/>
      <c r="JMK51" s="344"/>
      <c r="JML51" s="344"/>
      <c r="JMM51" s="344"/>
      <c r="JMN51" s="344"/>
      <c r="JMO51" s="344"/>
      <c r="JMP51" s="344"/>
      <c r="JMQ51" s="344"/>
      <c r="JMR51" s="344"/>
      <c r="JMS51" s="344"/>
      <c r="JMT51" s="344"/>
      <c r="JMU51" s="344"/>
      <c r="JMV51" s="344"/>
      <c r="JMW51" s="344"/>
      <c r="JMX51" s="344"/>
      <c r="JMY51" s="344"/>
      <c r="JMZ51" s="344"/>
      <c r="JNA51" s="344"/>
      <c r="JNB51" s="344"/>
      <c r="JNC51" s="344"/>
      <c r="JND51" s="344"/>
      <c r="JNE51" s="344"/>
      <c r="JNF51" s="344"/>
      <c r="JNG51" s="344"/>
      <c r="JNH51" s="344"/>
      <c r="JNI51" s="344"/>
      <c r="JNJ51" s="344"/>
      <c r="JNK51" s="344"/>
      <c r="JNL51" s="344"/>
      <c r="JNM51" s="344"/>
      <c r="JNN51" s="344"/>
      <c r="JNO51" s="344"/>
      <c r="JNP51" s="344"/>
      <c r="JNQ51" s="344"/>
      <c r="JNR51" s="344"/>
      <c r="JNS51" s="344"/>
      <c r="JNT51" s="344"/>
      <c r="JNU51" s="344"/>
      <c r="JNV51" s="344"/>
      <c r="JNW51" s="344"/>
      <c r="JNX51" s="344"/>
      <c r="JNY51" s="344"/>
      <c r="JNZ51" s="344"/>
      <c r="JOA51" s="344"/>
      <c r="JOB51" s="344"/>
      <c r="JOC51" s="344"/>
      <c r="JOD51" s="344"/>
      <c r="JOE51" s="344"/>
      <c r="JOF51" s="344"/>
      <c r="JOG51" s="344"/>
      <c r="JOH51" s="344"/>
      <c r="JOI51" s="344"/>
      <c r="JOJ51" s="344"/>
      <c r="JOK51" s="344"/>
      <c r="JOL51" s="344"/>
      <c r="JOM51" s="344"/>
      <c r="JON51" s="344"/>
      <c r="JOO51" s="344"/>
      <c r="JOP51" s="344"/>
      <c r="JOQ51" s="344"/>
      <c r="JOR51" s="344"/>
      <c r="JOS51" s="344"/>
      <c r="JOT51" s="344"/>
      <c r="JOU51" s="344"/>
      <c r="JOV51" s="344"/>
      <c r="JOW51" s="344"/>
      <c r="JOX51" s="344"/>
      <c r="JOY51" s="344"/>
      <c r="JOZ51" s="344"/>
      <c r="JPA51" s="344"/>
      <c r="JPB51" s="344"/>
      <c r="JPC51" s="344"/>
      <c r="JPD51" s="344"/>
      <c r="JPE51" s="344"/>
      <c r="JPF51" s="344"/>
      <c r="JPG51" s="344"/>
      <c r="JPH51" s="344"/>
      <c r="JPI51" s="344"/>
      <c r="JPJ51" s="344"/>
      <c r="JPK51" s="344"/>
      <c r="JPL51" s="344"/>
      <c r="JPM51" s="344"/>
      <c r="JPN51" s="344"/>
      <c r="JPO51" s="344"/>
      <c r="JPP51" s="344"/>
      <c r="JPQ51" s="344"/>
      <c r="JPR51" s="344"/>
      <c r="JPS51" s="344"/>
      <c r="JPT51" s="344"/>
      <c r="JPU51" s="344"/>
      <c r="JPV51" s="344"/>
      <c r="JPW51" s="344"/>
      <c r="JPX51" s="344"/>
      <c r="JPY51" s="344"/>
      <c r="JPZ51" s="344"/>
      <c r="JQA51" s="344"/>
      <c r="JQB51" s="344"/>
      <c r="JQC51" s="344"/>
      <c r="JQD51" s="344"/>
      <c r="JQE51" s="344"/>
      <c r="JQF51" s="344"/>
      <c r="JQG51" s="344"/>
      <c r="JQH51" s="344"/>
      <c r="JQI51" s="344"/>
      <c r="JQJ51" s="344"/>
      <c r="JQK51" s="344"/>
      <c r="JQL51" s="344"/>
      <c r="JQM51" s="344"/>
      <c r="JQN51" s="344"/>
      <c r="JQO51" s="344"/>
      <c r="JQP51" s="344"/>
      <c r="JQQ51" s="344"/>
      <c r="JQR51" s="344"/>
      <c r="JQS51" s="344"/>
      <c r="JQT51" s="344"/>
      <c r="JQU51" s="344"/>
      <c r="JQV51" s="344"/>
      <c r="JQW51" s="344"/>
      <c r="JQX51" s="344"/>
      <c r="JQY51" s="344"/>
      <c r="JQZ51" s="344"/>
      <c r="JRA51" s="344"/>
      <c r="JRB51" s="344"/>
      <c r="JRC51" s="344"/>
      <c r="JRD51" s="344"/>
      <c r="JRE51" s="344"/>
      <c r="JRF51" s="344"/>
      <c r="JRG51" s="344"/>
      <c r="JRH51" s="344"/>
      <c r="JRI51" s="344"/>
      <c r="JRJ51" s="344"/>
      <c r="JRK51" s="344"/>
      <c r="JRL51" s="344"/>
      <c r="JRM51" s="344"/>
      <c r="JRN51" s="344"/>
      <c r="JRO51" s="344"/>
      <c r="JRP51" s="344"/>
      <c r="JRQ51" s="344"/>
      <c r="JRR51" s="344"/>
      <c r="JRS51" s="344"/>
      <c r="JRT51" s="344"/>
      <c r="JRU51" s="344"/>
      <c r="JRV51" s="344"/>
      <c r="JRW51" s="344"/>
      <c r="JRX51" s="344"/>
      <c r="JRY51" s="344"/>
      <c r="JRZ51" s="344"/>
      <c r="JSA51" s="344"/>
      <c r="JSB51" s="344"/>
      <c r="JSC51" s="344"/>
      <c r="JSD51" s="344"/>
      <c r="JSE51" s="344"/>
      <c r="JSF51" s="344"/>
      <c r="JSG51" s="344"/>
      <c r="JSH51" s="344"/>
      <c r="JSI51" s="344"/>
      <c r="JSJ51" s="344"/>
      <c r="JSK51" s="344"/>
      <c r="JSL51" s="344"/>
      <c r="JSM51" s="344"/>
      <c r="JSN51" s="344"/>
      <c r="JSO51" s="344"/>
      <c r="JSP51" s="344"/>
      <c r="JSQ51" s="344"/>
      <c r="JSR51" s="344"/>
      <c r="JSS51" s="344"/>
      <c r="JST51" s="344"/>
      <c r="JSU51" s="344"/>
      <c r="JSV51" s="344"/>
      <c r="JSW51" s="344"/>
      <c r="JSX51" s="344"/>
      <c r="JSY51" s="344"/>
      <c r="JSZ51" s="344"/>
      <c r="JTA51" s="344"/>
      <c r="JTB51" s="344"/>
      <c r="JTC51" s="344"/>
      <c r="JTD51" s="344"/>
      <c r="JTE51" s="344"/>
      <c r="JTF51" s="344"/>
      <c r="JTG51" s="344"/>
      <c r="JTH51" s="344"/>
      <c r="JTI51" s="344"/>
      <c r="JTJ51" s="344"/>
      <c r="JTK51" s="344"/>
      <c r="JTL51" s="344"/>
      <c r="JTM51" s="344"/>
      <c r="JTN51" s="344"/>
      <c r="JTO51" s="344"/>
      <c r="JTP51" s="344"/>
      <c r="JTQ51" s="344"/>
      <c r="JTR51" s="344"/>
      <c r="JTS51" s="344"/>
      <c r="JTT51" s="344"/>
      <c r="JTU51" s="344"/>
      <c r="JTV51" s="344"/>
      <c r="JTW51" s="344"/>
      <c r="JTX51" s="344"/>
      <c r="JTY51" s="344"/>
      <c r="JTZ51" s="344"/>
      <c r="JUA51" s="344"/>
      <c r="JUB51" s="344"/>
      <c r="JUC51" s="344"/>
      <c r="JUD51" s="344"/>
      <c r="JUE51" s="344"/>
      <c r="JUF51" s="344"/>
      <c r="JUG51" s="344"/>
      <c r="JUH51" s="344"/>
      <c r="JUI51" s="344"/>
      <c r="JUJ51" s="344"/>
      <c r="JUK51" s="344"/>
      <c r="JUL51" s="344"/>
      <c r="JUM51" s="344"/>
      <c r="JUN51" s="344"/>
      <c r="JUO51" s="344"/>
      <c r="JUP51" s="344"/>
      <c r="JUQ51" s="344"/>
      <c r="JUR51" s="344"/>
      <c r="JUS51" s="344"/>
      <c r="JUT51" s="344"/>
      <c r="JUU51" s="344"/>
      <c r="JUV51" s="344"/>
      <c r="JUW51" s="344"/>
      <c r="JUX51" s="344"/>
      <c r="JUY51" s="344"/>
      <c r="JUZ51" s="344"/>
      <c r="JVA51" s="344"/>
      <c r="JVB51" s="344"/>
      <c r="JVC51" s="344"/>
      <c r="JVD51" s="344"/>
      <c r="JVE51" s="344"/>
      <c r="JVF51" s="344"/>
      <c r="JVG51" s="344"/>
      <c r="JVH51" s="344"/>
      <c r="JVI51" s="344"/>
      <c r="JVJ51" s="344"/>
      <c r="JVK51" s="344"/>
      <c r="JVL51" s="344"/>
      <c r="JVM51" s="344"/>
      <c r="JVN51" s="344"/>
      <c r="JVO51" s="344"/>
      <c r="JVP51" s="344"/>
      <c r="JVQ51" s="344"/>
      <c r="JVR51" s="344"/>
      <c r="JVS51" s="344"/>
      <c r="JVT51" s="344"/>
      <c r="JVU51" s="344"/>
      <c r="JVV51" s="344"/>
      <c r="JVW51" s="344"/>
      <c r="JVX51" s="344"/>
      <c r="JVY51" s="344"/>
      <c r="JVZ51" s="344"/>
      <c r="JWA51" s="344"/>
      <c r="JWB51" s="344"/>
      <c r="JWC51" s="344"/>
      <c r="JWD51" s="344"/>
      <c r="JWE51" s="344"/>
      <c r="JWF51" s="344"/>
      <c r="JWG51" s="344"/>
      <c r="JWH51" s="344"/>
      <c r="JWI51" s="344"/>
      <c r="JWJ51" s="344"/>
      <c r="JWK51" s="344"/>
      <c r="JWL51" s="344"/>
      <c r="JWM51" s="344"/>
      <c r="JWN51" s="344"/>
      <c r="JWO51" s="344"/>
      <c r="JWP51" s="344"/>
      <c r="JWQ51" s="344"/>
      <c r="JWR51" s="344"/>
      <c r="JWS51" s="344"/>
      <c r="JWT51" s="344"/>
      <c r="JWU51" s="344"/>
      <c r="JWV51" s="344"/>
      <c r="JWW51" s="344"/>
      <c r="JWX51" s="344"/>
      <c r="JWY51" s="344"/>
      <c r="JWZ51" s="344"/>
      <c r="JXA51" s="344"/>
      <c r="JXB51" s="344"/>
      <c r="JXC51" s="344"/>
      <c r="JXD51" s="344"/>
      <c r="JXE51" s="344"/>
      <c r="JXF51" s="344"/>
      <c r="JXG51" s="344"/>
      <c r="JXH51" s="344"/>
      <c r="JXI51" s="344"/>
      <c r="JXJ51" s="344"/>
      <c r="JXK51" s="344"/>
      <c r="JXL51" s="344"/>
      <c r="JXM51" s="344"/>
      <c r="JXN51" s="344"/>
      <c r="JXO51" s="344"/>
      <c r="JXP51" s="344"/>
      <c r="JXQ51" s="344"/>
      <c r="JXR51" s="344"/>
      <c r="JXS51" s="344"/>
      <c r="JXT51" s="344"/>
      <c r="JXU51" s="344"/>
      <c r="JXV51" s="344"/>
      <c r="JXW51" s="344"/>
      <c r="JXX51" s="344"/>
      <c r="JXY51" s="344"/>
      <c r="JXZ51" s="344"/>
      <c r="JYA51" s="344"/>
      <c r="JYB51" s="344"/>
      <c r="JYC51" s="344"/>
      <c r="JYD51" s="344"/>
      <c r="JYE51" s="344"/>
      <c r="JYF51" s="344"/>
      <c r="JYG51" s="344"/>
      <c r="JYH51" s="344"/>
      <c r="JYI51" s="344"/>
      <c r="JYJ51" s="344"/>
      <c r="JYK51" s="344"/>
      <c r="JYL51" s="344"/>
      <c r="JYM51" s="344"/>
      <c r="JYN51" s="344"/>
      <c r="JYO51" s="344"/>
      <c r="JYP51" s="344"/>
      <c r="JYQ51" s="344"/>
      <c r="JYR51" s="344"/>
      <c r="JYS51" s="344"/>
      <c r="JYT51" s="344"/>
      <c r="JYU51" s="344"/>
      <c r="JYV51" s="344"/>
      <c r="JYW51" s="344"/>
      <c r="JYX51" s="344"/>
      <c r="JYY51" s="344"/>
      <c r="JYZ51" s="344"/>
      <c r="JZA51" s="344"/>
      <c r="JZB51" s="344"/>
      <c r="JZC51" s="344"/>
      <c r="JZD51" s="344"/>
      <c r="JZE51" s="344"/>
      <c r="JZF51" s="344"/>
      <c r="JZG51" s="344"/>
      <c r="JZH51" s="344"/>
      <c r="JZI51" s="344"/>
      <c r="JZJ51" s="344"/>
      <c r="JZK51" s="344"/>
      <c r="JZL51" s="344"/>
      <c r="JZM51" s="344"/>
      <c r="JZN51" s="344"/>
      <c r="JZO51" s="344"/>
      <c r="JZP51" s="344"/>
      <c r="JZQ51" s="344"/>
      <c r="JZR51" s="344"/>
      <c r="JZS51" s="344"/>
      <c r="JZT51" s="344"/>
      <c r="JZU51" s="344"/>
      <c r="JZV51" s="344"/>
      <c r="JZW51" s="344"/>
      <c r="JZX51" s="344"/>
      <c r="JZY51" s="344"/>
      <c r="JZZ51" s="344"/>
      <c r="KAA51" s="344"/>
      <c r="KAB51" s="344"/>
      <c r="KAC51" s="344"/>
      <c r="KAD51" s="344"/>
      <c r="KAE51" s="344"/>
      <c r="KAF51" s="344"/>
      <c r="KAG51" s="344"/>
      <c r="KAH51" s="344"/>
      <c r="KAI51" s="344"/>
      <c r="KAJ51" s="344"/>
      <c r="KAK51" s="344"/>
      <c r="KAL51" s="344"/>
      <c r="KAM51" s="344"/>
      <c r="KAN51" s="344"/>
      <c r="KAO51" s="344"/>
      <c r="KAP51" s="344"/>
      <c r="KAQ51" s="344"/>
      <c r="KAR51" s="344"/>
      <c r="KAS51" s="344"/>
      <c r="KAT51" s="344"/>
      <c r="KAU51" s="344"/>
      <c r="KAV51" s="344"/>
      <c r="KAW51" s="344"/>
      <c r="KAX51" s="344"/>
      <c r="KAY51" s="344"/>
      <c r="KAZ51" s="344"/>
      <c r="KBA51" s="344"/>
      <c r="KBB51" s="344"/>
      <c r="KBC51" s="344"/>
      <c r="KBD51" s="344"/>
      <c r="KBE51" s="344"/>
      <c r="KBF51" s="344"/>
      <c r="KBG51" s="344"/>
      <c r="KBH51" s="344"/>
      <c r="KBI51" s="344"/>
      <c r="KBJ51" s="344"/>
      <c r="KBK51" s="344"/>
      <c r="KBL51" s="344"/>
      <c r="KBM51" s="344"/>
      <c r="KBN51" s="344"/>
      <c r="KBO51" s="344"/>
      <c r="KBP51" s="344"/>
      <c r="KBQ51" s="344"/>
      <c r="KBR51" s="344"/>
      <c r="KBS51" s="344"/>
      <c r="KBT51" s="344"/>
      <c r="KBU51" s="344"/>
      <c r="KBV51" s="344"/>
      <c r="KBW51" s="344"/>
      <c r="KBX51" s="344"/>
      <c r="KBY51" s="344"/>
      <c r="KBZ51" s="344"/>
      <c r="KCA51" s="344"/>
      <c r="KCB51" s="344"/>
      <c r="KCC51" s="344"/>
      <c r="KCD51" s="344"/>
      <c r="KCE51" s="344"/>
      <c r="KCF51" s="344"/>
      <c r="KCG51" s="344"/>
      <c r="KCH51" s="344"/>
      <c r="KCI51" s="344"/>
      <c r="KCJ51" s="344"/>
      <c r="KCK51" s="344"/>
      <c r="KCL51" s="344"/>
      <c r="KCM51" s="344"/>
      <c r="KCN51" s="344"/>
      <c r="KCO51" s="344"/>
      <c r="KCP51" s="344"/>
      <c r="KCQ51" s="344"/>
      <c r="KCR51" s="344"/>
      <c r="KCS51" s="344"/>
      <c r="KCT51" s="344"/>
      <c r="KCU51" s="344"/>
      <c r="KCV51" s="344"/>
      <c r="KCW51" s="344"/>
      <c r="KCX51" s="344"/>
      <c r="KCY51" s="344"/>
      <c r="KCZ51" s="344"/>
      <c r="KDA51" s="344"/>
      <c r="KDB51" s="344"/>
      <c r="KDC51" s="344"/>
      <c r="KDD51" s="344"/>
      <c r="KDE51" s="344"/>
      <c r="KDF51" s="344"/>
      <c r="KDG51" s="344"/>
      <c r="KDH51" s="344"/>
      <c r="KDI51" s="344"/>
      <c r="KDJ51" s="344"/>
      <c r="KDK51" s="344"/>
      <c r="KDL51" s="344"/>
      <c r="KDM51" s="344"/>
      <c r="KDN51" s="344"/>
      <c r="KDO51" s="344"/>
      <c r="KDP51" s="344"/>
      <c r="KDQ51" s="344"/>
      <c r="KDR51" s="344"/>
      <c r="KDS51" s="344"/>
      <c r="KDT51" s="344"/>
      <c r="KDU51" s="344"/>
      <c r="KDV51" s="344"/>
      <c r="KDW51" s="344"/>
      <c r="KDX51" s="344"/>
      <c r="KDY51" s="344"/>
      <c r="KDZ51" s="344"/>
      <c r="KEA51" s="344"/>
      <c r="KEB51" s="344"/>
      <c r="KEC51" s="344"/>
      <c r="KED51" s="344"/>
      <c r="KEE51" s="344"/>
      <c r="KEF51" s="344"/>
      <c r="KEG51" s="344"/>
      <c r="KEH51" s="344"/>
      <c r="KEI51" s="344"/>
      <c r="KEJ51" s="344"/>
      <c r="KEK51" s="344"/>
      <c r="KEL51" s="344"/>
      <c r="KEM51" s="344"/>
      <c r="KEN51" s="344"/>
      <c r="KEO51" s="344"/>
      <c r="KEP51" s="344"/>
      <c r="KEQ51" s="344"/>
      <c r="KER51" s="344"/>
      <c r="KES51" s="344"/>
      <c r="KET51" s="344"/>
      <c r="KEU51" s="344"/>
      <c r="KEV51" s="344"/>
      <c r="KEW51" s="344"/>
      <c r="KEX51" s="344"/>
      <c r="KEY51" s="344"/>
      <c r="KEZ51" s="344"/>
      <c r="KFA51" s="344"/>
      <c r="KFB51" s="344"/>
      <c r="KFC51" s="344"/>
      <c r="KFD51" s="344"/>
      <c r="KFE51" s="344"/>
      <c r="KFF51" s="344"/>
      <c r="KFG51" s="344"/>
      <c r="KFH51" s="344"/>
      <c r="KFI51" s="344"/>
      <c r="KFJ51" s="344"/>
      <c r="KFK51" s="344"/>
      <c r="KFL51" s="344"/>
      <c r="KFM51" s="344"/>
      <c r="KFN51" s="344"/>
      <c r="KFO51" s="344"/>
      <c r="KFP51" s="344"/>
      <c r="KFQ51" s="344"/>
      <c r="KFR51" s="344"/>
      <c r="KFS51" s="344"/>
      <c r="KFT51" s="344"/>
      <c r="KFU51" s="344"/>
      <c r="KFV51" s="344"/>
      <c r="KFW51" s="344"/>
      <c r="KFX51" s="344"/>
      <c r="KFY51" s="344"/>
      <c r="KFZ51" s="344"/>
      <c r="KGA51" s="344"/>
      <c r="KGB51" s="344"/>
      <c r="KGC51" s="344"/>
      <c r="KGD51" s="344"/>
      <c r="KGE51" s="344"/>
      <c r="KGF51" s="344"/>
      <c r="KGG51" s="344"/>
      <c r="KGH51" s="344"/>
      <c r="KGI51" s="344"/>
      <c r="KGJ51" s="344"/>
      <c r="KGK51" s="344"/>
      <c r="KGL51" s="344"/>
      <c r="KGM51" s="344"/>
      <c r="KGN51" s="344"/>
      <c r="KGO51" s="344"/>
      <c r="KGP51" s="344"/>
      <c r="KGQ51" s="344"/>
      <c r="KGR51" s="344"/>
      <c r="KGS51" s="344"/>
      <c r="KGT51" s="344"/>
      <c r="KGU51" s="344"/>
      <c r="KGV51" s="344"/>
      <c r="KGW51" s="344"/>
      <c r="KGX51" s="344"/>
      <c r="KGY51" s="344"/>
      <c r="KGZ51" s="344"/>
      <c r="KHA51" s="344"/>
      <c r="KHB51" s="344"/>
      <c r="KHC51" s="344"/>
      <c r="KHD51" s="344"/>
      <c r="KHE51" s="344"/>
      <c r="KHF51" s="344"/>
      <c r="KHG51" s="344"/>
      <c r="KHH51" s="344"/>
      <c r="KHI51" s="344"/>
      <c r="KHJ51" s="344"/>
      <c r="KHK51" s="344"/>
      <c r="KHL51" s="344"/>
      <c r="KHM51" s="344"/>
      <c r="KHN51" s="344"/>
      <c r="KHO51" s="344"/>
      <c r="KHP51" s="344"/>
      <c r="KHQ51" s="344"/>
      <c r="KHR51" s="344"/>
      <c r="KHS51" s="344"/>
      <c r="KHT51" s="344"/>
      <c r="KHU51" s="344"/>
      <c r="KHV51" s="344"/>
      <c r="KHW51" s="344"/>
      <c r="KHX51" s="344"/>
      <c r="KHY51" s="344"/>
      <c r="KHZ51" s="344"/>
      <c r="KIA51" s="344"/>
      <c r="KIB51" s="344"/>
      <c r="KIC51" s="344"/>
      <c r="KID51" s="344"/>
      <c r="KIE51" s="344"/>
      <c r="KIF51" s="344"/>
      <c r="KIG51" s="344"/>
      <c r="KIH51" s="344"/>
      <c r="KII51" s="344"/>
      <c r="KIJ51" s="344"/>
      <c r="KIK51" s="344"/>
      <c r="KIL51" s="344"/>
      <c r="KIM51" s="344"/>
      <c r="KIN51" s="344"/>
      <c r="KIO51" s="344"/>
      <c r="KIP51" s="344"/>
      <c r="KIQ51" s="344"/>
      <c r="KIR51" s="344"/>
      <c r="KIS51" s="344"/>
      <c r="KIT51" s="344"/>
      <c r="KIU51" s="344"/>
      <c r="KIV51" s="344"/>
      <c r="KIW51" s="344"/>
      <c r="KIX51" s="344"/>
      <c r="KIY51" s="344"/>
      <c r="KIZ51" s="344"/>
      <c r="KJA51" s="344"/>
      <c r="KJB51" s="344"/>
      <c r="KJC51" s="344"/>
      <c r="KJD51" s="344"/>
      <c r="KJE51" s="344"/>
      <c r="KJF51" s="344"/>
      <c r="KJG51" s="344"/>
      <c r="KJH51" s="344"/>
      <c r="KJI51" s="344"/>
      <c r="KJJ51" s="344"/>
      <c r="KJK51" s="344"/>
      <c r="KJL51" s="344"/>
      <c r="KJM51" s="344"/>
      <c r="KJN51" s="344"/>
      <c r="KJO51" s="344"/>
      <c r="KJP51" s="344"/>
      <c r="KJQ51" s="344"/>
      <c r="KJR51" s="344"/>
      <c r="KJS51" s="344"/>
      <c r="KJT51" s="344"/>
      <c r="KJU51" s="344"/>
      <c r="KJV51" s="344"/>
      <c r="KJW51" s="344"/>
      <c r="KJX51" s="344"/>
      <c r="KJY51" s="344"/>
      <c r="KJZ51" s="344"/>
      <c r="KKA51" s="344"/>
      <c r="KKB51" s="344"/>
      <c r="KKC51" s="344"/>
      <c r="KKD51" s="344"/>
      <c r="KKE51" s="344"/>
      <c r="KKF51" s="344"/>
      <c r="KKG51" s="344"/>
      <c r="KKH51" s="344"/>
      <c r="KKI51" s="344"/>
      <c r="KKJ51" s="344"/>
      <c r="KKK51" s="344"/>
      <c r="KKL51" s="344"/>
      <c r="KKM51" s="344"/>
      <c r="KKN51" s="344"/>
      <c r="KKO51" s="344"/>
      <c r="KKP51" s="344"/>
      <c r="KKQ51" s="344"/>
      <c r="KKR51" s="344"/>
      <c r="KKS51" s="344"/>
      <c r="KKT51" s="344"/>
      <c r="KKU51" s="344"/>
      <c r="KKV51" s="344"/>
      <c r="KKW51" s="344"/>
      <c r="KKX51" s="344"/>
      <c r="KKY51" s="344"/>
      <c r="KKZ51" s="344"/>
      <c r="KLA51" s="344"/>
      <c r="KLB51" s="344"/>
      <c r="KLC51" s="344"/>
      <c r="KLD51" s="344"/>
      <c r="KLE51" s="344"/>
      <c r="KLF51" s="344"/>
      <c r="KLG51" s="344"/>
      <c r="KLH51" s="344"/>
      <c r="KLI51" s="344"/>
      <c r="KLJ51" s="344"/>
      <c r="KLK51" s="344"/>
      <c r="KLL51" s="344"/>
      <c r="KLM51" s="344"/>
      <c r="KLN51" s="344"/>
      <c r="KLO51" s="344"/>
      <c r="KLP51" s="344"/>
      <c r="KLQ51" s="344"/>
      <c r="KLR51" s="344"/>
      <c r="KLS51" s="344"/>
      <c r="KLT51" s="344"/>
      <c r="KLU51" s="344"/>
      <c r="KLV51" s="344"/>
      <c r="KLW51" s="344"/>
      <c r="KLX51" s="344"/>
      <c r="KLY51" s="344"/>
      <c r="KLZ51" s="344"/>
      <c r="KMA51" s="344"/>
      <c r="KMB51" s="344"/>
      <c r="KMC51" s="344"/>
      <c r="KMD51" s="344"/>
      <c r="KME51" s="344"/>
      <c r="KMF51" s="344"/>
      <c r="KMG51" s="344"/>
      <c r="KMH51" s="344"/>
      <c r="KMI51" s="344"/>
      <c r="KMJ51" s="344"/>
      <c r="KMK51" s="344"/>
      <c r="KML51" s="344"/>
      <c r="KMM51" s="344"/>
      <c r="KMN51" s="344"/>
      <c r="KMO51" s="344"/>
      <c r="KMP51" s="344"/>
      <c r="KMQ51" s="344"/>
      <c r="KMR51" s="344"/>
      <c r="KMS51" s="344"/>
      <c r="KMT51" s="344"/>
      <c r="KMU51" s="344"/>
      <c r="KMV51" s="344"/>
      <c r="KMW51" s="344"/>
      <c r="KMX51" s="344"/>
      <c r="KMY51" s="344"/>
      <c r="KMZ51" s="344"/>
      <c r="KNA51" s="344"/>
      <c r="KNB51" s="344"/>
      <c r="KNC51" s="344"/>
      <c r="KND51" s="344"/>
      <c r="KNE51" s="344"/>
      <c r="KNF51" s="344"/>
      <c r="KNG51" s="344"/>
      <c r="KNH51" s="344"/>
      <c r="KNI51" s="344"/>
      <c r="KNJ51" s="344"/>
      <c r="KNK51" s="344"/>
      <c r="KNL51" s="344"/>
      <c r="KNM51" s="344"/>
      <c r="KNN51" s="344"/>
      <c r="KNO51" s="344"/>
      <c r="KNP51" s="344"/>
      <c r="KNQ51" s="344"/>
      <c r="KNR51" s="344"/>
      <c r="KNS51" s="344"/>
      <c r="KNT51" s="344"/>
      <c r="KNU51" s="344"/>
      <c r="KNV51" s="344"/>
      <c r="KNW51" s="344"/>
      <c r="KNX51" s="344"/>
      <c r="KNY51" s="344"/>
      <c r="KNZ51" s="344"/>
      <c r="KOA51" s="344"/>
      <c r="KOB51" s="344"/>
      <c r="KOC51" s="344"/>
      <c r="KOD51" s="344"/>
      <c r="KOE51" s="344"/>
      <c r="KOF51" s="344"/>
      <c r="KOG51" s="344"/>
      <c r="KOH51" s="344"/>
      <c r="KOI51" s="344"/>
      <c r="KOJ51" s="344"/>
      <c r="KOK51" s="344"/>
      <c r="KOL51" s="344"/>
      <c r="KOM51" s="344"/>
      <c r="KON51" s="344"/>
      <c r="KOO51" s="344"/>
      <c r="KOP51" s="344"/>
      <c r="KOQ51" s="344"/>
      <c r="KOR51" s="344"/>
      <c r="KOS51" s="344"/>
      <c r="KOT51" s="344"/>
      <c r="KOU51" s="344"/>
      <c r="KOV51" s="344"/>
      <c r="KOW51" s="344"/>
      <c r="KOX51" s="344"/>
      <c r="KOY51" s="344"/>
      <c r="KOZ51" s="344"/>
      <c r="KPA51" s="344"/>
      <c r="KPB51" s="344"/>
      <c r="KPC51" s="344"/>
      <c r="KPD51" s="344"/>
      <c r="KPE51" s="344"/>
      <c r="KPF51" s="344"/>
      <c r="KPG51" s="344"/>
      <c r="KPH51" s="344"/>
      <c r="KPI51" s="344"/>
      <c r="KPJ51" s="344"/>
      <c r="KPK51" s="344"/>
      <c r="KPL51" s="344"/>
      <c r="KPM51" s="344"/>
      <c r="KPN51" s="344"/>
      <c r="KPO51" s="344"/>
      <c r="KPP51" s="344"/>
      <c r="KPQ51" s="344"/>
      <c r="KPR51" s="344"/>
      <c r="KPS51" s="344"/>
      <c r="KPT51" s="344"/>
      <c r="KPU51" s="344"/>
      <c r="KPV51" s="344"/>
      <c r="KPW51" s="344"/>
      <c r="KPX51" s="344"/>
      <c r="KPY51" s="344"/>
      <c r="KPZ51" s="344"/>
      <c r="KQA51" s="344"/>
      <c r="KQB51" s="344"/>
      <c r="KQC51" s="344"/>
      <c r="KQD51" s="344"/>
      <c r="KQE51" s="344"/>
      <c r="KQF51" s="344"/>
      <c r="KQG51" s="344"/>
      <c r="KQH51" s="344"/>
      <c r="KQI51" s="344"/>
      <c r="KQJ51" s="344"/>
      <c r="KQK51" s="344"/>
      <c r="KQL51" s="344"/>
      <c r="KQM51" s="344"/>
      <c r="KQN51" s="344"/>
      <c r="KQO51" s="344"/>
      <c r="KQP51" s="344"/>
      <c r="KQQ51" s="344"/>
      <c r="KQR51" s="344"/>
      <c r="KQS51" s="344"/>
      <c r="KQT51" s="344"/>
      <c r="KQU51" s="344"/>
      <c r="KQV51" s="344"/>
      <c r="KQW51" s="344"/>
      <c r="KQX51" s="344"/>
      <c r="KQY51" s="344"/>
      <c r="KQZ51" s="344"/>
      <c r="KRA51" s="344"/>
      <c r="KRB51" s="344"/>
      <c r="KRC51" s="344"/>
      <c r="KRD51" s="344"/>
      <c r="KRE51" s="344"/>
      <c r="KRF51" s="344"/>
      <c r="KRG51" s="344"/>
      <c r="KRH51" s="344"/>
      <c r="KRI51" s="344"/>
      <c r="KRJ51" s="344"/>
      <c r="KRK51" s="344"/>
      <c r="KRL51" s="344"/>
      <c r="KRM51" s="344"/>
      <c r="KRN51" s="344"/>
      <c r="KRO51" s="344"/>
      <c r="KRP51" s="344"/>
      <c r="KRQ51" s="344"/>
      <c r="KRR51" s="344"/>
      <c r="KRS51" s="344"/>
      <c r="KRT51" s="344"/>
      <c r="KRU51" s="344"/>
      <c r="KRV51" s="344"/>
      <c r="KRW51" s="344"/>
      <c r="KRX51" s="344"/>
      <c r="KRY51" s="344"/>
      <c r="KRZ51" s="344"/>
      <c r="KSA51" s="344"/>
      <c r="KSB51" s="344"/>
      <c r="KSC51" s="344"/>
      <c r="KSD51" s="344"/>
      <c r="KSE51" s="344"/>
      <c r="KSF51" s="344"/>
      <c r="KSG51" s="344"/>
      <c r="KSH51" s="344"/>
      <c r="KSI51" s="344"/>
      <c r="KSJ51" s="344"/>
      <c r="KSK51" s="344"/>
      <c r="KSL51" s="344"/>
      <c r="KSM51" s="344"/>
      <c r="KSN51" s="344"/>
      <c r="KSO51" s="344"/>
      <c r="KSP51" s="344"/>
      <c r="KSQ51" s="344"/>
      <c r="KSR51" s="344"/>
      <c r="KSS51" s="344"/>
      <c r="KST51" s="344"/>
      <c r="KSU51" s="344"/>
      <c r="KSV51" s="344"/>
      <c r="KSW51" s="344"/>
      <c r="KSX51" s="344"/>
      <c r="KSY51" s="344"/>
      <c r="KSZ51" s="344"/>
      <c r="KTA51" s="344"/>
      <c r="KTB51" s="344"/>
      <c r="KTC51" s="344"/>
      <c r="KTD51" s="344"/>
      <c r="KTE51" s="344"/>
      <c r="KTF51" s="344"/>
      <c r="KTG51" s="344"/>
      <c r="KTH51" s="344"/>
      <c r="KTI51" s="344"/>
      <c r="KTJ51" s="344"/>
      <c r="KTK51" s="344"/>
      <c r="KTL51" s="344"/>
      <c r="KTM51" s="344"/>
      <c r="KTN51" s="344"/>
      <c r="KTO51" s="344"/>
      <c r="KTP51" s="344"/>
      <c r="KTQ51" s="344"/>
      <c r="KTR51" s="344"/>
      <c r="KTS51" s="344"/>
      <c r="KTT51" s="344"/>
      <c r="KTU51" s="344"/>
      <c r="KTV51" s="344"/>
      <c r="KTW51" s="344"/>
      <c r="KTX51" s="344"/>
      <c r="KTY51" s="344"/>
      <c r="KTZ51" s="344"/>
      <c r="KUA51" s="344"/>
      <c r="KUB51" s="344"/>
      <c r="KUC51" s="344"/>
      <c r="KUD51" s="344"/>
      <c r="KUE51" s="344"/>
      <c r="KUF51" s="344"/>
      <c r="KUG51" s="344"/>
      <c r="KUH51" s="344"/>
      <c r="KUI51" s="344"/>
      <c r="KUJ51" s="344"/>
      <c r="KUK51" s="344"/>
      <c r="KUL51" s="344"/>
      <c r="KUM51" s="344"/>
      <c r="KUN51" s="344"/>
      <c r="KUO51" s="344"/>
      <c r="KUP51" s="344"/>
      <c r="KUQ51" s="344"/>
      <c r="KUR51" s="344"/>
      <c r="KUS51" s="344"/>
      <c r="KUT51" s="344"/>
      <c r="KUU51" s="344"/>
      <c r="KUV51" s="344"/>
      <c r="KUW51" s="344"/>
      <c r="KUX51" s="344"/>
      <c r="KUY51" s="344"/>
      <c r="KUZ51" s="344"/>
      <c r="KVA51" s="344"/>
      <c r="KVB51" s="344"/>
      <c r="KVC51" s="344"/>
      <c r="KVD51" s="344"/>
      <c r="KVE51" s="344"/>
      <c r="KVF51" s="344"/>
      <c r="KVG51" s="344"/>
      <c r="KVH51" s="344"/>
      <c r="KVI51" s="344"/>
      <c r="KVJ51" s="344"/>
      <c r="KVK51" s="344"/>
      <c r="KVL51" s="344"/>
      <c r="KVM51" s="344"/>
      <c r="KVN51" s="344"/>
      <c r="KVO51" s="344"/>
      <c r="KVP51" s="344"/>
      <c r="KVQ51" s="344"/>
      <c r="KVR51" s="344"/>
      <c r="KVS51" s="344"/>
      <c r="KVT51" s="344"/>
      <c r="KVU51" s="344"/>
      <c r="KVV51" s="344"/>
      <c r="KVW51" s="344"/>
      <c r="KVX51" s="344"/>
      <c r="KVY51" s="344"/>
      <c r="KVZ51" s="344"/>
      <c r="KWA51" s="344"/>
      <c r="KWB51" s="344"/>
      <c r="KWC51" s="344"/>
      <c r="KWD51" s="344"/>
      <c r="KWE51" s="344"/>
      <c r="KWF51" s="344"/>
      <c r="KWG51" s="344"/>
      <c r="KWH51" s="344"/>
      <c r="KWI51" s="344"/>
      <c r="KWJ51" s="344"/>
      <c r="KWK51" s="344"/>
      <c r="KWL51" s="344"/>
      <c r="KWM51" s="344"/>
      <c r="KWN51" s="344"/>
      <c r="KWO51" s="344"/>
      <c r="KWP51" s="344"/>
      <c r="KWQ51" s="344"/>
      <c r="KWR51" s="344"/>
      <c r="KWS51" s="344"/>
      <c r="KWT51" s="344"/>
      <c r="KWU51" s="344"/>
      <c r="KWV51" s="344"/>
      <c r="KWW51" s="344"/>
      <c r="KWX51" s="344"/>
      <c r="KWY51" s="344"/>
      <c r="KWZ51" s="344"/>
      <c r="KXA51" s="344"/>
      <c r="KXB51" s="344"/>
      <c r="KXC51" s="344"/>
      <c r="KXD51" s="344"/>
      <c r="KXE51" s="344"/>
      <c r="KXF51" s="344"/>
      <c r="KXG51" s="344"/>
      <c r="KXH51" s="344"/>
      <c r="KXI51" s="344"/>
      <c r="KXJ51" s="344"/>
      <c r="KXK51" s="344"/>
      <c r="KXL51" s="344"/>
      <c r="KXM51" s="344"/>
      <c r="KXN51" s="344"/>
      <c r="KXO51" s="344"/>
      <c r="KXP51" s="344"/>
      <c r="KXQ51" s="344"/>
      <c r="KXR51" s="344"/>
      <c r="KXS51" s="344"/>
      <c r="KXT51" s="344"/>
      <c r="KXU51" s="344"/>
      <c r="KXV51" s="344"/>
      <c r="KXW51" s="344"/>
      <c r="KXX51" s="344"/>
      <c r="KXY51" s="344"/>
      <c r="KXZ51" s="344"/>
      <c r="KYA51" s="344"/>
      <c r="KYB51" s="344"/>
      <c r="KYC51" s="344"/>
      <c r="KYD51" s="344"/>
      <c r="KYE51" s="344"/>
      <c r="KYF51" s="344"/>
      <c r="KYG51" s="344"/>
      <c r="KYH51" s="344"/>
      <c r="KYI51" s="344"/>
      <c r="KYJ51" s="344"/>
      <c r="KYK51" s="344"/>
      <c r="KYL51" s="344"/>
      <c r="KYM51" s="344"/>
      <c r="KYN51" s="344"/>
      <c r="KYO51" s="344"/>
      <c r="KYP51" s="344"/>
      <c r="KYQ51" s="344"/>
      <c r="KYR51" s="344"/>
      <c r="KYS51" s="344"/>
      <c r="KYT51" s="344"/>
      <c r="KYU51" s="344"/>
      <c r="KYV51" s="344"/>
      <c r="KYW51" s="344"/>
      <c r="KYX51" s="344"/>
      <c r="KYY51" s="344"/>
      <c r="KYZ51" s="344"/>
      <c r="KZA51" s="344"/>
      <c r="KZB51" s="344"/>
      <c r="KZC51" s="344"/>
      <c r="KZD51" s="344"/>
      <c r="KZE51" s="344"/>
      <c r="KZF51" s="344"/>
      <c r="KZG51" s="344"/>
      <c r="KZH51" s="344"/>
      <c r="KZI51" s="344"/>
      <c r="KZJ51" s="344"/>
      <c r="KZK51" s="344"/>
      <c r="KZL51" s="344"/>
      <c r="KZM51" s="344"/>
      <c r="KZN51" s="344"/>
      <c r="KZO51" s="344"/>
      <c r="KZP51" s="344"/>
      <c r="KZQ51" s="344"/>
      <c r="KZR51" s="344"/>
      <c r="KZS51" s="344"/>
      <c r="KZT51" s="344"/>
      <c r="KZU51" s="344"/>
      <c r="KZV51" s="344"/>
      <c r="KZW51" s="344"/>
      <c r="KZX51" s="344"/>
      <c r="KZY51" s="344"/>
      <c r="KZZ51" s="344"/>
      <c r="LAA51" s="344"/>
      <c r="LAB51" s="344"/>
      <c r="LAC51" s="344"/>
      <c r="LAD51" s="344"/>
      <c r="LAE51" s="344"/>
      <c r="LAF51" s="344"/>
      <c r="LAG51" s="344"/>
      <c r="LAH51" s="344"/>
      <c r="LAI51" s="344"/>
      <c r="LAJ51" s="344"/>
      <c r="LAK51" s="344"/>
      <c r="LAL51" s="344"/>
      <c r="LAM51" s="344"/>
      <c r="LAN51" s="344"/>
      <c r="LAO51" s="344"/>
      <c r="LAP51" s="344"/>
      <c r="LAQ51" s="344"/>
      <c r="LAR51" s="344"/>
      <c r="LAS51" s="344"/>
      <c r="LAT51" s="344"/>
      <c r="LAU51" s="344"/>
      <c r="LAV51" s="344"/>
      <c r="LAW51" s="344"/>
      <c r="LAX51" s="344"/>
      <c r="LAY51" s="344"/>
      <c r="LAZ51" s="344"/>
      <c r="LBA51" s="344"/>
      <c r="LBB51" s="344"/>
      <c r="LBC51" s="344"/>
      <c r="LBD51" s="344"/>
      <c r="LBE51" s="344"/>
      <c r="LBF51" s="344"/>
      <c r="LBG51" s="344"/>
      <c r="LBH51" s="344"/>
      <c r="LBI51" s="344"/>
      <c r="LBJ51" s="344"/>
      <c r="LBK51" s="344"/>
      <c r="LBL51" s="344"/>
      <c r="LBM51" s="344"/>
      <c r="LBN51" s="344"/>
      <c r="LBO51" s="344"/>
      <c r="LBP51" s="344"/>
      <c r="LBQ51" s="344"/>
      <c r="LBR51" s="344"/>
      <c r="LBS51" s="344"/>
      <c r="LBT51" s="344"/>
      <c r="LBU51" s="344"/>
      <c r="LBV51" s="344"/>
      <c r="LBW51" s="344"/>
      <c r="LBX51" s="344"/>
      <c r="LBY51" s="344"/>
      <c r="LBZ51" s="344"/>
      <c r="LCA51" s="344"/>
      <c r="LCB51" s="344"/>
      <c r="LCC51" s="344"/>
      <c r="LCD51" s="344"/>
      <c r="LCE51" s="344"/>
      <c r="LCF51" s="344"/>
      <c r="LCG51" s="344"/>
      <c r="LCH51" s="344"/>
      <c r="LCI51" s="344"/>
      <c r="LCJ51" s="344"/>
      <c r="LCK51" s="344"/>
      <c r="LCL51" s="344"/>
      <c r="LCM51" s="344"/>
      <c r="LCN51" s="344"/>
      <c r="LCO51" s="344"/>
      <c r="LCP51" s="344"/>
      <c r="LCQ51" s="344"/>
      <c r="LCR51" s="344"/>
      <c r="LCS51" s="344"/>
      <c r="LCT51" s="344"/>
      <c r="LCU51" s="344"/>
      <c r="LCV51" s="344"/>
      <c r="LCW51" s="344"/>
      <c r="LCX51" s="344"/>
      <c r="LCY51" s="344"/>
      <c r="LCZ51" s="344"/>
      <c r="LDA51" s="344"/>
      <c r="LDB51" s="344"/>
      <c r="LDC51" s="344"/>
      <c r="LDD51" s="344"/>
      <c r="LDE51" s="344"/>
      <c r="LDF51" s="344"/>
      <c r="LDG51" s="344"/>
      <c r="LDH51" s="344"/>
      <c r="LDI51" s="344"/>
      <c r="LDJ51" s="344"/>
      <c r="LDK51" s="344"/>
      <c r="LDL51" s="344"/>
      <c r="LDM51" s="344"/>
      <c r="LDN51" s="344"/>
      <c r="LDO51" s="344"/>
      <c r="LDP51" s="344"/>
      <c r="LDQ51" s="344"/>
      <c r="LDR51" s="344"/>
      <c r="LDS51" s="344"/>
      <c r="LDT51" s="344"/>
      <c r="LDU51" s="344"/>
      <c r="LDV51" s="344"/>
      <c r="LDW51" s="344"/>
      <c r="LDX51" s="344"/>
      <c r="LDY51" s="344"/>
      <c r="LDZ51" s="344"/>
      <c r="LEA51" s="344"/>
      <c r="LEB51" s="344"/>
      <c r="LEC51" s="344"/>
      <c r="LED51" s="344"/>
      <c r="LEE51" s="344"/>
      <c r="LEF51" s="344"/>
      <c r="LEG51" s="344"/>
      <c r="LEH51" s="344"/>
      <c r="LEI51" s="344"/>
      <c r="LEJ51" s="344"/>
      <c r="LEK51" s="344"/>
      <c r="LEL51" s="344"/>
      <c r="LEM51" s="344"/>
      <c r="LEN51" s="344"/>
      <c r="LEO51" s="344"/>
      <c r="LEP51" s="344"/>
      <c r="LEQ51" s="344"/>
      <c r="LER51" s="344"/>
      <c r="LES51" s="344"/>
      <c r="LET51" s="344"/>
      <c r="LEU51" s="344"/>
      <c r="LEV51" s="344"/>
      <c r="LEW51" s="344"/>
      <c r="LEX51" s="344"/>
      <c r="LEY51" s="344"/>
      <c r="LEZ51" s="344"/>
      <c r="LFA51" s="344"/>
      <c r="LFB51" s="344"/>
      <c r="LFC51" s="344"/>
      <c r="LFD51" s="344"/>
      <c r="LFE51" s="344"/>
      <c r="LFF51" s="344"/>
      <c r="LFG51" s="344"/>
      <c r="LFH51" s="344"/>
      <c r="LFI51" s="344"/>
      <c r="LFJ51" s="344"/>
      <c r="LFK51" s="344"/>
      <c r="LFL51" s="344"/>
      <c r="LFM51" s="344"/>
      <c r="LFN51" s="344"/>
      <c r="LFO51" s="344"/>
      <c r="LFP51" s="344"/>
      <c r="LFQ51" s="344"/>
      <c r="LFR51" s="344"/>
      <c r="LFS51" s="344"/>
      <c r="LFT51" s="344"/>
      <c r="LFU51" s="344"/>
      <c r="LFV51" s="344"/>
      <c r="LFW51" s="344"/>
      <c r="LFX51" s="344"/>
      <c r="LFY51" s="344"/>
      <c r="LFZ51" s="344"/>
      <c r="LGA51" s="344"/>
      <c r="LGB51" s="344"/>
      <c r="LGC51" s="344"/>
      <c r="LGD51" s="344"/>
      <c r="LGE51" s="344"/>
      <c r="LGF51" s="344"/>
      <c r="LGG51" s="344"/>
      <c r="LGH51" s="344"/>
      <c r="LGI51" s="344"/>
      <c r="LGJ51" s="344"/>
      <c r="LGK51" s="344"/>
      <c r="LGL51" s="344"/>
      <c r="LGM51" s="344"/>
      <c r="LGN51" s="344"/>
      <c r="LGO51" s="344"/>
      <c r="LGP51" s="344"/>
      <c r="LGQ51" s="344"/>
      <c r="LGR51" s="344"/>
      <c r="LGS51" s="344"/>
      <c r="LGT51" s="344"/>
      <c r="LGU51" s="344"/>
      <c r="LGV51" s="344"/>
      <c r="LGW51" s="344"/>
      <c r="LGX51" s="344"/>
      <c r="LGY51" s="344"/>
      <c r="LGZ51" s="344"/>
      <c r="LHA51" s="344"/>
      <c r="LHB51" s="344"/>
      <c r="LHC51" s="344"/>
      <c r="LHD51" s="344"/>
      <c r="LHE51" s="344"/>
      <c r="LHF51" s="344"/>
      <c r="LHG51" s="344"/>
      <c r="LHH51" s="344"/>
      <c r="LHI51" s="344"/>
      <c r="LHJ51" s="344"/>
      <c r="LHK51" s="344"/>
      <c r="LHL51" s="344"/>
      <c r="LHM51" s="344"/>
      <c r="LHN51" s="344"/>
      <c r="LHO51" s="344"/>
      <c r="LHP51" s="344"/>
      <c r="LHQ51" s="344"/>
      <c r="LHR51" s="344"/>
      <c r="LHS51" s="344"/>
      <c r="LHT51" s="344"/>
      <c r="LHU51" s="344"/>
      <c r="LHV51" s="344"/>
      <c r="LHW51" s="344"/>
      <c r="LHX51" s="344"/>
      <c r="LHY51" s="344"/>
      <c r="LHZ51" s="344"/>
      <c r="LIA51" s="344"/>
      <c r="LIB51" s="344"/>
      <c r="LIC51" s="344"/>
      <c r="LID51" s="344"/>
      <c r="LIE51" s="344"/>
      <c r="LIF51" s="344"/>
      <c r="LIG51" s="344"/>
      <c r="LIH51" s="344"/>
      <c r="LII51" s="344"/>
      <c r="LIJ51" s="344"/>
      <c r="LIK51" s="344"/>
      <c r="LIL51" s="344"/>
      <c r="LIM51" s="344"/>
      <c r="LIN51" s="344"/>
      <c r="LIO51" s="344"/>
      <c r="LIP51" s="344"/>
      <c r="LIQ51" s="344"/>
      <c r="LIR51" s="344"/>
      <c r="LIS51" s="344"/>
      <c r="LIT51" s="344"/>
      <c r="LIU51" s="344"/>
      <c r="LIV51" s="344"/>
      <c r="LIW51" s="344"/>
      <c r="LIX51" s="344"/>
      <c r="LIY51" s="344"/>
      <c r="LIZ51" s="344"/>
      <c r="LJA51" s="344"/>
      <c r="LJB51" s="344"/>
      <c r="LJC51" s="344"/>
      <c r="LJD51" s="344"/>
      <c r="LJE51" s="344"/>
      <c r="LJF51" s="344"/>
      <c r="LJG51" s="344"/>
      <c r="LJH51" s="344"/>
      <c r="LJI51" s="344"/>
      <c r="LJJ51" s="344"/>
      <c r="LJK51" s="344"/>
      <c r="LJL51" s="344"/>
      <c r="LJM51" s="344"/>
      <c r="LJN51" s="344"/>
      <c r="LJO51" s="344"/>
      <c r="LJP51" s="344"/>
      <c r="LJQ51" s="344"/>
      <c r="LJR51" s="344"/>
      <c r="LJS51" s="344"/>
      <c r="LJT51" s="344"/>
      <c r="LJU51" s="344"/>
      <c r="LJV51" s="344"/>
      <c r="LJW51" s="344"/>
      <c r="LJX51" s="344"/>
      <c r="LJY51" s="344"/>
      <c r="LJZ51" s="344"/>
      <c r="LKA51" s="344"/>
      <c r="LKB51" s="344"/>
      <c r="LKC51" s="344"/>
      <c r="LKD51" s="344"/>
      <c r="LKE51" s="344"/>
      <c r="LKF51" s="344"/>
      <c r="LKG51" s="344"/>
      <c r="LKH51" s="344"/>
      <c r="LKI51" s="344"/>
      <c r="LKJ51" s="344"/>
      <c r="LKK51" s="344"/>
      <c r="LKL51" s="344"/>
      <c r="LKM51" s="344"/>
      <c r="LKN51" s="344"/>
      <c r="LKO51" s="344"/>
      <c r="LKP51" s="344"/>
      <c r="LKQ51" s="344"/>
      <c r="LKR51" s="344"/>
      <c r="LKS51" s="344"/>
      <c r="LKT51" s="344"/>
      <c r="LKU51" s="344"/>
      <c r="LKV51" s="344"/>
      <c r="LKW51" s="344"/>
      <c r="LKX51" s="344"/>
      <c r="LKY51" s="344"/>
      <c r="LKZ51" s="344"/>
      <c r="LLA51" s="344"/>
      <c r="LLB51" s="344"/>
      <c r="LLC51" s="344"/>
      <c r="LLD51" s="344"/>
      <c r="LLE51" s="344"/>
      <c r="LLF51" s="344"/>
      <c r="LLG51" s="344"/>
      <c r="LLH51" s="344"/>
      <c r="LLI51" s="344"/>
      <c r="LLJ51" s="344"/>
      <c r="LLK51" s="344"/>
      <c r="LLL51" s="344"/>
      <c r="LLM51" s="344"/>
      <c r="LLN51" s="344"/>
      <c r="LLO51" s="344"/>
      <c r="LLP51" s="344"/>
      <c r="LLQ51" s="344"/>
      <c r="LLR51" s="344"/>
      <c r="LLS51" s="344"/>
      <c r="LLT51" s="344"/>
      <c r="LLU51" s="344"/>
      <c r="LLV51" s="344"/>
      <c r="LLW51" s="344"/>
      <c r="LLX51" s="344"/>
      <c r="LLY51" s="344"/>
      <c r="LLZ51" s="344"/>
      <c r="LMA51" s="344"/>
      <c r="LMB51" s="344"/>
      <c r="LMC51" s="344"/>
      <c r="LMD51" s="344"/>
      <c r="LME51" s="344"/>
      <c r="LMF51" s="344"/>
      <c r="LMG51" s="344"/>
      <c r="LMH51" s="344"/>
      <c r="LMI51" s="344"/>
      <c r="LMJ51" s="344"/>
      <c r="LMK51" s="344"/>
      <c r="LML51" s="344"/>
      <c r="LMM51" s="344"/>
      <c r="LMN51" s="344"/>
      <c r="LMO51" s="344"/>
      <c r="LMP51" s="344"/>
      <c r="LMQ51" s="344"/>
      <c r="LMR51" s="344"/>
      <c r="LMS51" s="344"/>
      <c r="LMT51" s="344"/>
      <c r="LMU51" s="344"/>
      <c r="LMV51" s="344"/>
      <c r="LMW51" s="344"/>
      <c r="LMX51" s="344"/>
      <c r="LMY51" s="344"/>
      <c r="LMZ51" s="344"/>
      <c r="LNA51" s="344"/>
      <c r="LNB51" s="344"/>
      <c r="LNC51" s="344"/>
      <c r="LND51" s="344"/>
      <c r="LNE51" s="344"/>
      <c r="LNF51" s="344"/>
      <c r="LNG51" s="344"/>
      <c r="LNH51" s="344"/>
      <c r="LNI51" s="344"/>
      <c r="LNJ51" s="344"/>
      <c r="LNK51" s="344"/>
      <c r="LNL51" s="344"/>
      <c r="LNM51" s="344"/>
      <c r="LNN51" s="344"/>
      <c r="LNO51" s="344"/>
      <c r="LNP51" s="344"/>
      <c r="LNQ51" s="344"/>
      <c r="LNR51" s="344"/>
      <c r="LNS51" s="344"/>
      <c r="LNT51" s="344"/>
      <c r="LNU51" s="344"/>
      <c r="LNV51" s="344"/>
      <c r="LNW51" s="344"/>
      <c r="LNX51" s="344"/>
      <c r="LNY51" s="344"/>
      <c r="LNZ51" s="344"/>
      <c r="LOA51" s="344"/>
      <c r="LOB51" s="344"/>
      <c r="LOC51" s="344"/>
      <c r="LOD51" s="344"/>
      <c r="LOE51" s="344"/>
      <c r="LOF51" s="344"/>
      <c r="LOG51" s="344"/>
      <c r="LOH51" s="344"/>
      <c r="LOI51" s="344"/>
      <c r="LOJ51" s="344"/>
      <c r="LOK51" s="344"/>
      <c r="LOL51" s="344"/>
      <c r="LOM51" s="344"/>
      <c r="LON51" s="344"/>
      <c r="LOO51" s="344"/>
      <c r="LOP51" s="344"/>
      <c r="LOQ51" s="344"/>
      <c r="LOR51" s="344"/>
      <c r="LOS51" s="344"/>
      <c r="LOT51" s="344"/>
      <c r="LOU51" s="344"/>
      <c r="LOV51" s="344"/>
      <c r="LOW51" s="344"/>
      <c r="LOX51" s="344"/>
      <c r="LOY51" s="344"/>
      <c r="LOZ51" s="344"/>
      <c r="LPA51" s="344"/>
      <c r="LPB51" s="344"/>
      <c r="LPC51" s="344"/>
      <c r="LPD51" s="344"/>
      <c r="LPE51" s="344"/>
      <c r="LPF51" s="344"/>
      <c r="LPG51" s="344"/>
      <c r="LPH51" s="344"/>
      <c r="LPI51" s="344"/>
      <c r="LPJ51" s="344"/>
      <c r="LPK51" s="344"/>
      <c r="LPL51" s="344"/>
      <c r="LPM51" s="344"/>
      <c r="LPN51" s="344"/>
      <c r="LPO51" s="344"/>
      <c r="LPP51" s="344"/>
      <c r="LPQ51" s="344"/>
      <c r="LPR51" s="344"/>
      <c r="LPS51" s="344"/>
      <c r="LPT51" s="344"/>
      <c r="LPU51" s="344"/>
      <c r="LPV51" s="344"/>
      <c r="LPW51" s="344"/>
      <c r="LPX51" s="344"/>
      <c r="LPY51" s="344"/>
      <c r="LPZ51" s="344"/>
      <c r="LQA51" s="344"/>
      <c r="LQB51" s="344"/>
      <c r="LQC51" s="344"/>
      <c r="LQD51" s="344"/>
      <c r="LQE51" s="344"/>
      <c r="LQF51" s="344"/>
      <c r="LQG51" s="344"/>
      <c r="LQH51" s="344"/>
      <c r="LQI51" s="344"/>
      <c r="LQJ51" s="344"/>
      <c r="LQK51" s="344"/>
      <c r="LQL51" s="344"/>
      <c r="LQM51" s="344"/>
      <c r="LQN51" s="344"/>
      <c r="LQO51" s="344"/>
      <c r="LQP51" s="344"/>
      <c r="LQQ51" s="344"/>
      <c r="LQR51" s="344"/>
      <c r="LQS51" s="344"/>
      <c r="LQT51" s="344"/>
      <c r="LQU51" s="344"/>
      <c r="LQV51" s="344"/>
      <c r="LQW51" s="344"/>
      <c r="LQX51" s="344"/>
      <c r="LQY51" s="344"/>
      <c r="LQZ51" s="344"/>
      <c r="LRA51" s="344"/>
      <c r="LRB51" s="344"/>
      <c r="LRC51" s="344"/>
      <c r="LRD51" s="344"/>
      <c r="LRE51" s="344"/>
      <c r="LRF51" s="344"/>
      <c r="LRG51" s="344"/>
      <c r="LRH51" s="344"/>
      <c r="LRI51" s="344"/>
      <c r="LRJ51" s="344"/>
      <c r="LRK51" s="344"/>
      <c r="LRL51" s="344"/>
      <c r="LRM51" s="344"/>
      <c r="LRN51" s="344"/>
      <c r="LRO51" s="344"/>
      <c r="LRP51" s="344"/>
      <c r="LRQ51" s="344"/>
      <c r="LRR51" s="344"/>
      <c r="LRS51" s="344"/>
      <c r="LRT51" s="344"/>
      <c r="LRU51" s="344"/>
      <c r="LRV51" s="344"/>
      <c r="LRW51" s="344"/>
      <c r="LRX51" s="344"/>
      <c r="LRY51" s="344"/>
      <c r="LRZ51" s="344"/>
      <c r="LSA51" s="344"/>
      <c r="LSB51" s="344"/>
      <c r="LSC51" s="344"/>
      <c r="LSD51" s="344"/>
      <c r="LSE51" s="344"/>
      <c r="LSF51" s="344"/>
      <c r="LSG51" s="344"/>
      <c r="LSH51" s="344"/>
      <c r="LSI51" s="344"/>
      <c r="LSJ51" s="344"/>
      <c r="LSK51" s="344"/>
      <c r="LSL51" s="344"/>
      <c r="LSM51" s="344"/>
      <c r="LSN51" s="344"/>
      <c r="LSO51" s="344"/>
      <c r="LSP51" s="344"/>
      <c r="LSQ51" s="344"/>
      <c r="LSR51" s="344"/>
      <c r="LSS51" s="344"/>
      <c r="LST51" s="344"/>
      <c r="LSU51" s="344"/>
      <c r="LSV51" s="344"/>
      <c r="LSW51" s="344"/>
      <c r="LSX51" s="344"/>
      <c r="LSY51" s="344"/>
      <c r="LSZ51" s="344"/>
      <c r="LTA51" s="344"/>
      <c r="LTB51" s="344"/>
      <c r="LTC51" s="344"/>
      <c r="LTD51" s="344"/>
      <c r="LTE51" s="344"/>
      <c r="LTF51" s="344"/>
      <c r="LTG51" s="344"/>
      <c r="LTH51" s="344"/>
      <c r="LTI51" s="344"/>
      <c r="LTJ51" s="344"/>
      <c r="LTK51" s="344"/>
      <c r="LTL51" s="344"/>
      <c r="LTM51" s="344"/>
      <c r="LTN51" s="344"/>
      <c r="LTO51" s="344"/>
      <c r="LTP51" s="344"/>
      <c r="LTQ51" s="344"/>
      <c r="LTR51" s="344"/>
      <c r="LTS51" s="344"/>
      <c r="LTT51" s="344"/>
      <c r="LTU51" s="344"/>
      <c r="LTV51" s="344"/>
      <c r="LTW51" s="344"/>
      <c r="LTX51" s="344"/>
      <c r="LTY51" s="344"/>
      <c r="LTZ51" s="344"/>
      <c r="LUA51" s="344"/>
      <c r="LUB51" s="344"/>
      <c r="LUC51" s="344"/>
      <c r="LUD51" s="344"/>
      <c r="LUE51" s="344"/>
      <c r="LUF51" s="344"/>
      <c r="LUG51" s="344"/>
      <c r="LUH51" s="344"/>
      <c r="LUI51" s="344"/>
      <c r="LUJ51" s="344"/>
      <c r="LUK51" s="344"/>
      <c r="LUL51" s="344"/>
      <c r="LUM51" s="344"/>
      <c r="LUN51" s="344"/>
      <c r="LUO51" s="344"/>
      <c r="LUP51" s="344"/>
      <c r="LUQ51" s="344"/>
      <c r="LUR51" s="344"/>
      <c r="LUS51" s="344"/>
      <c r="LUT51" s="344"/>
      <c r="LUU51" s="344"/>
      <c r="LUV51" s="344"/>
      <c r="LUW51" s="344"/>
      <c r="LUX51" s="344"/>
      <c r="LUY51" s="344"/>
      <c r="LUZ51" s="344"/>
      <c r="LVA51" s="344"/>
      <c r="LVB51" s="344"/>
      <c r="LVC51" s="344"/>
      <c r="LVD51" s="344"/>
      <c r="LVE51" s="344"/>
      <c r="LVF51" s="344"/>
      <c r="LVG51" s="344"/>
      <c r="LVH51" s="344"/>
      <c r="LVI51" s="344"/>
      <c r="LVJ51" s="344"/>
      <c r="LVK51" s="344"/>
      <c r="LVL51" s="344"/>
      <c r="LVM51" s="344"/>
      <c r="LVN51" s="344"/>
      <c r="LVO51" s="344"/>
      <c r="LVP51" s="344"/>
      <c r="LVQ51" s="344"/>
      <c r="LVR51" s="344"/>
      <c r="LVS51" s="344"/>
      <c r="LVT51" s="344"/>
      <c r="LVU51" s="344"/>
      <c r="LVV51" s="344"/>
      <c r="LVW51" s="344"/>
      <c r="LVX51" s="344"/>
      <c r="LVY51" s="344"/>
      <c r="LVZ51" s="344"/>
      <c r="LWA51" s="344"/>
      <c r="LWB51" s="344"/>
      <c r="LWC51" s="344"/>
      <c r="LWD51" s="344"/>
      <c r="LWE51" s="344"/>
      <c r="LWF51" s="344"/>
      <c r="LWG51" s="344"/>
      <c r="LWH51" s="344"/>
      <c r="LWI51" s="344"/>
      <c r="LWJ51" s="344"/>
      <c r="LWK51" s="344"/>
      <c r="LWL51" s="344"/>
      <c r="LWM51" s="344"/>
      <c r="LWN51" s="344"/>
      <c r="LWO51" s="344"/>
      <c r="LWP51" s="344"/>
      <c r="LWQ51" s="344"/>
      <c r="LWR51" s="344"/>
      <c r="LWS51" s="344"/>
      <c r="LWT51" s="344"/>
      <c r="LWU51" s="344"/>
      <c r="LWV51" s="344"/>
      <c r="LWW51" s="344"/>
      <c r="LWX51" s="344"/>
      <c r="LWY51" s="344"/>
      <c r="LWZ51" s="344"/>
      <c r="LXA51" s="344"/>
      <c r="LXB51" s="344"/>
      <c r="LXC51" s="344"/>
      <c r="LXD51" s="344"/>
      <c r="LXE51" s="344"/>
      <c r="LXF51" s="344"/>
      <c r="LXG51" s="344"/>
      <c r="LXH51" s="344"/>
      <c r="LXI51" s="344"/>
      <c r="LXJ51" s="344"/>
      <c r="LXK51" s="344"/>
      <c r="LXL51" s="344"/>
      <c r="LXM51" s="344"/>
      <c r="LXN51" s="344"/>
      <c r="LXO51" s="344"/>
      <c r="LXP51" s="344"/>
      <c r="LXQ51" s="344"/>
      <c r="LXR51" s="344"/>
      <c r="LXS51" s="344"/>
      <c r="LXT51" s="344"/>
      <c r="LXU51" s="344"/>
      <c r="LXV51" s="344"/>
      <c r="LXW51" s="344"/>
      <c r="LXX51" s="344"/>
      <c r="LXY51" s="344"/>
      <c r="LXZ51" s="344"/>
      <c r="LYA51" s="344"/>
      <c r="LYB51" s="344"/>
      <c r="LYC51" s="344"/>
      <c r="LYD51" s="344"/>
      <c r="LYE51" s="344"/>
      <c r="LYF51" s="344"/>
      <c r="LYG51" s="344"/>
      <c r="LYH51" s="344"/>
      <c r="LYI51" s="344"/>
      <c r="LYJ51" s="344"/>
      <c r="LYK51" s="344"/>
      <c r="LYL51" s="344"/>
      <c r="LYM51" s="344"/>
      <c r="LYN51" s="344"/>
      <c r="LYO51" s="344"/>
      <c r="LYP51" s="344"/>
      <c r="LYQ51" s="344"/>
      <c r="LYR51" s="344"/>
      <c r="LYS51" s="344"/>
      <c r="LYT51" s="344"/>
      <c r="LYU51" s="344"/>
      <c r="LYV51" s="344"/>
      <c r="LYW51" s="344"/>
      <c r="LYX51" s="344"/>
      <c r="LYY51" s="344"/>
      <c r="LYZ51" s="344"/>
      <c r="LZA51" s="344"/>
      <c r="LZB51" s="344"/>
      <c r="LZC51" s="344"/>
      <c r="LZD51" s="344"/>
      <c r="LZE51" s="344"/>
      <c r="LZF51" s="344"/>
      <c r="LZG51" s="344"/>
      <c r="LZH51" s="344"/>
      <c r="LZI51" s="344"/>
      <c r="LZJ51" s="344"/>
      <c r="LZK51" s="344"/>
      <c r="LZL51" s="344"/>
      <c r="LZM51" s="344"/>
      <c r="LZN51" s="344"/>
      <c r="LZO51" s="344"/>
      <c r="LZP51" s="344"/>
      <c r="LZQ51" s="344"/>
      <c r="LZR51" s="344"/>
      <c r="LZS51" s="344"/>
      <c r="LZT51" s="344"/>
      <c r="LZU51" s="344"/>
      <c r="LZV51" s="344"/>
      <c r="LZW51" s="344"/>
      <c r="LZX51" s="344"/>
      <c r="LZY51" s="344"/>
      <c r="LZZ51" s="344"/>
      <c r="MAA51" s="344"/>
      <c r="MAB51" s="344"/>
      <c r="MAC51" s="344"/>
      <c r="MAD51" s="344"/>
      <c r="MAE51" s="344"/>
      <c r="MAF51" s="344"/>
      <c r="MAG51" s="344"/>
      <c r="MAH51" s="344"/>
      <c r="MAI51" s="344"/>
      <c r="MAJ51" s="344"/>
      <c r="MAK51" s="344"/>
      <c r="MAL51" s="344"/>
      <c r="MAM51" s="344"/>
      <c r="MAN51" s="344"/>
      <c r="MAO51" s="344"/>
      <c r="MAP51" s="344"/>
      <c r="MAQ51" s="344"/>
      <c r="MAR51" s="344"/>
      <c r="MAS51" s="344"/>
      <c r="MAT51" s="344"/>
      <c r="MAU51" s="344"/>
      <c r="MAV51" s="344"/>
      <c r="MAW51" s="344"/>
      <c r="MAX51" s="344"/>
      <c r="MAY51" s="344"/>
      <c r="MAZ51" s="344"/>
      <c r="MBA51" s="344"/>
      <c r="MBB51" s="344"/>
      <c r="MBC51" s="344"/>
      <c r="MBD51" s="344"/>
      <c r="MBE51" s="344"/>
      <c r="MBF51" s="344"/>
      <c r="MBG51" s="344"/>
      <c r="MBH51" s="344"/>
      <c r="MBI51" s="344"/>
      <c r="MBJ51" s="344"/>
      <c r="MBK51" s="344"/>
      <c r="MBL51" s="344"/>
      <c r="MBM51" s="344"/>
      <c r="MBN51" s="344"/>
      <c r="MBO51" s="344"/>
      <c r="MBP51" s="344"/>
      <c r="MBQ51" s="344"/>
      <c r="MBR51" s="344"/>
      <c r="MBS51" s="344"/>
      <c r="MBT51" s="344"/>
      <c r="MBU51" s="344"/>
      <c r="MBV51" s="344"/>
      <c r="MBW51" s="344"/>
      <c r="MBX51" s="344"/>
      <c r="MBY51" s="344"/>
      <c r="MBZ51" s="344"/>
      <c r="MCA51" s="344"/>
      <c r="MCB51" s="344"/>
      <c r="MCC51" s="344"/>
      <c r="MCD51" s="344"/>
      <c r="MCE51" s="344"/>
      <c r="MCF51" s="344"/>
      <c r="MCG51" s="344"/>
      <c r="MCH51" s="344"/>
      <c r="MCI51" s="344"/>
      <c r="MCJ51" s="344"/>
      <c r="MCK51" s="344"/>
      <c r="MCL51" s="344"/>
      <c r="MCM51" s="344"/>
      <c r="MCN51" s="344"/>
      <c r="MCO51" s="344"/>
      <c r="MCP51" s="344"/>
      <c r="MCQ51" s="344"/>
      <c r="MCR51" s="344"/>
      <c r="MCS51" s="344"/>
      <c r="MCT51" s="344"/>
      <c r="MCU51" s="344"/>
      <c r="MCV51" s="344"/>
      <c r="MCW51" s="344"/>
      <c r="MCX51" s="344"/>
      <c r="MCY51" s="344"/>
      <c r="MCZ51" s="344"/>
      <c r="MDA51" s="344"/>
      <c r="MDB51" s="344"/>
      <c r="MDC51" s="344"/>
      <c r="MDD51" s="344"/>
      <c r="MDE51" s="344"/>
      <c r="MDF51" s="344"/>
      <c r="MDG51" s="344"/>
      <c r="MDH51" s="344"/>
      <c r="MDI51" s="344"/>
      <c r="MDJ51" s="344"/>
      <c r="MDK51" s="344"/>
      <c r="MDL51" s="344"/>
      <c r="MDM51" s="344"/>
      <c r="MDN51" s="344"/>
      <c r="MDO51" s="344"/>
      <c r="MDP51" s="344"/>
      <c r="MDQ51" s="344"/>
      <c r="MDR51" s="344"/>
      <c r="MDS51" s="344"/>
      <c r="MDT51" s="344"/>
      <c r="MDU51" s="344"/>
      <c r="MDV51" s="344"/>
      <c r="MDW51" s="344"/>
      <c r="MDX51" s="344"/>
      <c r="MDY51" s="344"/>
      <c r="MDZ51" s="344"/>
      <c r="MEA51" s="344"/>
      <c r="MEB51" s="344"/>
      <c r="MEC51" s="344"/>
      <c r="MED51" s="344"/>
      <c r="MEE51" s="344"/>
      <c r="MEF51" s="344"/>
      <c r="MEG51" s="344"/>
      <c r="MEH51" s="344"/>
      <c r="MEI51" s="344"/>
      <c r="MEJ51" s="344"/>
      <c r="MEK51" s="344"/>
      <c r="MEL51" s="344"/>
      <c r="MEM51" s="344"/>
      <c r="MEN51" s="344"/>
      <c r="MEO51" s="344"/>
      <c r="MEP51" s="344"/>
      <c r="MEQ51" s="344"/>
      <c r="MER51" s="344"/>
      <c r="MES51" s="344"/>
      <c r="MET51" s="344"/>
      <c r="MEU51" s="344"/>
      <c r="MEV51" s="344"/>
      <c r="MEW51" s="344"/>
      <c r="MEX51" s="344"/>
      <c r="MEY51" s="344"/>
      <c r="MEZ51" s="344"/>
      <c r="MFA51" s="344"/>
      <c r="MFB51" s="344"/>
      <c r="MFC51" s="344"/>
      <c r="MFD51" s="344"/>
      <c r="MFE51" s="344"/>
      <c r="MFF51" s="344"/>
      <c r="MFG51" s="344"/>
      <c r="MFH51" s="344"/>
      <c r="MFI51" s="344"/>
      <c r="MFJ51" s="344"/>
      <c r="MFK51" s="344"/>
      <c r="MFL51" s="344"/>
      <c r="MFM51" s="344"/>
      <c r="MFN51" s="344"/>
      <c r="MFO51" s="344"/>
      <c r="MFP51" s="344"/>
      <c r="MFQ51" s="344"/>
      <c r="MFR51" s="344"/>
      <c r="MFS51" s="344"/>
      <c r="MFT51" s="344"/>
      <c r="MFU51" s="344"/>
      <c r="MFV51" s="344"/>
      <c r="MFW51" s="344"/>
      <c r="MFX51" s="344"/>
      <c r="MFY51" s="344"/>
      <c r="MFZ51" s="344"/>
      <c r="MGA51" s="344"/>
      <c r="MGB51" s="344"/>
      <c r="MGC51" s="344"/>
      <c r="MGD51" s="344"/>
      <c r="MGE51" s="344"/>
      <c r="MGF51" s="344"/>
      <c r="MGG51" s="344"/>
      <c r="MGH51" s="344"/>
      <c r="MGI51" s="344"/>
      <c r="MGJ51" s="344"/>
      <c r="MGK51" s="344"/>
      <c r="MGL51" s="344"/>
      <c r="MGM51" s="344"/>
      <c r="MGN51" s="344"/>
      <c r="MGO51" s="344"/>
      <c r="MGP51" s="344"/>
      <c r="MGQ51" s="344"/>
      <c r="MGR51" s="344"/>
      <c r="MGS51" s="344"/>
      <c r="MGT51" s="344"/>
      <c r="MGU51" s="344"/>
      <c r="MGV51" s="344"/>
      <c r="MGW51" s="344"/>
      <c r="MGX51" s="344"/>
      <c r="MGY51" s="344"/>
      <c r="MGZ51" s="344"/>
      <c r="MHA51" s="344"/>
      <c r="MHB51" s="344"/>
      <c r="MHC51" s="344"/>
      <c r="MHD51" s="344"/>
      <c r="MHE51" s="344"/>
      <c r="MHF51" s="344"/>
      <c r="MHG51" s="344"/>
      <c r="MHH51" s="344"/>
      <c r="MHI51" s="344"/>
      <c r="MHJ51" s="344"/>
      <c r="MHK51" s="344"/>
      <c r="MHL51" s="344"/>
      <c r="MHM51" s="344"/>
      <c r="MHN51" s="344"/>
      <c r="MHO51" s="344"/>
      <c r="MHP51" s="344"/>
      <c r="MHQ51" s="344"/>
      <c r="MHR51" s="344"/>
      <c r="MHS51" s="344"/>
      <c r="MHT51" s="344"/>
      <c r="MHU51" s="344"/>
      <c r="MHV51" s="344"/>
      <c r="MHW51" s="344"/>
      <c r="MHX51" s="344"/>
      <c r="MHY51" s="344"/>
      <c r="MHZ51" s="344"/>
      <c r="MIA51" s="344"/>
      <c r="MIB51" s="344"/>
      <c r="MIC51" s="344"/>
      <c r="MID51" s="344"/>
      <c r="MIE51" s="344"/>
      <c r="MIF51" s="344"/>
      <c r="MIG51" s="344"/>
      <c r="MIH51" s="344"/>
      <c r="MII51" s="344"/>
      <c r="MIJ51" s="344"/>
      <c r="MIK51" s="344"/>
      <c r="MIL51" s="344"/>
      <c r="MIM51" s="344"/>
      <c r="MIN51" s="344"/>
      <c r="MIO51" s="344"/>
      <c r="MIP51" s="344"/>
      <c r="MIQ51" s="344"/>
      <c r="MIR51" s="344"/>
      <c r="MIS51" s="344"/>
      <c r="MIT51" s="344"/>
      <c r="MIU51" s="344"/>
      <c r="MIV51" s="344"/>
      <c r="MIW51" s="344"/>
      <c r="MIX51" s="344"/>
      <c r="MIY51" s="344"/>
      <c r="MIZ51" s="344"/>
      <c r="MJA51" s="344"/>
      <c r="MJB51" s="344"/>
      <c r="MJC51" s="344"/>
      <c r="MJD51" s="344"/>
      <c r="MJE51" s="344"/>
      <c r="MJF51" s="344"/>
      <c r="MJG51" s="344"/>
      <c r="MJH51" s="344"/>
      <c r="MJI51" s="344"/>
      <c r="MJJ51" s="344"/>
      <c r="MJK51" s="344"/>
      <c r="MJL51" s="344"/>
      <c r="MJM51" s="344"/>
      <c r="MJN51" s="344"/>
      <c r="MJO51" s="344"/>
      <c r="MJP51" s="344"/>
      <c r="MJQ51" s="344"/>
      <c r="MJR51" s="344"/>
      <c r="MJS51" s="344"/>
      <c r="MJT51" s="344"/>
      <c r="MJU51" s="344"/>
      <c r="MJV51" s="344"/>
      <c r="MJW51" s="344"/>
      <c r="MJX51" s="344"/>
      <c r="MJY51" s="344"/>
      <c r="MJZ51" s="344"/>
      <c r="MKA51" s="344"/>
      <c r="MKB51" s="344"/>
      <c r="MKC51" s="344"/>
      <c r="MKD51" s="344"/>
      <c r="MKE51" s="344"/>
      <c r="MKF51" s="344"/>
      <c r="MKG51" s="344"/>
      <c r="MKH51" s="344"/>
      <c r="MKI51" s="344"/>
      <c r="MKJ51" s="344"/>
      <c r="MKK51" s="344"/>
      <c r="MKL51" s="344"/>
      <c r="MKM51" s="344"/>
      <c r="MKN51" s="344"/>
      <c r="MKO51" s="344"/>
      <c r="MKP51" s="344"/>
      <c r="MKQ51" s="344"/>
      <c r="MKR51" s="344"/>
      <c r="MKS51" s="344"/>
      <c r="MKT51" s="344"/>
      <c r="MKU51" s="344"/>
      <c r="MKV51" s="344"/>
      <c r="MKW51" s="344"/>
      <c r="MKX51" s="344"/>
      <c r="MKY51" s="344"/>
      <c r="MKZ51" s="344"/>
      <c r="MLA51" s="344"/>
      <c r="MLB51" s="344"/>
      <c r="MLC51" s="344"/>
      <c r="MLD51" s="344"/>
      <c r="MLE51" s="344"/>
      <c r="MLF51" s="344"/>
      <c r="MLG51" s="344"/>
      <c r="MLH51" s="344"/>
      <c r="MLI51" s="344"/>
      <c r="MLJ51" s="344"/>
      <c r="MLK51" s="344"/>
      <c r="MLL51" s="344"/>
      <c r="MLM51" s="344"/>
      <c r="MLN51" s="344"/>
      <c r="MLO51" s="344"/>
      <c r="MLP51" s="344"/>
      <c r="MLQ51" s="344"/>
      <c r="MLR51" s="344"/>
      <c r="MLS51" s="344"/>
      <c r="MLT51" s="344"/>
      <c r="MLU51" s="344"/>
      <c r="MLV51" s="344"/>
      <c r="MLW51" s="344"/>
      <c r="MLX51" s="344"/>
      <c r="MLY51" s="344"/>
      <c r="MLZ51" s="344"/>
      <c r="MMA51" s="344"/>
      <c r="MMB51" s="344"/>
      <c r="MMC51" s="344"/>
      <c r="MMD51" s="344"/>
      <c r="MME51" s="344"/>
      <c r="MMF51" s="344"/>
      <c r="MMG51" s="344"/>
      <c r="MMH51" s="344"/>
      <c r="MMI51" s="344"/>
      <c r="MMJ51" s="344"/>
      <c r="MMK51" s="344"/>
      <c r="MML51" s="344"/>
      <c r="MMM51" s="344"/>
      <c r="MMN51" s="344"/>
      <c r="MMO51" s="344"/>
      <c r="MMP51" s="344"/>
      <c r="MMQ51" s="344"/>
      <c r="MMR51" s="344"/>
      <c r="MMS51" s="344"/>
      <c r="MMT51" s="344"/>
      <c r="MMU51" s="344"/>
      <c r="MMV51" s="344"/>
      <c r="MMW51" s="344"/>
      <c r="MMX51" s="344"/>
      <c r="MMY51" s="344"/>
      <c r="MMZ51" s="344"/>
      <c r="MNA51" s="344"/>
      <c r="MNB51" s="344"/>
      <c r="MNC51" s="344"/>
      <c r="MND51" s="344"/>
      <c r="MNE51" s="344"/>
      <c r="MNF51" s="344"/>
      <c r="MNG51" s="344"/>
      <c r="MNH51" s="344"/>
      <c r="MNI51" s="344"/>
      <c r="MNJ51" s="344"/>
      <c r="MNK51" s="344"/>
      <c r="MNL51" s="344"/>
      <c r="MNM51" s="344"/>
      <c r="MNN51" s="344"/>
      <c r="MNO51" s="344"/>
      <c r="MNP51" s="344"/>
      <c r="MNQ51" s="344"/>
      <c r="MNR51" s="344"/>
      <c r="MNS51" s="344"/>
      <c r="MNT51" s="344"/>
      <c r="MNU51" s="344"/>
      <c r="MNV51" s="344"/>
      <c r="MNW51" s="344"/>
      <c r="MNX51" s="344"/>
      <c r="MNY51" s="344"/>
      <c r="MNZ51" s="344"/>
      <c r="MOA51" s="344"/>
      <c r="MOB51" s="344"/>
      <c r="MOC51" s="344"/>
      <c r="MOD51" s="344"/>
      <c r="MOE51" s="344"/>
      <c r="MOF51" s="344"/>
      <c r="MOG51" s="344"/>
      <c r="MOH51" s="344"/>
      <c r="MOI51" s="344"/>
      <c r="MOJ51" s="344"/>
      <c r="MOK51" s="344"/>
      <c r="MOL51" s="344"/>
      <c r="MOM51" s="344"/>
      <c r="MON51" s="344"/>
      <c r="MOO51" s="344"/>
      <c r="MOP51" s="344"/>
      <c r="MOQ51" s="344"/>
      <c r="MOR51" s="344"/>
      <c r="MOS51" s="344"/>
      <c r="MOT51" s="344"/>
      <c r="MOU51" s="344"/>
      <c r="MOV51" s="344"/>
      <c r="MOW51" s="344"/>
      <c r="MOX51" s="344"/>
      <c r="MOY51" s="344"/>
      <c r="MOZ51" s="344"/>
      <c r="MPA51" s="344"/>
      <c r="MPB51" s="344"/>
      <c r="MPC51" s="344"/>
      <c r="MPD51" s="344"/>
      <c r="MPE51" s="344"/>
      <c r="MPF51" s="344"/>
      <c r="MPG51" s="344"/>
      <c r="MPH51" s="344"/>
      <c r="MPI51" s="344"/>
      <c r="MPJ51" s="344"/>
      <c r="MPK51" s="344"/>
      <c r="MPL51" s="344"/>
      <c r="MPM51" s="344"/>
      <c r="MPN51" s="344"/>
      <c r="MPO51" s="344"/>
      <c r="MPP51" s="344"/>
      <c r="MPQ51" s="344"/>
      <c r="MPR51" s="344"/>
      <c r="MPS51" s="344"/>
      <c r="MPT51" s="344"/>
      <c r="MPU51" s="344"/>
      <c r="MPV51" s="344"/>
      <c r="MPW51" s="344"/>
      <c r="MPX51" s="344"/>
      <c r="MPY51" s="344"/>
      <c r="MPZ51" s="344"/>
      <c r="MQA51" s="344"/>
      <c r="MQB51" s="344"/>
      <c r="MQC51" s="344"/>
      <c r="MQD51" s="344"/>
      <c r="MQE51" s="344"/>
      <c r="MQF51" s="344"/>
      <c r="MQG51" s="344"/>
      <c r="MQH51" s="344"/>
      <c r="MQI51" s="344"/>
      <c r="MQJ51" s="344"/>
      <c r="MQK51" s="344"/>
      <c r="MQL51" s="344"/>
      <c r="MQM51" s="344"/>
      <c r="MQN51" s="344"/>
      <c r="MQO51" s="344"/>
      <c r="MQP51" s="344"/>
      <c r="MQQ51" s="344"/>
      <c r="MQR51" s="344"/>
      <c r="MQS51" s="344"/>
      <c r="MQT51" s="344"/>
      <c r="MQU51" s="344"/>
      <c r="MQV51" s="344"/>
      <c r="MQW51" s="344"/>
      <c r="MQX51" s="344"/>
      <c r="MQY51" s="344"/>
      <c r="MQZ51" s="344"/>
      <c r="MRA51" s="344"/>
      <c r="MRB51" s="344"/>
      <c r="MRC51" s="344"/>
      <c r="MRD51" s="344"/>
      <c r="MRE51" s="344"/>
      <c r="MRF51" s="344"/>
      <c r="MRG51" s="344"/>
      <c r="MRH51" s="344"/>
      <c r="MRI51" s="344"/>
      <c r="MRJ51" s="344"/>
      <c r="MRK51" s="344"/>
      <c r="MRL51" s="344"/>
      <c r="MRM51" s="344"/>
      <c r="MRN51" s="344"/>
      <c r="MRO51" s="344"/>
      <c r="MRP51" s="344"/>
      <c r="MRQ51" s="344"/>
      <c r="MRR51" s="344"/>
      <c r="MRS51" s="344"/>
      <c r="MRT51" s="344"/>
      <c r="MRU51" s="344"/>
      <c r="MRV51" s="344"/>
      <c r="MRW51" s="344"/>
      <c r="MRX51" s="344"/>
      <c r="MRY51" s="344"/>
      <c r="MRZ51" s="344"/>
      <c r="MSA51" s="344"/>
      <c r="MSB51" s="344"/>
      <c r="MSC51" s="344"/>
      <c r="MSD51" s="344"/>
      <c r="MSE51" s="344"/>
      <c r="MSF51" s="344"/>
      <c r="MSG51" s="344"/>
      <c r="MSH51" s="344"/>
      <c r="MSI51" s="344"/>
      <c r="MSJ51" s="344"/>
      <c r="MSK51" s="344"/>
      <c r="MSL51" s="344"/>
      <c r="MSM51" s="344"/>
      <c r="MSN51" s="344"/>
      <c r="MSO51" s="344"/>
      <c r="MSP51" s="344"/>
      <c r="MSQ51" s="344"/>
      <c r="MSR51" s="344"/>
      <c r="MSS51" s="344"/>
      <c r="MST51" s="344"/>
      <c r="MSU51" s="344"/>
      <c r="MSV51" s="344"/>
      <c r="MSW51" s="344"/>
      <c r="MSX51" s="344"/>
      <c r="MSY51" s="344"/>
      <c r="MSZ51" s="344"/>
      <c r="MTA51" s="344"/>
      <c r="MTB51" s="344"/>
      <c r="MTC51" s="344"/>
      <c r="MTD51" s="344"/>
      <c r="MTE51" s="344"/>
      <c r="MTF51" s="344"/>
      <c r="MTG51" s="344"/>
      <c r="MTH51" s="344"/>
      <c r="MTI51" s="344"/>
      <c r="MTJ51" s="344"/>
      <c r="MTK51" s="344"/>
      <c r="MTL51" s="344"/>
      <c r="MTM51" s="344"/>
      <c r="MTN51" s="344"/>
      <c r="MTO51" s="344"/>
      <c r="MTP51" s="344"/>
      <c r="MTQ51" s="344"/>
      <c r="MTR51" s="344"/>
      <c r="MTS51" s="344"/>
      <c r="MTT51" s="344"/>
      <c r="MTU51" s="344"/>
      <c r="MTV51" s="344"/>
      <c r="MTW51" s="344"/>
      <c r="MTX51" s="344"/>
      <c r="MTY51" s="344"/>
      <c r="MTZ51" s="344"/>
      <c r="MUA51" s="344"/>
      <c r="MUB51" s="344"/>
      <c r="MUC51" s="344"/>
      <c r="MUD51" s="344"/>
      <c r="MUE51" s="344"/>
      <c r="MUF51" s="344"/>
      <c r="MUG51" s="344"/>
      <c r="MUH51" s="344"/>
      <c r="MUI51" s="344"/>
      <c r="MUJ51" s="344"/>
      <c r="MUK51" s="344"/>
      <c r="MUL51" s="344"/>
      <c r="MUM51" s="344"/>
      <c r="MUN51" s="344"/>
      <c r="MUO51" s="344"/>
      <c r="MUP51" s="344"/>
      <c r="MUQ51" s="344"/>
      <c r="MUR51" s="344"/>
      <c r="MUS51" s="344"/>
      <c r="MUT51" s="344"/>
      <c r="MUU51" s="344"/>
      <c r="MUV51" s="344"/>
      <c r="MUW51" s="344"/>
      <c r="MUX51" s="344"/>
      <c r="MUY51" s="344"/>
      <c r="MUZ51" s="344"/>
      <c r="MVA51" s="344"/>
      <c r="MVB51" s="344"/>
      <c r="MVC51" s="344"/>
      <c r="MVD51" s="344"/>
      <c r="MVE51" s="344"/>
      <c r="MVF51" s="344"/>
      <c r="MVG51" s="344"/>
      <c r="MVH51" s="344"/>
      <c r="MVI51" s="344"/>
      <c r="MVJ51" s="344"/>
      <c r="MVK51" s="344"/>
      <c r="MVL51" s="344"/>
      <c r="MVM51" s="344"/>
      <c r="MVN51" s="344"/>
      <c r="MVO51" s="344"/>
      <c r="MVP51" s="344"/>
      <c r="MVQ51" s="344"/>
      <c r="MVR51" s="344"/>
      <c r="MVS51" s="344"/>
      <c r="MVT51" s="344"/>
      <c r="MVU51" s="344"/>
      <c r="MVV51" s="344"/>
      <c r="MVW51" s="344"/>
      <c r="MVX51" s="344"/>
      <c r="MVY51" s="344"/>
      <c r="MVZ51" s="344"/>
      <c r="MWA51" s="344"/>
      <c r="MWB51" s="344"/>
      <c r="MWC51" s="344"/>
      <c r="MWD51" s="344"/>
      <c r="MWE51" s="344"/>
      <c r="MWF51" s="344"/>
      <c r="MWG51" s="344"/>
      <c r="MWH51" s="344"/>
      <c r="MWI51" s="344"/>
      <c r="MWJ51" s="344"/>
      <c r="MWK51" s="344"/>
      <c r="MWL51" s="344"/>
      <c r="MWM51" s="344"/>
      <c r="MWN51" s="344"/>
      <c r="MWO51" s="344"/>
      <c r="MWP51" s="344"/>
      <c r="MWQ51" s="344"/>
      <c r="MWR51" s="344"/>
      <c r="MWS51" s="344"/>
      <c r="MWT51" s="344"/>
      <c r="MWU51" s="344"/>
      <c r="MWV51" s="344"/>
      <c r="MWW51" s="344"/>
      <c r="MWX51" s="344"/>
      <c r="MWY51" s="344"/>
      <c r="MWZ51" s="344"/>
      <c r="MXA51" s="344"/>
      <c r="MXB51" s="344"/>
      <c r="MXC51" s="344"/>
      <c r="MXD51" s="344"/>
      <c r="MXE51" s="344"/>
      <c r="MXF51" s="344"/>
      <c r="MXG51" s="344"/>
      <c r="MXH51" s="344"/>
      <c r="MXI51" s="344"/>
      <c r="MXJ51" s="344"/>
      <c r="MXK51" s="344"/>
      <c r="MXL51" s="344"/>
      <c r="MXM51" s="344"/>
      <c r="MXN51" s="344"/>
      <c r="MXO51" s="344"/>
      <c r="MXP51" s="344"/>
      <c r="MXQ51" s="344"/>
      <c r="MXR51" s="344"/>
      <c r="MXS51" s="344"/>
      <c r="MXT51" s="344"/>
      <c r="MXU51" s="344"/>
      <c r="MXV51" s="344"/>
      <c r="MXW51" s="344"/>
      <c r="MXX51" s="344"/>
      <c r="MXY51" s="344"/>
      <c r="MXZ51" s="344"/>
      <c r="MYA51" s="344"/>
      <c r="MYB51" s="344"/>
      <c r="MYC51" s="344"/>
      <c r="MYD51" s="344"/>
      <c r="MYE51" s="344"/>
      <c r="MYF51" s="344"/>
      <c r="MYG51" s="344"/>
      <c r="MYH51" s="344"/>
      <c r="MYI51" s="344"/>
      <c r="MYJ51" s="344"/>
      <c r="MYK51" s="344"/>
      <c r="MYL51" s="344"/>
      <c r="MYM51" s="344"/>
      <c r="MYN51" s="344"/>
      <c r="MYO51" s="344"/>
      <c r="MYP51" s="344"/>
      <c r="MYQ51" s="344"/>
      <c r="MYR51" s="344"/>
      <c r="MYS51" s="344"/>
      <c r="MYT51" s="344"/>
      <c r="MYU51" s="344"/>
      <c r="MYV51" s="344"/>
      <c r="MYW51" s="344"/>
      <c r="MYX51" s="344"/>
      <c r="MYY51" s="344"/>
      <c r="MYZ51" s="344"/>
      <c r="MZA51" s="344"/>
      <c r="MZB51" s="344"/>
      <c r="MZC51" s="344"/>
      <c r="MZD51" s="344"/>
      <c r="MZE51" s="344"/>
      <c r="MZF51" s="344"/>
      <c r="MZG51" s="344"/>
      <c r="MZH51" s="344"/>
      <c r="MZI51" s="344"/>
      <c r="MZJ51" s="344"/>
      <c r="MZK51" s="344"/>
      <c r="MZL51" s="344"/>
      <c r="MZM51" s="344"/>
      <c r="MZN51" s="344"/>
      <c r="MZO51" s="344"/>
      <c r="MZP51" s="344"/>
      <c r="MZQ51" s="344"/>
      <c r="MZR51" s="344"/>
      <c r="MZS51" s="344"/>
      <c r="MZT51" s="344"/>
      <c r="MZU51" s="344"/>
      <c r="MZV51" s="344"/>
      <c r="MZW51" s="344"/>
      <c r="MZX51" s="344"/>
      <c r="MZY51" s="344"/>
      <c r="MZZ51" s="344"/>
      <c r="NAA51" s="344"/>
      <c r="NAB51" s="344"/>
      <c r="NAC51" s="344"/>
      <c r="NAD51" s="344"/>
      <c r="NAE51" s="344"/>
      <c r="NAF51" s="344"/>
      <c r="NAG51" s="344"/>
      <c r="NAH51" s="344"/>
      <c r="NAI51" s="344"/>
      <c r="NAJ51" s="344"/>
      <c r="NAK51" s="344"/>
      <c r="NAL51" s="344"/>
      <c r="NAM51" s="344"/>
      <c r="NAN51" s="344"/>
      <c r="NAO51" s="344"/>
      <c r="NAP51" s="344"/>
      <c r="NAQ51" s="344"/>
      <c r="NAR51" s="344"/>
      <c r="NAS51" s="344"/>
      <c r="NAT51" s="344"/>
      <c r="NAU51" s="344"/>
      <c r="NAV51" s="344"/>
      <c r="NAW51" s="344"/>
      <c r="NAX51" s="344"/>
      <c r="NAY51" s="344"/>
      <c r="NAZ51" s="344"/>
      <c r="NBA51" s="344"/>
      <c r="NBB51" s="344"/>
      <c r="NBC51" s="344"/>
      <c r="NBD51" s="344"/>
      <c r="NBE51" s="344"/>
      <c r="NBF51" s="344"/>
      <c r="NBG51" s="344"/>
      <c r="NBH51" s="344"/>
      <c r="NBI51" s="344"/>
      <c r="NBJ51" s="344"/>
      <c r="NBK51" s="344"/>
      <c r="NBL51" s="344"/>
      <c r="NBM51" s="344"/>
      <c r="NBN51" s="344"/>
      <c r="NBO51" s="344"/>
      <c r="NBP51" s="344"/>
      <c r="NBQ51" s="344"/>
      <c r="NBR51" s="344"/>
      <c r="NBS51" s="344"/>
      <c r="NBT51" s="344"/>
      <c r="NBU51" s="344"/>
      <c r="NBV51" s="344"/>
      <c r="NBW51" s="344"/>
      <c r="NBX51" s="344"/>
      <c r="NBY51" s="344"/>
      <c r="NBZ51" s="344"/>
      <c r="NCA51" s="344"/>
      <c r="NCB51" s="344"/>
      <c r="NCC51" s="344"/>
      <c r="NCD51" s="344"/>
      <c r="NCE51" s="344"/>
      <c r="NCF51" s="344"/>
      <c r="NCG51" s="344"/>
      <c r="NCH51" s="344"/>
      <c r="NCI51" s="344"/>
      <c r="NCJ51" s="344"/>
      <c r="NCK51" s="344"/>
      <c r="NCL51" s="344"/>
      <c r="NCM51" s="344"/>
      <c r="NCN51" s="344"/>
      <c r="NCO51" s="344"/>
      <c r="NCP51" s="344"/>
      <c r="NCQ51" s="344"/>
      <c r="NCR51" s="344"/>
      <c r="NCS51" s="344"/>
      <c r="NCT51" s="344"/>
      <c r="NCU51" s="344"/>
      <c r="NCV51" s="344"/>
      <c r="NCW51" s="344"/>
      <c r="NCX51" s="344"/>
      <c r="NCY51" s="344"/>
      <c r="NCZ51" s="344"/>
      <c r="NDA51" s="344"/>
      <c r="NDB51" s="344"/>
      <c r="NDC51" s="344"/>
      <c r="NDD51" s="344"/>
      <c r="NDE51" s="344"/>
      <c r="NDF51" s="344"/>
      <c r="NDG51" s="344"/>
      <c r="NDH51" s="344"/>
      <c r="NDI51" s="344"/>
      <c r="NDJ51" s="344"/>
      <c r="NDK51" s="344"/>
      <c r="NDL51" s="344"/>
      <c r="NDM51" s="344"/>
      <c r="NDN51" s="344"/>
      <c r="NDO51" s="344"/>
      <c r="NDP51" s="344"/>
      <c r="NDQ51" s="344"/>
      <c r="NDR51" s="344"/>
      <c r="NDS51" s="344"/>
      <c r="NDT51" s="344"/>
      <c r="NDU51" s="344"/>
      <c r="NDV51" s="344"/>
      <c r="NDW51" s="344"/>
      <c r="NDX51" s="344"/>
      <c r="NDY51" s="344"/>
      <c r="NDZ51" s="344"/>
      <c r="NEA51" s="344"/>
      <c r="NEB51" s="344"/>
      <c r="NEC51" s="344"/>
      <c r="NED51" s="344"/>
      <c r="NEE51" s="344"/>
      <c r="NEF51" s="344"/>
      <c r="NEG51" s="344"/>
      <c r="NEH51" s="344"/>
      <c r="NEI51" s="344"/>
      <c r="NEJ51" s="344"/>
      <c r="NEK51" s="344"/>
      <c r="NEL51" s="344"/>
      <c r="NEM51" s="344"/>
      <c r="NEN51" s="344"/>
      <c r="NEO51" s="344"/>
      <c r="NEP51" s="344"/>
      <c r="NEQ51" s="344"/>
      <c r="NER51" s="344"/>
      <c r="NES51" s="344"/>
      <c r="NET51" s="344"/>
      <c r="NEU51" s="344"/>
      <c r="NEV51" s="344"/>
      <c r="NEW51" s="344"/>
      <c r="NEX51" s="344"/>
      <c r="NEY51" s="344"/>
      <c r="NEZ51" s="344"/>
      <c r="NFA51" s="344"/>
      <c r="NFB51" s="344"/>
      <c r="NFC51" s="344"/>
      <c r="NFD51" s="344"/>
      <c r="NFE51" s="344"/>
      <c r="NFF51" s="344"/>
      <c r="NFG51" s="344"/>
      <c r="NFH51" s="344"/>
      <c r="NFI51" s="344"/>
      <c r="NFJ51" s="344"/>
      <c r="NFK51" s="344"/>
      <c r="NFL51" s="344"/>
      <c r="NFM51" s="344"/>
      <c r="NFN51" s="344"/>
      <c r="NFO51" s="344"/>
      <c r="NFP51" s="344"/>
      <c r="NFQ51" s="344"/>
      <c r="NFR51" s="344"/>
      <c r="NFS51" s="344"/>
      <c r="NFT51" s="344"/>
      <c r="NFU51" s="344"/>
      <c r="NFV51" s="344"/>
      <c r="NFW51" s="344"/>
      <c r="NFX51" s="344"/>
      <c r="NFY51" s="344"/>
      <c r="NFZ51" s="344"/>
      <c r="NGA51" s="344"/>
      <c r="NGB51" s="344"/>
      <c r="NGC51" s="344"/>
      <c r="NGD51" s="344"/>
      <c r="NGE51" s="344"/>
      <c r="NGF51" s="344"/>
      <c r="NGG51" s="344"/>
      <c r="NGH51" s="344"/>
      <c r="NGI51" s="344"/>
      <c r="NGJ51" s="344"/>
      <c r="NGK51" s="344"/>
      <c r="NGL51" s="344"/>
      <c r="NGM51" s="344"/>
      <c r="NGN51" s="344"/>
      <c r="NGO51" s="344"/>
      <c r="NGP51" s="344"/>
      <c r="NGQ51" s="344"/>
      <c r="NGR51" s="344"/>
      <c r="NGS51" s="344"/>
      <c r="NGT51" s="344"/>
      <c r="NGU51" s="344"/>
      <c r="NGV51" s="344"/>
      <c r="NGW51" s="344"/>
      <c r="NGX51" s="344"/>
      <c r="NGY51" s="344"/>
      <c r="NGZ51" s="344"/>
      <c r="NHA51" s="344"/>
      <c r="NHB51" s="344"/>
      <c r="NHC51" s="344"/>
      <c r="NHD51" s="344"/>
      <c r="NHE51" s="344"/>
      <c r="NHF51" s="344"/>
      <c r="NHG51" s="344"/>
      <c r="NHH51" s="344"/>
      <c r="NHI51" s="344"/>
      <c r="NHJ51" s="344"/>
      <c r="NHK51" s="344"/>
      <c r="NHL51" s="344"/>
      <c r="NHM51" s="344"/>
      <c r="NHN51" s="344"/>
      <c r="NHO51" s="344"/>
      <c r="NHP51" s="344"/>
      <c r="NHQ51" s="344"/>
      <c r="NHR51" s="344"/>
      <c r="NHS51" s="344"/>
      <c r="NHT51" s="344"/>
      <c r="NHU51" s="344"/>
      <c r="NHV51" s="344"/>
      <c r="NHW51" s="344"/>
      <c r="NHX51" s="344"/>
      <c r="NHY51" s="344"/>
      <c r="NHZ51" s="344"/>
      <c r="NIA51" s="344"/>
      <c r="NIB51" s="344"/>
      <c r="NIC51" s="344"/>
      <c r="NID51" s="344"/>
      <c r="NIE51" s="344"/>
      <c r="NIF51" s="344"/>
      <c r="NIG51" s="344"/>
      <c r="NIH51" s="344"/>
      <c r="NII51" s="344"/>
      <c r="NIJ51" s="344"/>
      <c r="NIK51" s="344"/>
      <c r="NIL51" s="344"/>
      <c r="NIM51" s="344"/>
      <c r="NIN51" s="344"/>
      <c r="NIO51" s="344"/>
      <c r="NIP51" s="344"/>
      <c r="NIQ51" s="344"/>
      <c r="NIR51" s="344"/>
      <c r="NIS51" s="344"/>
      <c r="NIT51" s="344"/>
      <c r="NIU51" s="344"/>
      <c r="NIV51" s="344"/>
      <c r="NIW51" s="344"/>
      <c r="NIX51" s="344"/>
      <c r="NIY51" s="344"/>
      <c r="NIZ51" s="344"/>
      <c r="NJA51" s="344"/>
      <c r="NJB51" s="344"/>
      <c r="NJC51" s="344"/>
      <c r="NJD51" s="344"/>
      <c r="NJE51" s="344"/>
      <c r="NJF51" s="344"/>
      <c r="NJG51" s="344"/>
      <c r="NJH51" s="344"/>
      <c r="NJI51" s="344"/>
      <c r="NJJ51" s="344"/>
      <c r="NJK51" s="344"/>
      <c r="NJL51" s="344"/>
      <c r="NJM51" s="344"/>
      <c r="NJN51" s="344"/>
      <c r="NJO51" s="344"/>
      <c r="NJP51" s="344"/>
      <c r="NJQ51" s="344"/>
      <c r="NJR51" s="344"/>
      <c r="NJS51" s="344"/>
      <c r="NJT51" s="344"/>
      <c r="NJU51" s="344"/>
      <c r="NJV51" s="344"/>
      <c r="NJW51" s="344"/>
      <c r="NJX51" s="344"/>
      <c r="NJY51" s="344"/>
      <c r="NJZ51" s="344"/>
      <c r="NKA51" s="344"/>
      <c r="NKB51" s="344"/>
      <c r="NKC51" s="344"/>
      <c r="NKD51" s="344"/>
      <c r="NKE51" s="344"/>
      <c r="NKF51" s="344"/>
      <c r="NKG51" s="344"/>
      <c r="NKH51" s="344"/>
      <c r="NKI51" s="344"/>
      <c r="NKJ51" s="344"/>
      <c r="NKK51" s="344"/>
      <c r="NKL51" s="344"/>
      <c r="NKM51" s="344"/>
      <c r="NKN51" s="344"/>
      <c r="NKO51" s="344"/>
      <c r="NKP51" s="344"/>
      <c r="NKQ51" s="344"/>
      <c r="NKR51" s="344"/>
      <c r="NKS51" s="344"/>
      <c r="NKT51" s="344"/>
      <c r="NKU51" s="344"/>
      <c r="NKV51" s="344"/>
      <c r="NKW51" s="344"/>
      <c r="NKX51" s="344"/>
      <c r="NKY51" s="344"/>
      <c r="NKZ51" s="344"/>
      <c r="NLA51" s="344"/>
      <c r="NLB51" s="344"/>
      <c r="NLC51" s="344"/>
      <c r="NLD51" s="344"/>
      <c r="NLE51" s="344"/>
      <c r="NLF51" s="344"/>
      <c r="NLG51" s="344"/>
      <c r="NLH51" s="344"/>
      <c r="NLI51" s="344"/>
      <c r="NLJ51" s="344"/>
      <c r="NLK51" s="344"/>
      <c r="NLL51" s="344"/>
      <c r="NLM51" s="344"/>
      <c r="NLN51" s="344"/>
      <c r="NLO51" s="344"/>
      <c r="NLP51" s="344"/>
      <c r="NLQ51" s="344"/>
      <c r="NLR51" s="344"/>
      <c r="NLS51" s="344"/>
      <c r="NLT51" s="344"/>
      <c r="NLU51" s="344"/>
      <c r="NLV51" s="344"/>
      <c r="NLW51" s="344"/>
      <c r="NLX51" s="344"/>
      <c r="NLY51" s="344"/>
      <c r="NLZ51" s="344"/>
      <c r="NMA51" s="344"/>
      <c r="NMB51" s="344"/>
      <c r="NMC51" s="344"/>
      <c r="NMD51" s="344"/>
      <c r="NME51" s="344"/>
      <c r="NMF51" s="344"/>
      <c r="NMG51" s="344"/>
      <c r="NMH51" s="344"/>
      <c r="NMI51" s="344"/>
      <c r="NMJ51" s="344"/>
      <c r="NMK51" s="344"/>
      <c r="NML51" s="344"/>
      <c r="NMM51" s="344"/>
      <c r="NMN51" s="344"/>
      <c r="NMO51" s="344"/>
      <c r="NMP51" s="344"/>
      <c r="NMQ51" s="344"/>
      <c r="NMR51" s="344"/>
      <c r="NMS51" s="344"/>
      <c r="NMT51" s="344"/>
      <c r="NMU51" s="344"/>
      <c r="NMV51" s="344"/>
      <c r="NMW51" s="344"/>
      <c r="NMX51" s="344"/>
      <c r="NMY51" s="344"/>
      <c r="NMZ51" s="344"/>
      <c r="NNA51" s="344"/>
      <c r="NNB51" s="344"/>
      <c r="NNC51" s="344"/>
      <c r="NND51" s="344"/>
      <c r="NNE51" s="344"/>
      <c r="NNF51" s="344"/>
      <c r="NNG51" s="344"/>
      <c r="NNH51" s="344"/>
      <c r="NNI51" s="344"/>
      <c r="NNJ51" s="344"/>
      <c r="NNK51" s="344"/>
      <c r="NNL51" s="344"/>
      <c r="NNM51" s="344"/>
      <c r="NNN51" s="344"/>
      <c r="NNO51" s="344"/>
      <c r="NNP51" s="344"/>
      <c r="NNQ51" s="344"/>
      <c r="NNR51" s="344"/>
      <c r="NNS51" s="344"/>
      <c r="NNT51" s="344"/>
      <c r="NNU51" s="344"/>
      <c r="NNV51" s="344"/>
      <c r="NNW51" s="344"/>
      <c r="NNX51" s="344"/>
      <c r="NNY51" s="344"/>
      <c r="NNZ51" s="344"/>
      <c r="NOA51" s="344"/>
      <c r="NOB51" s="344"/>
      <c r="NOC51" s="344"/>
      <c r="NOD51" s="344"/>
      <c r="NOE51" s="344"/>
      <c r="NOF51" s="344"/>
      <c r="NOG51" s="344"/>
      <c r="NOH51" s="344"/>
      <c r="NOI51" s="344"/>
      <c r="NOJ51" s="344"/>
      <c r="NOK51" s="344"/>
      <c r="NOL51" s="344"/>
      <c r="NOM51" s="344"/>
      <c r="NON51" s="344"/>
      <c r="NOO51" s="344"/>
      <c r="NOP51" s="344"/>
      <c r="NOQ51" s="344"/>
      <c r="NOR51" s="344"/>
      <c r="NOS51" s="344"/>
      <c r="NOT51" s="344"/>
      <c r="NOU51" s="344"/>
      <c r="NOV51" s="344"/>
      <c r="NOW51" s="344"/>
      <c r="NOX51" s="344"/>
      <c r="NOY51" s="344"/>
      <c r="NOZ51" s="344"/>
      <c r="NPA51" s="344"/>
      <c r="NPB51" s="344"/>
      <c r="NPC51" s="344"/>
      <c r="NPD51" s="344"/>
      <c r="NPE51" s="344"/>
      <c r="NPF51" s="344"/>
      <c r="NPG51" s="344"/>
      <c r="NPH51" s="344"/>
      <c r="NPI51" s="344"/>
      <c r="NPJ51" s="344"/>
      <c r="NPK51" s="344"/>
      <c r="NPL51" s="344"/>
      <c r="NPM51" s="344"/>
      <c r="NPN51" s="344"/>
      <c r="NPO51" s="344"/>
      <c r="NPP51" s="344"/>
      <c r="NPQ51" s="344"/>
      <c r="NPR51" s="344"/>
      <c r="NPS51" s="344"/>
      <c r="NPT51" s="344"/>
      <c r="NPU51" s="344"/>
      <c r="NPV51" s="344"/>
      <c r="NPW51" s="344"/>
      <c r="NPX51" s="344"/>
      <c r="NPY51" s="344"/>
      <c r="NPZ51" s="344"/>
      <c r="NQA51" s="344"/>
      <c r="NQB51" s="344"/>
      <c r="NQC51" s="344"/>
      <c r="NQD51" s="344"/>
      <c r="NQE51" s="344"/>
      <c r="NQF51" s="344"/>
      <c r="NQG51" s="344"/>
      <c r="NQH51" s="344"/>
      <c r="NQI51" s="344"/>
      <c r="NQJ51" s="344"/>
      <c r="NQK51" s="344"/>
      <c r="NQL51" s="344"/>
      <c r="NQM51" s="344"/>
      <c r="NQN51" s="344"/>
      <c r="NQO51" s="344"/>
      <c r="NQP51" s="344"/>
      <c r="NQQ51" s="344"/>
      <c r="NQR51" s="344"/>
      <c r="NQS51" s="344"/>
      <c r="NQT51" s="344"/>
      <c r="NQU51" s="344"/>
      <c r="NQV51" s="344"/>
      <c r="NQW51" s="344"/>
      <c r="NQX51" s="344"/>
      <c r="NQY51" s="344"/>
      <c r="NQZ51" s="344"/>
      <c r="NRA51" s="344"/>
      <c r="NRB51" s="344"/>
      <c r="NRC51" s="344"/>
      <c r="NRD51" s="344"/>
      <c r="NRE51" s="344"/>
      <c r="NRF51" s="344"/>
      <c r="NRG51" s="344"/>
      <c r="NRH51" s="344"/>
      <c r="NRI51" s="344"/>
      <c r="NRJ51" s="344"/>
      <c r="NRK51" s="344"/>
      <c r="NRL51" s="344"/>
      <c r="NRM51" s="344"/>
      <c r="NRN51" s="344"/>
      <c r="NRO51" s="344"/>
      <c r="NRP51" s="344"/>
      <c r="NRQ51" s="344"/>
      <c r="NRR51" s="344"/>
      <c r="NRS51" s="344"/>
      <c r="NRT51" s="344"/>
      <c r="NRU51" s="344"/>
      <c r="NRV51" s="344"/>
      <c r="NRW51" s="344"/>
      <c r="NRX51" s="344"/>
      <c r="NRY51" s="344"/>
      <c r="NRZ51" s="344"/>
      <c r="NSA51" s="344"/>
      <c r="NSB51" s="344"/>
      <c r="NSC51" s="344"/>
      <c r="NSD51" s="344"/>
      <c r="NSE51" s="344"/>
      <c r="NSF51" s="344"/>
      <c r="NSG51" s="344"/>
      <c r="NSH51" s="344"/>
      <c r="NSI51" s="344"/>
      <c r="NSJ51" s="344"/>
      <c r="NSK51" s="344"/>
      <c r="NSL51" s="344"/>
      <c r="NSM51" s="344"/>
      <c r="NSN51" s="344"/>
      <c r="NSO51" s="344"/>
      <c r="NSP51" s="344"/>
      <c r="NSQ51" s="344"/>
      <c r="NSR51" s="344"/>
      <c r="NSS51" s="344"/>
      <c r="NST51" s="344"/>
      <c r="NSU51" s="344"/>
      <c r="NSV51" s="344"/>
      <c r="NSW51" s="344"/>
      <c r="NSX51" s="344"/>
      <c r="NSY51" s="344"/>
      <c r="NSZ51" s="344"/>
      <c r="NTA51" s="344"/>
      <c r="NTB51" s="344"/>
      <c r="NTC51" s="344"/>
      <c r="NTD51" s="344"/>
      <c r="NTE51" s="344"/>
      <c r="NTF51" s="344"/>
      <c r="NTG51" s="344"/>
      <c r="NTH51" s="344"/>
      <c r="NTI51" s="344"/>
      <c r="NTJ51" s="344"/>
      <c r="NTK51" s="344"/>
      <c r="NTL51" s="344"/>
      <c r="NTM51" s="344"/>
      <c r="NTN51" s="344"/>
      <c r="NTO51" s="344"/>
      <c r="NTP51" s="344"/>
      <c r="NTQ51" s="344"/>
      <c r="NTR51" s="344"/>
      <c r="NTS51" s="344"/>
      <c r="NTT51" s="344"/>
      <c r="NTU51" s="344"/>
      <c r="NTV51" s="344"/>
      <c r="NTW51" s="344"/>
      <c r="NTX51" s="344"/>
      <c r="NTY51" s="344"/>
      <c r="NTZ51" s="344"/>
      <c r="NUA51" s="344"/>
      <c r="NUB51" s="344"/>
      <c r="NUC51" s="344"/>
      <c r="NUD51" s="344"/>
      <c r="NUE51" s="344"/>
      <c r="NUF51" s="344"/>
      <c r="NUG51" s="344"/>
      <c r="NUH51" s="344"/>
      <c r="NUI51" s="344"/>
      <c r="NUJ51" s="344"/>
      <c r="NUK51" s="344"/>
      <c r="NUL51" s="344"/>
      <c r="NUM51" s="344"/>
      <c r="NUN51" s="344"/>
      <c r="NUO51" s="344"/>
      <c r="NUP51" s="344"/>
      <c r="NUQ51" s="344"/>
      <c r="NUR51" s="344"/>
      <c r="NUS51" s="344"/>
      <c r="NUT51" s="344"/>
      <c r="NUU51" s="344"/>
      <c r="NUV51" s="344"/>
      <c r="NUW51" s="344"/>
      <c r="NUX51" s="344"/>
      <c r="NUY51" s="344"/>
      <c r="NUZ51" s="344"/>
      <c r="NVA51" s="344"/>
      <c r="NVB51" s="344"/>
      <c r="NVC51" s="344"/>
      <c r="NVD51" s="344"/>
      <c r="NVE51" s="344"/>
      <c r="NVF51" s="344"/>
      <c r="NVG51" s="344"/>
      <c r="NVH51" s="344"/>
      <c r="NVI51" s="344"/>
      <c r="NVJ51" s="344"/>
      <c r="NVK51" s="344"/>
      <c r="NVL51" s="344"/>
      <c r="NVM51" s="344"/>
      <c r="NVN51" s="344"/>
      <c r="NVO51" s="344"/>
      <c r="NVP51" s="344"/>
      <c r="NVQ51" s="344"/>
      <c r="NVR51" s="344"/>
      <c r="NVS51" s="344"/>
      <c r="NVT51" s="344"/>
      <c r="NVU51" s="344"/>
      <c r="NVV51" s="344"/>
      <c r="NVW51" s="344"/>
      <c r="NVX51" s="344"/>
      <c r="NVY51" s="344"/>
      <c r="NVZ51" s="344"/>
      <c r="NWA51" s="344"/>
      <c r="NWB51" s="344"/>
      <c r="NWC51" s="344"/>
      <c r="NWD51" s="344"/>
      <c r="NWE51" s="344"/>
      <c r="NWF51" s="344"/>
      <c r="NWG51" s="344"/>
      <c r="NWH51" s="344"/>
      <c r="NWI51" s="344"/>
      <c r="NWJ51" s="344"/>
      <c r="NWK51" s="344"/>
      <c r="NWL51" s="344"/>
      <c r="NWM51" s="344"/>
      <c r="NWN51" s="344"/>
      <c r="NWO51" s="344"/>
      <c r="NWP51" s="344"/>
      <c r="NWQ51" s="344"/>
      <c r="NWR51" s="344"/>
      <c r="NWS51" s="344"/>
      <c r="NWT51" s="344"/>
      <c r="NWU51" s="344"/>
      <c r="NWV51" s="344"/>
      <c r="NWW51" s="344"/>
      <c r="NWX51" s="344"/>
      <c r="NWY51" s="344"/>
      <c r="NWZ51" s="344"/>
      <c r="NXA51" s="344"/>
      <c r="NXB51" s="344"/>
      <c r="NXC51" s="344"/>
      <c r="NXD51" s="344"/>
      <c r="NXE51" s="344"/>
      <c r="NXF51" s="344"/>
      <c r="NXG51" s="344"/>
      <c r="NXH51" s="344"/>
      <c r="NXI51" s="344"/>
      <c r="NXJ51" s="344"/>
      <c r="NXK51" s="344"/>
      <c r="NXL51" s="344"/>
      <c r="NXM51" s="344"/>
      <c r="NXN51" s="344"/>
      <c r="NXO51" s="344"/>
      <c r="NXP51" s="344"/>
      <c r="NXQ51" s="344"/>
      <c r="NXR51" s="344"/>
      <c r="NXS51" s="344"/>
      <c r="NXT51" s="344"/>
      <c r="NXU51" s="344"/>
      <c r="NXV51" s="344"/>
      <c r="NXW51" s="344"/>
      <c r="NXX51" s="344"/>
      <c r="NXY51" s="344"/>
      <c r="NXZ51" s="344"/>
      <c r="NYA51" s="344"/>
      <c r="NYB51" s="344"/>
      <c r="NYC51" s="344"/>
      <c r="NYD51" s="344"/>
      <c r="NYE51" s="344"/>
      <c r="NYF51" s="344"/>
      <c r="NYG51" s="344"/>
      <c r="NYH51" s="344"/>
      <c r="NYI51" s="344"/>
      <c r="NYJ51" s="344"/>
      <c r="NYK51" s="344"/>
      <c r="NYL51" s="344"/>
      <c r="NYM51" s="344"/>
      <c r="NYN51" s="344"/>
      <c r="NYO51" s="344"/>
      <c r="NYP51" s="344"/>
      <c r="NYQ51" s="344"/>
      <c r="NYR51" s="344"/>
      <c r="NYS51" s="344"/>
      <c r="NYT51" s="344"/>
      <c r="NYU51" s="344"/>
      <c r="NYV51" s="344"/>
      <c r="NYW51" s="344"/>
      <c r="NYX51" s="344"/>
      <c r="NYY51" s="344"/>
      <c r="NYZ51" s="344"/>
      <c r="NZA51" s="344"/>
      <c r="NZB51" s="344"/>
      <c r="NZC51" s="344"/>
      <c r="NZD51" s="344"/>
      <c r="NZE51" s="344"/>
      <c r="NZF51" s="344"/>
      <c r="NZG51" s="344"/>
      <c r="NZH51" s="344"/>
      <c r="NZI51" s="344"/>
      <c r="NZJ51" s="344"/>
      <c r="NZK51" s="344"/>
      <c r="NZL51" s="344"/>
      <c r="NZM51" s="344"/>
      <c r="NZN51" s="344"/>
      <c r="NZO51" s="344"/>
      <c r="NZP51" s="344"/>
      <c r="NZQ51" s="344"/>
      <c r="NZR51" s="344"/>
      <c r="NZS51" s="344"/>
      <c r="NZT51" s="344"/>
      <c r="NZU51" s="344"/>
      <c r="NZV51" s="344"/>
      <c r="NZW51" s="344"/>
      <c r="NZX51" s="344"/>
      <c r="NZY51" s="344"/>
      <c r="NZZ51" s="344"/>
      <c r="OAA51" s="344"/>
      <c r="OAB51" s="344"/>
      <c r="OAC51" s="344"/>
      <c r="OAD51" s="344"/>
      <c r="OAE51" s="344"/>
      <c r="OAF51" s="344"/>
      <c r="OAG51" s="344"/>
      <c r="OAH51" s="344"/>
      <c r="OAI51" s="344"/>
      <c r="OAJ51" s="344"/>
      <c r="OAK51" s="344"/>
      <c r="OAL51" s="344"/>
      <c r="OAM51" s="344"/>
      <c r="OAN51" s="344"/>
      <c r="OAO51" s="344"/>
      <c r="OAP51" s="344"/>
      <c r="OAQ51" s="344"/>
      <c r="OAR51" s="344"/>
      <c r="OAS51" s="344"/>
      <c r="OAT51" s="344"/>
      <c r="OAU51" s="344"/>
      <c r="OAV51" s="344"/>
      <c r="OAW51" s="344"/>
      <c r="OAX51" s="344"/>
      <c r="OAY51" s="344"/>
      <c r="OAZ51" s="344"/>
      <c r="OBA51" s="344"/>
      <c r="OBB51" s="344"/>
      <c r="OBC51" s="344"/>
      <c r="OBD51" s="344"/>
      <c r="OBE51" s="344"/>
      <c r="OBF51" s="344"/>
      <c r="OBG51" s="344"/>
      <c r="OBH51" s="344"/>
      <c r="OBI51" s="344"/>
      <c r="OBJ51" s="344"/>
      <c r="OBK51" s="344"/>
      <c r="OBL51" s="344"/>
      <c r="OBM51" s="344"/>
      <c r="OBN51" s="344"/>
      <c r="OBO51" s="344"/>
      <c r="OBP51" s="344"/>
      <c r="OBQ51" s="344"/>
      <c r="OBR51" s="344"/>
      <c r="OBS51" s="344"/>
      <c r="OBT51" s="344"/>
      <c r="OBU51" s="344"/>
      <c r="OBV51" s="344"/>
      <c r="OBW51" s="344"/>
      <c r="OBX51" s="344"/>
      <c r="OBY51" s="344"/>
      <c r="OBZ51" s="344"/>
      <c r="OCA51" s="344"/>
      <c r="OCB51" s="344"/>
      <c r="OCC51" s="344"/>
      <c r="OCD51" s="344"/>
      <c r="OCE51" s="344"/>
      <c r="OCF51" s="344"/>
      <c r="OCG51" s="344"/>
      <c r="OCH51" s="344"/>
      <c r="OCI51" s="344"/>
      <c r="OCJ51" s="344"/>
      <c r="OCK51" s="344"/>
      <c r="OCL51" s="344"/>
      <c r="OCM51" s="344"/>
      <c r="OCN51" s="344"/>
      <c r="OCO51" s="344"/>
      <c r="OCP51" s="344"/>
      <c r="OCQ51" s="344"/>
      <c r="OCR51" s="344"/>
      <c r="OCS51" s="344"/>
      <c r="OCT51" s="344"/>
      <c r="OCU51" s="344"/>
      <c r="OCV51" s="344"/>
      <c r="OCW51" s="344"/>
      <c r="OCX51" s="344"/>
      <c r="OCY51" s="344"/>
      <c r="OCZ51" s="344"/>
      <c r="ODA51" s="344"/>
      <c r="ODB51" s="344"/>
      <c r="ODC51" s="344"/>
      <c r="ODD51" s="344"/>
      <c r="ODE51" s="344"/>
      <c r="ODF51" s="344"/>
      <c r="ODG51" s="344"/>
      <c r="ODH51" s="344"/>
      <c r="ODI51" s="344"/>
      <c r="ODJ51" s="344"/>
      <c r="ODK51" s="344"/>
      <c r="ODL51" s="344"/>
      <c r="ODM51" s="344"/>
      <c r="ODN51" s="344"/>
      <c r="ODO51" s="344"/>
      <c r="ODP51" s="344"/>
      <c r="ODQ51" s="344"/>
      <c r="ODR51" s="344"/>
      <c r="ODS51" s="344"/>
      <c r="ODT51" s="344"/>
      <c r="ODU51" s="344"/>
      <c r="ODV51" s="344"/>
      <c r="ODW51" s="344"/>
      <c r="ODX51" s="344"/>
      <c r="ODY51" s="344"/>
      <c r="ODZ51" s="344"/>
      <c r="OEA51" s="344"/>
      <c r="OEB51" s="344"/>
      <c r="OEC51" s="344"/>
      <c r="OED51" s="344"/>
      <c r="OEE51" s="344"/>
      <c r="OEF51" s="344"/>
      <c r="OEG51" s="344"/>
      <c r="OEH51" s="344"/>
      <c r="OEI51" s="344"/>
      <c r="OEJ51" s="344"/>
      <c r="OEK51" s="344"/>
      <c r="OEL51" s="344"/>
      <c r="OEM51" s="344"/>
      <c r="OEN51" s="344"/>
      <c r="OEO51" s="344"/>
      <c r="OEP51" s="344"/>
      <c r="OEQ51" s="344"/>
      <c r="OER51" s="344"/>
      <c r="OES51" s="344"/>
      <c r="OET51" s="344"/>
      <c r="OEU51" s="344"/>
      <c r="OEV51" s="344"/>
      <c r="OEW51" s="344"/>
      <c r="OEX51" s="344"/>
      <c r="OEY51" s="344"/>
      <c r="OEZ51" s="344"/>
      <c r="OFA51" s="344"/>
      <c r="OFB51" s="344"/>
      <c r="OFC51" s="344"/>
      <c r="OFD51" s="344"/>
      <c r="OFE51" s="344"/>
      <c r="OFF51" s="344"/>
      <c r="OFG51" s="344"/>
      <c r="OFH51" s="344"/>
      <c r="OFI51" s="344"/>
      <c r="OFJ51" s="344"/>
      <c r="OFK51" s="344"/>
      <c r="OFL51" s="344"/>
      <c r="OFM51" s="344"/>
      <c r="OFN51" s="344"/>
      <c r="OFO51" s="344"/>
      <c r="OFP51" s="344"/>
      <c r="OFQ51" s="344"/>
      <c r="OFR51" s="344"/>
      <c r="OFS51" s="344"/>
      <c r="OFT51" s="344"/>
      <c r="OFU51" s="344"/>
      <c r="OFV51" s="344"/>
      <c r="OFW51" s="344"/>
      <c r="OFX51" s="344"/>
      <c r="OFY51" s="344"/>
      <c r="OFZ51" s="344"/>
      <c r="OGA51" s="344"/>
      <c r="OGB51" s="344"/>
      <c r="OGC51" s="344"/>
      <c r="OGD51" s="344"/>
      <c r="OGE51" s="344"/>
      <c r="OGF51" s="344"/>
      <c r="OGG51" s="344"/>
      <c r="OGH51" s="344"/>
      <c r="OGI51" s="344"/>
      <c r="OGJ51" s="344"/>
      <c r="OGK51" s="344"/>
      <c r="OGL51" s="344"/>
      <c r="OGM51" s="344"/>
      <c r="OGN51" s="344"/>
      <c r="OGO51" s="344"/>
      <c r="OGP51" s="344"/>
      <c r="OGQ51" s="344"/>
      <c r="OGR51" s="344"/>
      <c r="OGS51" s="344"/>
      <c r="OGT51" s="344"/>
      <c r="OGU51" s="344"/>
      <c r="OGV51" s="344"/>
      <c r="OGW51" s="344"/>
      <c r="OGX51" s="344"/>
      <c r="OGY51" s="344"/>
      <c r="OGZ51" s="344"/>
      <c r="OHA51" s="344"/>
      <c r="OHB51" s="344"/>
      <c r="OHC51" s="344"/>
      <c r="OHD51" s="344"/>
      <c r="OHE51" s="344"/>
      <c r="OHF51" s="344"/>
      <c r="OHG51" s="344"/>
      <c r="OHH51" s="344"/>
      <c r="OHI51" s="344"/>
      <c r="OHJ51" s="344"/>
      <c r="OHK51" s="344"/>
      <c r="OHL51" s="344"/>
      <c r="OHM51" s="344"/>
      <c r="OHN51" s="344"/>
      <c r="OHO51" s="344"/>
      <c r="OHP51" s="344"/>
      <c r="OHQ51" s="344"/>
      <c r="OHR51" s="344"/>
      <c r="OHS51" s="344"/>
      <c r="OHT51" s="344"/>
      <c r="OHU51" s="344"/>
      <c r="OHV51" s="344"/>
      <c r="OHW51" s="344"/>
      <c r="OHX51" s="344"/>
      <c r="OHY51" s="344"/>
      <c r="OHZ51" s="344"/>
      <c r="OIA51" s="344"/>
      <c r="OIB51" s="344"/>
      <c r="OIC51" s="344"/>
      <c r="OID51" s="344"/>
      <c r="OIE51" s="344"/>
      <c r="OIF51" s="344"/>
      <c r="OIG51" s="344"/>
      <c r="OIH51" s="344"/>
      <c r="OII51" s="344"/>
      <c r="OIJ51" s="344"/>
      <c r="OIK51" s="344"/>
      <c r="OIL51" s="344"/>
      <c r="OIM51" s="344"/>
      <c r="OIN51" s="344"/>
      <c r="OIO51" s="344"/>
      <c r="OIP51" s="344"/>
      <c r="OIQ51" s="344"/>
      <c r="OIR51" s="344"/>
      <c r="OIS51" s="344"/>
      <c r="OIT51" s="344"/>
      <c r="OIU51" s="344"/>
      <c r="OIV51" s="344"/>
      <c r="OIW51" s="344"/>
      <c r="OIX51" s="344"/>
      <c r="OIY51" s="344"/>
      <c r="OIZ51" s="344"/>
      <c r="OJA51" s="344"/>
      <c r="OJB51" s="344"/>
      <c r="OJC51" s="344"/>
      <c r="OJD51" s="344"/>
      <c r="OJE51" s="344"/>
      <c r="OJF51" s="344"/>
      <c r="OJG51" s="344"/>
      <c r="OJH51" s="344"/>
      <c r="OJI51" s="344"/>
      <c r="OJJ51" s="344"/>
      <c r="OJK51" s="344"/>
      <c r="OJL51" s="344"/>
      <c r="OJM51" s="344"/>
      <c r="OJN51" s="344"/>
      <c r="OJO51" s="344"/>
      <c r="OJP51" s="344"/>
      <c r="OJQ51" s="344"/>
      <c r="OJR51" s="344"/>
      <c r="OJS51" s="344"/>
      <c r="OJT51" s="344"/>
      <c r="OJU51" s="344"/>
      <c r="OJV51" s="344"/>
      <c r="OJW51" s="344"/>
      <c r="OJX51" s="344"/>
      <c r="OJY51" s="344"/>
      <c r="OJZ51" s="344"/>
      <c r="OKA51" s="344"/>
      <c r="OKB51" s="344"/>
      <c r="OKC51" s="344"/>
      <c r="OKD51" s="344"/>
      <c r="OKE51" s="344"/>
      <c r="OKF51" s="344"/>
      <c r="OKG51" s="344"/>
      <c r="OKH51" s="344"/>
      <c r="OKI51" s="344"/>
      <c r="OKJ51" s="344"/>
      <c r="OKK51" s="344"/>
      <c r="OKL51" s="344"/>
      <c r="OKM51" s="344"/>
      <c r="OKN51" s="344"/>
      <c r="OKO51" s="344"/>
      <c r="OKP51" s="344"/>
      <c r="OKQ51" s="344"/>
      <c r="OKR51" s="344"/>
      <c r="OKS51" s="344"/>
      <c r="OKT51" s="344"/>
      <c r="OKU51" s="344"/>
      <c r="OKV51" s="344"/>
      <c r="OKW51" s="344"/>
      <c r="OKX51" s="344"/>
      <c r="OKY51" s="344"/>
      <c r="OKZ51" s="344"/>
      <c r="OLA51" s="344"/>
      <c r="OLB51" s="344"/>
      <c r="OLC51" s="344"/>
      <c r="OLD51" s="344"/>
      <c r="OLE51" s="344"/>
      <c r="OLF51" s="344"/>
      <c r="OLG51" s="344"/>
      <c r="OLH51" s="344"/>
      <c r="OLI51" s="344"/>
      <c r="OLJ51" s="344"/>
      <c r="OLK51" s="344"/>
      <c r="OLL51" s="344"/>
      <c r="OLM51" s="344"/>
      <c r="OLN51" s="344"/>
      <c r="OLO51" s="344"/>
      <c r="OLP51" s="344"/>
      <c r="OLQ51" s="344"/>
      <c r="OLR51" s="344"/>
      <c r="OLS51" s="344"/>
      <c r="OLT51" s="344"/>
      <c r="OLU51" s="344"/>
      <c r="OLV51" s="344"/>
      <c r="OLW51" s="344"/>
      <c r="OLX51" s="344"/>
      <c r="OLY51" s="344"/>
      <c r="OLZ51" s="344"/>
      <c r="OMA51" s="344"/>
      <c r="OMB51" s="344"/>
      <c r="OMC51" s="344"/>
      <c r="OMD51" s="344"/>
      <c r="OME51" s="344"/>
      <c r="OMF51" s="344"/>
      <c r="OMG51" s="344"/>
      <c r="OMH51" s="344"/>
      <c r="OMI51" s="344"/>
      <c r="OMJ51" s="344"/>
      <c r="OMK51" s="344"/>
      <c r="OML51" s="344"/>
      <c r="OMM51" s="344"/>
      <c r="OMN51" s="344"/>
      <c r="OMO51" s="344"/>
      <c r="OMP51" s="344"/>
      <c r="OMQ51" s="344"/>
      <c r="OMR51" s="344"/>
      <c r="OMS51" s="344"/>
      <c r="OMT51" s="344"/>
      <c r="OMU51" s="344"/>
      <c r="OMV51" s="344"/>
      <c r="OMW51" s="344"/>
      <c r="OMX51" s="344"/>
      <c r="OMY51" s="344"/>
      <c r="OMZ51" s="344"/>
      <c r="ONA51" s="344"/>
      <c r="ONB51" s="344"/>
      <c r="ONC51" s="344"/>
      <c r="OND51" s="344"/>
      <c r="ONE51" s="344"/>
      <c r="ONF51" s="344"/>
      <c r="ONG51" s="344"/>
      <c r="ONH51" s="344"/>
      <c r="ONI51" s="344"/>
      <c r="ONJ51" s="344"/>
      <c r="ONK51" s="344"/>
      <c r="ONL51" s="344"/>
      <c r="ONM51" s="344"/>
      <c r="ONN51" s="344"/>
      <c r="ONO51" s="344"/>
      <c r="ONP51" s="344"/>
      <c r="ONQ51" s="344"/>
      <c r="ONR51" s="344"/>
      <c r="ONS51" s="344"/>
      <c r="ONT51" s="344"/>
      <c r="ONU51" s="344"/>
      <c r="ONV51" s="344"/>
      <c r="ONW51" s="344"/>
      <c r="ONX51" s="344"/>
      <c r="ONY51" s="344"/>
      <c r="ONZ51" s="344"/>
      <c r="OOA51" s="344"/>
      <c r="OOB51" s="344"/>
      <c r="OOC51" s="344"/>
      <c r="OOD51" s="344"/>
      <c r="OOE51" s="344"/>
      <c r="OOF51" s="344"/>
      <c r="OOG51" s="344"/>
      <c r="OOH51" s="344"/>
      <c r="OOI51" s="344"/>
      <c r="OOJ51" s="344"/>
      <c r="OOK51" s="344"/>
      <c r="OOL51" s="344"/>
      <c r="OOM51" s="344"/>
      <c r="OON51" s="344"/>
      <c r="OOO51" s="344"/>
      <c r="OOP51" s="344"/>
      <c r="OOQ51" s="344"/>
      <c r="OOR51" s="344"/>
      <c r="OOS51" s="344"/>
      <c r="OOT51" s="344"/>
      <c r="OOU51" s="344"/>
      <c r="OOV51" s="344"/>
      <c r="OOW51" s="344"/>
      <c r="OOX51" s="344"/>
      <c r="OOY51" s="344"/>
      <c r="OOZ51" s="344"/>
      <c r="OPA51" s="344"/>
      <c r="OPB51" s="344"/>
      <c r="OPC51" s="344"/>
      <c r="OPD51" s="344"/>
      <c r="OPE51" s="344"/>
      <c r="OPF51" s="344"/>
      <c r="OPG51" s="344"/>
      <c r="OPH51" s="344"/>
      <c r="OPI51" s="344"/>
      <c r="OPJ51" s="344"/>
      <c r="OPK51" s="344"/>
      <c r="OPL51" s="344"/>
      <c r="OPM51" s="344"/>
      <c r="OPN51" s="344"/>
      <c r="OPO51" s="344"/>
      <c r="OPP51" s="344"/>
      <c r="OPQ51" s="344"/>
      <c r="OPR51" s="344"/>
      <c r="OPS51" s="344"/>
      <c r="OPT51" s="344"/>
      <c r="OPU51" s="344"/>
      <c r="OPV51" s="344"/>
      <c r="OPW51" s="344"/>
      <c r="OPX51" s="344"/>
      <c r="OPY51" s="344"/>
      <c r="OPZ51" s="344"/>
      <c r="OQA51" s="344"/>
      <c r="OQB51" s="344"/>
      <c r="OQC51" s="344"/>
      <c r="OQD51" s="344"/>
      <c r="OQE51" s="344"/>
      <c r="OQF51" s="344"/>
      <c r="OQG51" s="344"/>
      <c r="OQH51" s="344"/>
      <c r="OQI51" s="344"/>
      <c r="OQJ51" s="344"/>
      <c r="OQK51" s="344"/>
      <c r="OQL51" s="344"/>
      <c r="OQM51" s="344"/>
      <c r="OQN51" s="344"/>
      <c r="OQO51" s="344"/>
      <c r="OQP51" s="344"/>
      <c r="OQQ51" s="344"/>
      <c r="OQR51" s="344"/>
      <c r="OQS51" s="344"/>
      <c r="OQT51" s="344"/>
      <c r="OQU51" s="344"/>
      <c r="OQV51" s="344"/>
      <c r="OQW51" s="344"/>
      <c r="OQX51" s="344"/>
      <c r="OQY51" s="344"/>
      <c r="OQZ51" s="344"/>
      <c r="ORA51" s="344"/>
      <c r="ORB51" s="344"/>
      <c r="ORC51" s="344"/>
      <c r="ORD51" s="344"/>
      <c r="ORE51" s="344"/>
      <c r="ORF51" s="344"/>
      <c r="ORG51" s="344"/>
      <c r="ORH51" s="344"/>
      <c r="ORI51" s="344"/>
      <c r="ORJ51" s="344"/>
      <c r="ORK51" s="344"/>
      <c r="ORL51" s="344"/>
      <c r="ORM51" s="344"/>
      <c r="ORN51" s="344"/>
      <c r="ORO51" s="344"/>
      <c r="ORP51" s="344"/>
      <c r="ORQ51" s="344"/>
      <c r="ORR51" s="344"/>
      <c r="ORS51" s="344"/>
      <c r="ORT51" s="344"/>
      <c r="ORU51" s="344"/>
      <c r="ORV51" s="344"/>
      <c r="ORW51" s="344"/>
      <c r="ORX51" s="344"/>
      <c r="ORY51" s="344"/>
      <c r="ORZ51" s="344"/>
      <c r="OSA51" s="344"/>
      <c r="OSB51" s="344"/>
      <c r="OSC51" s="344"/>
      <c r="OSD51" s="344"/>
      <c r="OSE51" s="344"/>
      <c r="OSF51" s="344"/>
      <c r="OSG51" s="344"/>
      <c r="OSH51" s="344"/>
      <c r="OSI51" s="344"/>
      <c r="OSJ51" s="344"/>
      <c r="OSK51" s="344"/>
      <c r="OSL51" s="344"/>
      <c r="OSM51" s="344"/>
      <c r="OSN51" s="344"/>
      <c r="OSO51" s="344"/>
      <c r="OSP51" s="344"/>
      <c r="OSQ51" s="344"/>
      <c r="OSR51" s="344"/>
      <c r="OSS51" s="344"/>
      <c r="OST51" s="344"/>
      <c r="OSU51" s="344"/>
      <c r="OSV51" s="344"/>
      <c r="OSW51" s="344"/>
      <c r="OSX51" s="344"/>
      <c r="OSY51" s="344"/>
      <c r="OSZ51" s="344"/>
      <c r="OTA51" s="344"/>
      <c r="OTB51" s="344"/>
      <c r="OTC51" s="344"/>
      <c r="OTD51" s="344"/>
      <c r="OTE51" s="344"/>
      <c r="OTF51" s="344"/>
      <c r="OTG51" s="344"/>
      <c r="OTH51" s="344"/>
      <c r="OTI51" s="344"/>
      <c r="OTJ51" s="344"/>
      <c r="OTK51" s="344"/>
      <c r="OTL51" s="344"/>
      <c r="OTM51" s="344"/>
      <c r="OTN51" s="344"/>
      <c r="OTO51" s="344"/>
      <c r="OTP51" s="344"/>
      <c r="OTQ51" s="344"/>
      <c r="OTR51" s="344"/>
      <c r="OTS51" s="344"/>
      <c r="OTT51" s="344"/>
      <c r="OTU51" s="344"/>
      <c r="OTV51" s="344"/>
      <c r="OTW51" s="344"/>
      <c r="OTX51" s="344"/>
      <c r="OTY51" s="344"/>
      <c r="OTZ51" s="344"/>
      <c r="OUA51" s="344"/>
      <c r="OUB51" s="344"/>
      <c r="OUC51" s="344"/>
      <c r="OUD51" s="344"/>
      <c r="OUE51" s="344"/>
      <c r="OUF51" s="344"/>
      <c r="OUG51" s="344"/>
      <c r="OUH51" s="344"/>
      <c r="OUI51" s="344"/>
      <c r="OUJ51" s="344"/>
      <c r="OUK51" s="344"/>
      <c r="OUL51" s="344"/>
      <c r="OUM51" s="344"/>
      <c r="OUN51" s="344"/>
      <c r="OUO51" s="344"/>
      <c r="OUP51" s="344"/>
      <c r="OUQ51" s="344"/>
      <c r="OUR51" s="344"/>
      <c r="OUS51" s="344"/>
      <c r="OUT51" s="344"/>
      <c r="OUU51" s="344"/>
      <c r="OUV51" s="344"/>
      <c r="OUW51" s="344"/>
      <c r="OUX51" s="344"/>
      <c r="OUY51" s="344"/>
      <c r="OUZ51" s="344"/>
      <c r="OVA51" s="344"/>
      <c r="OVB51" s="344"/>
      <c r="OVC51" s="344"/>
      <c r="OVD51" s="344"/>
      <c r="OVE51" s="344"/>
      <c r="OVF51" s="344"/>
      <c r="OVG51" s="344"/>
      <c r="OVH51" s="344"/>
      <c r="OVI51" s="344"/>
      <c r="OVJ51" s="344"/>
      <c r="OVK51" s="344"/>
      <c r="OVL51" s="344"/>
      <c r="OVM51" s="344"/>
      <c r="OVN51" s="344"/>
      <c r="OVO51" s="344"/>
      <c r="OVP51" s="344"/>
      <c r="OVQ51" s="344"/>
      <c r="OVR51" s="344"/>
      <c r="OVS51" s="344"/>
      <c r="OVT51" s="344"/>
      <c r="OVU51" s="344"/>
      <c r="OVV51" s="344"/>
      <c r="OVW51" s="344"/>
      <c r="OVX51" s="344"/>
      <c r="OVY51" s="344"/>
      <c r="OVZ51" s="344"/>
      <c r="OWA51" s="344"/>
      <c r="OWB51" s="344"/>
      <c r="OWC51" s="344"/>
      <c r="OWD51" s="344"/>
      <c r="OWE51" s="344"/>
      <c r="OWF51" s="344"/>
      <c r="OWG51" s="344"/>
      <c r="OWH51" s="344"/>
      <c r="OWI51" s="344"/>
      <c r="OWJ51" s="344"/>
      <c r="OWK51" s="344"/>
      <c r="OWL51" s="344"/>
      <c r="OWM51" s="344"/>
      <c r="OWN51" s="344"/>
      <c r="OWO51" s="344"/>
      <c r="OWP51" s="344"/>
      <c r="OWQ51" s="344"/>
      <c r="OWR51" s="344"/>
      <c r="OWS51" s="344"/>
      <c r="OWT51" s="344"/>
      <c r="OWU51" s="344"/>
      <c r="OWV51" s="344"/>
      <c r="OWW51" s="344"/>
      <c r="OWX51" s="344"/>
      <c r="OWY51" s="344"/>
      <c r="OWZ51" s="344"/>
      <c r="OXA51" s="344"/>
      <c r="OXB51" s="344"/>
      <c r="OXC51" s="344"/>
      <c r="OXD51" s="344"/>
      <c r="OXE51" s="344"/>
      <c r="OXF51" s="344"/>
      <c r="OXG51" s="344"/>
      <c r="OXH51" s="344"/>
      <c r="OXI51" s="344"/>
      <c r="OXJ51" s="344"/>
      <c r="OXK51" s="344"/>
      <c r="OXL51" s="344"/>
      <c r="OXM51" s="344"/>
      <c r="OXN51" s="344"/>
      <c r="OXO51" s="344"/>
      <c r="OXP51" s="344"/>
      <c r="OXQ51" s="344"/>
      <c r="OXR51" s="344"/>
      <c r="OXS51" s="344"/>
      <c r="OXT51" s="344"/>
      <c r="OXU51" s="344"/>
      <c r="OXV51" s="344"/>
      <c r="OXW51" s="344"/>
      <c r="OXX51" s="344"/>
      <c r="OXY51" s="344"/>
      <c r="OXZ51" s="344"/>
      <c r="OYA51" s="344"/>
      <c r="OYB51" s="344"/>
      <c r="OYC51" s="344"/>
      <c r="OYD51" s="344"/>
      <c r="OYE51" s="344"/>
      <c r="OYF51" s="344"/>
      <c r="OYG51" s="344"/>
      <c r="OYH51" s="344"/>
      <c r="OYI51" s="344"/>
      <c r="OYJ51" s="344"/>
      <c r="OYK51" s="344"/>
      <c r="OYL51" s="344"/>
      <c r="OYM51" s="344"/>
      <c r="OYN51" s="344"/>
      <c r="OYO51" s="344"/>
      <c r="OYP51" s="344"/>
      <c r="OYQ51" s="344"/>
      <c r="OYR51" s="344"/>
      <c r="OYS51" s="344"/>
      <c r="OYT51" s="344"/>
      <c r="OYU51" s="344"/>
      <c r="OYV51" s="344"/>
      <c r="OYW51" s="344"/>
      <c r="OYX51" s="344"/>
      <c r="OYY51" s="344"/>
      <c r="OYZ51" s="344"/>
      <c r="OZA51" s="344"/>
      <c r="OZB51" s="344"/>
      <c r="OZC51" s="344"/>
      <c r="OZD51" s="344"/>
      <c r="OZE51" s="344"/>
      <c r="OZF51" s="344"/>
      <c r="OZG51" s="344"/>
      <c r="OZH51" s="344"/>
      <c r="OZI51" s="344"/>
      <c r="OZJ51" s="344"/>
      <c r="OZK51" s="344"/>
      <c r="OZL51" s="344"/>
      <c r="OZM51" s="344"/>
      <c r="OZN51" s="344"/>
      <c r="OZO51" s="344"/>
      <c r="OZP51" s="344"/>
      <c r="OZQ51" s="344"/>
      <c r="OZR51" s="344"/>
      <c r="OZS51" s="344"/>
      <c r="OZT51" s="344"/>
      <c r="OZU51" s="344"/>
      <c r="OZV51" s="344"/>
      <c r="OZW51" s="344"/>
      <c r="OZX51" s="344"/>
      <c r="OZY51" s="344"/>
      <c r="OZZ51" s="344"/>
      <c r="PAA51" s="344"/>
      <c r="PAB51" s="344"/>
      <c r="PAC51" s="344"/>
      <c r="PAD51" s="344"/>
      <c r="PAE51" s="344"/>
      <c r="PAF51" s="344"/>
      <c r="PAG51" s="344"/>
      <c r="PAH51" s="344"/>
      <c r="PAI51" s="344"/>
      <c r="PAJ51" s="344"/>
      <c r="PAK51" s="344"/>
      <c r="PAL51" s="344"/>
      <c r="PAM51" s="344"/>
      <c r="PAN51" s="344"/>
      <c r="PAO51" s="344"/>
      <c r="PAP51" s="344"/>
      <c r="PAQ51" s="344"/>
      <c r="PAR51" s="344"/>
      <c r="PAS51" s="344"/>
      <c r="PAT51" s="344"/>
      <c r="PAU51" s="344"/>
      <c r="PAV51" s="344"/>
      <c r="PAW51" s="344"/>
      <c r="PAX51" s="344"/>
      <c r="PAY51" s="344"/>
      <c r="PAZ51" s="344"/>
      <c r="PBA51" s="344"/>
      <c r="PBB51" s="344"/>
      <c r="PBC51" s="344"/>
      <c r="PBD51" s="344"/>
      <c r="PBE51" s="344"/>
      <c r="PBF51" s="344"/>
      <c r="PBG51" s="344"/>
      <c r="PBH51" s="344"/>
      <c r="PBI51" s="344"/>
      <c r="PBJ51" s="344"/>
      <c r="PBK51" s="344"/>
      <c r="PBL51" s="344"/>
      <c r="PBM51" s="344"/>
      <c r="PBN51" s="344"/>
      <c r="PBO51" s="344"/>
      <c r="PBP51" s="344"/>
      <c r="PBQ51" s="344"/>
      <c r="PBR51" s="344"/>
      <c r="PBS51" s="344"/>
      <c r="PBT51" s="344"/>
      <c r="PBU51" s="344"/>
      <c r="PBV51" s="344"/>
      <c r="PBW51" s="344"/>
      <c r="PBX51" s="344"/>
      <c r="PBY51" s="344"/>
      <c r="PBZ51" s="344"/>
      <c r="PCA51" s="344"/>
      <c r="PCB51" s="344"/>
      <c r="PCC51" s="344"/>
      <c r="PCD51" s="344"/>
      <c r="PCE51" s="344"/>
      <c r="PCF51" s="344"/>
      <c r="PCG51" s="344"/>
      <c r="PCH51" s="344"/>
      <c r="PCI51" s="344"/>
      <c r="PCJ51" s="344"/>
      <c r="PCK51" s="344"/>
      <c r="PCL51" s="344"/>
      <c r="PCM51" s="344"/>
      <c r="PCN51" s="344"/>
      <c r="PCO51" s="344"/>
      <c r="PCP51" s="344"/>
      <c r="PCQ51" s="344"/>
      <c r="PCR51" s="344"/>
      <c r="PCS51" s="344"/>
      <c r="PCT51" s="344"/>
      <c r="PCU51" s="344"/>
      <c r="PCV51" s="344"/>
      <c r="PCW51" s="344"/>
      <c r="PCX51" s="344"/>
      <c r="PCY51" s="344"/>
      <c r="PCZ51" s="344"/>
      <c r="PDA51" s="344"/>
      <c r="PDB51" s="344"/>
      <c r="PDC51" s="344"/>
      <c r="PDD51" s="344"/>
      <c r="PDE51" s="344"/>
      <c r="PDF51" s="344"/>
      <c r="PDG51" s="344"/>
      <c r="PDH51" s="344"/>
      <c r="PDI51" s="344"/>
      <c r="PDJ51" s="344"/>
      <c r="PDK51" s="344"/>
      <c r="PDL51" s="344"/>
      <c r="PDM51" s="344"/>
      <c r="PDN51" s="344"/>
      <c r="PDO51" s="344"/>
      <c r="PDP51" s="344"/>
      <c r="PDQ51" s="344"/>
      <c r="PDR51" s="344"/>
      <c r="PDS51" s="344"/>
      <c r="PDT51" s="344"/>
      <c r="PDU51" s="344"/>
      <c r="PDV51" s="344"/>
      <c r="PDW51" s="344"/>
      <c r="PDX51" s="344"/>
      <c r="PDY51" s="344"/>
      <c r="PDZ51" s="344"/>
      <c r="PEA51" s="344"/>
      <c r="PEB51" s="344"/>
      <c r="PEC51" s="344"/>
      <c r="PED51" s="344"/>
      <c r="PEE51" s="344"/>
      <c r="PEF51" s="344"/>
      <c r="PEG51" s="344"/>
      <c r="PEH51" s="344"/>
      <c r="PEI51" s="344"/>
      <c r="PEJ51" s="344"/>
      <c r="PEK51" s="344"/>
      <c r="PEL51" s="344"/>
      <c r="PEM51" s="344"/>
      <c r="PEN51" s="344"/>
      <c r="PEO51" s="344"/>
      <c r="PEP51" s="344"/>
      <c r="PEQ51" s="344"/>
      <c r="PER51" s="344"/>
      <c r="PES51" s="344"/>
      <c r="PET51" s="344"/>
      <c r="PEU51" s="344"/>
      <c r="PEV51" s="344"/>
      <c r="PEW51" s="344"/>
      <c r="PEX51" s="344"/>
      <c r="PEY51" s="344"/>
      <c r="PEZ51" s="344"/>
      <c r="PFA51" s="344"/>
      <c r="PFB51" s="344"/>
      <c r="PFC51" s="344"/>
      <c r="PFD51" s="344"/>
      <c r="PFE51" s="344"/>
      <c r="PFF51" s="344"/>
      <c r="PFG51" s="344"/>
      <c r="PFH51" s="344"/>
      <c r="PFI51" s="344"/>
      <c r="PFJ51" s="344"/>
      <c r="PFK51" s="344"/>
      <c r="PFL51" s="344"/>
      <c r="PFM51" s="344"/>
      <c r="PFN51" s="344"/>
      <c r="PFO51" s="344"/>
      <c r="PFP51" s="344"/>
      <c r="PFQ51" s="344"/>
      <c r="PFR51" s="344"/>
      <c r="PFS51" s="344"/>
      <c r="PFT51" s="344"/>
      <c r="PFU51" s="344"/>
      <c r="PFV51" s="344"/>
      <c r="PFW51" s="344"/>
      <c r="PFX51" s="344"/>
      <c r="PFY51" s="344"/>
      <c r="PFZ51" s="344"/>
      <c r="PGA51" s="344"/>
      <c r="PGB51" s="344"/>
      <c r="PGC51" s="344"/>
      <c r="PGD51" s="344"/>
      <c r="PGE51" s="344"/>
      <c r="PGF51" s="344"/>
      <c r="PGG51" s="344"/>
      <c r="PGH51" s="344"/>
      <c r="PGI51" s="344"/>
      <c r="PGJ51" s="344"/>
      <c r="PGK51" s="344"/>
      <c r="PGL51" s="344"/>
      <c r="PGM51" s="344"/>
      <c r="PGN51" s="344"/>
      <c r="PGO51" s="344"/>
      <c r="PGP51" s="344"/>
      <c r="PGQ51" s="344"/>
      <c r="PGR51" s="344"/>
      <c r="PGS51" s="344"/>
      <c r="PGT51" s="344"/>
      <c r="PGU51" s="344"/>
      <c r="PGV51" s="344"/>
      <c r="PGW51" s="344"/>
      <c r="PGX51" s="344"/>
      <c r="PGY51" s="344"/>
      <c r="PGZ51" s="344"/>
      <c r="PHA51" s="344"/>
      <c r="PHB51" s="344"/>
      <c r="PHC51" s="344"/>
      <c r="PHD51" s="344"/>
      <c r="PHE51" s="344"/>
      <c r="PHF51" s="344"/>
      <c r="PHG51" s="344"/>
      <c r="PHH51" s="344"/>
      <c r="PHI51" s="344"/>
      <c r="PHJ51" s="344"/>
      <c r="PHK51" s="344"/>
      <c r="PHL51" s="344"/>
      <c r="PHM51" s="344"/>
      <c r="PHN51" s="344"/>
      <c r="PHO51" s="344"/>
      <c r="PHP51" s="344"/>
      <c r="PHQ51" s="344"/>
      <c r="PHR51" s="344"/>
      <c r="PHS51" s="344"/>
      <c r="PHT51" s="344"/>
      <c r="PHU51" s="344"/>
      <c r="PHV51" s="344"/>
      <c r="PHW51" s="344"/>
      <c r="PHX51" s="344"/>
      <c r="PHY51" s="344"/>
      <c r="PHZ51" s="344"/>
      <c r="PIA51" s="344"/>
      <c r="PIB51" s="344"/>
      <c r="PIC51" s="344"/>
      <c r="PID51" s="344"/>
      <c r="PIE51" s="344"/>
      <c r="PIF51" s="344"/>
      <c r="PIG51" s="344"/>
      <c r="PIH51" s="344"/>
      <c r="PII51" s="344"/>
      <c r="PIJ51" s="344"/>
      <c r="PIK51" s="344"/>
      <c r="PIL51" s="344"/>
      <c r="PIM51" s="344"/>
      <c r="PIN51" s="344"/>
      <c r="PIO51" s="344"/>
      <c r="PIP51" s="344"/>
      <c r="PIQ51" s="344"/>
      <c r="PIR51" s="344"/>
      <c r="PIS51" s="344"/>
      <c r="PIT51" s="344"/>
      <c r="PIU51" s="344"/>
      <c r="PIV51" s="344"/>
      <c r="PIW51" s="344"/>
      <c r="PIX51" s="344"/>
      <c r="PIY51" s="344"/>
      <c r="PIZ51" s="344"/>
      <c r="PJA51" s="344"/>
      <c r="PJB51" s="344"/>
      <c r="PJC51" s="344"/>
      <c r="PJD51" s="344"/>
      <c r="PJE51" s="344"/>
      <c r="PJF51" s="344"/>
      <c r="PJG51" s="344"/>
      <c r="PJH51" s="344"/>
      <c r="PJI51" s="344"/>
      <c r="PJJ51" s="344"/>
      <c r="PJK51" s="344"/>
      <c r="PJL51" s="344"/>
      <c r="PJM51" s="344"/>
      <c r="PJN51" s="344"/>
      <c r="PJO51" s="344"/>
      <c r="PJP51" s="344"/>
      <c r="PJQ51" s="344"/>
      <c r="PJR51" s="344"/>
      <c r="PJS51" s="344"/>
      <c r="PJT51" s="344"/>
      <c r="PJU51" s="344"/>
      <c r="PJV51" s="344"/>
      <c r="PJW51" s="344"/>
      <c r="PJX51" s="344"/>
      <c r="PJY51" s="344"/>
      <c r="PJZ51" s="344"/>
      <c r="PKA51" s="344"/>
      <c r="PKB51" s="344"/>
      <c r="PKC51" s="344"/>
      <c r="PKD51" s="344"/>
      <c r="PKE51" s="344"/>
      <c r="PKF51" s="344"/>
      <c r="PKG51" s="344"/>
      <c r="PKH51" s="344"/>
      <c r="PKI51" s="344"/>
      <c r="PKJ51" s="344"/>
      <c r="PKK51" s="344"/>
      <c r="PKL51" s="344"/>
      <c r="PKM51" s="344"/>
      <c r="PKN51" s="344"/>
      <c r="PKO51" s="344"/>
      <c r="PKP51" s="344"/>
      <c r="PKQ51" s="344"/>
      <c r="PKR51" s="344"/>
      <c r="PKS51" s="344"/>
      <c r="PKT51" s="344"/>
      <c r="PKU51" s="344"/>
      <c r="PKV51" s="344"/>
      <c r="PKW51" s="344"/>
      <c r="PKX51" s="344"/>
      <c r="PKY51" s="344"/>
      <c r="PKZ51" s="344"/>
      <c r="PLA51" s="344"/>
      <c r="PLB51" s="344"/>
      <c r="PLC51" s="344"/>
      <c r="PLD51" s="344"/>
      <c r="PLE51" s="344"/>
      <c r="PLF51" s="344"/>
      <c r="PLG51" s="344"/>
      <c r="PLH51" s="344"/>
      <c r="PLI51" s="344"/>
      <c r="PLJ51" s="344"/>
      <c r="PLK51" s="344"/>
      <c r="PLL51" s="344"/>
      <c r="PLM51" s="344"/>
      <c r="PLN51" s="344"/>
      <c r="PLO51" s="344"/>
      <c r="PLP51" s="344"/>
      <c r="PLQ51" s="344"/>
      <c r="PLR51" s="344"/>
      <c r="PLS51" s="344"/>
      <c r="PLT51" s="344"/>
      <c r="PLU51" s="344"/>
      <c r="PLV51" s="344"/>
      <c r="PLW51" s="344"/>
      <c r="PLX51" s="344"/>
      <c r="PLY51" s="344"/>
      <c r="PLZ51" s="344"/>
      <c r="PMA51" s="344"/>
      <c r="PMB51" s="344"/>
      <c r="PMC51" s="344"/>
      <c r="PMD51" s="344"/>
      <c r="PME51" s="344"/>
      <c r="PMF51" s="344"/>
      <c r="PMG51" s="344"/>
      <c r="PMH51" s="344"/>
      <c r="PMI51" s="344"/>
      <c r="PMJ51" s="344"/>
      <c r="PMK51" s="344"/>
      <c r="PML51" s="344"/>
      <c r="PMM51" s="344"/>
      <c r="PMN51" s="344"/>
      <c r="PMO51" s="344"/>
      <c r="PMP51" s="344"/>
      <c r="PMQ51" s="344"/>
      <c r="PMR51" s="344"/>
      <c r="PMS51" s="344"/>
      <c r="PMT51" s="344"/>
      <c r="PMU51" s="344"/>
      <c r="PMV51" s="344"/>
      <c r="PMW51" s="344"/>
      <c r="PMX51" s="344"/>
      <c r="PMY51" s="344"/>
      <c r="PMZ51" s="344"/>
      <c r="PNA51" s="344"/>
      <c r="PNB51" s="344"/>
      <c r="PNC51" s="344"/>
      <c r="PND51" s="344"/>
      <c r="PNE51" s="344"/>
      <c r="PNF51" s="344"/>
      <c r="PNG51" s="344"/>
      <c r="PNH51" s="344"/>
      <c r="PNI51" s="344"/>
      <c r="PNJ51" s="344"/>
      <c r="PNK51" s="344"/>
      <c r="PNL51" s="344"/>
      <c r="PNM51" s="344"/>
      <c r="PNN51" s="344"/>
      <c r="PNO51" s="344"/>
      <c r="PNP51" s="344"/>
      <c r="PNQ51" s="344"/>
      <c r="PNR51" s="344"/>
      <c r="PNS51" s="344"/>
      <c r="PNT51" s="344"/>
      <c r="PNU51" s="344"/>
      <c r="PNV51" s="344"/>
      <c r="PNW51" s="344"/>
      <c r="PNX51" s="344"/>
      <c r="PNY51" s="344"/>
      <c r="PNZ51" s="344"/>
      <c r="POA51" s="344"/>
      <c r="POB51" s="344"/>
      <c r="POC51" s="344"/>
      <c r="POD51" s="344"/>
      <c r="POE51" s="344"/>
      <c r="POF51" s="344"/>
      <c r="POG51" s="344"/>
      <c r="POH51" s="344"/>
      <c r="POI51" s="344"/>
      <c r="POJ51" s="344"/>
      <c r="POK51" s="344"/>
      <c r="POL51" s="344"/>
      <c r="POM51" s="344"/>
      <c r="PON51" s="344"/>
      <c r="POO51" s="344"/>
      <c r="POP51" s="344"/>
      <c r="POQ51" s="344"/>
      <c r="POR51" s="344"/>
      <c r="POS51" s="344"/>
      <c r="POT51" s="344"/>
      <c r="POU51" s="344"/>
      <c r="POV51" s="344"/>
      <c r="POW51" s="344"/>
      <c r="POX51" s="344"/>
      <c r="POY51" s="344"/>
      <c r="POZ51" s="344"/>
      <c r="PPA51" s="344"/>
      <c r="PPB51" s="344"/>
      <c r="PPC51" s="344"/>
      <c r="PPD51" s="344"/>
      <c r="PPE51" s="344"/>
      <c r="PPF51" s="344"/>
      <c r="PPG51" s="344"/>
      <c r="PPH51" s="344"/>
      <c r="PPI51" s="344"/>
      <c r="PPJ51" s="344"/>
      <c r="PPK51" s="344"/>
      <c r="PPL51" s="344"/>
      <c r="PPM51" s="344"/>
      <c r="PPN51" s="344"/>
      <c r="PPO51" s="344"/>
      <c r="PPP51" s="344"/>
      <c r="PPQ51" s="344"/>
      <c r="PPR51" s="344"/>
      <c r="PPS51" s="344"/>
      <c r="PPT51" s="344"/>
      <c r="PPU51" s="344"/>
      <c r="PPV51" s="344"/>
      <c r="PPW51" s="344"/>
      <c r="PPX51" s="344"/>
      <c r="PPY51" s="344"/>
      <c r="PPZ51" s="344"/>
      <c r="PQA51" s="344"/>
      <c r="PQB51" s="344"/>
      <c r="PQC51" s="344"/>
      <c r="PQD51" s="344"/>
      <c r="PQE51" s="344"/>
      <c r="PQF51" s="344"/>
      <c r="PQG51" s="344"/>
      <c r="PQH51" s="344"/>
      <c r="PQI51" s="344"/>
      <c r="PQJ51" s="344"/>
      <c r="PQK51" s="344"/>
      <c r="PQL51" s="344"/>
      <c r="PQM51" s="344"/>
      <c r="PQN51" s="344"/>
      <c r="PQO51" s="344"/>
      <c r="PQP51" s="344"/>
      <c r="PQQ51" s="344"/>
      <c r="PQR51" s="344"/>
      <c r="PQS51" s="344"/>
      <c r="PQT51" s="344"/>
      <c r="PQU51" s="344"/>
      <c r="PQV51" s="344"/>
      <c r="PQW51" s="344"/>
      <c r="PQX51" s="344"/>
      <c r="PQY51" s="344"/>
      <c r="PQZ51" s="344"/>
      <c r="PRA51" s="344"/>
      <c r="PRB51" s="344"/>
      <c r="PRC51" s="344"/>
      <c r="PRD51" s="344"/>
      <c r="PRE51" s="344"/>
      <c r="PRF51" s="344"/>
      <c r="PRG51" s="344"/>
      <c r="PRH51" s="344"/>
      <c r="PRI51" s="344"/>
      <c r="PRJ51" s="344"/>
      <c r="PRK51" s="344"/>
      <c r="PRL51" s="344"/>
      <c r="PRM51" s="344"/>
      <c r="PRN51" s="344"/>
      <c r="PRO51" s="344"/>
      <c r="PRP51" s="344"/>
      <c r="PRQ51" s="344"/>
      <c r="PRR51" s="344"/>
      <c r="PRS51" s="344"/>
      <c r="PRT51" s="344"/>
      <c r="PRU51" s="344"/>
      <c r="PRV51" s="344"/>
      <c r="PRW51" s="344"/>
      <c r="PRX51" s="344"/>
      <c r="PRY51" s="344"/>
      <c r="PRZ51" s="344"/>
      <c r="PSA51" s="344"/>
      <c r="PSB51" s="344"/>
      <c r="PSC51" s="344"/>
      <c r="PSD51" s="344"/>
      <c r="PSE51" s="344"/>
      <c r="PSF51" s="344"/>
      <c r="PSG51" s="344"/>
      <c r="PSH51" s="344"/>
      <c r="PSI51" s="344"/>
      <c r="PSJ51" s="344"/>
      <c r="PSK51" s="344"/>
      <c r="PSL51" s="344"/>
      <c r="PSM51" s="344"/>
      <c r="PSN51" s="344"/>
      <c r="PSO51" s="344"/>
      <c r="PSP51" s="344"/>
      <c r="PSQ51" s="344"/>
      <c r="PSR51" s="344"/>
      <c r="PSS51" s="344"/>
      <c r="PST51" s="344"/>
      <c r="PSU51" s="344"/>
      <c r="PSV51" s="344"/>
      <c r="PSW51" s="344"/>
      <c r="PSX51" s="344"/>
      <c r="PSY51" s="344"/>
      <c r="PSZ51" s="344"/>
      <c r="PTA51" s="344"/>
      <c r="PTB51" s="344"/>
      <c r="PTC51" s="344"/>
      <c r="PTD51" s="344"/>
      <c r="PTE51" s="344"/>
      <c r="PTF51" s="344"/>
      <c r="PTG51" s="344"/>
      <c r="PTH51" s="344"/>
      <c r="PTI51" s="344"/>
      <c r="PTJ51" s="344"/>
      <c r="PTK51" s="344"/>
      <c r="PTL51" s="344"/>
      <c r="PTM51" s="344"/>
      <c r="PTN51" s="344"/>
      <c r="PTO51" s="344"/>
      <c r="PTP51" s="344"/>
      <c r="PTQ51" s="344"/>
      <c r="PTR51" s="344"/>
      <c r="PTS51" s="344"/>
      <c r="PTT51" s="344"/>
      <c r="PTU51" s="344"/>
      <c r="PTV51" s="344"/>
      <c r="PTW51" s="344"/>
      <c r="PTX51" s="344"/>
      <c r="PTY51" s="344"/>
      <c r="PTZ51" s="344"/>
      <c r="PUA51" s="344"/>
      <c r="PUB51" s="344"/>
      <c r="PUC51" s="344"/>
      <c r="PUD51" s="344"/>
      <c r="PUE51" s="344"/>
      <c r="PUF51" s="344"/>
      <c r="PUG51" s="344"/>
      <c r="PUH51" s="344"/>
      <c r="PUI51" s="344"/>
      <c r="PUJ51" s="344"/>
      <c r="PUK51" s="344"/>
      <c r="PUL51" s="344"/>
      <c r="PUM51" s="344"/>
      <c r="PUN51" s="344"/>
      <c r="PUO51" s="344"/>
      <c r="PUP51" s="344"/>
      <c r="PUQ51" s="344"/>
      <c r="PUR51" s="344"/>
      <c r="PUS51" s="344"/>
      <c r="PUT51" s="344"/>
      <c r="PUU51" s="344"/>
      <c r="PUV51" s="344"/>
      <c r="PUW51" s="344"/>
      <c r="PUX51" s="344"/>
      <c r="PUY51" s="344"/>
      <c r="PUZ51" s="344"/>
      <c r="PVA51" s="344"/>
      <c r="PVB51" s="344"/>
      <c r="PVC51" s="344"/>
      <c r="PVD51" s="344"/>
      <c r="PVE51" s="344"/>
      <c r="PVF51" s="344"/>
      <c r="PVG51" s="344"/>
      <c r="PVH51" s="344"/>
      <c r="PVI51" s="344"/>
      <c r="PVJ51" s="344"/>
      <c r="PVK51" s="344"/>
      <c r="PVL51" s="344"/>
      <c r="PVM51" s="344"/>
      <c r="PVN51" s="344"/>
      <c r="PVO51" s="344"/>
      <c r="PVP51" s="344"/>
      <c r="PVQ51" s="344"/>
      <c r="PVR51" s="344"/>
      <c r="PVS51" s="344"/>
      <c r="PVT51" s="344"/>
      <c r="PVU51" s="344"/>
      <c r="PVV51" s="344"/>
      <c r="PVW51" s="344"/>
      <c r="PVX51" s="344"/>
      <c r="PVY51" s="344"/>
      <c r="PVZ51" s="344"/>
      <c r="PWA51" s="344"/>
      <c r="PWB51" s="344"/>
      <c r="PWC51" s="344"/>
      <c r="PWD51" s="344"/>
      <c r="PWE51" s="344"/>
      <c r="PWF51" s="344"/>
      <c r="PWG51" s="344"/>
      <c r="PWH51" s="344"/>
      <c r="PWI51" s="344"/>
      <c r="PWJ51" s="344"/>
      <c r="PWK51" s="344"/>
      <c r="PWL51" s="344"/>
      <c r="PWM51" s="344"/>
      <c r="PWN51" s="344"/>
      <c r="PWO51" s="344"/>
      <c r="PWP51" s="344"/>
      <c r="PWQ51" s="344"/>
      <c r="PWR51" s="344"/>
      <c r="PWS51" s="344"/>
      <c r="PWT51" s="344"/>
      <c r="PWU51" s="344"/>
      <c r="PWV51" s="344"/>
      <c r="PWW51" s="344"/>
      <c r="PWX51" s="344"/>
      <c r="PWY51" s="344"/>
      <c r="PWZ51" s="344"/>
      <c r="PXA51" s="344"/>
      <c r="PXB51" s="344"/>
      <c r="PXC51" s="344"/>
      <c r="PXD51" s="344"/>
      <c r="PXE51" s="344"/>
      <c r="PXF51" s="344"/>
      <c r="PXG51" s="344"/>
      <c r="PXH51" s="344"/>
      <c r="PXI51" s="344"/>
      <c r="PXJ51" s="344"/>
      <c r="PXK51" s="344"/>
      <c r="PXL51" s="344"/>
      <c r="PXM51" s="344"/>
      <c r="PXN51" s="344"/>
      <c r="PXO51" s="344"/>
      <c r="PXP51" s="344"/>
      <c r="PXQ51" s="344"/>
      <c r="PXR51" s="344"/>
      <c r="PXS51" s="344"/>
      <c r="PXT51" s="344"/>
      <c r="PXU51" s="344"/>
      <c r="PXV51" s="344"/>
      <c r="PXW51" s="344"/>
      <c r="PXX51" s="344"/>
      <c r="PXY51" s="344"/>
      <c r="PXZ51" s="344"/>
      <c r="PYA51" s="344"/>
      <c r="PYB51" s="344"/>
      <c r="PYC51" s="344"/>
      <c r="PYD51" s="344"/>
      <c r="PYE51" s="344"/>
      <c r="PYF51" s="344"/>
      <c r="PYG51" s="344"/>
      <c r="PYH51" s="344"/>
      <c r="PYI51" s="344"/>
      <c r="PYJ51" s="344"/>
      <c r="PYK51" s="344"/>
      <c r="PYL51" s="344"/>
      <c r="PYM51" s="344"/>
      <c r="PYN51" s="344"/>
      <c r="PYO51" s="344"/>
      <c r="PYP51" s="344"/>
      <c r="PYQ51" s="344"/>
      <c r="PYR51" s="344"/>
      <c r="PYS51" s="344"/>
      <c r="PYT51" s="344"/>
      <c r="PYU51" s="344"/>
      <c r="PYV51" s="344"/>
      <c r="PYW51" s="344"/>
      <c r="PYX51" s="344"/>
      <c r="PYY51" s="344"/>
      <c r="PYZ51" s="344"/>
      <c r="PZA51" s="344"/>
      <c r="PZB51" s="344"/>
      <c r="PZC51" s="344"/>
      <c r="PZD51" s="344"/>
      <c r="PZE51" s="344"/>
      <c r="PZF51" s="344"/>
      <c r="PZG51" s="344"/>
      <c r="PZH51" s="344"/>
      <c r="PZI51" s="344"/>
      <c r="PZJ51" s="344"/>
      <c r="PZK51" s="344"/>
      <c r="PZL51" s="344"/>
      <c r="PZM51" s="344"/>
      <c r="PZN51" s="344"/>
      <c r="PZO51" s="344"/>
      <c r="PZP51" s="344"/>
      <c r="PZQ51" s="344"/>
      <c r="PZR51" s="344"/>
      <c r="PZS51" s="344"/>
      <c r="PZT51" s="344"/>
      <c r="PZU51" s="344"/>
      <c r="PZV51" s="344"/>
      <c r="PZW51" s="344"/>
      <c r="PZX51" s="344"/>
      <c r="PZY51" s="344"/>
      <c r="PZZ51" s="344"/>
      <c r="QAA51" s="344"/>
      <c r="QAB51" s="344"/>
      <c r="QAC51" s="344"/>
      <c r="QAD51" s="344"/>
      <c r="QAE51" s="344"/>
      <c r="QAF51" s="344"/>
      <c r="QAG51" s="344"/>
      <c r="QAH51" s="344"/>
      <c r="QAI51" s="344"/>
      <c r="QAJ51" s="344"/>
      <c r="QAK51" s="344"/>
      <c r="QAL51" s="344"/>
      <c r="QAM51" s="344"/>
      <c r="QAN51" s="344"/>
      <c r="QAO51" s="344"/>
      <c r="QAP51" s="344"/>
      <c r="QAQ51" s="344"/>
      <c r="QAR51" s="344"/>
      <c r="QAS51" s="344"/>
      <c r="QAT51" s="344"/>
      <c r="QAU51" s="344"/>
      <c r="QAV51" s="344"/>
      <c r="QAW51" s="344"/>
      <c r="QAX51" s="344"/>
      <c r="QAY51" s="344"/>
      <c r="QAZ51" s="344"/>
      <c r="QBA51" s="344"/>
      <c r="QBB51" s="344"/>
      <c r="QBC51" s="344"/>
      <c r="QBD51" s="344"/>
      <c r="QBE51" s="344"/>
      <c r="QBF51" s="344"/>
      <c r="QBG51" s="344"/>
      <c r="QBH51" s="344"/>
      <c r="QBI51" s="344"/>
      <c r="QBJ51" s="344"/>
      <c r="QBK51" s="344"/>
      <c r="QBL51" s="344"/>
      <c r="QBM51" s="344"/>
      <c r="QBN51" s="344"/>
      <c r="QBO51" s="344"/>
      <c r="QBP51" s="344"/>
      <c r="QBQ51" s="344"/>
      <c r="QBR51" s="344"/>
      <c r="QBS51" s="344"/>
      <c r="QBT51" s="344"/>
      <c r="QBU51" s="344"/>
      <c r="QBV51" s="344"/>
      <c r="QBW51" s="344"/>
      <c r="QBX51" s="344"/>
      <c r="QBY51" s="344"/>
      <c r="QBZ51" s="344"/>
      <c r="QCA51" s="344"/>
      <c r="QCB51" s="344"/>
      <c r="QCC51" s="344"/>
      <c r="QCD51" s="344"/>
      <c r="QCE51" s="344"/>
      <c r="QCF51" s="344"/>
      <c r="QCG51" s="344"/>
      <c r="QCH51" s="344"/>
      <c r="QCI51" s="344"/>
      <c r="QCJ51" s="344"/>
      <c r="QCK51" s="344"/>
      <c r="QCL51" s="344"/>
      <c r="QCM51" s="344"/>
      <c r="QCN51" s="344"/>
      <c r="QCO51" s="344"/>
      <c r="QCP51" s="344"/>
      <c r="QCQ51" s="344"/>
      <c r="QCR51" s="344"/>
      <c r="QCS51" s="344"/>
      <c r="QCT51" s="344"/>
      <c r="QCU51" s="344"/>
      <c r="QCV51" s="344"/>
      <c r="QCW51" s="344"/>
      <c r="QCX51" s="344"/>
      <c r="QCY51" s="344"/>
      <c r="QCZ51" s="344"/>
      <c r="QDA51" s="344"/>
      <c r="QDB51" s="344"/>
      <c r="QDC51" s="344"/>
      <c r="QDD51" s="344"/>
      <c r="QDE51" s="344"/>
      <c r="QDF51" s="344"/>
      <c r="QDG51" s="344"/>
      <c r="QDH51" s="344"/>
      <c r="QDI51" s="344"/>
      <c r="QDJ51" s="344"/>
      <c r="QDK51" s="344"/>
      <c r="QDL51" s="344"/>
      <c r="QDM51" s="344"/>
      <c r="QDN51" s="344"/>
      <c r="QDO51" s="344"/>
      <c r="QDP51" s="344"/>
      <c r="QDQ51" s="344"/>
      <c r="QDR51" s="344"/>
      <c r="QDS51" s="344"/>
      <c r="QDT51" s="344"/>
      <c r="QDU51" s="344"/>
      <c r="QDV51" s="344"/>
      <c r="QDW51" s="344"/>
      <c r="QDX51" s="344"/>
      <c r="QDY51" s="344"/>
      <c r="QDZ51" s="344"/>
      <c r="QEA51" s="344"/>
      <c r="QEB51" s="344"/>
      <c r="QEC51" s="344"/>
      <c r="QED51" s="344"/>
      <c r="QEE51" s="344"/>
      <c r="QEF51" s="344"/>
      <c r="QEG51" s="344"/>
      <c r="QEH51" s="344"/>
      <c r="QEI51" s="344"/>
      <c r="QEJ51" s="344"/>
      <c r="QEK51" s="344"/>
      <c r="QEL51" s="344"/>
      <c r="QEM51" s="344"/>
      <c r="QEN51" s="344"/>
      <c r="QEO51" s="344"/>
      <c r="QEP51" s="344"/>
      <c r="QEQ51" s="344"/>
      <c r="QER51" s="344"/>
      <c r="QES51" s="344"/>
      <c r="QET51" s="344"/>
      <c r="QEU51" s="344"/>
      <c r="QEV51" s="344"/>
      <c r="QEW51" s="344"/>
      <c r="QEX51" s="344"/>
      <c r="QEY51" s="344"/>
      <c r="QEZ51" s="344"/>
      <c r="QFA51" s="344"/>
      <c r="QFB51" s="344"/>
      <c r="QFC51" s="344"/>
      <c r="QFD51" s="344"/>
      <c r="QFE51" s="344"/>
      <c r="QFF51" s="344"/>
      <c r="QFG51" s="344"/>
      <c r="QFH51" s="344"/>
      <c r="QFI51" s="344"/>
      <c r="QFJ51" s="344"/>
      <c r="QFK51" s="344"/>
      <c r="QFL51" s="344"/>
      <c r="QFM51" s="344"/>
      <c r="QFN51" s="344"/>
      <c r="QFO51" s="344"/>
      <c r="QFP51" s="344"/>
      <c r="QFQ51" s="344"/>
      <c r="QFR51" s="344"/>
      <c r="QFS51" s="344"/>
      <c r="QFT51" s="344"/>
      <c r="QFU51" s="344"/>
      <c r="QFV51" s="344"/>
      <c r="QFW51" s="344"/>
      <c r="QFX51" s="344"/>
      <c r="QFY51" s="344"/>
      <c r="QFZ51" s="344"/>
      <c r="QGA51" s="344"/>
      <c r="QGB51" s="344"/>
      <c r="QGC51" s="344"/>
      <c r="QGD51" s="344"/>
      <c r="QGE51" s="344"/>
      <c r="QGF51" s="344"/>
      <c r="QGG51" s="344"/>
      <c r="QGH51" s="344"/>
      <c r="QGI51" s="344"/>
      <c r="QGJ51" s="344"/>
      <c r="QGK51" s="344"/>
      <c r="QGL51" s="344"/>
      <c r="QGM51" s="344"/>
      <c r="QGN51" s="344"/>
      <c r="QGO51" s="344"/>
      <c r="QGP51" s="344"/>
      <c r="QGQ51" s="344"/>
      <c r="QGR51" s="344"/>
      <c r="QGS51" s="344"/>
      <c r="QGT51" s="344"/>
      <c r="QGU51" s="344"/>
      <c r="QGV51" s="344"/>
      <c r="QGW51" s="344"/>
      <c r="QGX51" s="344"/>
      <c r="QGY51" s="344"/>
      <c r="QGZ51" s="344"/>
      <c r="QHA51" s="344"/>
      <c r="QHB51" s="344"/>
      <c r="QHC51" s="344"/>
      <c r="QHD51" s="344"/>
      <c r="QHE51" s="344"/>
      <c r="QHF51" s="344"/>
      <c r="QHG51" s="344"/>
      <c r="QHH51" s="344"/>
      <c r="QHI51" s="344"/>
      <c r="QHJ51" s="344"/>
      <c r="QHK51" s="344"/>
      <c r="QHL51" s="344"/>
      <c r="QHM51" s="344"/>
      <c r="QHN51" s="344"/>
      <c r="QHO51" s="344"/>
      <c r="QHP51" s="344"/>
      <c r="QHQ51" s="344"/>
      <c r="QHR51" s="344"/>
      <c r="QHS51" s="344"/>
      <c r="QHT51" s="344"/>
      <c r="QHU51" s="344"/>
      <c r="QHV51" s="344"/>
      <c r="QHW51" s="344"/>
      <c r="QHX51" s="344"/>
      <c r="QHY51" s="344"/>
      <c r="QHZ51" s="344"/>
      <c r="QIA51" s="344"/>
      <c r="QIB51" s="344"/>
      <c r="QIC51" s="344"/>
      <c r="QID51" s="344"/>
      <c r="QIE51" s="344"/>
      <c r="QIF51" s="344"/>
      <c r="QIG51" s="344"/>
      <c r="QIH51" s="344"/>
      <c r="QII51" s="344"/>
      <c r="QIJ51" s="344"/>
      <c r="QIK51" s="344"/>
      <c r="QIL51" s="344"/>
      <c r="QIM51" s="344"/>
      <c r="QIN51" s="344"/>
      <c r="QIO51" s="344"/>
      <c r="QIP51" s="344"/>
      <c r="QIQ51" s="344"/>
      <c r="QIR51" s="344"/>
      <c r="QIS51" s="344"/>
      <c r="QIT51" s="344"/>
      <c r="QIU51" s="344"/>
      <c r="QIV51" s="344"/>
      <c r="QIW51" s="344"/>
      <c r="QIX51" s="344"/>
      <c r="QIY51" s="344"/>
      <c r="QIZ51" s="344"/>
      <c r="QJA51" s="344"/>
      <c r="QJB51" s="344"/>
      <c r="QJC51" s="344"/>
      <c r="QJD51" s="344"/>
      <c r="QJE51" s="344"/>
      <c r="QJF51" s="344"/>
      <c r="QJG51" s="344"/>
      <c r="QJH51" s="344"/>
      <c r="QJI51" s="344"/>
      <c r="QJJ51" s="344"/>
      <c r="QJK51" s="344"/>
      <c r="QJL51" s="344"/>
      <c r="QJM51" s="344"/>
      <c r="QJN51" s="344"/>
      <c r="QJO51" s="344"/>
      <c r="QJP51" s="344"/>
      <c r="QJQ51" s="344"/>
      <c r="QJR51" s="344"/>
      <c r="QJS51" s="344"/>
      <c r="QJT51" s="344"/>
      <c r="QJU51" s="344"/>
      <c r="QJV51" s="344"/>
      <c r="QJW51" s="344"/>
      <c r="QJX51" s="344"/>
      <c r="QJY51" s="344"/>
      <c r="QJZ51" s="344"/>
      <c r="QKA51" s="344"/>
      <c r="QKB51" s="344"/>
      <c r="QKC51" s="344"/>
      <c r="QKD51" s="344"/>
      <c r="QKE51" s="344"/>
      <c r="QKF51" s="344"/>
      <c r="QKG51" s="344"/>
      <c r="QKH51" s="344"/>
      <c r="QKI51" s="344"/>
      <c r="QKJ51" s="344"/>
      <c r="QKK51" s="344"/>
      <c r="QKL51" s="344"/>
      <c r="QKM51" s="344"/>
      <c r="QKN51" s="344"/>
      <c r="QKO51" s="344"/>
      <c r="QKP51" s="344"/>
      <c r="QKQ51" s="344"/>
      <c r="QKR51" s="344"/>
      <c r="QKS51" s="344"/>
      <c r="QKT51" s="344"/>
      <c r="QKU51" s="344"/>
      <c r="QKV51" s="344"/>
      <c r="QKW51" s="344"/>
      <c r="QKX51" s="344"/>
      <c r="QKY51" s="344"/>
      <c r="QKZ51" s="344"/>
      <c r="QLA51" s="344"/>
      <c r="QLB51" s="344"/>
      <c r="QLC51" s="344"/>
      <c r="QLD51" s="344"/>
      <c r="QLE51" s="344"/>
      <c r="QLF51" s="344"/>
      <c r="QLG51" s="344"/>
      <c r="QLH51" s="344"/>
      <c r="QLI51" s="344"/>
      <c r="QLJ51" s="344"/>
      <c r="QLK51" s="344"/>
      <c r="QLL51" s="344"/>
      <c r="QLM51" s="344"/>
      <c r="QLN51" s="344"/>
      <c r="QLO51" s="344"/>
      <c r="QLP51" s="344"/>
      <c r="QLQ51" s="344"/>
      <c r="QLR51" s="344"/>
      <c r="QLS51" s="344"/>
      <c r="QLT51" s="344"/>
      <c r="QLU51" s="344"/>
      <c r="QLV51" s="344"/>
      <c r="QLW51" s="344"/>
      <c r="QLX51" s="344"/>
      <c r="QLY51" s="344"/>
      <c r="QLZ51" s="344"/>
      <c r="QMA51" s="344"/>
      <c r="QMB51" s="344"/>
      <c r="QMC51" s="344"/>
      <c r="QMD51" s="344"/>
      <c r="QME51" s="344"/>
      <c r="QMF51" s="344"/>
      <c r="QMG51" s="344"/>
      <c r="QMH51" s="344"/>
      <c r="QMI51" s="344"/>
      <c r="QMJ51" s="344"/>
      <c r="QMK51" s="344"/>
      <c r="QML51" s="344"/>
      <c r="QMM51" s="344"/>
      <c r="QMN51" s="344"/>
      <c r="QMO51" s="344"/>
      <c r="QMP51" s="344"/>
      <c r="QMQ51" s="344"/>
      <c r="QMR51" s="344"/>
      <c r="QMS51" s="344"/>
      <c r="QMT51" s="344"/>
      <c r="QMU51" s="344"/>
      <c r="QMV51" s="344"/>
      <c r="QMW51" s="344"/>
      <c r="QMX51" s="344"/>
      <c r="QMY51" s="344"/>
      <c r="QMZ51" s="344"/>
      <c r="QNA51" s="344"/>
      <c r="QNB51" s="344"/>
      <c r="QNC51" s="344"/>
      <c r="QND51" s="344"/>
      <c r="QNE51" s="344"/>
      <c r="QNF51" s="344"/>
      <c r="QNG51" s="344"/>
      <c r="QNH51" s="344"/>
      <c r="QNI51" s="344"/>
      <c r="QNJ51" s="344"/>
      <c r="QNK51" s="344"/>
      <c r="QNL51" s="344"/>
      <c r="QNM51" s="344"/>
      <c r="QNN51" s="344"/>
      <c r="QNO51" s="344"/>
      <c r="QNP51" s="344"/>
      <c r="QNQ51" s="344"/>
      <c r="QNR51" s="344"/>
      <c r="QNS51" s="344"/>
      <c r="QNT51" s="344"/>
      <c r="QNU51" s="344"/>
      <c r="QNV51" s="344"/>
      <c r="QNW51" s="344"/>
      <c r="QNX51" s="344"/>
      <c r="QNY51" s="344"/>
      <c r="QNZ51" s="344"/>
      <c r="QOA51" s="344"/>
      <c r="QOB51" s="344"/>
      <c r="QOC51" s="344"/>
      <c r="QOD51" s="344"/>
      <c r="QOE51" s="344"/>
      <c r="QOF51" s="344"/>
      <c r="QOG51" s="344"/>
      <c r="QOH51" s="344"/>
      <c r="QOI51" s="344"/>
      <c r="QOJ51" s="344"/>
      <c r="QOK51" s="344"/>
      <c r="QOL51" s="344"/>
      <c r="QOM51" s="344"/>
      <c r="QON51" s="344"/>
      <c r="QOO51" s="344"/>
      <c r="QOP51" s="344"/>
      <c r="QOQ51" s="344"/>
      <c r="QOR51" s="344"/>
      <c r="QOS51" s="344"/>
      <c r="QOT51" s="344"/>
      <c r="QOU51" s="344"/>
      <c r="QOV51" s="344"/>
      <c r="QOW51" s="344"/>
      <c r="QOX51" s="344"/>
      <c r="QOY51" s="344"/>
      <c r="QOZ51" s="344"/>
      <c r="QPA51" s="344"/>
      <c r="QPB51" s="344"/>
      <c r="QPC51" s="344"/>
      <c r="QPD51" s="344"/>
      <c r="QPE51" s="344"/>
      <c r="QPF51" s="344"/>
      <c r="QPG51" s="344"/>
      <c r="QPH51" s="344"/>
      <c r="QPI51" s="344"/>
      <c r="QPJ51" s="344"/>
      <c r="QPK51" s="344"/>
      <c r="QPL51" s="344"/>
      <c r="QPM51" s="344"/>
      <c r="QPN51" s="344"/>
      <c r="QPO51" s="344"/>
      <c r="QPP51" s="344"/>
      <c r="QPQ51" s="344"/>
      <c r="QPR51" s="344"/>
      <c r="QPS51" s="344"/>
      <c r="QPT51" s="344"/>
      <c r="QPU51" s="344"/>
      <c r="QPV51" s="344"/>
      <c r="QPW51" s="344"/>
      <c r="QPX51" s="344"/>
      <c r="QPY51" s="344"/>
      <c r="QPZ51" s="344"/>
      <c r="QQA51" s="344"/>
      <c r="QQB51" s="344"/>
      <c r="QQC51" s="344"/>
      <c r="QQD51" s="344"/>
      <c r="QQE51" s="344"/>
      <c r="QQF51" s="344"/>
      <c r="QQG51" s="344"/>
      <c r="QQH51" s="344"/>
      <c r="QQI51" s="344"/>
      <c r="QQJ51" s="344"/>
      <c r="QQK51" s="344"/>
      <c r="QQL51" s="344"/>
      <c r="QQM51" s="344"/>
      <c r="QQN51" s="344"/>
      <c r="QQO51" s="344"/>
      <c r="QQP51" s="344"/>
      <c r="QQQ51" s="344"/>
      <c r="QQR51" s="344"/>
      <c r="QQS51" s="344"/>
      <c r="QQT51" s="344"/>
      <c r="QQU51" s="344"/>
      <c r="QQV51" s="344"/>
      <c r="QQW51" s="344"/>
      <c r="QQX51" s="344"/>
      <c r="QQY51" s="344"/>
      <c r="QQZ51" s="344"/>
      <c r="QRA51" s="344"/>
      <c r="QRB51" s="344"/>
      <c r="QRC51" s="344"/>
      <c r="QRD51" s="344"/>
      <c r="QRE51" s="344"/>
      <c r="QRF51" s="344"/>
      <c r="QRG51" s="344"/>
      <c r="QRH51" s="344"/>
      <c r="QRI51" s="344"/>
      <c r="QRJ51" s="344"/>
      <c r="QRK51" s="344"/>
      <c r="QRL51" s="344"/>
      <c r="QRM51" s="344"/>
      <c r="QRN51" s="344"/>
      <c r="QRO51" s="344"/>
      <c r="QRP51" s="344"/>
      <c r="QRQ51" s="344"/>
      <c r="QRR51" s="344"/>
      <c r="QRS51" s="344"/>
      <c r="QRT51" s="344"/>
      <c r="QRU51" s="344"/>
      <c r="QRV51" s="344"/>
      <c r="QRW51" s="344"/>
      <c r="QRX51" s="344"/>
      <c r="QRY51" s="344"/>
      <c r="QRZ51" s="344"/>
      <c r="QSA51" s="344"/>
      <c r="QSB51" s="344"/>
      <c r="QSC51" s="344"/>
      <c r="QSD51" s="344"/>
      <c r="QSE51" s="344"/>
      <c r="QSF51" s="344"/>
      <c r="QSG51" s="344"/>
      <c r="QSH51" s="344"/>
      <c r="QSI51" s="344"/>
      <c r="QSJ51" s="344"/>
      <c r="QSK51" s="344"/>
      <c r="QSL51" s="344"/>
      <c r="QSM51" s="344"/>
      <c r="QSN51" s="344"/>
      <c r="QSO51" s="344"/>
      <c r="QSP51" s="344"/>
      <c r="QSQ51" s="344"/>
      <c r="QSR51" s="344"/>
      <c r="QSS51" s="344"/>
      <c r="QST51" s="344"/>
      <c r="QSU51" s="344"/>
      <c r="QSV51" s="344"/>
      <c r="QSW51" s="344"/>
      <c r="QSX51" s="344"/>
      <c r="QSY51" s="344"/>
      <c r="QSZ51" s="344"/>
      <c r="QTA51" s="344"/>
      <c r="QTB51" s="344"/>
      <c r="QTC51" s="344"/>
      <c r="QTD51" s="344"/>
      <c r="QTE51" s="344"/>
      <c r="QTF51" s="344"/>
      <c r="QTG51" s="344"/>
      <c r="QTH51" s="344"/>
      <c r="QTI51" s="344"/>
      <c r="QTJ51" s="344"/>
      <c r="QTK51" s="344"/>
      <c r="QTL51" s="344"/>
      <c r="QTM51" s="344"/>
      <c r="QTN51" s="344"/>
      <c r="QTO51" s="344"/>
      <c r="QTP51" s="344"/>
      <c r="QTQ51" s="344"/>
      <c r="QTR51" s="344"/>
      <c r="QTS51" s="344"/>
      <c r="QTT51" s="344"/>
      <c r="QTU51" s="344"/>
      <c r="QTV51" s="344"/>
      <c r="QTW51" s="344"/>
      <c r="QTX51" s="344"/>
      <c r="QTY51" s="344"/>
      <c r="QTZ51" s="344"/>
      <c r="QUA51" s="344"/>
      <c r="QUB51" s="344"/>
      <c r="QUC51" s="344"/>
      <c r="QUD51" s="344"/>
      <c r="QUE51" s="344"/>
      <c r="QUF51" s="344"/>
      <c r="QUG51" s="344"/>
      <c r="QUH51" s="344"/>
      <c r="QUI51" s="344"/>
      <c r="QUJ51" s="344"/>
      <c r="QUK51" s="344"/>
      <c r="QUL51" s="344"/>
      <c r="QUM51" s="344"/>
      <c r="QUN51" s="344"/>
      <c r="QUO51" s="344"/>
      <c r="QUP51" s="344"/>
      <c r="QUQ51" s="344"/>
      <c r="QUR51" s="344"/>
      <c r="QUS51" s="344"/>
      <c r="QUT51" s="344"/>
      <c r="QUU51" s="344"/>
      <c r="QUV51" s="344"/>
      <c r="QUW51" s="344"/>
      <c r="QUX51" s="344"/>
      <c r="QUY51" s="344"/>
      <c r="QUZ51" s="344"/>
      <c r="QVA51" s="344"/>
      <c r="QVB51" s="344"/>
      <c r="QVC51" s="344"/>
      <c r="QVD51" s="344"/>
      <c r="QVE51" s="344"/>
      <c r="QVF51" s="344"/>
      <c r="QVG51" s="344"/>
      <c r="QVH51" s="344"/>
      <c r="QVI51" s="344"/>
      <c r="QVJ51" s="344"/>
      <c r="QVK51" s="344"/>
      <c r="QVL51" s="344"/>
      <c r="QVM51" s="344"/>
      <c r="QVN51" s="344"/>
      <c r="QVO51" s="344"/>
      <c r="QVP51" s="344"/>
      <c r="QVQ51" s="344"/>
      <c r="QVR51" s="344"/>
      <c r="QVS51" s="344"/>
      <c r="QVT51" s="344"/>
      <c r="QVU51" s="344"/>
      <c r="QVV51" s="344"/>
      <c r="QVW51" s="344"/>
      <c r="QVX51" s="344"/>
      <c r="QVY51" s="344"/>
      <c r="QVZ51" s="344"/>
      <c r="QWA51" s="344"/>
      <c r="QWB51" s="344"/>
      <c r="QWC51" s="344"/>
      <c r="QWD51" s="344"/>
      <c r="QWE51" s="344"/>
      <c r="QWF51" s="344"/>
      <c r="QWG51" s="344"/>
      <c r="QWH51" s="344"/>
      <c r="QWI51" s="344"/>
      <c r="QWJ51" s="344"/>
      <c r="QWK51" s="344"/>
      <c r="QWL51" s="344"/>
      <c r="QWM51" s="344"/>
      <c r="QWN51" s="344"/>
      <c r="QWO51" s="344"/>
      <c r="QWP51" s="344"/>
      <c r="QWQ51" s="344"/>
      <c r="QWR51" s="344"/>
      <c r="QWS51" s="344"/>
      <c r="QWT51" s="344"/>
      <c r="QWU51" s="344"/>
      <c r="QWV51" s="344"/>
      <c r="QWW51" s="344"/>
      <c r="QWX51" s="344"/>
      <c r="QWY51" s="344"/>
      <c r="QWZ51" s="344"/>
      <c r="QXA51" s="344"/>
      <c r="QXB51" s="344"/>
      <c r="QXC51" s="344"/>
      <c r="QXD51" s="344"/>
      <c r="QXE51" s="344"/>
      <c r="QXF51" s="344"/>
      <c r="QXG51" s="344"/>
      <c r="QXH51" s="344"/>
      <c r="QXI51" s="344"/>
      <c r="QXJ51" s="344"/>
      <c r="QXK51" s="344"/>
      <c r="QXL51" s="344"/>
      <c r="QXM51" s="344"/>
      <c r="QXN51" s="344"/>
      <c r="QXO51" s="344"/>
      <c r="QXP51" s="344"/>
      <c r="QXQ51" s="344"/>
      <c r="QXR51" s="344"/>
      <c r="QXS51" s="344"/>
      <c r="QXT51" s="344"/>
      <c r="QXU51" s="344"/>
      <c r="QXV51" s="344"/>
      <c r="QXW51" s="344"/>
      <c r="QXX51" s="344"/>
      <c r="QXY51" s="344"/>
      <c r="QXZ51" s="344"/>
      <c r="QYA51" s="344"/>
      <c r="QYB51" s="344"/>
      <c r="QYC51" s="344"/>
      <c r="QYD51" s="344"/>
      <c r="QYE51" s="344"/>
      <c r="QYF51" s="344"/>
      <c r="QYG51" s="344"/>
      <c r="QYH51" s="344"/>
      <c r="QYI51" s="344"/>
      <c r="QYJ51" s="344"/>
      <c r="QYK51" s="344"/>
      <c r="QYL51" s="344"/>
      <c r="QYM51" s="344"/>
      <c r="QYN51" s="344"/>
      <c r="QYO51" s="344"/>
      <c r="QYP51" s="344"/>
      <c r="QYQ51" s="344"/>
      <c r="QYR51" s="344"/>
      <c r="QYS51" s="344"/>
      <c r="QYT51" s="344"/>
      <c r="QYU51" s="344"/>
      <c r="QYV51" s="344"/>
      <c r="QYW51" s="344"/>
      <c r="QYX51" s="344"/>
      <c r="QYY51" s="344"/>
      <c r="QYZ51" s="344"/>
      <c r="QZA51" s="344"/>
      <c r="QZB51" s="344"/>
      <c r="QZC51" s="344"/>
      <c r="QZD51" s="344"/>
      <c r="QZE51" s="344"/>
      <c r="QZF51" s="344"/>
      <c r="QZG51" s="344"/>
      <c r="QZH51" s="344"/>
      <c r="QZI51" s="344"/>
      <c r="QZJ51" s="344"/>
      <c r="QZK51" s="344"/>
      <c r="QZL51" s="344"/>
      <c r="QZM51" s="344"/>
      <c r="QZN51" s="344"/>
      <c r="QZO51" s="344"/>
      <c r="QZP51" s="344"/>
      <c r="QZQ51" s="344"/>
      <c r="QZR51" s="344"/>
      <c r="QZS51" s="344"/>
      <c r="QZT51" s="344"/>
      <c r="QZU51" s="344"/>
      <c r="QZV51" s="344"/>
      <c r="QZW51" s="344"/>
      <c r="QZX51" s="344"/>
      <c r="QZY51" s="344"/>
      <c r="QZZ51" s="344"/>
      <c r="RAA51" s="344"/>
      <c r="RAB51" s="344"/>
      <c r="RAC51" s="344"/>
      <c r="RAD51" s="344"/>
      <c r="RAE51" s="344"/>
      <c r="RAF51" s="344"/>
      <c r="RAG51" s="344"/>
      <c r="RAH51" s="344"/>
      <c r="RAI51" s="344"/>
      <c r="RAJ51" s="344"/>
      <c r="RAK51" s="344"/>
      <c r="RAL51" s="344"/>
      <c r="RAM51" s="344"/>
      <c r="RAN51" s="344"/>
      <c r="RAO51" s="344"/>
      <c r="RAP51" s="344"/>
      <c r="RAQ51" s="344"/>
      <c r="RAR51" s="344"/>
      <c r="RAS51" s="344"/>
      <c r="RAT51" s="344"/>
      <c r="RAU51" s="344"/>
      <c r="RAV51" s="344"/>
      <c r="RAW51" s="344"/>
      <c r="RAX51" s="344"/>
      <c r="RAY51" s="344"/>
      <c r="RAZ51" s="344"/>
      <c r="RBA51" s="344"/>
      <c r="RBB51" s="344"/>
      <c r="RBC51" s="344"/>
      <c r="RBD51" s="344"/>
      <c r="RBE51" s="344"/>
      <c r="RBF51" s="344"/>
      <c r="RBG51" s="344"/>
      <c r="RBH51" s="344"/>
      <c r="RBI51" s="344"/>
      <c r="RBJ51" s="344"/>
      <c r="RBK51" s="344"/>
      <c r="RBL51" s="344"/>
      <c r="RBM51" s="344"/>
      <c r="RBN51" s="344"/>
      <c r="RBO51" s="344"/>
      <c r="RBP51" s="344"/>
      <c r="RBQ51" s="344"/>
      <c r="RBR51" s="344"/>
      <c r="RBS51" s="344"/>
      <c r="RBT51" s="344"/>
      <c r="RBU51" s="344"/>
      <c r="RBV51" s="344"/>
      <c r="RBW51" s="344"/>
      <c r="RBX51" s="344"/>
      <c r="RBY51" s="344"/>
      <c r="RBZ51" s="344"/>
      <c r="RCA51" s="344"/>
      <c r="RCB51" s="344"/>
      <c r="RCC51" s="344"/>
      <c r="RCD51" s="344"/>
      <c r="RCE51" s="344"/>
      <c r="RCF51" s="344"/>
      <c r="RCG51" s="344"/>
      <c r="RCH51" s="344"/>
      <c r="RCI51" s="344"/>
      <c r="RCJ51" s="344"/>
      <c r="RCK51" s="344"/>
      <c r="RCL51" s="344"/>
      <c r="RCM51" s="344"/>
      <c r="RCN51" s="344"/>
      <c r="RCO51" s="344"/>
      <c r="RCP51" s="344"/>
      <c r="RCQ51" s="344"/>
      <c r="RCR51" s="344"/>
      <c r="RCS51" s="344"/>
      <c r="RCT51" s="344"/>
      <c r="RCU51" s="344"/>
      <c r="RCV51" s="344"/>
      <c r="RCW51" s="344"/>
      <c r="RCX51" s="344"/>
      <c r="RCY51" s="344"/>
      <c r="RCZ51" s="344"/>
      <c r="RDA51" s="344"/>
      <c r="RDB51" s="344"/>
      <c r="RDC51" s="344"/>
      <c r="RDD51" s="344"/>
      <c r="RDE51" s="344"/>
      <c r="RDF51" s="344"/>
      <c r="RDG51" s="344"/>
      <c r="RDH51" s="344"/>
      <c r="RDI51" s="344"/>
      <c r="RDJ51" s="344"/>
      <c r="RDK51" s="344"/>
      <c r="RDL51" s="344"/>
      <c r="RDM51" s="344"/>
      <c r="RDN51" s="344"/>
      <c r="RDO51" s="344"/>
      <c r="RDP51" s="344"/>
      <c r="RDQ51" s="344"/>
      <c r="RDR51" s="344"/>
      <c r="RDS51" s="344"/>
      <c r="RDT51" s="344"/>
      <c r="RDU51" s="344"/>
      <c r="RDV51" s="344"/>
      <c r="RDW51" s="344"/>
      <c r="RDX51" s="344"/>
      <c r="RDY51" s="344"/>
      <c r="RDZ51" s="344"/>
      <c r="REA51" s="344"/>
      <c r="REB51" s="344"/>
      <c r="REC51" s="344"/>
      <c r="RED51" s="344"/>
      <c r="REE51" s="344"/>
      <c r="REF51" s="344"/>
      <c r="REG51" s="344"/>
      <c r="REH51" s="344"/>
      <c r="REI51" s="344"/>
      <c r="REJ51" s="344"/>
      <c r="REK51" s="344"/>
      <c r="REL51" s="344"/>
      <c r="REM51" s="344"/>
      <c r="REN51" s="344"/>
      <c r="REO51" s="344"/>
      <c r="REP51" s="344"/>
      <c r="REQ51" s="344"/>
      <c r="RER51" s="344"/>
      <c r="RES51" s="344"/>
      <c r="RET51" s="344"/>
      <c r="REU51" s="344"/>
      <c r="REV51" s="344"/>
      <c r="REW51" s="344"/>
      <c r="REX51" s="344"/>
      <c r="REY51" s="344"/>
      <c r="REZ51" s="344"/>
      <c r="RFA51" s="344"/>
      <c r="RFB51" s="344"/>
      <c r="RFC51" s="344"/>
      <c r="RFD51" s="344"/>
      <c r="RFE51" s="344"/>
      <c r="RFF51" s="344"/>
      <c r="RFG51" s="344"/>
      <c r="RFH51" s="344"/>
      <c r="RFI51" s="344"/>
      <c r="RFJ51" s="344"/>
      <c r="RFK51" s="344"/>
      <c r="RFL51" s="344"/>
      <c r="RFM51" s="344"/>
      <c r="RFN51" s="344"/>
      <c r="RFO51" s="344"/>
      <c r="RFP51" s="344"/>
      <c r="RFQ51" s="344"/>
      <c r="RFR51" s="344"/>
      <c r="RFS51" s="344"/>
      <c r="RFT51" s="344"/>
      <c r="RFU51" s="344"/>
      <c r="RFV51" s="344"/>
      <c r="RFW51" s="344"/>
      <c r="RFX51" s="344"/>
      <c r="RFY51" s="344"/>
      <c r="RFZ51" s="344"/>
      <c r="RGA51" s="344"/>
      <c r="RGB51" s="344"/>
      <c r="RGC51" s="344"/>
      <c r="RGD51" s="344"/>
      <c r="RGE51" s="344"/>
      <c r="RGF51" s="344"/>
      <c r="RGG51" s="344"/>
      <c r="RGH51" s="344"/>
      <c r="RGI51" s="344"/>
      <c r="RGJ51" s="344"/>
      <c r="RGK51" s="344"/>
      <c r="RGL51" s="344"/>
      <c r="RGM51" s="344"/>
      <c r="RGN51" s="344"/>
      <c r="RGO51" s="344"/>
      <c r="RGP51" s="344"/>
      <c r="RGQ51" s="344"/>
      <c r="RGR51" s="344"/>
      <c r="RGS51" s="344"/>
      <c r="RGT51" s="344"/>
      <c r="RGU51" s="344"/>
      <c r="RGV51" s="344"/>
      <c r="RGW51" s="344"/>
      <c r="RGX51" s="344"/>
      <c r="RGY51" s="344"/>
      <c r="RGZ51" s="344"/>
      <c r="RHA51" s="344"/>
      <c r="RHB51" s="344"/>
      <c r="RHC51" s="344"/>
      <c r="RHD51" s="344"/>
      <c r="RHE51" s="344"/>
      <c r="RHF51" s="344"/>
      <c r="RHG51" s="344"/>
      <c r="RHH51" s="344"/>
      <c r="RHI51" s="344"/>
      <c r="RHJ51" s="344"/>
      <c r="RHK51" s="344"/>
      <c r="RHL51" s="344"/>
      <c r="RHM51" s="344"/>
      <c r="RHN51" s="344"/>
      <c r="RHO51" s="344"/>
      <c r="RHP51" s="344"/>
      <c r="RHQ51" s="344"/>
      <c r="RHR51" s="344"/>
      <c r="RHS51" s="344"/>
      <c r="RHT51" s="344"/>
      <c r="RHU51" s="344"/>
      <c r="RHV51" s="344"/>
      <c r="RHW51" s="344"/>
      <c r="RHX51" s="344"/>
      <c r="RHY51" s="344"/>
      <c r="RHZ51" s="344"/>
      <c r="RIA51" s="344"/>
      <c r="RIB51" s="344"/>
      <c r="RIC51" s="344"/>
      <c r="RID51" s="344"/>
      <c r="RIE51" s="344"/>
      <c r="RIF51" s="344"/>
      <c r="RIG51" s="344"/>
      <c r="RIH51" s="344"/>
      <c r="RII51" s="344"/>
      <c r="RIJ51" s="344"/>
      <c r="RIK51" s="344"/>
      <c r="RIL51" s="344"/>
      <c r="RIM51" s="344"/>
      <c r="RIN51" s="344"/>
      <c r="RIO51" s="344"/>
      <c r="RIP51" s="344"/>
      <c r="RIQ51" s="344"/>
      <c r="RIR51" s="344"/>
      <c r="RIS51" s="344"/>
      <c r="RIT51" s="344"/>
      <c r="RIU51" s="344"/>
      <c r="RIV51" s="344"/>
      <c r="RIW51" s="344"/>
      <c r="RIX51" s="344"/>
      <c r="RIY51" s="344"/>
      <c r="RIZ51" s="344"/>
      <c r="RJA51" s="344"/>
      <c r="RJB51" s="344"/>
      <c r="RJC51" s="344"/>
      <c r="RJD51" s="344"/>
      <c r="RJE51" s="344"/>
      <c r="RJF51" s="344"/>
      <c r="RJG51" s="344"/>
      <c r="RJH51" s="344"/>
      <c r="RJI51" s="344"/>
      <c r="RJJ51" s="344"/>
      <c r="RJK51" s="344"/>
      <c r="RJL51" s="344"/>
      <c r="RJM51" s="344"/>
      <c r="RJN51" s="344"/>
      <c r="RJO51" s="344"/>
      <c r="RJP51" s="344"/>
      <c r="RJQ51" s="344"/>
      <c r="RJR51" s="344"/>
      <c r="RJS51" s="344"/>
      <c r="RJT51" s="344"/>
      <c r="RJU51" s="344"/>
      <c r="RJV51" s="344"/>
      <c r="RJW51" s="344"/>
      <c r="RJX51" s="344"/>
      <c r="RJY51" s="344"/>
      <c r="RJZ51" s="344"/>
      <c r="RKA51" s="344"/>
      <c r="RKB51" s="344"/>
      <c r="RKC51" s="344"/>
      <c r="RKD51" s="344"/>
      <c r="RKE51" s="344"/>
      <c r="RKF51" s="344"/>
      <c r="RKG51" s="344"/>
      <c r="RKH51" s="344"/>
      <c r="RKI51" s="344"/>
      <c r="RKJ51" s="344"/>
      <c r="RKK51" s="344"/>
      <c r="RKL51" s="344"/>
      <c r="RKM51" s="344"/>
      <c r="RKN51" s="344"/>
      <c r="RKO51" s="344"/>
      <c r="RKP51" s="344"/>
      <c r="RKQ51" s="344"/>
      <c r="RKR51" s="344"/>
      <c r="RKS51" s="344"/>
      <c r="RKT51" s="344"/>
      <c r="RKU51" s="344"/>
      <c r="RKV51" s="344"/>
      <c r="RKW51" s="344"/>
      <c r="RKX51" s="344"/>
      <c r="RKY51" s="344"/>
      <c r="RKZ51" s="344"/>
      <c r="RLA51" s="344"/>
      <c r="RLB51" s="344"/>
      <c r="RLC51" s="344"/>
      <c r="RLD51" s="344"/>
      <c r="RLE51" s="344"/>
      <c r="RLF51" s="344"/>
      <c r="RLG51" s="344"/>
      <c r="RLH51" s="344"/>
      <c r="RLI51" s="344"/>
      <c r="RLJ51" s="344"/>
      <c r="RLK51" s="344"/>
      <c r="RLL51" s="344"/>
      <c r="RLM51" s="344"/>
      <c r="RLN51" s="344"/>
      <c r="RLO51" s="344"/>
      <c r="RLP51" s="344"/>
      <c r="RLQ51" s="344"/>
      <c r="RLR51" s="344"/>
      <c r="RLS51" s="344"/>
      <c r="RLT51" s="344"/>
      <c r="RLU51" s="344"/>
      <c r="RLV51" s="344"/>
      <c r="RLW51" s="344"/>
      <c r="RLX51" s="344"/>
      <c r="RLY51" s="344"/>
      <c r="RLZ51" s="344"/>
      <c r="RMA51" s="344"/>
      <c r="RMB51" s="344"/>
      <c r="RMC51" s="344"/>
      <c r="RMD51" s="344"/>
      <c r="RME51" s="344"/>
      <c r="RMF51" s="344"/>
      <c r="RMG51" s="344"/>
      <c r="RMH51" s="344"/>
      <c r="RMI51" s="344"/>
      <c r="RMJ51" s="344"/>
      <c r="RMK51" s="344"/>
      <c r="RML51" s="344"/>
      <c r="RMM51" s="344"/>
      <c r="RMN51" s="344"/>
      <c r="RMO51" s="344"/>
      <c r="RMP51" s="344"/>
      <c r="RMQ51" s="344"/>
      <c r="RMR51" s="344"/>
      <c r="RMS51" s="344"/>
      <c r="RMT51" s="344"/>
      <c r="RMU51" s="344"/>
      <c r="RMV51" s="344"/>
      <c r="RMW51" s="344"/>
      <c r="RMX51" s="344"/>
      <c r="RMY51" s="344"/>
      <c r="RMZ51" s="344"/>
      <c r="RNA51" s="344"/>
      <c r="RNB51" s="344"/>
      <c r="RNC51" s="344"/>
      <c r="RND51" s="344"/>
      <c r="RNE51" s="344"/>
      <c r="RNF51" s="344"/>
      <c r="RNG51" s="344"/>
      <c r="RNH51" s="344"/>
      <c r="RNI51" s="344"/>
      <c r="RNJ51" s="344"/>
      <c r="RNK51" s="344"/>
      <c r="RNL51" s="344"/>
      <c r="RNM51" s="344"/>
      <c r="RNN51" s="344"/>
      <c r="RNO51" s="344"/>
      <c r="RNP51" s="344"/>
      <c r="RNQ51" s="344"/>
      <c r="RNR51" s="344"/>
      <c r="RNS51" s="344"/>
      <c r="RNT51" s="344"/>
      <c r="RNU51" s="344"/>
      <c r="RNV51" s="344"/>
      <c r="RNW51" s="344"/>
      <c r="RNX51" s="344"/>
      <c r="RNY51" s="344"/>
      <c r="RNZ51" s="344"/>
      <c r="ROA51" s="344"/>
      <c r="ROB51" s="344"/>
      <c r="ROC51" s="344"/>
      <c r="ROD51" s="344"/>
      <c r="ROE51" s="344"/>
      <c r="ROF51" s="344"/>
      <c r="ROG51" s="344"/>
      <c r="ROH51" s="344"/>
      <c r="ROI51" s="344"/>
      <c r="ROJ51" s="344"/>
      <c r="ROK51" s="344"/>
      <c r="ROL51" s="344"/>
      <c r="ROM51" s="344"/>
      <c r="RON51" s="344"/>
      <c r="ROO51" s="344"/>
      <c r="ROP51" s="344"/>
      <c r="ROQ51" s="344"/>
      <c r="ROR51" s="344"/>
      <c r="ROS51" s="344"/>
      <c r="ROT51" s="344"/>
      <c r="ROU51" s="344"/>
      <c r="ROV51" s="344"/>
      <c r="ROW51" s="344"/>
      <c r="ROX51" s="344"/>
      <c r="ROY51" s="344"/>
      <c r="ROZ51" s="344"/>
      <c r="RPA51" s="344"/>
      <c r="RPB51" s="344"/>
      <c r="RPC51" s="344"/>
      <c r="RPD51" s="344"/>
      <c r="RPE51" s="344"/>
      <c r="RPF51" s="344"/>
      <c r="RPG51" s="344"/>
      <c r="RPH51" s="344"/>
      <c r="RPI51" s="344"/>
      <c r="RPJ51" s="344"/>
      <c r="RPK51" s="344"/>
      <c r="RPL51" s="344"/>
      <c r="RPM51" s="344"/>
      <c r="RPN51" s="344"/>
      <c r="RPO51" s="344"/>
      <c r="RPP51" s="344"/>
      <c r="RPQ51" s="344"/>
      <c r="RPR51" s="344"/>
      <c r="RPS51" s="344"/>
      <c r="RPT51" s="344"/>
      <c r="RPU51" s="344"/>
      <c r="RPV51" s="344"/>
      <c r="RPW51" s="344"/>
      <c r="RPX51" s="344"/>
      <c r="RPY51" s="344"/>
      <c r="RPZ51" s="344"/>
      <c r="RQA51" s="344"/>
      <c r="RQB51" s="344"/>
      <c r="RQC51" s="344"/>
      <c r="RQD51" s="344"/>
      <c r="RQE51" s="344"/>
      <c r="RQF51" s="344"/>
      <c r="RQG51" s="344"/>
      <c r="RQH51" s="344"/>
      <c r="RQI51" s="344"/>
      <c r="RQJ51" s="344"/>
      <c r="RQK51" s="344"/>
      <c r="RQL51" s="344"/>
      <c r="RQM51" s="344"/>
      <c r="RQN51" s="344"/>
      <c r="RQO51" s="344"/>
      <c r="RQP51" s="344"/>
      <c r="RQQ51" s="344"/>
      <c r="RQR51" s="344"/>
      <c r="RQS51" s="344"/>
      <c r="RQT51" s="344"/>
      <c r="RQU51" s="344"/>
      <c r="RQV51" s="344"/>
      <c r="RQW51" s="344"/>
      <c r="RQX51" s="344"/>
      <c r="RQY51" s="344"/>
      <c r="RQZ51" s="344"/>
      <c r="RRA51" s="344"/>
      <c r="RRB51" s="344"/>
      <c r="RRC51" s="344"/>
      <c r="RRD51" s="344"/>
      <c r="RRE51" s="344"/>
      <c r="RRF51" s="344"/>
      <c r="RRG51" s="344"/>
      <c r="RRH51" s="344"/>
      <c r="RRI51" s="344"/>
      <c r="RRJ51" s="344"/>
      <c r="RRK51" s="344"/>
      <c r="RRL51" s="344"/>
      <c r="RRM51" s="344"/>
      <c r="RRN51" s="344"/>
      <c r="RRO51" s="344"/>
      <c r="RRP51" s="344"/>
      <c r="RRQ51" s="344"/>
      <c r="RRR51" s="344"/>
      <c r="RRS51" s="344"/>
      <c r="RRT51" s="344"/>
      <c r="RRU51" s="344"/>
      <c r="RRV51" s="344"/>
      <c r="RRW51" s="344"/>
      <c r="RRX51" s="344"/>
      <c r="RRY51" s="344"/>
      <c r="RRZ51" s="344"/>
      <c r="RSA51" s="344"/>
      <c r="RSB51" s="344"/>
      <c r="RSC51" s="344"/>
      <c r="RSD51" s="344"/>
      <c r="RSE51" s="344"/>
      <c r="RSF51" s="344"/>
      <c r="RSG51" s="344"/>
      <c r="RSH51" s="344"/>
      <c r="RSI51" s="344"/>
      <c r="RSJ51" s="344"/>
      <c r="RSK51" s="344"/>
      <c r="RSL51" s="344"/>
      <c r="RSM51" s="344"/>
      <c r="RSN51" s="344"/>
      <c r="RSO51" s="344"/>
      <c r="RSP51" s="344"/>
      <c r="RSQ51" s="344"/>
      <c r="RSR51" s="344"/>
      <c r="RSS51" s="344"/>
      <c r="RST51" s="344"/>
      <c r="RSU51" s="344"/>
      <c r="RSV51" s="344"/>
      <c r="RSW51" s="344"/>
      <c r="RSX51" s="344"/>
      <c r="RSY51" s="344"/>
      <c r="RSZ51" s="344"/>
      <c r="RTA51" s="344"/>
      <c r="RTB51" s="344"/>
      <c r="RTC51" s="344"/>
      <c r="RTD51" s="344"/>
      <c r="RTE51" s="344"/>
      <c r="RTF51" s="344"/>
      <c r="RTG51" s="344"/>
      <c r="RTH51" s="344"/>
      <c r="RTI51" s="344"/>
      <c r="RTJ51" s="344"/>
      <c r="RTK51" s="344"/>
      <c r="RTL51" s="344"/>
      <c r="RTM51" s="344"/>
      <c r="RTN51" s="344"/>
      <c r="RTO51" s="344"/>
      <c r="RTP51" s="344"/>
      <c r="RTQ51" s="344"/>
      <c r="RTR51" s="344"/>
      <c r="RTS51" s="344"/>
      <c r="RTT51" s="344"/>
      <c r="RTU51" s="344"/>
      <c r="RTV51" s="344"/>
      <c r="RTW51" s="344"/>
      <c r="RTX51" s="344"/>
      <c r="RTY51" s="344"/>
      <c r="RTZ51" s="344"/>
      <c r="RUA51" s="344"/>
      <c r="RUB51" s="344"/>
      <c r="RUC51" s="344"/>
      <c r="RUD51" s="344"/>
      <c r="RUE51" s="344"/>
      <c r="RUF51" s="344"/>
      <c r="RUG51" s="344"/>
      <c r="RUH51" s="344"/>
      <c r="RUI51" s="344"/>
      <c r="RUJ51" s="344"/>
      <c r="RUK51" s="344"/>
      <c r="RUL51" s="344"/>
      <c r="RUM51" s="344"/>
      <c r="RUN51" s="344"/>
      <c r="RUO51" s="344"/>
      <c r="RUP51" s="344"/>
      <c r="RUQ51" s="344"/>
      <c r="RUR51" s="344"/>
      <c r="RUS51" s="344"/>
      <c r="RUT51" s="344"/>
      <c r="RUU51" s="344"/>
      <c r="RUV51" s="344"/>
      <c r="RUW51" s="344"/>
      <c r="RUX51" s="344"/>
      <c r="RUY51" s="344"/>
      <c r="RUZ51" s="344"/>
      <c r="RVA51" s="344"/>
      <c r="RVB51" s="344"/>
      <c r="RVC51" s="344"/>
      <c r="RVD51" s="344"/>
      <c r="RVE51" s="344"/>
      <c r="RVF51" s="344"/>
      <c r="RVG51" s="344"/>
      <c r="RVH51" s="344"/>
      <c r="RVI51" s="344"/>
      <c r="RVJ51" s="344"/>
      <c r="RVK51" s="344"/>
      <c r="RVL51" s="344"/>
      <c r="RVM51" s="344"/>
      <c r="RVN51" s="344"/>
      <c r="RVO51" s="344"/>
      <c r="RVP51" s="344"/>
      <c r="RVQ51" s="344"/>
      <c r="RVR51" s="344"/>
      <c r="RVS51" s="344"/>
      <c r="RVT51" s="344"/>
      <c r="RVU51" s="344"/>
      <c r="RVV51" s="344"/>
      <c r="RVW51" s="344"/>
      <c r="RVX51" s="344"/>
      <c r="RVY51" s="344"/>
      <c r="RVZ51" s="344"/>
      <c r="RWA51" s="344"/>
      <c r="RWB51" s="344"/>
      <c r="RWC51" s="344"/>
      <c r="RWD51" s="344"/>
      <c r="RWE51" s="344"/>
      <c r="RWF51" s="344"/>
      <c r="RWG51" s="344"/>
      <c r="RWH51" s="344"/>
      <c r="RWI51" s="344"/>
      <c r="RWJ51" s="344"/>
      <c r="RWK51" s="344"/>
      <c r="RWL51" s="344"/>
      <c r="RWM51" s="344"/>
      <c r="RWN51" s="344"/>
      <c r="RWO51" s="344"/>
      <c r="RWP51" s="344"/>
      <c r="RWQ51" s="344"/>
      <c r="RWR51" s="344"/>
      <c r="RWS51" s="344"/>
      <c r="RWT51" s="344"/>
      <c r="RWU51" s="344"/>
      <c r="RWV51" s="344"/>
      <c r="RWW51" s="344"/>
      <c r="RWX51" s="344"/>
      <c r="RWY51" s="344"/>
      <c r="RWZ51" s="344"/>
      <c r="RXA51" s="344"/>
      <c r="RXB51" s="344"/>
      <c r="RXC51" s="344"/>
      <c r="RXD51" s="344"/>
      <c r="RXE51" s="344"/>
      <c r="RXF51" s="344"/>
      <c r="RXG51" s="344"/>
      <c r="RXH51" s="344"/>
      <c r="RXI51" s="344"/>
      <c r="RXJ51" s="344"/>
      <c r="RXK51" s="344"/>
      <c r="RXL51" s="344"/>
      <c r="RXM51" s="344"/>
      <c r="RXN51" s="344"/>
      <c r="RXO51" s="344"/>
      <c r="RXP51" s="344"/>
      <c r="RXQ51" s="344"/>
      <c r="RXR51" s="344"/>
      <c r="RXS51" s="344"/>
      <c r="RXT51" s="344"/>
      <c r="RXU51" s="344"/>
      <c r="RXV51" s="344"/>
      <c r="RXW51" s="344"/>
      <c r="RXX51" s="344"/>
      <c r="RXY51" s="344"/>
      <c r="RXZ51" s="344"/>
      <c r="RYA51" s="344"/>
      <c r="RYB51" s="344"/>
      <c r="RYC51" s="344"/>
      <c r="RYD51" s="344"/>
      <c r="RYE51" s="344"/>
      <c r="RYF51" s="344"/>
      <c r="RYG51" s="344"/>
      <c r="RYH51" s="344"/>
      <c r="RYI51" s="344"/>
      <c r="RYJ51" s="344"/>
      <c r="RYK51" s="344"/>
      <c r="RYL51" s="344"/>
      <c r="RYM51" s="344"/>
      <c r="RYN51" s="344"/>
      <c r="RYO51" s="344"/>
      <c r="RYP51" s="344"/>
      <c r="RYQ51" s="344"/>
      <c r="RYR51" s="344"/>
      <c r="RYS51" s="344"/>
      <c r="RYT51" s="344"/>
      <c r="RYU51" s="344"/>
      <c r="RYV51" s="344"/>
      <c r="RYW51" s="344"/>
      <c r="RYX51" s="344"/>
      <c r="RYY51" s="344"/>
      <c r="RYZ51" s="344"/>
      <c r="RZA51" s="344"/>
      <c r="RZB51" s="344"/>
      <c r="RZC51" s="344"/>
      <c r="RZD51" s="344"/>
      <c r="RZE51" s="344"/>
      <c r="RZF51" s="344"/>
      <c r="RZG51" s="344"/>
      <c r="RZH51" s="344"/>
      <c r="RZI51" s="344"/>
      <c r="RZJ51" s="344"/>
      <c r="RZK51" s="344"/>
      <c r="RZL51" s="344"/>
      <c r="RZM51" s="344"/>
      <c r="RZN51" s="344"/>
      <c r="RZO51" s="344"/>
      <c r="RZP51" s="344"/>
      <c r="RZQ51" s="344"/>
      <c r="RZR51" s="344"/>
      <c r="RZS51" s="344"/>
      <c r="RZT51" s="344"/>
      <c r="RZU51" s="344"/>
      <c r="RZV51" s="344"/>
      <c r="RZW51" s="344"/>
      <c r="RZX51" s="344"/>
      <c r="RZY51" s="344"/>
      <c r="RZZ51" s="344"/>
      <c r="SAA51" s="344"/>
      <c r="SAB51" s="344"/>
      <c r="SAC51" s="344"/>
      <c r="SAD51" s="344"/>
      <c r="SAE51" s="344"/>
      <c r="SAF51" s="344"/>
      <c r="SAG51" s="344"/>
      <c r="SAH51" s="344"/>
      <c r="SAI51" s="344"/>
      <c r="SAJ51" s="344"/>
      <c r="SAK51" s="344"/>
      <c r="SAL51" s="344"/>
      <c r="SAM51" s="344"/>
      <c r="SAN51" s="344"/>
      <c r="SAO51" s="344"/>
      <c r="SAP51" s="344"/>
      <c r="SAQ51" s="344"/>
      <c r="SAR51" s="344"/>
      <c r="SAS51" s="344"/>
      <c r="SAT51" s="344"/>
      <c r="SAU51" s="344"/>
      <c r="SAV51" s="344"/>
      <c r="SAW51" s="344"/>
      <c r="SAX51" s="344"/>
      <c r="SAY51" s="344"/>
      <c r="SAZ51" s="344"/>
      <c r="SBA51" s="344"/>
      <c r="SBB51" s="344"/>
      <c r="SBC51" s="344"/>
      <c r="SBD51" s="344"/>
      <c r="SBE51" s="344"/>
      <c r="SBF51" s="344"/>
      <c r="SBG51" s="344"/>
      <c r="SBH51" s="344"/>
      <c r="SBI51" s="344"/>
      <c r="SBJ51" s="344"/>
      <c r="SBK51" s="344"/>
      <c r="SBL51" s="344"/>
      <c r="SBM51" s="344"/>
      <c r="SBN51" s="344"/>
      <c r="SBO51" s="344"/>
      <c r="SBP51" s="344"/>
      <c r="SBQ51" s="344"/>
      <c r="SBR51" s="344"/>
      <c r="SBS51" s="344"/>
      <c r="SBT51" s="344"/>
      <c r="SBU51" s="344"/>
      <c r="SBV51" s="344"/>
      <c r="SBW51" s="344"/>
      <c r="SBX51" s="344"/>
      <c r="SBY51" s="344"/>
      <c r="SBZ51" s="344"/>
      <c r="SCA51" s="344"/>
      <c r="SCB51" s="344"/>
      <c r="SCC51" s="344"/>
      <c r="SCD51" s="344"/>
      <c r="SCE51" s="344"/>
      <c r="SCF51" s="344"/>
      <c r="SCG51" s="344"/>
      <c r="SCH51" s="344"/>
      <c r="SCI51" s="344"/>
      <c r="SCJ51" s="344"/>
      <c r="SCK51" s="344"/>
      <c r="SCL51" s="344"/>
      <c r="SCM51" s="344"/>
      <c r="SCN51" s="344"/>
      <c r="SCO51" s="344"/>
      <c r="SCP51" s="344"/>
      <c r="SCQ51" s="344"/>
      <c r="SCR51" s="344"/>
      <c r="SCS51" s="344"/>
      <c r="SCT51" s="344"/>
      <c r="SCU51" s="344"/>
      <c r="SCV51" s="344"/>
      <c r="SCW51" s="344"/>
      <c r="SCX51" s="344"/>
      <c r="SCY51" s="344"/>
      <c r="SCZ51" s="344"/>
      <c r="SDA51" s="344"/>
      <c r="SDB51" s="344"/>
      <c r="SDC51" s="344"/>
      <c r="SDD51" s="344"/>
      <c r="SDE51" s="344"/>
      <c r="SDF51" s="344"/>
      <c r="SDG51" s="344"/>
      <c r="SDH51" s="344"/>
      <c r="SDI51" s="344"/>
      <c r="SDJ51" s="344"/>
      <c r="SDK51" s="344"/>
      <c r="SDL51" s="344"/>
      <c r="SDM51" s="344"/>
      <c r="SDN51" s="344"/>
      <c r="SDO51" s="344"/>
      <c r="SDP51" s="344"/>
      <c r="SDQ51" s="344"/>
      <c r="SDR51" s="344"/>
      <c r="SDS51" s="344"/>
      <c r="SDT51" s="344"/>
      <c r="SDU51" s="344"/>
      <c r="SDV51" s="344"/>
      <c r="SDW51" s="344"/>
      <c r="SDX51" s="344"/>
      <c r="SDY51" s="344"/>
      <c r="SDZ51" s="344"/>
      <c r="SEA51" s="344"/>
      <c r="SEB51" s="344"/>
      <c r="SEC51" s="344"/>
      <c r="SED51" s="344"/>
      <c r="SEE51" s="344"/>
      <c r="SEF51" s="344"/>
      <c r="SEG51" s="344"/>
      <c r="SEH51" s="344"/>
      <c r="SEI51" s="344"/>
      <c r="SEJ51" s="344"/>
      <c r="SEK51" s="344"/>
      <c r="SEL51" s="344"/>
      <c r="SEM51" s="344"/>
      <c r="SEN51" s="344"/>
      <c r="SEO51" s="344"/>
      <c r="SEP51" s="344"/>
      <c r="SEQ51" s="344"/>
      <c r="SER51" s="344"/>
      <c r="SES51" s="344"/>
      <c r="SET51" s="344"/>
      <c r="SEU51" s="344"/>
      <c r="SEV51" s="344"/>
      <c r="SEW51" s="344"/>
      <c r="SEX51" s="344"/>
      <c r="SEY51" s="344"/>
      <c r="SEZ51" s="344"/>
      <c r="SFA51" s="344"/>
      <c r="SFB51" s="344"/>
      <c r="SFC51" s="344"/>
      <c r="SFD51" s="344"/>
      <c r="SFE51" s="344"/>
      <c r="SFF51" s="344"/>
      <c r="SFG51" s="344"/>
      <c r="SFH51" s="344"/>
      <c r="SFI51" s="344"/>
      <c r="SFJ51" s="344"/>
      <c r="SFK51" s="344"/>
      <c r="SFL51" s="344"/>
      <c r="SFM51" s="344"/>
      <c r="SFN51" s="344"/>
      <c r="SFO51" s="344"/>
      <c r="SFP51" s="344"/>
      <c r="SFQ51" s="344"/>
      <c r="SFR51" s="344"/>
      <c r="SFS51" s="344"/>
      <c r="SFT51" s="344"/>
      <c r="SFU51" s="344"/>
      <c r="SFV51" s="344"/>
      <c r="SFW51" s="344"/>
      <c r="SFX51" s="344"/>
      <c r="SFY51" s="344"/>
      <c r="SFZ51" s="344"/>
      <c r="SGA51" s="344"/>
      <c r="SGB51" s="344"/>
      <c r="SGC51" s="344"/>
      <c r="SGD51" s="344"/>
      <c r="SGE51" s="344"/>
      <c r="SGF51" s="344"/>
      <c r="SGG51" s="344"/>
      <c r="SGH51" s="344"/>
      <c r="SGI51" s="344"/>
      <c r="SGJ51" s="344"/>
      <c r="SGK51" s="344"/>
      <c r="SGL51" s="344"/>
      <c r="SGM51" s="344"/>
      <c r="SGN51" s="344"/>
      <c r="SGO51" s="344"/>
      <c r="SGP51" s="344"/>
      <c r="SGQ51" s="344"/>
      <c r="SGR51" s="344"/>
      <c r="SGS51" s="344"/>
      <c r="SGT51" s="344"/>
      <c r="SGU51" s="344"/>
      <c r="SGV51" s="344"/>
      <c r="SGW51" s="344"/>
      <c r="SGX51" s="344"/>
      <c r="SGY51" s="344"/>
      <c r="SGZ51" s="344"/>
      <c r="SHA51" s="344"/>
      <c r="SHB51" s="344"/>
      <c r="SHC51" s="344"/>
      <c r="SHD51" s="344"/>
      <c r="SHE51" s="344"/>
      <c r="SHF51" s="344"/>
      <c r="SHG51" s="344"/>
      <c r="SHH51" s="344"/>
      <c r="SHI51" s="344"/>
      <c r="SHJ51" s="344"/>
      <c r="SHK51" s="344"/>
      <c r="SHL51" s="344"/>
      <c r="SHM51" s="344"/>
      <c r="SHN51" s="344"/>
      <c r="SHO51" s="344"/>
      <c r="SHP51" s="344"/>
      <c r="SHQ51" s="344"/>
      <c r="SHR51" s="344"/>
      <c r="SHS51" s="344"/>
      <c r="SHT51" s="344"/>
      <c r="SHU51" s="344"/>
      <c r="SHV51" s="344"/>
      <c r="SHW51" s="344"/>
      <c r="SHX51" s="344"/>
      <c r="SHY51" s="344"/>
      <c r="SHZ51" s="344"/>
      <c r="SIA51" s="344"/>
      <c r="SIB51" s="344"/>
      <c r="SIC51" s="344"/>
      <c r="SID51" s="344"/>
      <c r="SIE51" s="344"/>
      <c r="SIF51" s="344"/>
      <c r="SIG51" s="344"/>
      <c r="SIH51" s="344"/>
      <c r="SII51" s="344"/>
      <c r="SIJ51" s="344"/>
      <c r="SIK51" s="344"/>
      <c r="SIL51" s="344"/>
      <c r="SIM51" s="344"/>
      <c r="SIN51" s="344"/>
      <c r="SIO51" s="344"/>
      <c r="SIP51" s="344"/>
      <c r="SIQ51" s="344"/>
      <c r="SIR51" s="344"/>
      <c r="SIS51" s="344"/>
      <c r="SIT51" s="344"/>
      <c r="SIU51" s="344"/>
      <c r="SIV51" s="344"/>
      <c r="SIW51" s="344"/>
      <c r="SIX51" s="344"/>
      <c r="SIY51" s="344"/>
      <c r="SIZ51" s="344"/>
      <c r="SJA51" s="344"/>
      <c r="SJB51" s="344"/>
      <c r="SJC51" s="344"/>
      <c r="SJD51" s="344"/>
      <c r="SJE51" s="344"/>
      <c r="SJF51" s="344"/>
      <c r="SJG51" s="344"/>
      <c r="SJH51" s="344"/>
      <c r="SJI51" s="344"/>
      <c r="SJJ51" s="344"/>
      <c r="SJK51" s="344"/>
      <c r="SJL51" s="344"/>
      <c r="SJM51" s="344"/>
      <c r="SJN51" s="344"/>
      <c r="SJO51" s="344"/>
      <c r="SJP51" s="344"/>
      <c r="SJQ51" s="344"/>
      <c r="SJR51" s="344"/>
      <c r="SJS51" s="344"/>
      <c r="SJT51" s="344"/>
      <c r="SJU51" s="344"/>
      <c r="SJV51" s="344"/>
      <c r="SJW51" s="344"/>
      <c r="SJX51" s="344"/>
      <c r="SJY51" s="344"/>
      <c r="SJZ51" s="344"/>
      <c r="SKA51" s="344"/>
      <c r="SKB51" s="344"/>
      <c r="SKC51" s="344"/>
      <c r="SKD51" s="344"/>
      <c r="SKE51" s="344"/>
      <c r="SKF51" s="344"/>
      <c r="SKG51" s="344"/>
      <c r="SKH51" s="344"/>
      <c r="SKI51" s="344"/>
      <c r="SKJ51" s="344"/>
      <c r="SKK51" s="344"/>
      <c r="SKL51" s="344"/>
      <c r="SKM51" s="344"/>
      <c r="SKN51" s="344"/>
      <c r="SKO51" s="344"/>
      <c r="SKP51" s="344"/>
      <c r="SKQ51" s="344"/>
      <c r="SKR51" s="344"/>
      <c r="SKS51" s="344"/>
      <c r="SKT51" s="344"/>
      <c r="SKU51" s="344"/>
      <c r="SKV51" s="344"/>
      <c r="SKW51" s="344"/>
      <c r="SKX51" s="344"/>
      <c r="SKY51" s="344"/>
      <c r="SKZ51" s="344"/>
      <c r="SLA51" s="344"/>
      <c r="SLB51" s="344"/>
      <c r="SLC51" s="344"/>
      <c r="SLD51" s="344"/>
      <c r="SLE51" s="344"/>
      <c r="SLF51" s="344"/>
      <c r="SLG51" s="344"/>
      <c r="SLH51" s="344"/>
      <c r="SLI51" s="344"/>
      <c r="SLJ51" s="344"/>
      <c r="SLK51" s="344"/>
      <c r="SLL51" s="344"/>
      <c r="SLM51" s="344"/>
      <c r="SLN51" s="344"/>
      <c r="SLO51" s="344"/>
      <c r="SLP51" s="344"/>
      <c r="SLQ51" s="344"/>
      <c r="SLR51" s="344"/>
      <c r="SLS51" s="344"/>
      <c r="SLT51" s="344"/>
      <c r="SLU51" s="344"/>
      <c r="SLV51" s="344"/>
      <c r="SLW51" s="344"/>
      <c r="SLX51" s="344"/>
      <c r="SLY51" s="344"/>
      <c r="SLZ51" s="344"/>
      <c r="SMA51" s="344"/>
      <c r="SMB51" s="344"/>
      <c r="SMC51" s="344"/>
      <c r="SMD51" s="344"/>
      <c r="SME51" s="344"/>
      <c r="SMF51" s="344"/>
      <c r="SMG51" s="344"/>
      <c r="SMH51" s="344"/>
      <c r="SMI51" s="344"/>
      <c r="SMJ51" s="344"/>
      <c r="SMK51" s="344"/>
      <c r="SML51" s="344"/>
      <c r="SMM51" s="344"/>
      <c r="SMN51" s="344"/>
      <c r="SMO51" s="344"/>
      <c r="SMP51" s="344"/>
      <c r="SMQ51" s="344"/>
      <c r="SMR51" s="344"/>
      <c r="SMS51" s="344"/>
      <c r="SMT51" s="344"/>
      <c r="SMU51" s="344"/>
      <c r="SMV51" s="344"/>
      <c r="SMW51" s="344"/>
      <c r="SMX51" s="344"/>
      <c r="SMY51" s="344"/>
      <c r="SMZ51" s="344"/>
      <c r="SNA51" s="344"/>
      <c r="SNB51" s="344"/>
      <c r="SNC51" s="344"/>
      <c r="SND51" s="344"/>
      <c r="SNE51" s="344"/>
      <c r="SNF51" s="344"/>
      <c r="SNG51" s="344"/>
      <c r="SNH51" s="344"/>
      <c r="SNI51" s="344"/>
      <c r="SNJ51" s="344"/>
      <c r="SNK51" s="344"/>
      <c r="SNL51" s="344"/>
      <c r="SNM51" s="344"/>
      <c r="SNN51" s="344"/>
      <c r="SNO51" s="344"/>
      <c r="SNP51" s="344"/>
      <c r="SNQ51" s="344"/>
      <c r="SNR51" s="344"/>
      <c r="SNS51" s="344"/>
      <c r="SNT51" s="344"/>
      <c r="SNU51" s="344"/>
      <c r="SNV51" s="344"/>
      <c r="SNW51" s="344"/>
      <c r="SNX51" s="344"/>
      <c r="SNY51" s="344"/>
      <c r="SNZ51" s="344"/>
      <c r="SOA51" s="344"/>
      <c r="SOB51" s="344"/>
      <c r="SOC51" s="344"/>
      <c r="SOD51" s="344"/>
      <c r="SOE51" s="344"/>
      <c r="SOF51" s="344"/>
      <c r="SOG51" s="344"/>
      <c r="SOH51" s="344"/>
      <c r="SOI51" s="344"/>
      <c r="SOJ51" s="344"/>
      <c r="SOK51" s="344"/>
      <c r="SOL51" s="344"/>
      <c r="SOM51" s="344"/>
      <c r="SON51" s="344"/>
      <c r="SOO51" s="344"/>
      <c r="SOP51" s="344"/>
      <c r="SOQ51" s="344"/>
      <c r="SOR51" s="344"/>
      <c r="SOS51" s="344"/>
      <c r="SOT51" s="344"/>
      <c r="SOU51" s="344"/>
      <c r="SOV51" s="344"/>
      <c r="SOW51" s="344"/>
      <c r="SOX51" s="344"/>
      <c r="SOY51" s="344"/>
      <c r="SOZ51" s="344"/>
      <c r="SPA51" s="344"/>
      <c r="SPB51" s="344"/>
      <c r="SPC51" s="344"/>
      <c r="SPD51" s="344"/>
      <c r="SPE51" s="344"/>
      <c r="SPF51" s="344"/>
      <c r="SPG51" s="344"/>
      <c r="SPH51" s="344"/>
      <c r="SPI51" s="344"/>
      <c r="SPJ51" s="344"/>
      <c r="SPK51" s="344"/>
      <c r="SPL51" s="344"/>
      <c r="SPM51" s="344"/>
      <c r="SPN51" s="344"/>
      <c r="SPO51" s="344"/>
      <c r="SPP51" s="344"/>
      <c r="SPQ51" s="344"/>
      <c r="SPR51" s="344"/>
      <c r="SPS51" s="344"/>
      <c r="SPT51" s="344"/>
      <c r="SPU51" s="344"/>
      <c r="SPV51" s="344"/>
      <c r="SPW51" s="344"/>
      <c r="SPX51" s="344"/>
      <c r="SPY51" s="344"/>
      <c r="SPZ51" s="344"/>
      <c r="SQA51" s="344"/>
      <c r="SQB51" s="344"/>
      <c r="SQC51" s="344"/>
      <c r="SQD51" s="344"/>
      <c r="SQE51" s="344"/>
      <c r="SQF51" s="344"/>
      <c r="SQG51" s="344"/>
      <c r="SQH51" s="344"/>
      <c r="SQI51" s="344"/>
      <c r="SQJ51" s="344"/>
      <c r="SQK51" s="344"/>
      <c r="SQL51" s="344"/>
      <c r="SQM51" s="344"/>
      <c r="SQN51" s="344"/>
      <c r="SQO51" s="344"/>
      <c r="SQP51" s="344"/>
      <c r="SQQ51" s="344"/>
      <c r="SQR51" s="344"/>
      <c r="SQS51" s="344"/>
      <c r="SQT51" s="344"/>
      <c r="SQU51" s="344"/>
      <c r="SQV51" s="344"/>
      <c r="SQW51" s="344"/>
      <c r="SQX51" s="344"/>
      <c r="SQY51" s="344"/>
      <c r="SQZ51" s="344"/>
      <c r="SRA51" s="344"/>
      <c r="SRB51" s="344"/>
      <c r="SRC51" s="344"/>
      <c r="SRD51" s="344"/>
      <c r="SRE51" s="344"/>
      <c r="SRF51" s="344"/>
      <c r="SRG51" s="344"/>
      <c r="SRH51" s="344"/>
      <c r="SRI51" s="344"/>
      <c r="SRJ51" s="344"/>
      <c r="SRK51" s="344"/>
      <c r="SRL51" s="344"/>
      <c r="SRM51" s="344"/>
      <c r="SRN51" s="344"/>
      <c r="SRO51" s="344"/>
      <c r="SRP51" s="344"/>
      <c r="SRQ51" s="344"/>
      <c r="SRR51" s="344"/>
      <c r="SRS51" s="344"/>
      <c r="SRT51" s="344"/>
      <c r="SRU51" s="344"/>
      <c r="SRV51" s="344"/>
      <c r="SRW51" s="344"/>
      <c r="SRX51" s="344"/>
      <c r="SRY51" s="344"/>
      <c r="SRZ51" s="344"/>
      <c r="SSA51" s="344"/>
      <c r="SSB51" s="344"/>
      <c r="SSC51" s="344"/>
      <c r="SSD51" s="344"/>
      <c r="SSE51" s="344"/>
      <c r="SSF51" s="344"/>
      <c r="SSG51" s="344"/>
      <c r="SSH51" s="344"/>
      <c r="SSI51" s="344"/>
      <c r="SSJ51" s="344"/>
      <c r="SSK51" s="344"/>
      <c r="SSL51" s="344"/>
      <c r="SSM51" s="344"/>
      <c r="SSN51" s="344"/>
      <c r="SSO51" s="344"/>
      <c r="SSP51" s="344"/>
      <c r="SSQ51" s="344"/>
      <c r="SSR51" s="344"/>
      <c r="SSS51" s="344"/>
      <c r="SST51" s="344"/>
      <c r="SSU51" s="344"/>
      <c r="SSV51" s="344"/>
      <c r="SSW51" s="344"/>
      <c r="SSX51" s="344"/>
      <c r="SSY51" s="344"/>
      <c r="SSZ51" s="344"/>
      <c r="STA51" s="344"/>
      <c r="STB51" s="344"/>
      <c r="STC51" s="344"/>
      <c r="STD51" s="344"/>
      <c r="STE51" s="344"/>
      <c r="STF51" s="344"/>
      <c r="STG51" s="344"/>
      <c r="STH51" s="344"/>
      <c r="STI51" s="344"/>
      <c r="STJ51" s="344"/>
      <c r="STK51" s="344"/>
      <c r="STL51" s="344"/>
      <c r="STM51" s="344"/>
      <c r="STN51" s="344"/>
      <c r="STO51" s="344"/>
      <c r="STP51" s="344"/>
      <c r="STQ51" s="344"/>
      <c r="STR51" s="344"/>
      <c r="STS51" s="344"/>
      <c r="STT51" s="344"/>
      <c r="STU51" s="344"/>
      <c r="STV51" s="344"/>
      <c r="STW51" s="344"/>
      <c r="STX51" s="344"/>
      <c r="STY51" s="344"/>
      <c r="STZ51" s="344"/>
      <c r="SUA51" s="344"/>
      <c r="SUB51" s="344"/>
      <c r="SUC51" s="344"/>
      <c r="SUD51" s="344"/>
      <c r="SUE51" s="344"/>
      <c r="SUF51" s="344"/>
      <c r="SUG51" s="344"/>
      <c r="SUH51" s="344"/>
      <c r="SUI51" s="344"/>
      <c r="SUJ51" s="344"/>
      <c r="SUK51" s="344"/>
      <c r="SUL51" s="344"/>
      <c r="SUM51" s="344"/>
      <c r="SUN51" s="344"/>
      <c r="SUO51" s="344"/>
      <c r="SUP51" s="344"/>
      <c r="SUQ51" s="344"/>
      <c r="SUR51" s="344"/>
      <c r="SUS51" s="344"/>
      <c r="SUT51" s="344"/>
      <c r="SUU51" s="344"/>
      <c r="SUV51" s="344"/>
      <c r="SUW51" s="344"/>
      <c r="SUX51" s="344"/>
      <c r="SUY51" s="344"/>
      <c r="SUZ51" s="344"/>
      <c r="SVA51" s="344"/>
      <c r="SVB51" s="344"/>
      <c r="SVC51" s="344"/>
      <c r="SVD51" s="344"/>
      <c r="SVE51" s="344"/>
      <c r="SVF51" s="344"/>
      <c r="SVG51" s="344"/>
      <c r="SVH51" s="344"/>
      <c r="SVI51" s="344"/>
      <c r="SVJ51" s="344"/>
      <c r="SVK51" s="344"/>
      <c r="SVL51" s="344"/>
      <c r="SVM51" s="344"/>
      <c r="SVN51" s="344"/>
      <c r="SVO51" s="344"/>
      <c r="SVP51" s="344"/>
      <c r="SVQ51" s="344"/>
      <c r="SVR51" s="344"/>
      <c r="SVS51" s="344"/>
      <c r="SVT51" s="344"/>
      <c r="SVU51" s="344"/>
      <c r="SVV51" s="344"/>
      <c r="SVW51" s="344"/>
      <c r="SVX51" s="344"/>
      <c r="SVY51" s="344"/>
      <c r="SVZ51" s="344"/>
      <c r="SWA51" s="344"/>
      <c r="SWB51" s="344"/>
      <c r="SWC51" s="344"/>
      <c r="SWD51" s="344"/>
      <c r="SWE51" s="344"/>
      <c r="SWF51" s="344"/>
      <c r="SWG51" s="344"/>
      <c r="SWH51" s="344"/>
      <c r="SWI51" s="344"/>
      <c r="SWJ51" s="344"/>
      <c r="SWK51" s="344"/>
      <c r="SWL51" s="344"/>
      <c r="SWM51" s="344"/>
      <c r="SWN51" s="344"/>
      <c r="SWO51" s="344"/>
      <c r="SWP51" s="344"/>
      <c r="SWQ51" s="344"/>
      <c r="SWR51" s="344"/>
      <c r="SWS51" s="344"/>
      <c r="SWT51" s="344"/>
      <c r="SWU51" s="344"/>
      <c r="SWV51" s="344"/>
      <c r="SWW51" s="344"/>
      <c r="SWX51" s="344"/>
      <c r="SWY51" s="344"/>
      <c r="SWZ51" s="344"/>
      <c r="SXA51" s="344"/>
      <c r="SXB51" s="344"/>
      <c r="SXC51" s="344"/>
      <c r="SXD51" s="344"/>
      <c r="SXE51" s="344"/>
      <c r="SXF51" s="344"/>
      <c r="SXG51" s="344"/>
      <c r="SXH51" s="344"/>
      <c r="SXI51" s="344"/>
      <c r="SXJ51" s="344"/>
      <c r="SXK51" s="344"/>
      <c r="SXL51" s="344"/>
      <c r="SXM51" s="344"/>
      <c r="SXN51" s="344"/>
      <c r="SXO51" s="344"/>
      <c r="SXP51" s="344"/>
      <c r="SXQ51" s="344"/>
      <c r="SXR51" s="344"/>
      <c r="SXS51" s="344"/>
      <c r="SXT51" s="344"/>
      <c r="SXU51" s="344"/>
      <c r="SXV51" s="344"/>
      <c r="SXW51" s="344"/>
      <c r="SXX51" s="344"/>
      <c r="SXY51" s="344"/>
      <c r="SXZ51" s="344"/>
      <c r="SYA51" s="344"/>
      <c r="SYB51" s="344"/>
      <c r="SYC51" s="344"/>
      <c r="SYD51" s="344"/>
      <c r="SYE51" s="344"/>
      <c r="SYF51" s="344"/>
      <c r="SYG51" s="344"/>
      <c r="SYH51" s="344"/>
      <c r="SYI51" s="344"/>
      <c r="SYJ51" s="344"/>
      <c r="SYK51" s="344"/>
      <c r="SYL51" s="344"/>
      <c r="SYM51" s="344"/>
      <c r="SYN51" s="344"/>
      <c r="SYO51" s="344"/>
      <c r="SYP51" s="344"/>
      <c r="SYQ51" s="344"/>
      <c r="SYR51" s="344"/>
      <c r="SYS51" s="344"/>
      <c r="SYT51" s="344"/>
      <c r="SYU51" s="344"/>
      <c r="SYV51" s="344"/>
      <c r="SYW51" s="344"/>
      <c r="SYX51" s="344"/>
      <c r="SYY51" s="344"/>
      <c r="SYZ51" s="344"/>
      <c r="SZA51" s="344"/>
      <c r="SZB51" s="344"/>
      <c r="SZC51" s="344"/>
      <c r="SZD51" s="344"/>
      <c r="SZE51" s="344"/>
      <c r="SZF51" s="344"/>
      <c r="SZG51" s="344"/>
      <c r="SZH51" s="344"/>
      <c r="SZI51" s="344"/>
      <c r="SZJ51" s="344"/>
      <c r="SZK51" s="344"/>
      <c r="SZL51" s="344"/>
      <c r="SZM51" s="344"/>
      <c r="SZN51" s="344"/>
      <c r="SZO51" s="344"/>
      <c r="SZP51" s="344"/>
      <c r="SZQ51" s="344"/>
      <c r="SZR51" s="344"/>
      <c r="SZS51" s="344"/>
      <c r="SZT51" s="344"/>
      <c r="SZU51" s="344"/>
      <c r="SZV51" s="344"/>
      <c r="SZW51" s="344"/>
      <c r="SZX51" s="344"/>
      <c r="SZY51" s="344"/>
      <c r="SZZ51" s="344"/>
      <c r="TAA51" s="344"/>
      <c r="TAB51" s="344"/>
      <c r="TAC51" s="344"/>
      <c r="TAD51" s="344"/>
      <c r="TAE51" s="344"/>
      <c r="TAF51" s="344"/>
      <c r="TAG51" s="344"/>
      <c r="TAH51" s="344"/>
      <c r="TAI51" s="344"/>
      <c r="TAJ51" s="344"/>
      <c r="TAK51" s="344"/>
      <c r="TAL51" s="344"/>
      <c r="TAM51" s="344"/>
      <c r="TAN51" s="344"/>
      <c r="TAO51" s="344"/>
      <c r="TAP51" s="344"/>
      <c r="TAQ51" s="344"/>
      <c r="TAR51" s="344"/>
      <c r="TAS51" s="344"/>
      <c r="TAT51" s="344"/>
      <c r="TAU51" s="344"/>
      <c r="TAV51" s="344"/>
      <c r="TAW51" s="344"/>
      <c r="TAX51" s="344"/>
      <c r="TAY51" s="344"/>
      <c r="TAZ51" s="344"/>
      <c r="TBA51" s="344"/>
      <c r="TBB51" s="344"/>
      <c r="TBC51" s="344"/>
      <c r="TBD51" s="344"/>
      <c r="TBE51" s="344"/>
      <c r="TBF51" s="344"/>
      <c r="TBG51" s="344"/>
      <c r="TBH51" s="344"/>
      <c r="TBI51" s="344"/>
      <c r="TBJ51" s="344"/>
      <c r="TBK51" s="344"/>
      <c r="TBL51" s="344"/>
      <c r="TBM51" s="344"/>
      <c r="TBN51" s="344"/>
      <c r="TBO51" s="344"/>
      <c r="TBP51" s="344"/>
      <c r="TBQ51" s="344"/>
      <c r="TBR51" s="344"/>
      <c r="TBS51" s="344"/>
      <c r="TBT51" s="344"/>
      <c r="TBU51" s="344"/>
      <c r="TBV51" s="344"/>
      <c r="TBW51" s="344"/>
      <c r="TBX51" s="344"/>
      <c r="TBY51" s="344"/>
      <c r="TBZ51" s="344"/>
      <c r="TCA51" s="344"/>
      <c r="TCB51" s="344"/>
      <c r="TCC51" s="344"/>
      <c r="TCD51" s="344"/>
      <c r="TCE51" s="344"/>
      <c r="TCF51" s="344"/>
      <c r="TCG51" s="344"/>
      <c r="TCH51" s="344"/>
      <c r="TCI51" s="344"/>
      <c r="TCJ51" s="344"/>
      <c r="TCK51" s="344"/>
      <c r="TCL51" s="344"/>
      <c r="TCM51" s="344"/>
      <c r="TCN51" s="344"/>
      <c r="TCO51" s="344"/>
      <c r="TCP51" s="344"/>
      <c r="TCQ51" s="344"/>
      <c r="TCR51" s="344"/>
      <c r="TCS51" s="344"/>
      <c r="TCT51" s="344"/>
      <c r="TCU51" s="344"/>
      <c r="TCV51" s="344"/>
      <c r="TCW51" s="344"/>
      <c r="TCX51" s="344"/>
      <c r="TCY51" s="344"/>
      <c r="TCZ51" s="344"/>
      <c r="TDA51" s="344"/>
      <c r="TDB51" s="344"/>
      <c r="TDC51" s="344"/>
      <c r="TDD51" s="344"/>
      <c r="TDE51" s="344"/>
      <c r="TDF51" s="344"/>
      <c r="TDG51" s="344"/>
      <c r="TDH51" s="344"/>
      <c r="TDI51" s="344"/>
      <c r="TDJ51" s="344"/>
      <c r="TDK51" s="344"/>
      <c r="TDL51" s="344"/>
      <c r="TDM51" s="344"/>
      <c r="TDN51" s="344"/>
      <c r="TDO51" s="344"/>
      <c r="TDP51" s="344"/>
      <c r="TDQ51" s="344"/>
      <c r="TDR51" s="344"/>
      <c r="TDS51" s="344"/>
      <c r="TDT51" s="344"/>
      <c r="TDU51" s="344"/>
      <c r="TDV51" s="344"/>
      <c r="TDW51" s="344"/>
      <c r="TDX51" s="344"/>
      <c r="TDY51" s="344"/>
      <c r="TDZ51" s="344"/>
      <c r="TEA51" s="344"/>
      <c r="TEB51" s="344"/>
      <c r="TEC51" s="344"/>
      <c r="TED51" s="344"/>
      <c r="TEE51" s="344"/>
      <c r="TEF51" s="344"/>
      <c r="TEG51" s="344"/>
      <c r="TEH51" s="344"/>
      <c r="TEI51" s="344"/>
      <c r="TEJ51" s="344"/>
      <c r="TEK51" s="344"/>
      <c r="TEL51" s="344"/>
      <c r="TEM51" s="344"/>
      <c r="TEN51" s="344"/>
      <c r="TEO51" s="344"/>
      <c r="TEP51" s="344"/>
      <c r="TEQ51" s="344"/>
      <c r="TER51" s="344"/>
      <c r="TES51" s="344"/>
      <c r="TET51" s="344"/>
      <c r="TEU51" s="344"/>
      <c r="TEV51" s="344"/>
      <c r="TEW51" s="344"/>
      <c r="TEX51" s="344"/>
      <c r="TEY51" s="344"/>
      <c r="TEZ51" s="344"/>
      <c r="TFA51" s="344"/>
      <c r="TFB51" s="344"/>
      <c r="TFC51" s="344"/>
      <c r="TFD51" s="344"/>
      <c r="TFE51" s="344"/>
      <c r="TFF51" s="344"/>
      <c r="TFG51" s="344"/>
      <c r="TFH51" s="344"/>
      <c r="TFI51" s="344"/>
      <c r="TFJ51" s="344"/>
      <c r="TFK51" s="344"/>
      <c r="TFL51" s="344"/>
      <c r="TFM51" s="344"/>
      <c r="TFN51" s="344"/>
      <c r="TFO51" s="344"/>
      <c r="TFP51" s="344"/>
      <c r="TFQ51" s="344"/>
      <c r="TFR51" s="344"/>
      <c r="TFS51" s="344"/>
      <c r="TFT51" s="344"/>
      <c r="TFU51" s="344"/>
      <c r="TFV51" s="344"/>
      <c r="TFW51" s="344"/>
      <c r="TFX51" s="344"/>
      <c r="TFY51" s="344"/>
      <c r="TFZ51" s="344"/>
      <c r="TGA51" s="344"/>
      <c r="TGB51" s="344"/>
      <c r="TGC51" s="344"/>
      <c r="TGD51" s="344"/>
      <c r="TGE51" s="344"/>
      <c r="TGF51" s="344"/>
      <c r="TGG51" s="344"/>
      <c r="TGH51" s="344"/>
      <c r="TGI51" s="344"/>
      <c r="TGJ51" s="344"/>
      <c r="TGK51" s="344"/>
      <c r="TGL51" s="344"/>
      <c r="TGM51" s="344"/>
      <c r="TGN51" s="344"/>
      <c r="TGO51" s="344"/>
      <c r="TGP51" s="344"/>
      <c r="TGQ51" s="344"/>
      <c r="TGR51" s="344"/>
      <c r="TGS51" s="344"/>
      <c r="TGT51" s="344"/>
      <c r="TGU51" s="344"/>
      <c r="TGV51" s="344"/>
      <c r="TGW51" s="344"/>
      <c r="TGX51" s="344"/>
      <c r="TGY51" s="344"/>
      <c r="TGZ51" s="344"/>
      <c r="THA51" s="344"/>
      <c r="THB51" s="344"/>
      <c r="THC51" s="344"/>
      <c r="THD51" s="344"/>
      <c r="THE51" s="344"/>
      <c r="THF51" s="344"/>
      <c r="THG51" s="344"/>
      <c r="THH51" s="344"/>
      <c r="THI51" s="344"/>
      <c r="THJ51" s="344"/>
      <c r="THK51" s="344"/>
      <c r="THL51" s="344"/>
      <c r="THM51" s="344"/>
      <c r="THN51" s="344"/>
      <c r="THO51" s="344"/>
      <c r="THP51" s="344"/>
      <c r="THQ51" s="344"/>
      <c r="THR51" s="344"/>
      <c r="THS51" s="344"/>
      <c r="THT51" s="344"/>
      <c r="THU51" s="344"/>
      <c r="THV51" s="344"/>
      <c r="THW51" s="344"/>
      <c r="THX51" s="344"/>
      <c r="THY51" s="344"/>
      <c r="THZ51" s="344"/>
      <c r="TIA51" s="344"/>
      <c r="TIB51" s="344"/>
      <c r="TIC51" s="344"/>
      <c r="TID51" s="344"/>
      <c r="TIE51" s="344"/>
      <c r="TIF51" s="344"/>
      <c r="TIG51" s="344"/>
      <c r="TIH51" s="344"/>
      <c r="TII51" s="344"/>
      <c r="TIJ51" s="344"/>
      <c r="TIK51" s="344"/>
      <c r="TIL51" s="344"/>
      <c r="TIM51" s="344"/>
      <c r="TIN51" s="344"/>
      <c r="TIO51" s="344"/>
      <c r="TIP51" s="344"/>
      <c r="TIQ51" s="344"/>
      <c r="TIR51" s="344"/>
      <c r="TIS51" s="344"/>
      <c r="TIT51" s="344"/>
      <c r="TIU51" s="344"/>
      <c r="TIV51" s="344"/>
      <c r="TIW51" s="344"/>
      <c r="TIX51" s="344"/>
      <c r="TIY51" s="344"/>
      <c r="TIZ51" s="344"/>
      <c r="TJA51" s="344"/>
      <c r="TJB51" s="344"/>
      <c r="TJC51" s="344"/>
      <c r="TJD51" s="344"/>
      <c r="TJE51" s="344"/>
      <c r="TJF51" s="344"/>
      <c r="TJG51" s="344"/>
      <c r="TJH51" s="344"/>
      <c r="TJI51" s="344"/>
      <c r="TJJ51" s="344"/>
      <c r="TJK51" s="344"/>
      <c r="TJL51" s="344"/>
      <c r="TJM51" s="344"/>
      <c r="TJN51" s="344"/>
      <c r="TJO51" s="344"/>
      <c r="TJP51" s="344"/>
      <c r="TJQ51" s="344"/>
      <c r="TJR51" s="344"/>
      <c r="TJS51" s="344"/>
      <c r="TJT51" s="344"/>
      <c r="TJU51" s="344"/>
      <c r="TJV51" s="344"/>
      <c r="TJW51" s="344"/>
      <c r="TJX51" s="344"/>
      <c r="TJY51" s="344"/>
      <c r="TJZ51" s="344"/>
      <c r="TKA51" s="344"/>
      <c r="TKB51" s="344"/>
      <c r="TKC51" s="344"/>
      <c r="TKD51" s="344"/>
      <c r="TKE51" s="344"/>
      <c r="TKF51" s="344"/>
      <c r="TKG51" s="344"/>
      <c r="TKH51" s="344"/>
      <c r="TKI51" s="344"/>
      <c r="TKJ51" s="344"/>
      <c r="TKK51" s="344"/>
      <c r="TKL51" s="344"/>
      <c r="TKM51" s="344"/>
      <c r="TKN51" s="344"/>
      <c r="TKO51" s="344"/>
      <c r="TKP51" s="344"/>
      <c r="TKQ51" s="344"/>
      <c r="TKR51" s="344"/>
      <c r="TKS51" s="344"/>
      <c r="TKT51" s="344"/>
      <c r="TKU51" s="344"/>
      <c r="TKV51" s="344"/>
      <c r="TKW51" s="344"/>
      <c r="TKX51" s="344"/>
      <c r="TKY51" s="344"/>
      <c r="TKZ51" s="344"/>
      <c r="TLA51" s="344"/>
      <c r="TLB51" s="344"/>
      <c r="TLC51" s="344"/>
      <c r="TLD51" s="344"/>
      <c r="TLE51" s="344"/>
      <c r="TLF51" s="344"/>
      <c r="TLG51" s="344"/>
      <c r="TLH51" s="344"/>
      <c r="TLI51" s="344"/>
      <c r="TLJ51" s="344"/>
      <c r="TLK51" s="344"/>
      <c r="TLL51" s="344"/>
      <c r="TLM51" s="344"/>
      <c r="TLN51" s="344"/>
      <c r="TLO51" s="344"/>
      <c r="TLP51" s="344"/>
      <c r="TLQ51" s="344"/>
      <c r="TLR51" s="344"/>
      <c r="TLS51" s="344"/>
      <c r="TLT51" s="344"/>
      <c r="TLU51" s="344"/>
      <c r="TLV51" s="344"/>
      <c r="TLW51" s="344"/>
      <c r="TLX51" s="344"/>
      <c r="TLY51" s="344"/>
      <c r="TLZ51" s="344"/>
      <c r="TMA51" s="344"/>
      <c r="TMB51" s="344"/>
      <c r="TMC51" s="344"/>
      <c r="TMD51" s="344"/>
      <c r="TME51" s="344"/>
      <c r="TMF51" s="344"/>
      <c r="TMG51" s="344"/>
      <c r="TMH51" s="344"/>
      <c r="TMI51" s="344"/>
      <c r="TMJ51" s="344"/>
      <c r="TMK51" s="344"/>
      <c r="TML51" s="344"/>
      <c r="TMM51" s="344"/>
      <c r="TMN51" s="344"/>
      <c r="TMO51" s="344"/>
      <c r="TMP51" s="344"/>
      <c r="TMQ51" s="344"/>
      <c r="TMR51" s="344"/>
      <c r="TMS51" s="344"/>
      <c r="TMT51" s="344"/>
      <c r="TMU51" s="344"/>
      <c r="TMV51" s="344"/>
      <c r="TMW51" s="344"/>
      <c r="TMX51" s="344"/>
      <c r="TMY51" s="344"/>
      <c r="TMZ51" s="344"/>
      <c r="TNA51" s="344"/>
      <c r="TNB51" s="344"/>
      <c r="TNC51" s="344"/>
      <c r="TND51" s="344"/>
      <c r="TNE51" s="344"/>
      <c r="TNF51" s="344"/>
      <c r="TNG51" s="344"/>
      <c r="TNH51" s="344"/>
      <c r="TNI51" s="344"/>
      <c r="TNJ51" s="344"/>
      <c r="TNK51" s="344"/>
      <c r="TNL51" s="344"/>
      <c r="TNM51" s="344"/>
      <c r="TNN51" s="344"/>
      <c r="TNO51" s="344"/>
      <c r="TNP51" s="344"/>
      <c r="TNQ51" s="344"/>
      <c r="TNR51" s="344"/>
      <c r="TNS51" s="344"/>
      <c r="TNT51" s="344"/>
      <c r="TNU51" s="344"/>
      <c r="TNV51" s="344"/>
      <c r="TNW51" s="344"/>
      <c r="TNX51" s="344"/>
      <c r="TNY51" s="344"/>
      <c r="TNZ51" s="344"/>
      <c r="TOA51" s="344"/>
      <c r="TOB51" s="344"/>
      <c r="TOC51" s="344"/>
      <c r="TOD51" s="344"/>
      <c r="TOE51" s="344"/>
      <c r="TOF51" s="344"/>
      <c r="TOG51" s="344"/>
      <c r="TOH51" s="344"/>
      <c r="TOI51" s="344"/>
      <c r="TOJ51" s="344"/>
      <c r="TOK51" s="344"/>
      <c r="TOL51" s="344"/>
      <c r="TOM51" s="344"/>
      <c r="TON51" s="344"/>
      <c r="TOO51" s="344"/>
      <c r="TOP51" s="344"/>
      <c r="TOQ51" s="344"/>
      <c r="TOR51" s="344"/>
      <c r="TOS51" s="344"/>
      <c r="TOT51" s="344"/>
      <c r="TOU51" s="344"/>
      <c r="TOV51" s="344"/>
      <c r="TOW51" s="344"/>
      <c r="TOX51" s="344"/>
      <c r="TOY51" s="344"/>
      <c r="TOZ51" s="344"/>
      <c r="TPA51" s="344"/>
      <c r="TPB51" s="344"/>
      <c r="TPC51" s="344"/>
      <c r="TPD51" s="344"/>
      <c r="TPE51" s="344"/>
      <c r="TPF51" s="344"/>
      <c r="TPG51" s="344"/>
      <c r="TPH51" s="344"/>
      <c r="TPI51" s="344"/>
      <c r="TPJ51" s="344"/>
      <c r="TPK51" s="344"/>
      <c r="TPL51" s="344"/>
      <c r="TPM51" s="344"/>
      <c r="TPN51" s="344"/>
      <c r="TPO51" s="344"/>
      <c r="TPP51" s="344"/>
      <c r="TPQ51" s="344"/>
      <c r="TPR51" s="344"/>
      <c r="TPS51" s="344"/>
      <c r="TPT51" s="344"/>
      <c r="TPU51" s="344"/>
      <c r="TPV51" s="344"/>
      <c r="TPW51" s="344"/>
      <c r="TPX51" s="344"/>
      <c r="TPY51" s="344"/>
      <c r="TPZ51" s="344"/>
      <c r="TQA51" s="344"/>
      <c r="TQB51" s="344"/>
      <c r="TQC51" s="344"/>
      <c r="TQD51" s="344"/>
      <c r="TQE51" s="344"/>
      <c r="TQF51" s="344"/>
      <c r="TQG51" s="344"/>
      <c r="TQH51" s="344"/>
      <c r="TQI51" s="344"/>
      <c r="TQJ51" s="344"/>
      <c r="TQK51" s="344"/>
      <c r="TQL51" s="344"/>
      <c r="TQM51" s="344"/>
      <c r="TQN51" s="344"/>
      <c r="TQO51" s="344"/>
      <c r="TQP51" s="344"/>
      <c r="TQQ51" s="344"/>
      <c r="TQR51" s="344"/>
      <c r="TQS51" s="344"/>
      <c r="TQT51" s="344"/>
      <c r="TQU51" s="344"/>
      <c r="TQV51" s="344"/>
      <c r="TQW51" s="344"/>
      <c r="TQX51" s="344"/>
      <c r="TQY51" s="344"/>
      <c r="TQZ51" s="344"/>
      <c r="TRA51" s="344"/>
      <c r="TRB51" s="344"/>
      <c r="TRC51" s="344"/>
      <c r="TRD51" s="344"/>
      <c r="TRE51" s="344"/>
      <c r="TRF51" s="344"/>
      <c r="TRG51" s="344"/>
      <c r="TRH51" s="344"/>
      <c r="TRI51" s="344"/>
      <c r="TRJ51" s="344"/>
      <c r="TRK51" s="344"/>
      <c r="TRL51" s="344"/>
      <c r="TRM51" s="344"/>
      <c r="TRN51" s="344"/>
      <c r="TRO51" s="344"/>
      <c r="TRP51" s="344"/>
      <c r="TRQ51" s="344"/>
      <c r="TRR51" s="344"/>
      <c r="TRS51" s="344"/>
      <c r="TRT51" s="344"/>
      <c r="TRU51" s="344"/>
      <c r="TRV51" s="344"/>
      <c r="TRW51" s="344"/>
      <c r="TRX51" s="344"/>
      <c r="TRY51" s="344"/>
      <c r="TRZ51" s="344"/>
      <c r="TSA51" s="344"/>
      <c r="TSB51" s="344"/>
      <c r="TSC51" s="344"/>
      <c r="TSD51" s="344"/>
      <c r="TSE51" s="344"/>
      <c r="TSF51" s="344"/>
      <c r="TSG51" s="344"/>
      <c r="TSH51" s="344"/>
      <c r="TSI51" s="344"/>
      <c r="TSJ51" s="344"/>
      <c r="TSK51" s="344"/>
      <c r="TSL51" s="344"/>
      <c r="TSM51" s="344"/>
      <c r="TSN51" s="344"/>
      <c r="TSO51" s="344"/>
      <c r="TSP51" s="344"/>
      <c r="TSQ51" s="344"/>
      <c r="TSR51" s="344"/>
      <c r="TSS51" s="344"/>
      <c r="TST51" s="344"/>
      <c r="TSU51" s="344"/>
      <c r="TSV51" s="344"/>
      <c r="TSW51" s="344"/>
      <c r="TSX51" s="344"/>
      <c r="TSY51" s="344"/>
      <c r="TSZ51" s="344"/>
      <c r="TTA51" s="344"/>
      <c r="TTB51" s="344"/>
      <c r="TTC51" s="344"/>
      <c r="TTD51" s="344"/>
      <c r="TTE51" s="344"/>
      <c r="TTF51" s="344"/>
      <c r="TTG51" s="344"/>
      <c r="TTH51" s="344"/>
      <c r="TTI51" s="344"/>
      <c r="TTJ51" s="344"/>
      <c r="TTK51" s="344"/>
      <c r="TTL51" s="344"/>
      <c r="TTM51" s="344"/>
      <c r="TTN51" s="344"/>
      <c r="TTO51" s="344"/>
      <c r="TTP51" s="344"/>
      <c r="TTQ51" s="344"/>
      <c r="TTR51" s="344"/>
      <c r="TTS51" s="344"/>
      <c r="TTT51" s="344"/>
      <c r="TTU51" s="344"/>
      <c r="TTV51" s="344"/>
      <c r="TTW51" s="344"/>
      <c r="TTX51" s="344"/>
      <c r="TTY51" s="344"/>
      <c r="TTZ51" s="344"/>
      <c r="TUA51" s="344"/>
      <c r="TUB51" s="344"/>
      <c r="TUC51" s="344"/>
      <c r="TUD51" s="344"/>
      <c r="TUE51" s="344"/>
      <c r="TUF51" s="344"/>
      <c r="TUG51" s="344"/>
      <c r="TUH51" s="344"/>
      <c r="TUI51" s="344"/>
      <c r="TUJ51" s="344"/>
      <c r="TUK51" s="344"/>
      <c r="TUL51" s="344"/>
      <c r="TUM51" s="344"/>
      <c r="TUN51" s="344"/>
      <c r="TUO51" s="344"/>
      <c r="TUP51" s="344"/>
      <c r="TUQ51" s="344"/>
      <c r="TUR51" s="344"/>
      <c r="TUS51" s="344"/>
      <c r="TUT51" s="344"/>
      <c r="TUU51" s="344"/>
      <c r="TUV51" s="344"/>
      <c r="TUW51" s="344"/>
      <c r="TUX51" s="344"/>
      <c r="TUY51" s="344"/>
      <c r="TUZ51" s="344"/>
      <c r="TVA51" s="344"/>
      <c r="TVB51" s="344"/>
      <c r="TVC51" s="344"/>
      <c r="TVD51" s="344"/>
      <c r="TVE51" s="344"/>
      <c r="TVF51" s="344"/>
      <c r="TVG51" s="344"/>
      <c r="TVH51" s="344"/>
      <c r="TVI51" s="344"/>
      <c r="TVJ51" s="344"/>
      <c r="TVK51" s="344"/>
      <c r="TVL51" s="344"/>
      <c r="TVM51" s="344"/>
      <c r="TVN51" s="344"/>
      <c r="TVO51" s="344"/>
      <c r="TVP51" s="344"/>
      <c r="TVQ51" s="344"/>
      <c r="TVR51" s="344"/>
      <c r="TVS51" s="344"/>
      <c r="TVT51" s="344"/>
      <c r="TVU51" s="344"/>
      <c r="TVV51" s="344"/>
      <c r="TVW51" s="344"/>
      <c r="TVX51" s="344"/>
      <c r="TVY51" s="344"/>
      <c r="TVZ51" s="344"/>
      <c r="TWA51" s="344"/>
      <c r="TWB51" s="344"/>
      <c r="TWC51" s="344"/>
      <c r="TWD51" s="344"/>
      <c r="TWE51" s="344"/>
      <c r="TWF51" s="344"/>
      <c r="TWG51" s="344"/>
      <c r="TWH51" s="344"/>
      <c r="TWI51" s="344"/>
      <c r="TWJ51" s="344"/>
      <c r="TWK51" s="344"/>
      <c r="TWL51" s="344"/>
      <c r="TWM51" s="344"/>
      <c r="TWN51" s="344"/>
      <c r="TWO51" s="344"/>
      <c r="TWP51" s="344"/>
      <c r="TWQ51" s="344"/>
      <c r="TWR51" s="344"/>
      <c r="TWS51" s="344"/>
      <c r="TWT51" s="344"/>
      <c r="TWU51" s="344"/>
      <c r="TWV51" s="344"/>
      <c r="TWW51" s="344"/>
      <c r="TWX51" s="344"/>
      <c r="TWY51" s="344"/>
      <c r="TWZ51" s="344"/>
      <c r="TXA51" s="344"/>
      <c r="TXB51" s="344"/>
      <c r="TXC51" s="344"/>
      <c r="TXD51" s="344"/>
      <c r="TXE51" s="344"/>
      <c r="TXF51" s="344"/>
      <c r="TXG51" s="344"/>
      <c r="TXH51" s="344"/>
      <c r="TXI51" s="344"/>
      <c r="TXJ51" s="344"/>
      <c r="TXK51" s="344"/>
      <c r="TXL51" s="344"/>
      <c r="TXM51" s="344"/>
      <c r="TXN51" s="344"/>
      <c r="TXO51" s="344"/>
      <c r="TXP51" s="344"/>
      <c r="TXQ51" s="344"/>
      <c r="TXR51" s="344"/>
      <c r="TXS51" s="344"/>
      <c r="TXT51" s="344"/>
      <c r="TXU51" s="344"/>
      <c r="TXV51" s="344"/>
      <c r="TXW51" s="344"/>
      <c r="TXX51" s="344"/>
      <c r="TXY51" s="344"/>
      <c r="TXZ51" s="344"/>
      <c r="TYA51" s="344"/>
      <c r="TYB51" s="344"/>
      <c r="TYC51" s="344"/>
      <c r="TYD51" s="344"/>
      <c r="TYE51" s="344"/>
      <c r="TYF51" s="344"/>
      <c r="TYG51" s="344"/>
      <c r="TYH51" s="344"/>
      <c r="TYI51" s="344"/>
      <c r="TYJ51" s="344"/>
      <c r="TYK51" s="344"/>
      <c r="TYL51" s="344"/>
      <c r="TYM51" s="344"/>
      <c r="TYN51" s="344"/>
      <c r="TYO51" s="344"/>
      <c r="TYP51" s="344"/>
      <c r="TYQ51" s="344"/>
      <c r="TYR51" s="344"/>
      <c r="TYS51" s="344"/>
      <c r="TYT51" s="344"/>
      <c r="TYU51" s="344"/>
      <c r="TYV51" s="344"/>
      <c r="TYW51" s="344"/>
      <c r="TYX51" s="344"/>
      <c r="TYY51" s="344"/>
      <c r="TYZ51" s="344"/>
      <c r="TZA51" s="344"/>
      <c r="TZB51" s="344"/>
      <c r="TZC51" s="344"/>
      <c r="TZD51" s="344"/>
      <c r="TZE51" s="344"/>
      <c r="TZF51" s="344"/>
      <c r="TZG51" s="344"/>
      <c r="TZH51" s="344"/>
      <c r="TZI51" s="344"/>
      <c r="TZJ51" s="344"/>
      <c r="TZK51" s="344"/>
      <c r="TZL51" s="344"/>
      <c r="TZM51" s="344"/>
      <c r="TZN51" s="344"/>
      <c r="TZO51" s="344"/>
      <c r="TZP51" s="344"/>
      <c r="TZQ51" s="344"/>
      <c r="TZR51" s="344"/>
      <c r="TZS51" s="344"/>
      <c r="TZT51" s="344"/>
      <c r="TZU51" s="344"/>
      <c r="TZV51" s="344"/>
      <c r="TZW51" s="344"/>
      <c r="TZX51" s="344"/>
      <c r="TZY51" s="344"/>
      <c r="TZZ51" s="344"/>
      <c r="UAA51" s="344"/>
      <c r="UAB51" s="344"/>
      <c r="UAC51" s="344"/>
      <c r="UAD51" s="344"/>
      <c r="UAE51" s="344"/>
      <c r="UAF51" s="344"/>
      <c r="UAG51" s="344"/>
      <c r="UAH51" s="344"/>
      <c r="UAI51" s="344"/>
      <c r="UAJ51" s="344"/>
      <c r="UAK51" s="344"/>
      <c r="UAL51" s="344"/>
      <c r="UAM51" s="344"/>
      <c r="UAN51" s="344"/>
      <c r="UAO51" s="344"/>
      <c r="UAP51" s="344"/>
      <c r="UAQ51" s="344"/>
      <c r="UAR51" s="344"/>
      <c r="UAS51" s="344"/>
      <c r="UAT51" s="344"/>
      <c r="UAU51" s="344"/>
      <c r="UAV51" s="344"/>
      <c r="UAW51" s="344"/>
      <c r="UAX51" s="344"/>
      <c r="UAY51" s="344"/>
      <c r="UAZ51" s="344"/>
      <c r="UBA51" s="344"/>
      <c r="UBB51" s="344"/>
      <c r="UBC51" s="344"/>
      <c r="UBD51" s="344"/>
      <c r="UBE51" s="344"/>
      <c r="UBF51" s="344"/>
      <c r="UBG51" s="344"/>
      <c r="UBH51" s="344"/>
      <c r="UBI51" s="344"/>
      <c r="UBJ51" s="344"/>
      <c r="UBK51" s="344"/>
      <c r="UBL51" s="344"/>
      <c r="UBM51" s="344"/>
      <c r="UBN51" s="344"/>
      <c r="UBO51" s="344"/>
      <c r="UBP51" s="344"/>
      <c r="UBQ51" s="344"/>
      <c r="UBR51" s="344"/>
      <c r="UBS51" s="344"/>
      <c r="UBT51" s="344"/>
      <c r="UBU51" s="344"/>
      <c r="UBV51" s="344"/>
      <c r="UBW51" s="344"/>
      <c r="UBX51" s="344"/>
      <c r="UBY51" s="344"/>
      <c r="UBZ51" s="344"/>
      <c r="UCA51" s="344"/>
      <c r="UCB51" s="344"/>
      <c r="UCC51" s="344"/>
      <c r="UCD51" s="344"/>
      <c r="UCE51" s="344"/>
      <c r="UCF51" s="344"/>
      <c r="UCG51" s="344"/>
      <c r="UCH51" s="344"/>
      <c r="UCI51" s="344"/>
      <c r="UCJ51" s="344"/>
      <c r="UCK51" s="344"/>
      <c r="UCL51" s="344"/>
      <c r="UCM51" s="344"/>
      <c r="UCN51" s="344"/>
      <c r="UCO51" s="344"/>
      <c r="UCP51" s="344"/>
      <c r="UCQ51" s="344"/>
      <c r="UCR51" s="344"/>
      <c r="UCS51" s="344"/>
      <c r="UCT51" s="344"/>
      <c r="UCU51" s="344"/>
      <c r="UCV51" s="344"/>
      <c r="UCW51" s="344"/>
      <c r="UCX51" s="344"/>
      <c r="UCY51" s="344"/>
      <c r="UCZ51" s="344"/>
      <c r="UDA51" s="344"/>
      <c r="UDB51" s="344"/>
      <c r="UDC51" s="344"/>
      <c r="UDD51" s="344"/>
      <c r="UDE51" s="344"/>
      <c r="UDF51" s="344"/>
      <c r="UDG51" s="344"/>
      <c r="UDH51" s="344"/>
      <c r="UDI51" s="344"/>
      <c r="UDJ51" s="344"/>
      <c r="UDK51" s="344"/>
      <c r="UDL51" s="344"/>
      <c r="UDM51" s="344"/>
      <c r="UDN51" s="344"/>
      <c r="UDO51" s="344"/>
      <c r="UDP51" s="344"/>
      <c r="UDQ51" s="344"/>
      <c r="UDR51" s="344"/>
      <c r="UDS51" s="344"/>
      <c r="UDT51" s="344"/>
      <c r="UDU51" s="344"/>
      <c r="UDV51" s="344"/>
      <c r="UDW51" s="344"/>
      <c r="UDX51" s="344"/>
      <c r="UDY51" s="344"/>
      <c r="UDZ51" s="344"/>
      <c r="UEA51" s="344"/>
      <c r="UEB51" s="344"/>
      <c r="UEC51" s="344"/>
      <c r="UED51" s="344"/>
      <c r="UEE51" s="344"/>
      <c r="UEF51" s="344"/>
      <c r="UEG51" s="344"/>
      <c r="UEH51" s="344"/>
      <c r="UEI51" s="344"/>
      <c r="UEJ51" s="344"/>
      <c r="UEK51" s="344"/>
      <c r="UEL51" s="344"/>
      <c r="UEM51" s="344"/>
      <c r="UEN51" s="344"/>
      <c r="UEO51" s="344"/>
      <c r="UEP51" s="344"/>
      <c r="UEQ51" s="344"/>
      <c r="UER51" s="344"/>
      <c r="UES51" s="344"/>
      <c r="UET51" s="344"/>
      <c r="UEU51" s="344"/>
      <c r="UEV51" s="344"/>
      <c r="UEW51" s="344"/>
      <c r="UEX51" s="344"/>
      <c r="UEY51" s="344"/>
      <c r="UEZ51" s="344"/>
      <c r="UFA51" s="344"/>
      <c r="UFB51" s="344"/>
      <c r="UFC51" s="344"/>
      <c r="UFD51" s="344"/>
      <c r="UFE51" s="344"/>
      <c r="UFF51" s="344"/>
      <c r="UFG51" s="344"/>
      <c r="UFH51" s="344"/>
      <c r="UFI51" s="344"/>
      <c r="UFJ51" s="344"/>
      <c r="UFK51" s="344"/>
      <c r="UFL51" s="344"/>
      <c r="UFM51" s="344"/>
      <c r="UFN51" s="344"/>
      <c r="UFO51" s="344"/>
      <c r="UFP51" s="344"/>
      <c r="UFQ51" s="344"/>
      <c r="UFR51" s="344"/>
      <c r="UFS51" s="344"/>
      <c r="UFT51" s="344"/>
      <c r="UFU51" s="344"/>
      <c r="UFV51" s="344"/>
      <c r="UFW51" s="344"/>
      <c r="UFX51" s="344"/>
      <c r="UFY51" s="344"/>
      <c r="UFZ51" s="344"/>
      <c r="UGA51" s="344"/>
      <c r="UGB51" s="344"/>
      <c r="UGC51" s="344"/>
      <c r="UGD51" s="344"/>
      <c r="UGE51" s="344"/>
      <c r="UGF51" s="344"/>
      <c r="UGG51" s="344"/>
      <c r="UGH51" s="344"/>
      <c r="UGI51" s="344"/>
      <c r="UGJ51" s="344"/>
      <c r="UGK51" s="344"/>
      <c r="UGL51" s="344"/>
      <c r="UGM51" s="344"/>
      <c r="UGN51" s="344"/>
      <c r="UGO51" s="344"/>
      <c r="UGP51" s="344"/>
      <c r="UGQ51" s="344"/>
      <c r="UGR51" s="344"/>
      <c r="UGS51" s="344"/>
      <c r="UGT51" s="344"/>
      <c r="UGU51" s="344"/>
      <c r="UGV51" s="344"/>
      <c r="UGW51" s="344"/>
      <c r="UGX51" s="344"/>
      <c r="UGY51" s="344"/>
      <c r="UGZ51" s="344"/>
      <c r="UHA51" s="344"/>
      <c r="UHB51" s="344"/>
      <c r="UHC51" s="344"/>
      <c r="UHD51" s="344"/>
      <c r="UHE51" s="344"/>
      <c r="UHF51" s="344"/>
      <c r="UHG51" s="344"/>
      <c r="UHH51" s="344"/>
      <c r="UHI51" s="344"/>
      <c r="UHJ51" s="344"/>
      <c r="UHK51" s="344"/>
      <c r="UHL51" s="344"/>
      <c r="UHM51" s="344"/>
      <c r="UHN51" s="344"/>
      <c r="UHO51" s="344"/>
      <c r="UHP51" s="344"/>
      <c r="UHQ51" s="344"/>
      <c r="UHR51" s="344"/>
      <c r="UHS51" s="344"/>
      <c r="UHT51" s="344"/>
      <c r="UHU51" s="344"/>
      <c r="UHV51" s="344"/>
      <c r="UHW51" s="344"/>
      <c r="UHX51" s="344"/>
      <c r="UHY51" s="344"/>
      <c r="UHZ51" s="344"/>
      <c r="UIA51" s="344"/>
      <c r="UIB51" s="344"/>
      <c r="UIC51" s="344"/>
      <c r="UID51" s="344"/>
      <c r="UIE51" s="344"/>
      <c r="UIF51" s="344"/>
      <c r="UIG51" s="344"/>
      <c r="UIH51" s="344"/>
      <c r="UII51" s="344"/>
      <c r="UIJ51" s="344"/>
      <c r="UIK51" s="344"/>
      <c r="UIL51" s="344"/>
      <c r="UIM51" s="344"/>
      <c r="UIN51" s="344"/>
      <c r="UIO51" s="344"/>
      <c r="UIP51" s="344"/>
      <c r="UIQ51" s="344"/>
      <c r="UIR51" s="344"/>
      <c r="UIS51" s="344"/>
      <c r="UIT51" s="344"/>
      <c r="UIU51" s="344"/>
      <c r="UIV51" s="344"/>
      <c r="UIW51" s="344"/>
      <c r="UIX51" s="344"/>
      <c r="UIY51" s="344"/>
      <c r="UIZ51" s="344"/>
      <c r="UJA51" s="344"/>
      <c r="UJB51" s="344"/>
      <c r="UJC51" s="344"/>
      <c r="UJD51" s="344"/>
      <c r="UJE51" s="344"/>
      <c r="UJF51" s="344"/>
      <c r="UJG51" s="344"/>
      <c r="UJH51" s="344"/>
      <c r="UJI51" s="344"/>
      <c r="UJJ51" s="344"/>
      <c r="UJK51" s="344"/>
      <c r="UJL51" s="344"/>
      <c r="UJM51" s="344"/>
      <c r="UJN51" s="344"/>
      <c r="UJO51" s="344"/>
      <c r="UJP51" s="344"/>
      <c r="UJQ51" s="344"/>
      <c r="UJR51" s="344"/>
      <c r="UJS51" s="344"/>
      <c r="UJT51" s="344"/>
      <c r="UJU51" s="344"/>
      <c r="UJV51" s="344"/>
      <c r="UJW51" s="344"/>
      <c r="UJX51" s="344"/>
      <c r="UJY51" s="344"/>
      <c r="UJZ51" s="344"/>
      <c r="UKA51" s="344"/>
      <c r="UKB51" s="344"/>
      <c r="UKC51" s="344"/>
      <c r="UKD51" s="344"/>
      <c r="UKE51" s="344"/>
      <c r="UKF51" s="344"/>
      <c r="UKG51" s="344"/>
      <c r="UKH51" s="344"/>
      <c r="UKI51" s="344"/>
      <c r="UKJ51" s="344"/>
      <c r="UKK51" s="344"/>
      <c r="UKL51" s="344"/>
      <c r="UKM51" s="344"/>
      <c r="UKN51" s="344"/>
      <c r="UKO51" s="344"/>
      <c r="UKP51" s="344"/>
      <c r="UKQ51" s="344"/>
      <c r="UKR51" s="344"/>
      <c r="UKS51" s="344"/>
      <c r="UKT51" s="344"/>
      <c r="UKU51" s="344"/>
      <c r="UKV51" s="344"/>
      <c r="UKW51" s="344"/>
      <c r="UKX51" s="344"/>
      <c r="UKY51" s="344"/>
      <c r="UKZ51" s="344"/>
      <c r="ULA51" s="344"/>
      <c r="ULB51" s="344"/>
      <c r="ULC51" s="344"/>
      <c r="ULD51" s="344"/>
      <c r="ULE51" s="344"/>
      <c r="ULF51" s="344"/>
      <c r="ULG51" s="344"/>
      <c r="ULH51" s="344"/>
      <c r="ULI51" s="344"/>
      <c r="ULJ51" s="344"/>
      <c r="ULK51" s="344"/>
      <c r="ULL51" s="344"/>
      <c r="ULM51" s="344"/>
      <c r="ULN51" s="344"/>
      <c r="ULO51" s="344"/>
      <c r="ULP51" s="344"/>
      <c r="ULQ51" s="344"/>
      <c r="ULR51" s="344"/>
      <c r="ULS51" s="344"/>
      <c r="ULT51" s="344"/>
      <c r="ULU51" s="344"/>
      <c r="ULV51" s="344"/>
      <c r="ULW51" s="344"/>
      <c r="ULX51" s="344"/>
      <c r="ULY51" s="344"/>
      <c r="ULZ51" s="344"/>
      <c r="UMA51" s="344"/>
      <c r="UMB51" s="344"/>
      <c r="UMC51" s="344"/>
      <c r="UMD51" s="344"/>
      <c r="UME51" s="344"/>
      <c r="UMF51" s="344"/>
      <c r="UMG51" s="344"/>
      <c r="UMH51" s="344"/>
      <c r="UMI51" s="344"/>
      <c r="UMJ51" s="344"/>
      <c r="UMK51" s="344"/>
      <c r="UML51" s="344"/>
      <c r="UMM51" s="344"/>
      <c r="UMN51" s="344"/>
      <c r="UMO51" s="344"/>
      <c r="UMP51" s="344"/>
      <c r="UMQ51" s="344"/>
      <c r="UMR51" s="344"/>
      <c r="UMS51" s="344"/>
      <c r="UMT51" s="344"/>
      <c r="UMU51" s="344"/>
      <c r="UMV51" s="344"/>
      <c r="UMW51" s="344"/>
      <c r="UMX51" s="344"/>
      <c r="UMY51" s="344"/>
      <c r="UMZ51" s="344"/>
      <c r="UNA51" s="344"/>
      <c r="UNB51" s="344"/>
      <c r="UNC51" s="344"/>
      <c r="UND51" s="344"/>
      <c r="UNE51" s="344"/>
      <c r="UNF51" s="344"/>
      <c r="UNG51" s="344"/>
      <c r="UNH51" s="344"/>
      <c r="UNI51" s="344"/>
      <c r="UNJ51" s="344"/>
      <c r="UNK51" s="344"/>
      <c r="UNL51" s="344"/>
      <c r="UNM51" s="344"/>
      <c r="UNN51" s="344"/>
      <c r="UNO51" s="344"/>
      <c r="UNP51" s="344"/>
      <c r="UNQ51" s="344"/>
      <c r="UNR51" s="344"/>
      <c r="UNS51" s="344"/>
      <c r="UNT51" s="344"/>
      <c r="UNU51" s="344"/>
      <c r="UNV51" s="344"/>
      <c r="UNW51" s="344"/>
      <c r="UNX51" s="344"/>
      <c r="UNY51" s="344"/>
      <c r="UNZ51" s="344"/>
      <c r="UOA51" s="344"/>
      <c r="UOB51" s="344"/>
      <c r="UOC51" s="344"/>
      <c r="UOD51" s="344"/>
      <c r="UOE51" s="344"/>
      <c r="UOF51" s="344"/>
      <c r="UOG51" s="344"/>
      <c r="UOH51" s="344"/>
      <c r="UOI51" s="344"/>
      <c r="UOJ51" s="344"/>
      <c r="UOK51" s="344"/>
      <c r="UOL51" s="344"/>
      <c r="UOM51" s="344"/>
      <c r="UON51" s="344"/>
      <c r="UOO51" s="344"/>
      <c r="UOP51" s="344"/>
      <c r="UOQ51" s="344"/>
      <c r="UOR51" s="344"/>
      <c r="UOS51" s="344"/>
      <c r="UOT51" s="344"/>
      <c r="UOU51" s="344"/>
      <c r="UOV51" s="344"/>
      <c r="UOW51" s="344"/>
      <c r="UOX51" s="344"/>
      <c r="UOY51" s="344"/>
      <c r="UOZ51" s="344"/>
      <c r="UPA51" s="344"/>
      <c r="UPB51" s="344"/>
      <c r="UPC51" s="344"/>
      <c r="UPD51" s="344"/>
      <c r="UPE51" s="344"/>
      <c r="UPF51" s="344"/>
      <c r="UPG51" s="344"/>
      <c r="UPH51" s="344"/>
      <c r="UPI51" s="344"/>
      <c r="UPJ51" s="344"/>
      <c r="UPK51" s="344"/>
      <c r="UPL51" s="344"/>
      <c r="UPM51" s="344"/>
      <c r="UPN51" s="344"/>
      <c r="UPO51" s="344"/>
      <c r="UPP51" s="344"/>
      <c r="UPQ51" s="344"/>
      <c r="UPR51" s="344"/>
      <c r="UPS51" s="344"/>
      <c r="UPT51" s="344"/>
      <c r="UPU51" s="344"/>
      <c r="UPV51" s="344"/>
      <c r="UPW51" s="344"/>
      <c r="UPX51" s="344"/>
      <c r="UPY51" s="344"/>
      <c r="UPZ51" s="344"/>
      <c r="UQA51" s="344"/>
      <c r="UQB51" s="344"/>
      <c r="UQC51" s="344"/>
      <c r="UQD51" s="344"/>
      <c r="UQE51" s="344"/>
      <c r="UQF51" s="344"/>
      <c r="UQG51" s="344"/>
      <c r="UQH51" s="344"/>
      <c r="UQI51" s="344"/>
      <c r="UQJ51" s="344"/>
      <c r="UQK51" s="344"/>
      <c r="UQL51" s="344"/>
      <c r="UQM51" s="344"/>
      <c r="UQN51" s="344"/>
      <c r="UQO51" s="344"/>
      <c r="UQP51" s="344"/>
      <c r="UQQ51" s="344"/>
      <c r="UQR51" s="344"/>
      <c r="UQS51" s="344"/>
      <c r="UQT51" s="344"/>
      <c r="UQU51" s="344"/>
      <c r="UQV51" s="344"/>
      <c r="UQW51" s="344"/>
      <c r="UQX51" s="344"/>
      <c r="UQY51" s="344"/>
      <c r="UQZ51" s="344"/>
      <c r="URA51" s="344"/>
      <c r="URB51" s="344"/>
      <c r="URC51" s="344"/>
      <c r="URD51" s="344"/>
      <c r="URE51" s="344"/>
      <c r="URF51" s="344"/>
      <c r="URG51" s="344"/>
      <c r="URH51" s="344"/>
      <c r="URI51" s="344"/>
      <c r="URJ51" s="344"/>
      <c r="URK51" s="344"/>
      <c r="URL51" s="344"/>
      <c r="URM51" s="344"/>
      <c r="URN51" s="344"/>
      <c r="URO51" s="344"/>
      <c r="URP51" s="344"/>
      <c r="URQ51" s="344"/>
      <c r="URR51" s="344"/>
      <c r="URS51" s="344"/>
      <c r="URT51" s="344"/>
      <c r="URU51" s="344"/>
      <c r="URV51" s="344"/>
      <c r="URW51" s="344"/>
      <c r="URX51" s="344"/>
      <c r="URY51" s="344"/>
      <c r="URZ51" s="344"/>
      <c r="USA51" s="344"/>
      <c r="USB51" s="344"/>
      <c r="USC51" s="344"/>
      <c r="USD51" s="344"/>
      <c r="USE51" s="344"/>
      <c r="USF51" s="344"/>
      <c r="USG51" s="344"/>
      <c r="USH51" s="344"/>
      <c r="USI51" s="344"/>
      <c r="USJ51" s="344"/>
      <c r="USK51" s="344"/>
      <c r="USL51" s="344"/>
      <c r="USM51" s="344"/>
      <c r="USN51" s="344"/>
      <c r="USO51" s="344"/>
      <c r="USP51" s="344"/>
      <c r="USQ51" s="344"/>
      <c r="USR51" s="344"/>
      <c r="USS51" s="344"/>
      <c r="UST51" s="344"/>
      <c r="USU51" s="344"/>
      <c r="USV51" s="344"/>
      <c r="USW51" s="344"/>
      <c r="USX51" s="344"/>
      <c r="USY51" s="344"/>
      <c r="USZ51" s="344"/>
      <c r="UTA51" s="344"/>
      <c r="UTB51" s="344"/>
      <c r="UTC51" s="344"/>
      <c r="UTD51" s="344"/>
      <c r="UTE51" s="344"/>
      <c r="UTF51" s="344"/>
      <c r="UTG51" s="344"/>
      <c r="UTH51" s="344"/>
      <c r="UTI51" s="344"/>
      <c r="UTJ51" s="344"/>
      <c r="UTK51" s="344"/>
      <c r="UTL51" s="344"/>
      <c r="UTM51" s="344"/>
      <c r="UTN51" s="344"/>
      <c r="UTO51" s="344"/>
      <c r="UTP51" s="344"/>
      <c r="UTQ51" s="344"/>
      <c r="UTR51" s="344"/>
      <c r="UTS51" s="344"/>
      <c r="UTT51" s="344"/>
      <c r="UTU51" s="344"/>
      <c r="UTV51" s="344"/>
      <c r="UTW51" s="344"/>
      <c r="UTX51" s="344"/>
      <c r="UTY51" s="344"/>
      <c r="UTZ51" s="344"/>
      <c r="UUA51" s="344"/>
      <c r="UUB51" s="344"/>
      <c r="UUC51" s="344"/>
      <c r="UUD51" s="344"/>
      <c r="UUE51" s="344"/>
      <c r="UUF51" s="344"/>
      <c r="UUG51" s="344"/>
      <c r="UUH51" s="344"/>
      <c r="UUI51" s="344"/>
      <c r="UUJ51" s="344"/>
      <c r="UUK51" s="344"/>
      <c r="UUL51" s="344"/>
      <c r="UUM51" s="344"/>
      <c r="UUN51" s="344"/>
      <c r="UUO51" s="344"/>
      <c r="UUP51" s="344"/>
      <c r="UUQ51" s="344"/>
      <c r="UUR51" s="344"/>
      <c r="UUS51" s="344"/>
      <c r="UUT51" s="344"/>
      <c r="UUU51" s="344"/>
      <c r="UUV51" s="344"/>
      <c r="UUW51" s="344"/>
      <c r="UUX51" s="344"/>
      <c r="UUY51" s="344"/>
      <c r="UUZ51" s="344"/>
      <c r="UVA51" s="344"/>
      <c r="UVB51" s="344"/>
      <c r="UVC51" s="344"/>
      <c r="UVD51" s="344"/>
      <c r="UVE51" s="344"/>
      <c r="UVF51" s="344"/>
      <c r="UVG51" s="344"/>
      <c r="UVH51" s="344"/>
      <c r="UVI51" s="344"/>
      <c r="UVJ51" s="344"/>
      <c r="UVK51" s="344"/>
      <c r="UVL51" s="344"/>
      <c r="UVM51" s="344"/>
      <c r="UVN51" s="344"/>
      <c r="UVO51" s="344"/>
      <c r="UVP51" s="344"/>
      <c r="UVQ51" s="344"/>
      <c r="UVR51" s="344"/>
      <c r="UVS51" s="344"/>
      <c r="UVT51" s="344"/>
      <c r="UVU51" s="344"/>
      <c r="UVV51" s="344"/>
      <c r="UVW51" s="344"/>
      <c r="UVX51" s="344"/>
      <c r="UVY51" s="344"/>
      <c r="UVZ51" s="344"/>
      <c r="UWA51" s="344"/>
      <c r="UWB51" s="344"/>
      <c r="UWC51" s="344"/>
      <c r="UWD51" s="344"/>
      <c r="UWE51" s="344"/>
      <c r="UWF51" s="344"/>
      <c r="UWG51" s="344"/>
      <c r="UWH51" s="344"/>
      <c r="UWI51" s="344"/>
      <c r="UWJ51" s="344"/>
      <c r="UWK51" s="344"/>
      <c r="UWL51" s="344"/>
      <c r="UWM51" s="344"/>
      <c r="UWN51" s="344"/>
      <c r="UWO51" s="344"/>
      <c r="UWP51" s="344"/>
      <c r="UWQ51" s="344"/>
      <c r="UWR51" s="344"/>
      <c r="UWS51" s="344"/>
      <c r="UWT51" s="344"/>
      <c r="UWU51" s="344"/>
      <c r="UWV51" s="344"/>
      <c r="UWW51" s="344"/>
      <c r="UWX51" s="344"/>
      <c r="UWY51" s="344"/>
      <c r="UWZ51" s="344"/>
      <c r="UXA51" s="344"/>
      <c r="UXB51" s="344"/>
      <c r="UXC51" s="344"/>
      <c r="UXD51" s="344"/>
      <c r="UXE51" s="344"/>
      <c r="UXF51" s="344"/>
      <c r="UXG51" s="344"/>
      <c r="UXH51" s="344"/>
      <c r="UXI51" s="344"/>
      <c r="UXJ51" s="344"/>
      <c r="UXK51" s="344"/>
      <c r="UXL51" s="344"/>
      <c r="UXM51" s="344"/>
      <c r="UXN51" s="344"/>
      <c r="UXO51" s="344"/>
      <c r="UXP51" s="344"/>
      <c r="UXQ51" s="344"/>
      <c r="UXR51" s="344"/>
      <c r="UXS51" s="344"/>
      <c r="UXT51" s="344"/>
      <c r="UXU51" s="344"/>
      <c r="UXV51" s="344"/>
      <c r="UXW51" s="344"/>
      <c r="UXX51" s="344"/>
      <c r="UXY51" s="344"/>
      <c r="UXZ51" s="344"/>
      <c r="UYA51" s="344"/>
      <c r="UYB51" s="344"/>
      <c r="UYC51" s="344"/>
      <c r="UYD51" s="344"/>
      <c r="UYE51" s="344"/>
      <c r="UYF51" s="344"/>
      <c r="UYG51" s="344"/>
      <c r="UYH51" s="344"/>
      <c r="UYI51" s="344"/>
      <c r="UYJ51" s="344"/>
      <c r="UYK51" s="344"/>
      <c r="UYL51" s="344"/>
      <c r="UYM51" s="344"/>
      <c r="UYN51" s="344"/>
      <c r="UYO51" s="344"/>
      <c r="UYP51" s="344"/>
      <c r="UYQ51" s="344"/>
      <c r="UYR51" s="344"/>
      <c r="UYS51" s="344"/>
      <c r="UYT51" s="344"/>
      <c r="UYU51" s="344"/>
      <c r="UYV51" s="344"/>
      <c r="UYW51" s="344"/>
      <c r="UYX51" s="344"/>
      <c r="UYY51" s="344"/>
      <c r="UYZ51" s="344"/>
      <c r="UZA51" s="344"/>
      <c r="UZB51" s="344"/>
      <c r="UZC51" s="344"/>
      <c r="UZD51" s="344"/>
      <c r="UZE51" s="344"/>
      <c r="UZF51" s="344"/>
      <c r="UZG51" s="344"/>
      <c r="UZH51" s="344"/>
      <c r="UZI51" s="344"/>
      <c r="UZJ51" s="344"/>
      <c r="UZK51" s="344"/>
      <c r="UZL51" s="344"/>
      <c r="UZM51" s="344"/>
      <c r="UZN51" s="344"/>
      <c r="UZO51" s="344"/>
      <c r="UZP51" s="344"/>
      <c r="UZQ51" s="344"/>
      <c r="UZR51" s="344"/>
      <c r="UZS51" s="344"/>
      <c r="UZT51" s="344"/>
      <c r="UZU51" s="344"/>
      <c r="UZV51" s="344"/>
      <c r="UZW51" s="344"/>
      <c r="UZX51" s="344"/>
      <c r="UZY51" s="344"/>
      <c r="UZZ51" s="344"/>
      <c r="VAA51" s="344"/>
      <c r="VAB51" s="344"/>
      <c r="VAC51" s="344"/>
      <c r="VAD51" s="344"/>
      <c r="VAE51" s="344"/>
      <c r="VAF51" s="344"/>
      <c r="VAG51" s="344"/>
      <c r="VAH51" s="344"/>
      <c r="VAI51" s="344"/>
      <c r="VAJ51" s="344"/>
      <c r="VAK51" s="344"/>
      <c r="VAL51" s="344"/>
      <c r="VAM51" s="344"/>
      <c r="VAN51" s="344"/>
      <c r="VAO51" s="344"/>
      <c r="VAP51" s="344"/>
      <c r="VAQ51" s="344"/>
      <c r="VAR51" s="344"/>
      <c r="VAS51" s="344"/>
      <c r="VAT51" s="344"/>
      <c r="VAU51" s="344"/>
      <c r="VAV51" s="344"/>
      <c r="VAW51" s="344"/>
      <c r="VAX51" s="344"/>
      <c r="VAY51" s="344"/>
      <c r="VAZ51" s="344"/>
      <c r="VBA51" s="344"/>
      <c r="VBB51" s="344"/>
      <c r="VBC51" s="344"/>
      <c r="VBD51" s="344"/>
      <c r="VBE51" s="344"/>
      <c r="VBF51" s="344"/>
      <c r="VBG51" s="344"/>
      <c r="VBH51" s="344"/>
      <c r="VBI51" s="344"/>
      <c r="VBJ51" s="344"/>
      <c r="VBK51" s="344"/>
      <c r="VBL51" s="344"/>
      <c r="VBM51" s="344"/>
      <c r="VBN51" s="344"/>
      <c r="VBO51" s="344"/>
      <c r="VBP51" s="344"/>
      <c r="VBQ51" s="344"/>
      <c r="VBR51" s="344"/>
      <c r="VBS51" s="344"/>
      <c r="VBT51" s="344"/>
      <c r="VBU51" s="344"/>
      <c r="VBV51" s="344"/>
      <c r="VBW51" s="344"/>
      <c r="VBX51" s="344"/>
      <c r="VBY51" s="344"/>
      <c r="VBZ51" s="344"/>
      <c r="VCA51" s="344"/>
      <c r="VCB51" s="344"/>
      <c r="VCC51" s="344"/>
      <c r="VCD51" s="344"/>
      <c r="VCE51" s="344"/>
      <c r="VCF51" s="344"/>
      <c r="VCG51" s="344"/>
      <c r="VCH51" s="344"/>
      <c r="VCI51" s="344"/>
      <c r="VCJ51" s="344"/>
      <c r="VCK51" s="344"/>
      <c r="VCL51" s="344"/>
      <c r="VCM51" s="344"/>
      <c r="VCN51" s="344"/>
      <c r="VCO51" s="344"/>
      <c r="VCP51" s="344"/>
      <c r="VCQ51" s="344"/>
      <c r="VCR51" s="344"/>
      <c r="VCS51" s="344"/>
      <c r="VCT51" s="344"/>
      <c r="VCU51" s="344"/>
      <c r="VCV51" s="344"/>
      <c r="VCW51" s="344"/>
      <c r="VCX51" s="344"/>
      <c r="VCY51" s="344"/>
      <c r="VCZ51" s="344"/>
      <c r="VDA51" s="344"/>
      <c r="VDB51" s="344"/>
      <c r="VDC51" s="344"/>
      <c r="VDD51" s="344"/>
      <c r="VDE51" s="344"/>
      <c r="VDF51" s="344"/>
      <c r="VDG51" s="344"/>
      <c r="VDH51" s="344"/>
      <c r="VDI51" s="344"/>
      <c r="VDJ51" s="344"/>
      <c r="VDK51" s="344"/>
      <c r="VDL51" s="344"/>
      <c r="VDM51" s="344"/>
      <c r="VDN51" s="344"/>
      <c r="VDO51" s="344"/>
      <c r="VDP51" s="344"/>
      <c r="VDQ51" s="344"/>
      <c r="VDR51" s="344"/>
      <c r="VDS51" s="344"/>
      <c r="VDT51" s="344"/>
      <c r="VDU51" s="344"/>
      <c r="VDV51" s="344"/>
      <c r="VDW51" s="344"/>
      <c r="VDX51" s="344"/>
      <c r="VDY51" s="344"/>
      <c r="VDZ51" s="344"/>
      <c r="VEA51" s="344"/>
      <c r="VEB51" s="344"/>
      <c r="VEC51" s="344"/>
      <c r="VED51" s="344"/>
      <c r="VEE51" s="344"/>
      <c r="VEF51" s="344"/>
      <c r="VEG51" s="344"/>
      <c r="VEH51" s="344"/>
      <c r="VEI51" s="344"/>
      <c r="VEJ51" s="344"/>
      <c r="VEK51" s="344"/>
      <c r="VEL51" s="344"/>
      <c r="VEM51" s="344"/>
      <c r="VEN51" s="344"/>
      <c r="VEO51" s="344"/>
      <c r="VEP51" s="344"/>
      <c r="VEQ51" s="344"/>
      <c r="VER51" s="344"/>
      <c r="VES51" s="344"/>
      <c r="VET51" s="344"/>
      <c r="VEU51" s="344"/>
      <c r="VEV51" s="344"/>
      <c r="VEW51" s="344"/>
      <c r="VEX51" s="344"/>
      <c r="VEY51" s="344"/>
      <c r="VEZ51" s="344"/>
      <c r="VFA51" s="344"/>
      <c r="VFB51" s="344"/>
      <c r="VFC51" s="344"/>
      <c r="VFD51" s="344"/>
      <c r="VFE51" s="344"/>
      <c r="VFF51" s="344"/>
      <c r="VFG51" s="344"/>
      <c r="VFH51" s="344"/>
      <c r="VFI51" s="344"/>
      <c r="VFJ51" s="344"/>
      <c r="VFK51" s="344"/>
      <c r="VFL51" s="344"/>
      <c r="VFM51" s="344"/>
      <c r="VFN51" s="344"/>
      <c r="VFO51" s="344"/>
      <c r="VFP51" s="344"/>
      <c r="VFQ51" s="344"/>
      <c r="VFR51" s="344"/>
      <c r="VFS51" s="344"/>
      <c r="VFT51" s="344"/>
      <c r="VFU51" s="344"/>
      <c r="VFV51" s="344"/>
      <c r="VFW51" s="344"/>
      <c r="VFX51" s="344"/>
      <c r="VFY51" s="344"/>
      <c r="VFZ51" s="344"/>
      <c r="VGA51" s="344"/>
      <c r="VGB51" s="344"/>
      <c r="VGC51" s="344"/>
      <c r="VGD51" s="344"/>
      <c r="VGE51" s="344"/>
      <c r="VGF51" s="344"/>
      <c r="VGG51" s="344"/>
      <c r="VGH51" s="344"/>
      <c r="VGI51" s="344"/>
      <c r="VGJ51" s="344"/>
      <c r="VGK51" s="344"/>
      <c r="VGL51" s="344"/>
      <c r="VGM51" s="344"/>
      <c r="VGN51" s="344"/>
      <c r="VGO51" s="344"/>
      <c r="VGP51" s="344"/>
      <c r="VGQ51" s="344"/>
      <c r="VGR51" s="344"/>
      <c r="VGS51" s="344"/>
      <c r="VGT51" s="344"/>
      <c r="VGU51" s="344"/>
      <c r="VGV51" s="344"/>
      <c r="VGW51" s="344"/>
      <c r="VGX51" s="344"/>
      <c r="VGY51" s="344"/>
      <c r="VGZ51" s="344"/>
      <c r="VHA51" s="344"/>
      <c r="VHB51" s="344"/>
      <c r="VHC51" s="344"/>
      <c r="VHD51" s="344"/>
      <c r="VHE51" s="344"/>
      <c r="VHF51" s="344"/>
      <c r="VHG51" s="344"/>
      <c r="VHH51" s="344"/>
      <c r="VHI51" s="344"/>
      <c r="VHJ51" s="344"/>
      <c r="VHK51" s="344"/>
      <c r="VHL51" s="344"/>
      <c r="VHM51" s="344"/>
      <c r="VHN51" s="344"/>
      <c r="VHO51" s="344"/>
      <c r="VHP51" s="344"/>
      <c r="VHQ51" s="344"/>
      <c r="VHR51" s="344"/>
      <c r="VHS51" s="344"/>
      <c r="VHT51" s="344"/>
      <c r="VHU51" s="344"/>
      <c r="VHV51" s="344"/>
      <c r="VHW51" s="344"/>
      <c r="VHX51" s="344"/>
      <c r="VHY51" s="344"/>
      <c r="VHZ51" s="344"/>
      <c r="VIA51" s="344"/>
      <c r="VIB51" s="344"/>
      <c r="VIC51" s="344"/>
      <c r="VID51" s="344"/>
      <c r="VIE51" s="344"/>
      <c r="VIF51" s="344"/>
      <c r="VIG51" s="344"/>
      <c r="VIH51" s="344"/>
      <c r="VII51" s="344"/>
      <c r="VIJ51" s="344"/>
      <c r="VIK51" s="344"/>
      <c r="VIL51" s="344"/>
      <c r="VIM51" s="344"/>
      <c r="VIN51" s="344"/>
      <c r="VIO51" s="344"/>
      <c r="VIP51" s="344"/>
      <c r="VIQ51" s="344"/>
      <c r="VIR51" s="344"/>
      <c r="VIS51" s="344"/>
      <c r="VIT51" s="344"/>
      <c r="VIU51" s="344"/>
      <c r="VIV51" s="344"/>
      <c r="VIW51" s="344"/>
      <c r="VIX51" s="344"/>
      <c r="VIY51" s="344"/>
      <c r="VIZ51" s="344"/>
      <c r="VJA51" s="344"/>
      <c r="VJB51" s="344"/>
      <c r="VJC51" s="344"/>
      <c r="VJD51" s="344"/>
      <c r="VJE51" s="344"/>
      <c r="VJF51" s="344"/>
      <c r="VJG51" s="344"/>
      <c r="VJH51" s="344"/>
      <c r="VJI51" s="344"/>
      <c r="VJJ51" s="344"/>
      <c r="VJK51" s="344"/>
      <c r="VJL51" s="344"/>
      <c r="VJM51" s="344"/>
      <c r="VJN51" s="344"/>
      <c r="VJO51" s="344"/>
      <c r="VJP51" s="344"/>
      <c r="VJQ51" s="344"/>
      <c r="VJR51" s="344"/>
      <c r="VJS51" s="344"/>
      <c r="VJT51" s="344"/>
      <c r="VJU51" s="344"/>
      <c r="VJV51" s="344"/>
      <c r="VJW51" s="344"/>
      <c r="VJX51" s="344"/>
      <c r="VJY51" s="344"/>
      <c r="VJZ51" s="344"/>
      <c r="VKA51" s="344"/>
      <c r="VKB51" s="344"/>
      <c r="VKC51" s="344"/>
      <c r="VKD51" s="344"/>
      <c r="VKE51" s="344"/>
      <c r="VKF51" s="344"/>
      <c r="VKG51" s="344"/>
      <c r="VKH51" s="344"/>
      <c r="VKI51" s="344"/>
      <c r="VKJ51" s="344"/>
      <c r="VKK51" s="344"/>
      <c r="VKL51" s="344"/>
      <c r="VKM51" s="344"/>
      <c r="VKN51" s="344"/>
      <c r="VKO51" s="344"/>
      <c r="VKP51" s="344"/>
      <c r="VKQ51" s="344"/>
      <c r="VKR51" s="344"/>
      <c r="VKS51" s="344"/>
      <c r="VKT51" s="344"/>
      <c r="VKU51" s="344"/>
      <c r="VKV51" s="344"/>
      <c r="VKW51" s="344"/>
      <c r="VKX51" s="344"/>
      <c r="VKY51" s="344"/>
      <c r="VKZ51" s="344"/>
      <c r="VLA51" s="344"/>
      <c r="VLB51" s="344"/>
      <c r="VLC51" s="344"/>
      <c r="VLD51" s="344"/>
      <c r="VLE51" s="344"/>
      <c r="VLF51" s="344"/>
      <c r="VLG51" s="344"/>
      <c r="VLH51" s="344"/>
      <c r="VLI51" s="344"/>
      <c r="VLJ51" s="344"/>
      <c r="VLK51" s="344"/>
      <c r="VLL51" s="344"/>
      <c r="VLM51" s="344"/>
      <c r="VLN51" s="344"/>
      <c r="VLO51" s="344"/>
      <c r="VLP51" s="344"/>
      <c r="VLQ51" s="344"/>
      <c r="VLR51" s="344"/>
      <c r="VLS51" s="344"/>
      <c r="VLT51" s="344"/>
      <c r="VLU51" s="344"/>
      <c r="VLV51" s="344"/>
      <c r="VLW51" s="344"/>
      <c r="VLX51" s="344"/>
      <c r="VLY51" s="344"/>
      <c r="VLZ51" s="344"/>
      <c r="VMA51" s="344"/>
      <c r="VMB51" s="344"/>
      <c r="VMC51" s="344"/>
      <c r="VMD51" s="344"/>
      <c r="VME51" s="344"/>
      <c r="VMF51" s="344"/>
      <c r="VMG51" s="344"/>
      <c r="VMH51" s="344"/>
      <c r="VMI51" s="344"/>
      <c r="VMJ51" s="344"/>
      <c r="VMK51" s="344"/>
      <c r="VML51" s="344"/>
      <c r="VMM51" s="344"/>
      <c r="VMN51" s="344"/>
      <c r="VMO51" s="344"/>
      <c r="VMP51" s="344"/>
      <c r="VMQ51" s="344"/>
      <c r="VMR51" s="344"/>
      <c r="VMS51" s="344"/>
      <c r="VMT51" s="344"/>
      <c r="VMU51" s="344"/>
      <c r="VMV51" s="344"/>
      <c r="VMW51" s="344"/>
      <c r="VMX51" s="344"/>
      <c r="VMY51" s="344"/>
      <c r="VMZ51" s="344"/>
      <c r="VNA51" s="344"/>
      <c r="VNB51" s="344"/>
      <c r="VNC51" s="344"/>
      <c r="VND51" s="344"/>
      <c r="VNE51" s="344"/>
      <c r="VNF51" s="344"/>
      <c r="VNG51" s="344"/>
      <c r="VNH51" s="344"/>
      <c r="VNI51" s="344"/>
      <c r="VNJ51" s="344"/>
      <c r="VNK51" s="344"/>
      <c r="VNL51" s="344"/>
      <c r="VNM51" s="344"/>
      <c r="VNN51" s="344"/>
      <c r="VNO51" s="344"/>
      <c r="VNP51" s="344"/>
      <c r="VNQ51" s="344"/>
      <c r="VNR51" s="344"/>
      <c r="VNS51" s="344"/>
      <c r="VNT51" s="344"/>
      <c r="VNU51" s="344"/>
      <c r="VNV51" s="344"/>
      <c r="VNW51" s="344"/>
      <c r="VNX51" s="344"/>
      <c r="VNY51" s="344"/>
      <c r="VNZ51" s="344"/>
      <c r="VOA51" s="344"/>
      <c r="VOB51" s="344"/>
      <c r="VOC51" s="344"/>
      <c r="VOD51" s="344"/>
      <c r="VOE51" s="344"/>
      <c r="VOF51" s="344"/>
      <c r="VOG51" s="344"/>
      <c r="VOH51" s="344"/>
      <c r="VOI51" s="344"/>
      <c r="VOJ51" s="344"/>
      <c r="VOK51" s="344"/>
      <c r="VOL51" s="344"/>
      <c r="VOM51" s="344"/>
      <c r="VON51" s="344"/>
      <c r="VOO51" s="344"/>
      <c r="VOP51" s="344"/>
      <c r="VOQ51" s="344"/>
      <c r="VOR51" s="344"/>
      <c r="VOS51" s="344"/>
      <c r="VOT51" s="344"/>
      <c r="VOU51" s="344"/>
      <c r="VOV51" s="344"/>
      <c r="VOW51" s="344"/>
      <c r="VOX51" s="344"/>
      <c r="VOY51" s="344"/>
      <c r="VOZ51" s="344"/>
      <c r="VPA51" s="344"/>
      <c r="VPB51" s="344"/>
      <c r="VPC51" s="344"/>
      <c r="VPD51" s="344"/>
      <c r="VPE51" s="344"/>
      <c r="VPF51" s="344"/>
      <c r="VPG51" s="344"/>
      <c r="VPH51" s="344"/>
      <c r="VPI51" s="344"/>
      <c r="VPJ51" s="344"/>
      <c r="VPK51" s="344"/>
      <c r="VPL51" s="344"/>
      <c r="VPM51" s="344"/>
      <c r="VPN51" s="344"/>
      <c r="VPO51" s="344"/>
      <c r="VPP51" s="344"/>
      <c r="VPQ51" s="344"/>
      <c r="VPR51" s="344"/>
      <c r="VPS51" s="344"/>
      <c r="VPT51" s="344"/>
      <c r="VPU51" s="344"/>
      <c r="VPV51" s="344"/>
      <c r="VPW51" s="344"/>
      <c r="VPX51" s="344"/>
      <c r="VPY51" s="344"/>
      <c r="VPZ51" s="344"/>
      <c r="VQA51" s="344"/>
      <c r="VQB51" s="344"/>
      <c r="VQC51" s="344"/>
      <c r="VQD51" s="344"/>
      <c r="VQE51" s="344"/>
      <c r="VQF51" s="344"/>
      <c r="VQG51" s="344"/>
      <c r="VQH51" s="344"/>
      <c r="VQI51" s="344"/>
      <c r="VQJ51" s="344"/>
      <c r="VQK51" s="344"/>
      <c r="VQL51" s="344"/>
      <c r="VQM51" s="344"/>
      <c r="VQN51" s="344"/>
      <c r="VQO51" s="344"/>
      <c r="VQP51" s="344"/>
      <c r="VQQ51" s="344"/>
      <c r="VQR51" s="344"/>
      <c r="VQS51" s="344"/>
      <c r="VQT51" s="344"/>
      <c r="VQU51" s="344"/>
      <c r="VQV51" s="344"/>
      <c r="VQW51" s="344"/>
      <c r="VQX51" s="344"/>
      <c r="VQY51" s="344"/>
      <c r="VQZ51" s="344"/>
      <c r="VRA51" s="344"/>
      <c r="VRB51" s="344"/>
      <c r="VRC51" s="344"/>
      <c r="VRD51" s="344"/>
      <c r="VRE51" s="344"/>
      <c r="VRF51" s="344"/>
      <c r="VRG51" s="344"/>
      <c r="VRH51" s="344"/>
      <c r="VRI51" s="344"/>
      <c r="VRJ51" s="344"/>
      <c r="VRK51" s="344"/>
      <c r="VRL51" s="344"/>
      <c r="VRM51" s="344"/>
      <c r="VRN51" s="344"/>
      <c r="VRO51" s="344"/>
      <c r="VRP51" s="344"/>
      <c r="VRQ51" s="344"/>
      <c r="VRR51" s="344"/>
      <c r="VRS51" s="344"/>
      <c r="VRT51" s="344"/>
      <c r="VRU51" s="344"/>
      <c r="VRV51" s="344"/>
      <c r="VRW51" s="344"/>
      <c r="VRX51" s="344"/>
      <c r="VRY51" s="344"/>
      <c r="VRZ51" s="344"/>
      <c r="VSA51" s="344"/>
      <c r="VSB51" s="344"/>
      <c r="VSC51" s="344"/>
      <c r="VSD51" s="344"/>
      <c r="VSE51" s="344"/>
      <c r="VSF51" s="344"/>
      <c r="VSG51" s="344"/>
      <c r="VSH51" s="344"/>
      <c r="VSI51" s="344"/>
      <c r="VSJ51" s="344"/>
      <c r="VSK51" s="344"/>
      <c r="VSL51" s="344"/>
      <c r="VSM51" s="344"/>
      <c r="VSN51" s="344"/>
      <c r="VSO51" s="344"/>
      <c r="VSP51" s="344"/>
      <c r="VSQ51" s="344"/>
      <c r="VSR51" s="344"/>
      <c r="VSS51" s="344"/>
      <c r="VST51" s="344"/>
      <c r="VSU51" s="344"/>
      <c r="VSV51" s="344"/>
      <c r="VSW51" s="344"/>
      <c r="VSX51" s="344"/>
      <c r="VSY51" s="344"/>
      <c r="VSZ51" s="344"/>
      <c r="VTA51" s="344"/>
      <c r="VTB51" s="344"/>
      <c r="VTC51" s="344"/>
      <c r="VTD51" s="344"/>
      <c r="VTE51" s="344"/>
      <c r="VTF51" s="344"/>
      <c r="VTG51" s="344"/>
      <c r="VTH51" s="344"/>
      <c r="VTI51" s="344"/>
      <c r="VTJ51" s="344"/>
      <c r="VTK51" s="344"/>
      <c r="VTL51" s="344"/>
      <c r="VTM51" s="344"/>
      <c r="VTN51" s="344"/>
      <c r="VTO51" s="344"/>
      <c r="VTP51" s="344"/>
      <c r="VTQ51" s="344"/>
      <c r="VTR51" s="344"/>
      <c r="VTS51" s="344"/>
      <c r="VTT51" s="344"/>
      <c r="VTU51" s="344"/>
      <c r="VTV51" s="344"/>
      <c r="VTW51" s="344"/>
      <c r="VTX51" s="344"/>
      <c r="VTY51" s="344"/>
      <c r="VTZ51" s="344"/>
      <c r="VUA51" s="344"/>
      <c r="VUB51" s="344"/>
      <c r="VUC51" s="344"/>
      <c r="VUD51" s="344"/>
      <c r="VUE51" s="344"/>
      <c r="VUF51" s="344"/>
      <c r="VUG51" s="344"/>
      <c r="VUH51" s="344"/>
      <c r="VUI51" s="344"/>
      <c r="VUJ51" s="344"/>
      <c r="VUK51" s="344"/>
      <c r="VUL51" s="344"/>
      <c r="VUM51" s="344"/>
      <c r="VUN51" s="344"/>
      <c r="VUO51" s="344"/>
      <c r="VUP51" s="344"/>
      <c r="VUQ51" s="344"/>
      <c r="VUR51" s="344"/>
      <c r="VUS51" s="344"/>
      <c r="VUT51" s="344"/>
      <c r="VUU51" s="344"/>
      <c r="VUV51" s="344"/>
      <c r="VUW51" s="344"/>
      <c r="VUX51" s="344"/>
      <c r="VUY51" s="344"/>
      <c r="VUZ51" s="344"/>
      <c r="VVA51" s="344"/>
      <c r="VVB51" s="344"/>
      <c r="VVC51" s="344"/>
      <c r="VVD51" s="344"/>
      <c r="VVE51" s="344"/>
      <c r="VVF51" s="344"/>
      <c r="VVG51" s="344"/>
      <c r="VVH51" s="344"/>
      <c r="VVI51" s="344"/>
      <c r="VVJ51" s="344"/>
      <c r="VVK51" s="344"/>
      <c r="VVL51" s="344"/>
      <c r="VVM51" s="344"/>
      <c r="VVN51" s="344"/>
      <c r="VVO51" s="344"/>
      <c r="VVP51" s="344"/>
      <c r="VVQ51" s="344"/>
      <c r="VVR51" s="344"/>
      <c r="VVS51" s="344"/>
      <c r="VVT51" s="344"/>
      <c r="VVU51" s="344"/>
      <c r="VVV51" s="344"/>
      <c r="VVW51" s="344"/>
      <c r="VVX51" s="344"/>
      <c r="VVY51" s="344"/>
      <c r="VVZ51" s="344"/>
      <c r="VWA51" s="344"/>
      <c r="VWB51" s="344"/>
      <c r="VWC51" s="344"/>
      <c r="VWD51" s="344"/>
      <c r="VWE51" s="344"/>
      <c r="VWF51" s="344"/>
      <c r="VWG51" s="344"/>
      <c r="VWH51" s="344"/>
      <c r="VWI51" s="344"/>
      <c r="VWJ51" s="344"/>
      <c r="VWK51" s="344"/>
      <c r="VWL51" s="344"/>
      <c r="VWM51" s="344"/>
      <c r="VWN51" s="344"/>
      <c r="VWO51" s="344"/>
      <c r="VWP51" s="344"/>
      <c r="VWQ51" s="344"/>
      <c r="VWR51" s="344"/>
      <c r="VWS51" s="344"/>
      <c r="VWT51" s="344"/>
      <c r="VWU51" s="344"/>
      <c r="VWV51" s="344"/>
      <c r="VWW51" s="344"/>
      <c r="VWX51" s="344"/>
      <c r="VWY51" s="344"/>
      <c r="VWZ51" s="344"/>
      <c r="VXA51" s="344"/>
      <c r="VXB51" s="344"/>
      <c r="VXC51" s="344"/>
      <c r="VXD51" s="344"/>
      <c r="VXE51" s="344"/>
      <c r="VXF51" s="344"/>
      <c r="VXG51" s="344"/>
      <c r="VXH51" s="344"/>
      <c r="VXI51" s="344"/>
      <c r="VXJ51" s="344"/>
      <c r="VXK51" s="344"/>
      <c r="VXL51" s="344"/>
      <c r="VXM51" s="344"/>
      <c r="VXN51" s="344"/>
      <c r="VXO51" s="344"/>
      <c r="VXP51" s="344"/>
      <c r="VXQ51" s="344"/>
      <c r="VXR51" s="344"/>
      <c r="VXS51" s="344"/>
      <c r="VXT51" s="344"/>
      <c r="VXU51" s="344"/>
      <c r="VXV51" s="344"/>
      <c r="VXW51" s="344"/>
      <c r="VXX51" s="344"/>
      <c r="VXY51" s="344"/>
      <c r="VXZ51" s="344"/>
      <c r="VYA51" s="344"/>
      <c r="VYB51" s="344"/>
      <c r="VYC51" s="344"/>
      <c r="VYD51" s="344"/>
      <c r="VYE51" s="344"/>
      <c r="VYF51" s="344"/>
      <c r="VYG51" s="344"/>
      <c r="VYH51" s="344"/>
      <c r="VYI51" s="344"/>
      <c r="VYJ51" s="344"/>
      <c r="VYK51" s="344"/>
      <c r="VYL51" s="344"/>
      <c r="VYM51" s="344"/>
      <c r="VYN51" s="344"/>
      <c r="VYO51" s="344"/>
      <c r="VYP51" s="344"/>
      <c r="VYQ51" s="344"/>
      <c r="VYR51" s="344"/>
      <c r="VYS51" s="344"/>
      <c r="VYT51" s="344"/>
      <c r="VYU51" s="344"/>
      <c r="VYV51" s="344"/>
      <c r="VYW51" s="344"/>
      <c r="VYX51" s="344"/>
      <c r="VYY51" s="344"/>
      <c r="VYZ51" s="344"/>
      <c r="VZA51" s="344"/>
      <c r="VZB51" s="344"/>
      <c r="VZC51" s="344"/>
      <c r="VZD51" s="344"/>
      <c r="VZE51" s="344"/>
      <c r="VZF51" s="344"/>
      <c r="VZG51" s="344"/>
      <c r="VZH51" s="344"/>
      <c r="VZI51" s="344"/>
      <c r="VZJ51" s="344"/>
      <c r="VZK51" s="344"/>
      <c r="VZL51" s="344"/>
      <c r="VZM51" s="344"/>
      <c r="VZN51" s="344"/>
      <c r="VZO51" s="344"/>
      <c r="VZP51" s="344"/>
      <c r="VZQ51" s="344"/>
      <c r="VZR51" s="344"/>
      <c r="VZS51" s="344"/>
      <c r="VZT51" s="344"/>
      <c r="VZU51" s="344"/>
      <c r="VZV51" s="344"/>
      <c r="VZW51" s="344"/>
      <c r="VZX51" s="344"/>
      <c r="VZY51" s="344"/>
      <c r="VZZ51" s="344"/>
      <c r="WAA51" s="344"/>
      <c r="WAB51" s="344"/>
      <c r="WAC51" s="344"/>
      <c r="WAD51" s="344"/>
      <c r="WAE51" s="344"/>
      <c r="WAF51" s="344"/>
      <c r="WAG51" s="344"/>
      <c r="WAH51" s="344"/>
      <c r="WAI51" s="344"/>
      <c r="WAJ51" s="344"/>
      <c r="WAK51" s="344"/>
      <c r="WAL51" s="344"/>
      <c r="WAM51" s="344"/>
      <c r="WAN51" s="344"/>
      <c r="WAO51" s="344"/>
      <c r="WAP51" s="344"/>
      <c r="WAQ51" s="344"/>
      <c r="WAR51" s="344"/>
      <c r="WAS51" s="344"/>
      <c r="WAT51" s="344"/>
      <c r="WAU51" s="344"/>
      <c r="WAV51" s="344"/>
      <c r="WAW51" s="344"/>
      <c r="WAX51" s="344"/>
      <c r="WAY51" s="344"/>
      <c r="WAZ51" s="344"/>
      <c r="WBA51" s="344"/>
      <c r="WBB51" s="344"/>
      <c r="WBC51" s="344"/>
      <c r="WBD51" s="344"/>
      <c r="WBE51" s="344"/>
      <c r="WBF51" s="344"/>
      <c r="WBG51" s="344"/>
      <c r="WBH51" s="344"/>
      <c r="WBI51" s="344"/>
      <c r="WBJ51" s="344"/>
      <c r="WBK51" s="344"/>
      <c r="WBL51" s="344"/>
      <c r="WBM51" s="344"/>
      <c r="WBN51" s="344"/>
      <c r="WBO51" s="344"/>
      <c r="WBP51" s="344"/>
      <c r="WBQ51" s="344"/>
      <c r="WBR51" s="344"/>
      <c r="WBS51" s="344"/>
      <c r="WBT51" s="344"/>
      <c r="WBU51" s="344"/>
      <c r="WBV51" s="344"/>
      <c r="WBW51" s="344"/>
      <c r="WBX51" s="344"/>
      <c r="WBY51" s="344"/>
      <c r="WBZ51" s="344"/>
      <c r="WCA51" s="344"/>
      <c r="WCB51" s="344"/>
      <c r="WCC51" s="344"/>
      <c r="WCD51" s="344"/>
      <c r="WCE51" s="344"/>
      <c r="WCF51" s="344"/>
      <c r="WCG51" s="344"/>
      <c r="WCH51" s="344"/>
      <c r="WCI51" s="344"/>
      <c r="WCJ51" s="344"/>
      <c r="WCK51" s="344"/>
      <c r="WCL51" s="344"/>
      <c r="WCM51" s="344"/>
      <c r="WCN51" s="344"/>
      <c r="WCO51" s="344"/>
      <c r="WCP51" s="344"/>
      <c r="WCQ51" s="344"/>
      <c r="WCR51" s="344"/>
      <c r="WCS51" s="344"/>
      <c r="WCT51" s="344"/>
      <c r="WCU51" s="344"/>
      <c r="WCV51" s="344"/>
      <c r="WCW51" s="344"/>
      <c r="WCX51" s="344"/>
      <c r="WCY51" s="344"/>
      <c r="WCZ51" s="344"/>
      <c r="WDA51" s="344"/>
      <c r="WDB51" s="344"/>
      <c r="WDC51" s="344"/>
      <c r="WDD51" s="344"/>
      <c r="WDE51" s="344"/>
      <c r="WDF51" s="344"/>
      <c r="WDG51" s="344"/>
      <c r="WDH51" s="344"/>
      <c r="WDI51" s="344"/>
      <c r="WDJ51" s="344"/>
      <c r="WDK51" s="344"/>
      <c r="WDL51" s="344"/>
      <c r="WDM51" s="344"/>
      <c r="WDN51" s="344"/>
      <c r="WDO51" s="344"/>
      <c r="WDP51" s="344"/>
      <c r="WDQ51" s="344"/>
      <c r="WDR51" s="344"/>
      <c r="WDS51" s="344"/>
      <c r="WDT51" s="344"/>
      <c r="WDU51" s="344"/>
      <c r="WDV51" s="344"/>
      <c r="WDW51" s="344"/>
      <c r="WDX51" s="344"/>
      <c r="WDY51" s="344"/>
      <c r="WDZ51" s="344"/>
      <c r="WEA51" s="344"/>
      <c r="WEB51" s="344"/>
      <c r="WEC51" s="344"/>
      <c r="WED51" s="344"/>
      <c r="WEE51" s="344"/>
      <c r="WEF51" s="344"/>
      <c r="WEG51" s="344"/>
      <c r="WEH51" s="344"/>
      <c r="WEI51" s="344"/>
      <c r="WEJ51" s="344"/>
      <c r="WEK51" s="344"/>
      <c r="WEL51" s="344"/>
      <c r="WEM51" s="344"/>
      <c r="WEN51" s="344"/>
      <c r="WEO51" s="344"/>
      <c r="WEP51" s="344"/>
      <c r="WEQ51" s="344"/>
      <c r="WER51" s="344"/>
      <c r="WES51" s="344"/>
      <c r="WET51" s="344"/>
      <c r="WEU51" s="344"/>
      <c r="WEV51" s="344"/>
      <c r="WEW51" s="344"/>
      <c r="WEX51" s="344"/>
      <c r="WEY51" s="344"/>
      <c r="WEZ51" s="344"/>
      <c r="WFA51" s="344"/>
      <c r="WFB51" s="344"/>
      <c r="WFC51" s="344"/>
      <c r="WFD51" s="344"/>
      <c r="WFE51" s="344"/>
      <c r="WFF51" s="344"/>
      <c r="WFG51" s="344"/>
      <c r="WFH51" s="344"/>
      <c r="WFI51" s="344"/>
      <c r="WFJ51" s="344"/>
      <c r="WFK51" s="344"/>
      <c r="WFL51" s="344"/>
      <c r="WFM51" s="344"/>
      <c r="WFN51" s="344"/>
      <c r="WFO51" s="344"/>
      <c r="WFP51" s="344"/>
      <c r="WFQ51" s="344"/>
      <c r="WFR51" s="344"/>
      <c r="WFS51" s="344"/>
      <c r="WFT51" s="344"/>
      <c r="WFU51" s="344"/>
      <c r="WFV51" s="344"/>
      <c r="WFW51" s="344"/>
      <c r="WFX51" s="344"/>
      <c r="WFY51" s="344"/>
      <c r="WFZ51" s="344"/>
      <c r="WGA51" s="344"/>
      <c r="WGB51" s="344"/>
      <c r="WGC51" s="344"/>
      <c r="WGD51" s="344"/>
      <c r="WGE51" s="344"/>
      <c r="WGF51" s="344"/>
      <c r="WGG51" s="344"/>
      <c r="WGH51" s="344"/>
      <c r="WGI51" s="344"/>
      <c r="WGJ51" s="344"/>
      <c r="WGK51" s="344"/>
      <c r="WGL51" s="344"/>
      <c r="WGM51" s="344"/>
      <c r="WGN51" s="344"/>
      <c r="WGO51" s="344"/>
      <c r="WGP51" s="344"/>
      <c r="WGQ51" s="344"/>
      <c r="WGR51" s="344"/>
      <c r="WGS51" s="344"/>
      <c r="WGT51" s="344"/>
      <c r="WGU51" s="344"/>
      <c r="WGV51" s="344"/>
      <c r="WGW51" s="344"/>
      <c r="WGX51" s="344"/>
      <c r="WGY51" s="344"/>
      <c r="WGZ51" s="344"/>
      <c r="WHA51" s="344"/>
      <c r="WHB51" s="344"/>
      <c r="WHC51" s="344"/>
      <c r="WHD51" s="344"/>
      <c r="WHE51" s="344"/>
      <c r="WHF51" s="344"/>
      <c r="WHG51" s="344"/>
      <c r="WHH51" s="344"/>
      <c r="WHI51" s="344"/>
      <c r="WHJ51" s="344"/>
      <c r="WHK51" s="344"/>
      <c r="WHL51" s="344"/>
      <c r="WHM51" s="344"/>
      <c r="WHN51" s="344"/>
      <c r="WHO51" s="344"/>
      <c r="WHP51" s="344"/>
      <c r="WHQ51" s="344"/>
      <c r="WHR51" s="344"/>
      <c r="WHS51" s="344"/>
      <c r="WHT51" s="344"/>
      <c r="WHU51" s="344"/>
      <c r="WHV51" s="344"/>
      <c r="WHW51" s="344"/>
      <c r="WHX51" s="344"/>
      <c r="WHY51" s="344"/>
      <c r="WHZ51" s="344"/>
      <c r="WIA51" s="344"/>
      <c r="WIB51" s="344"/>
      <c r="WIC51" s="344"/>
      <c r="WID51" s="344"/>
      <c r="WIE51" s="344"/>
      <c r="WIF51" s="344"/>
      <c r="WIG51" s="344"/>
      <c r="WIH51" s="344"/>
      <c r="WII51" s="344"/>
      <c r="WIJ51" s="344"/>
      <c r="WIK51" s="344"/>
      <c r="WIL51" s="344"/>
      <c r="WIM51" s="344"/>
      <c r="WIN51" s="344"/>
      <c r="WIO51" s="344"/>
      <c r="WIP51" s="344"/>
      <c r="WIQ51" s="344"/>
      <c r="WIR51" s="344"/>
      <c r="WIS51" s="344"/>
      <c r="WIT51" s="344"/>
      <c r="WIU51" s="344"/>
      <c r="WIV51" s="344"/>
      <c r="WIW51" s="344"/>
      <c r="WIX51" s="344"/>
      <c r="WIY51" s="344"/>
      <c r="WIZ51" s="344"/>
      <c r="WJA51" s="344"/>
      <c r="WJB51" s="344"/>
      <c r="WJC51" s="344"/>
      <c r="WJD51" s="344"/>
      <c r="WJE51" s="344"/>
      <c r="WJF51" s="344"/>
      <c r="WJG51" s="344"/>
      <c r="WJH51" s="344"/>
      <c r="WJI51" s="344"/>
      <c r="WJJ51" s="344"/>
      <c r="WJK51" s="344"/>
      <c r="WJL51" s="344"/>
      <c r="WJM51" s="344"/>
      <c r="WJN51" s="344"/>
      <c r="WJO51" s="344"/>
      <c r="WJP51" s="344"/>
      <c r="WJQ51" s="344"/>
      <c r="WJR51" s="344"/>
      <c r="WJS51" s="344"/>
      <c r="WJT51" s="344"/>
      <c r="WJU51" s="344"/>
      <c r="WJV51" s="344"/>
      <c r="WJW51" s="344"/>
      <c r="WJX51" s="344"/>
      <c r="WJY51" s="344"/>
      <c r="WJZ51" s="344"/>
      <c r="WKA51" s="344"/>
      <c r="WKB51" s="344"/>
      <c r="WKC51" s="344"/>
      <c r="WKD51" s="344"/>
      <c r="WKE51" s="344"/>
      <c r="WKF51" s="344"/>
      <c r="WKG51" s="344"/>
      <c r="WKH51" s="344"/>
      <c r="WKI51" s="344"/>
      <c r="WKJ51" s="344"/>
      <c r="WKK51" s="344"/>
      <c r="WKL51" s="344"/>
      <c r="WKM51" s="344"/>
      <c r="WKN51" s="344"/>
      <c r="WKO51" s="344"/>
      <c r="WKP51" s="344"/>
      <c r="WKQ51" s="344"/>
      <c r="WKR51" s="344"/>
      <c r="WKS51" s="344"/>
      <c r="WKT51" s="344"/>
      <c r="WKU51" s="344"/>
      <c r="WKV51" s="344"/>
      <c r="WKW51" s="344"/>
      <c r="WKX51" s="344"/>
      <c r="WKY51" s="344"/>
      <c r="WKZ51" s="344"/>
      <c r="WLA51" s="344"/>
      <c r="WLB51" s="344"/>
      <c r="WLC51" s="344"/>
      <c r="WLD51" s="344"/>
      <c r="WLE51" s="344"/>
      <c r="WLF51" s="344"/>
      <c r="WLG51" s="344"/>
      <c r="WLH51" s="344"/>
      <c r="WLI51" s="344"/>
      <c r="WLJ51" s="344"/>
      <c r="WLK51" s="344"/>
      <c r="WLL51" s="344"/>
      <c r="WLM51" s="344"/>
      <c r="WLN51" s="344"/>
      <c r="WLO51" s="344"/>
      <c r="WLP51" s="344"/>
      <c r="WLQ51" s="344"/>
      <c r="WLR51" s="344"/>
      <c r="WLS51" s="344"/>
      <c r="WLT51" s="344"/>
      <c r="WLU51" s="344"/>
      <c r="WLV51" s="344"/>
      <c r="WLW51" s="344"/>
      <c r="WLX51" s="344"/>
      <c r="WLY51" s="344"/>
      <c r="WLZ51" s="344"/>
      <c r="WMA51" s="344"/>
      <c r="WMB51" s="344"/>
      <c r="WMC51" s="344"/>
      <c r="WMD51" s="344"/>
      <c r="WME51" s="344"/>
      <c r="WMF51" s="344"/>
      <c r="WMG51" s="344"/>
      <c r="WMH51" s="344"/>
      <c r="WMI51" s="344"/>
      <c r="WMJ51" s="344"/>
      <c r="WMK51" s="344"/>
      <c r="WML51" s="344"/>
      <c r="WMM51" s="344"/>
      <c r="WMN51" s="344"/>
      <c r="WMO51" s="344"/>
      <c r="WMP51" s="344"/>
      <c r="WMQ51" s="344"/>
      <c r="WMR51" s="344"/>
      <c r="WMS51" s="344"/>
      <c r="WMT51" s="344"/>
      <c r="WMU51" s="344"/>
      <c r="WMV51" s="344"/>
      <c r="WMW51" s="344"/>
      <c r="WMX51" s="344"/>
      <c r="WMY51" s="344"/>
      <c r="WMZ51" s="344"/>
      <c r="WNA51" s="344"/>
      <c r="WNB51" s="344"/>
      <c r="WNC51" s="344"/>
      <c r="WND51" s="344"/>
      <c r="WNE51" s="344"/>
      <c r="WNF51" s="344"/>
      <c r="WNG51" s="344"/>
      <c r="WNH51" s="344"/>
      <c r="WNI51" s="344"/>
      <c r="WNJ51" s="344"/>
      <c r="WNK51" s="344"/>
      <c r="WNL51" s="344"/>
      <c r="WNM51" s="344"/>
      <c r="WNN51" s="344"/>
      <c r="WNO51" s="344"/>
      <c r="WNP51" s="344"/>
      <c r="WNQ51" s="344"/>
      <c r="WNR51" s="344"/>
      <c r="WNS51" s="344"/>
      <c r="WNT51" s="344"/>
      <c r="WNU51" s="344"/>
      <c r="WNV51" s="344"/>
      <c r="WNW51" s="344"/>
      <c r="WNX51" s="344"/>
      <c r="WNY51" s="344"/>
      <c r="WNZ51" s="344"/>
      <c r="WOA51" s="344"/>
      <c r="WOB51" s="344"/>
      <c r="WOC51" s="344"/>
      <c r="WOD51" s="344"/>
      <c r="WOE51" s="344"/>
      <c r="WOF51" s="344"/>
      <c r="WOG51" s="344"/>
      <c r="WOH51" s="344"/>
      <c r="WOI51" s="344"/>
      <c r="WOJ51" s="344"/>
      <c r="WOK51" s="344"/>
      <c r="WOL51" s="344"/>
      <c r="WOM51" s="344"/>
      <c r="WON51" s="344"/>
      <c r="WOO51" s="344"/>
      <c r="WOP51" s="344"/>
      <c r="WOQ51" s="344"/>
      <c r="WOR51" s="344"/>
      <c r="WOS51" s="344"/>
      <c r="WOT51" s="344"/>
      <c r="WOU51" s="344"/>
      <c r="WOV51" s="344"/>
      <c r="WOW51" s="344"/>
      <c r="WOX51" s="344"/>
      <c r="WOY51" s="344"/>
      <c r="WOZ51" s="344"/>
      <c r="WPA51" s="344"/>
      <c r="WPB51" s="344"/>
      <c r="WPC51" s="344"/>
      <c r="WPD51" s="344"/>
      <c r="WPE51" s="344"/>
      <c r="WPF51" s="344"/>
      <c r="WPG51" s="344"/>
      <c r="WPH51" s="344"/>
      <c r="WPI51" s="344"/>
      <c r="WPJ51" s="344"/>
      <c r="WPK51" s="344"/>
      <c r="WPL51" s="344"/>
      <c r="WPM51" s="344"/>
      <c r="WPN51" s="344"/>
      <c r="WPO51" s="344"/>
      <c r="WPP51" s="344"/>
      <c r="WPQ51" s="344"/>
      <c r="WPR51" s="344"/>
      <c r="WPS51" s="344"/>
      <c r="WPT51" s="344"/>
      <c r="WPU51" s="344"/>
      <c r="WPV51" s="344"/>
      <c r="WPW51" s="344"/>
      <c r="WPX51" s="344"/>
      <c r="WPY51" s="344"/>
      <c r="WPZ51" s="344"/>
      <c r="WQA51" s="344"/>
      <c r="WQB51" s="344"/>
      <c r="WQC51" s="344"/>
      <c r="WQD51" s="344"/>
      <c r="WQE51" s="344"/>
      <c r="WQF51" s="344"/>
      <c r="WQG51" s="344"/>
      <c r="WQH51" s="344"/>
      <c r="WQI51" s="344"/>
      <c r="WQJ51" s="344"/>
      <c r="WQK51" s="344"/>
      <c r="WQL51" s="344"/>
      <c r="WQM51" s="344"/>
      <c r="WQN51" s="344"/>
      <c r="WQO51" s="344"/>
      <c r="WQP51" s="344"/>
      <c r="WQQ51" s="344"/>
      <c r="WQR51" s="344"/>
      <c r="WQS51" s="344"/>
      <c r="WQT51" s="344"/>
      <c r="WQU51" s="344"/>
      <c r="WQV51" s="344"/>
      <c r="WQW51" s="344"/>
      <c r="WQX51" s="344"/>
      <c r="WQY51" s="344"/>
      <c r="WQZ51" s="344"/>
      <c r="WRA51" s="344"/>
      <c r="WRB51" s="344"/>
      <c r="WRC51" s="344"/>
      <c r="WRD51" s="344"/>
      <c r="WRE51" s="344"/>
      <c r="WRF51" s="344"/>
      <c r="WRG51" s="344"/>
      <c r="WRH51" s="344"/>
      <c r="WRI51" s="344"/>
      <c r="WRJ51" s="344"/>
      <c r="WRK51" s="344"/>
      <c r="WRL51" s="344"/>
      <c r="WRM51" s="344"/>
      <c r="WRN51" s="344"/>
      <c r="WRO51" s="344"/>
      <c r="WRP51" s="344"/>
      <c r="WRQ51" s="344"/>
      <c r="WRR51" s="344"/>
      <c r="WRS51" s="344"/>
      <c r="WRT51" s="344"/>
      <c r="WRU51" s="344"/>
      <c r="WRV51" s="344"/>
      <c r="WRW51" s="344"/>
      <c r="WRX51" s="344"/>
      <c r="WRY51" s="344"/>
      <c r="WRZ51" s="344"/>
      <c r="WSA51" s="344"/>
      <c r="WSB51" s="344"/>
      <c r="WSC51" s="344"/>
      <c r="WSD51" s="344"/>
      <c r="WSE51" s="344"/>
      <c r="WSF51" s="344"/>
      <c r="WSG51" s="344"/>
      <c r="WSH51" s="344"/>
      <c r="WSI51" s="344"/>
      <c r="WSJ51" s="344"/>
      <c r="WSK51" s="344"/>
      <c r="WSL51" s="344"/>
      <c r="WSM51" s="344"/>
      <c r="WSN51" s="344"/>
      <c r="WSO51" s="344"/>
      <c r="WSP51" s="344"/>
      <c r="WSQ51" s="344"/>
      <c r="WSR51" s="344"/>
      <c r="WSS51" s="344"/>
      <c r="WST51" s="344"/>
      <c r="WSU51" s="344"/>
      <c r="WSV51" s="344"/>
      <c r="WSW51" s="344"/>
      <c r="WSX51" s="344"/>
      <c r="WSY51" s="344"/>
      <c r="WSZ51" s="344"/>
      <c r="WTA51" s="344"/>
      <c r="WTB51" s="344"/>
      <c r="WTC51" s="344"/>
      <c r="WTD51" s="344"/>
      <c r="WTE51" s="344"/>
      <c r="WTF51" s="344"/>
      <c r="WTG51" s="344"/>
      <c r="WTH51" s="344"/>
      <c r="WTI51" s="344"/>
      <c r="WTJ51" s="344"/>
      <c r="WTK51" s="344"/>
      <c r="WTL51" s="344"/>
      <c r="WTM51" s="344"/>
      <c r="WTN51" s="344"/>
      <c r="WTO51" s="344"/>
      <c r="WTP51" s="344"/>
      <c r="WTQ51" s="344"/>
      <c r="WTR51" s="344"/>
      <c r="WTS51" s="344"/>
      <c r="WTT51" s="344"/>
      <c r="WTU51" s="344"/>
      <c r="WTV51" s="344"/>
      <c r="WTW51" s="344"/>
      <c r="WTX51" s="344"/>
      <c r="WTY51" s="344"/>
      <c r="WTZ51" s="344"/>
      <c r="WUA51" s="344"/>
      <c r="WUB51" s="344"/>
      <c r="WUC51" s="344"/>
      <c r="WUD51" s="344"/>
      <c r="WUE51" s="344"/>
      <c r="WUF51" s="344"/>
      <c r="WUG51" s="344"/>
      <c r="WUH51" s="344"/>
      <c r="WUI51" s="344"/>
      <c r="WUJ51" s="344"/>
      <c r="WUK51" s="344"/>
      <c r="WUL51" s="344"/>
      <c r="WUM51" s="344"/>
      <c r="WUN51" s="344"/>
      <c r="WUO51" s="344"/>
      <c r="WUP51" s="344"/>
      <c r="WUQ51" s="344"/>
      <c r="WUR51" s="344"/>
      <c r="WUS51" s="344"/>
      <c r="WUT51" s="344"/>
      <c r="WUU51" s="344"/>
      <c r="WUV51" s="344"/>
      <c r="WUW51" s="344"/>
      <c r="WUX51" s="344"/>
      <c r="WUY51" s="344"/>
      <c r="WUZ51" s="344"/>
      <c r="WVA51" s="344"/>
      <c r="WVB51" s="344"/>
      <c r="WVC51" s="344"/>
      <c r="WVD51" s="344"/>
      <c r="WVE51" s="344"/>
      <c r="WVF51" s="344"/>
      <c r="WVG51" s="344"/>
      <c r="WVH51" s="344"/>
      <c r="WVI51" s="344"/>
      <c r="WVJ51" s="344"/>
      <c r="WVK51" s="344"/>
      <c r="WVL51" s="344"/>
      <c r="WVM51" s="344"/>
      <c r="WVN51" s="344"/>
      <c r="WVO51" s="344"/>
      <c r="WVP51" s="344"/>
      <c r="WVQ51" s="344"/>
      <c r="WVR51" s="344"/>
      <c r="WVS51" s="344"/>
      <c r="WVT51" s="344"/>
      <c r="WVU51" s="344"/>
      <c r="WVV51" s="344"/>
      <c r="WVW51" s="344"/>
      <c r="WVX51" s="344"/>
      <c r="WVY51" s="344"/>
      <c r="WVZ51" s="344"/>
      <c r="WWA51" s="344"/>
      <c r="WWB51" s="344"/>
      <c r="WWC51" s="344"/>
      <c r="WWD51" s="344"/>
      <c r="WWE51" s="344"/>
      <c r="WWF51" s="344"/>
      <c r="WWG51" s="344"/>
      <c r="WWH51" s="344"/>
      <c r="WWI51" s="344"/>
      <c r="WWJ51" s="344"/>
      <c r="WWK51" s="344"/>
      <c r="WWL51" s="344"/>
      <c r="WWM51" s="344"/>
      <c r="WWN51" s="344"/>
      <c r="WWO51" s="344"/>
      <c r="WWP51" s="344"/>
      <c r="WWQ51" s="344"/>
      <c r="WWR51" s="344"/>
      <c r="WWS51" s="344"/>
      <c r="WWT51" s="344"/>
      <c r="WWU51" s="344"/>
      <c r="WWV51" s="344"/>
      <c r="WWW51" s="344"/>
      <c r="WWX51" s="344"/>
      <c r="WWY51" s="344"/>
      <c r="WWZ51" s="344"/>
      <c r="WXA51" s="344"/>
      <c r="WXB51" s="344"/>
      <c r="WXC51" s="344"/>
      <c r="WXD51" s="344"/>
      <c r="WXE51" s="344"/>
      <c r="WXF51" s="344"/>
      <c r="WXG51" s="344"/>
      <c r="WXH51" s="344"/>
      <c r="WXI51" s="344"/>
      <c r="WXJ51" s="344"/>
      <c r="WXK51" s="344"/>
      <c r="WXL51" s="344"/>
      <c r="WXM51" s="344"/>
      <c r="WXN51" s="344"/>
      <c r="WXO51" s="344"/>
      <c r="WXP51" s="344"/>
      <c r="WXQ51" s="344"/>
      <c r="WXR51" s="344"/>
      <c r="WXS51" s="344"/>
      <c r="WXT51" s="344"/>
      <c r="WXU51" s="344"/>
      <c r="WXV51" s="344"/>
      <c r="WXW51" s="344"/>
      <c r="WXX51" s="344"/>
      <c r="WXY51" s="344"/>
      <c r="WXZ51" s="344"/>
      <c r="WYA51" s="344"/>
      <c r="WYB51" s="344"/>
      <c r="WYC51" s="344"/>
      <c r="WYD51" s="344"/>
      <c r="WYE51" s="344"/>
      <c r="WYF51" s="344"/>
      <c r="WYG51" s="344"/>
      <c r="WYH51" s="344"/>
      <c r="WYI51" s="344"/>
      <c r="WYJ51" s="344"/>
      <c r="WYK51" s="344"/>
      <c r="WYL51" s="344"/>
      <c r="WYM51" s="344"/>
      <c r="WYN51" s="344"/>
      <c r="WYO51" s="344"/>
      <c r="WYP51" s="344"/>
      <c r="WYQ51" s="344"/>
      <c r="WYR51" s="344"/>
      <c r="WYS51" s="344"/>
      <c r="WYT51" s="344"/>
      <c r="WYU51" s="344"/>
      <c r="WYV51" s="344"/>
      <c r="WYW51" s="344"/>
      <c r="WYX51" s="344"/>
      <c r="WYY51" s="344"/>
      <c r="WYZ51" s="344"/>
      <c r="WZA51" s="344"/>
      <c r="WZB51" s="344"/>
      <c r="WZC51" s="344"/>
      <c r="WZD51" s="344"/>
      <c r="WZE51" s="344"/>
      <c r="WZF51" s="344"/>
      <c r="WZG51" s="344"/>
      <c r="WZH51" s="344"/>
      <c r="WZI51" s="344"/>
      <c r="WZJ51" s="344"/>
      <c r="WZK51" s="344"/>
      <c r="WZL51" s="344"/>
      <c r="WZM51" s="344"/>
      <c r="WZN51" s="344"/>
      <c r="WZO51" s="344"/>
      <c r="WZP51" s="344"/>
      <c r="WZQ51" s="344"/>
      <c r="WZR51" s="344"/>
      <c r="WZS51" s="344"/>
      <c r="WZT51" s="344"/>
      <c r="WZU51" s="344"/>
      <c r="WZV51" s="344"/>
      <c r="WZW51" s="344"/>
      <c r="WZX51" s="344"/>
      <c r="WZY51" s="344"/>
      <c r="WZZ51" s="344"/>
      <c r="XAA51" s="344"/>
      <c r="XAB51" s="344"/>
      <c r="XAC51" s="344"/>
      <c r="XAD51" s="344"/>
      <c r="XAE51" s="344"/>
      <c r="XAF51" s="344"/>
      <c r="XAG51" s="344"/>
      <c r="XAH51" s="344"/>
      <c r="XAI51" s="344"/>
      <c r="XAJ51" s="344"/>
      <c r="XAK51" s="344"/>
      <c r="XAL51" s="344"/>
      <c r="XAM51" s="344"/>
      <c r="XAN51" s="344"/>
      <c r="XAO51" s="344"/>
      <c r="XAP51" s="344"/>
      <c r="XAQ51" s="344"/>
      <c r="XAR51" s="344"/>
      <c r="XAS51" s="344"/>
      <c r="XAT51" s="344"/>
      <c r="XAU51" s="344"/>
      <c r="XAV51" s="344"/>
      <c r="XAW51" s="344"/>
      <c r="XAX51" s="344"/>
      <c r="XAY51" s="344"/>
      <c r="XAZ51" s="344"/>
      <c r="XBA51" s="344"/>
      <c r="XBB51" s="344"/>
      <c r="XBC51" s="344"/>
      <c r="XBD51" s="344"/>
      <c r="XBE51" s="344"/>
      <c r="XBF51" s="344"/>
      <c r="XBG51" s="344"/>
      <c r="XBH51" s="344"/>
      <c r="XBI51" s="344"/>
      <c r="XBJ51" s="344"/>
      <c r="XBK51" s="344"/>
      <c r="XBL51" s="344"/>
      <c r="XBM51" s="344"/>
      <c r="XBN51" s="344"/>
      <c r="XBO51" s="344"/>
      <c r="XBP51" s="344"/>
      <c r="XBQ51" s="344"/>
      <c r="XBR51" s="344"/>
      <c r="XBS51" s="344"/>
      <c r="XBT51" s="344"/>
      <c r="XBU51" s="344"/>
      <c r="XBV51" s="344"/>
      <c r="XBW51" s="344"/>
      <c r="XBX51" s="344"/>
      <c r="XBY51" s="344"/>
      <c r="XBZ51" s="344"/>
      <c r="XCA51" s="344"/>
      <c r="XCB51" s="344"/>
      <c r="XCC51" s="344"/>
      <c r="XCD51" s="344"/>
      <c r="XCE51" s="344"/>
      <c r="XCF51" s="344"/>
      <c r="XCG51" s="344"/>
      <c r="XCH51" s="344"/>
      <c r="XCI51" s="344"/>
      <c r="XCJ51" s="344"/>
      <c r="XCK51" s="344"/>
      <c r="XCL51" s="344"/>
      <c r="XCM51" s="344"/>
      <c r="XCN51" s="344"/>
      <c r="XCO51" s="344"/>
      <c r="XCP51" s="344"/>
      <c r="XCQ51" s="344"/>
      <c r="XCR51" s="344"/>
      <c r="XCS51" s="344"/>
      <c r="XCT51" s="344"/>
      <c r="XCU51" s="344"/>
      <c r="XCV51" s="344"/>
      <c r="XCW51" s="344"/>
      <c r="XCX51" s="344"/>
      <c r="XCY51" s="344"/>
      <c r="XCZ51" s="344"/>
      <c r="XDA51" s="344"/>
      <c r="XDB51" s="344"/>
      <c r="XDC51" s="344"/>
      <c r="XDD51" s="344"/>
      <c r="XDE51" s="344"/>
      <c r="XDF51" s="344"/>
      <c r="XDG51" s="344"/>
      <c r="XDH51" s="344"/>
      <c r="XDI51" s="344"/>
      <c r="XDJ51" s="344"/>
      <c r="XDK51" s="344"/>
      <c r="XDL51" s="344"/>
      <c r="XDM51" s="344"/>
      <c r="XDN51" s="344"/>
      <c r="XDO51" s="344"/>
      <c r="XDP51" s="344"/>
      <c r="XDQ51" s="344"/>
      <c r="XDR51" s="344"/>
      <c r="XDS51" s="344"/>
      <c r="XDT51" s="344"/>
      <c r="XDU51" s="344"/>
      <c r="XDV51" s="344"/>
      <c r="XDW51" s="344"/>
      <c r="XDX51" s="344"/>
      <c r="XDY51" s="344"/>
      <c r="XDZ51" s="344"/>
      <c r="XEA51" s="344"/>
      <c r="XEB51" s="344"/>
      <c r="XEC51" s="344"/>
      <c r="XED51" s="344"/>
      <c r="XEE51" s="344"/>
      <c r="XEF51" s="344"/>
      <c r="XEG51" s="344"/>
      <c r="XEH51" s="344"/>
      <c r="XEI51" s="344"/>
      <c r="XEJ51" s="344"/>
      <c r="XEK51" s="344"/>
      <c r="XEL51" s="344"/>
      <c r="XEM51" s="344"/>
      <c r="XEN51" s="344"/>
      <c r="XEO51" s="344"/>
      <c r="XEP51" s="344"/>
      <c r="XEQ51" s="344"/>
      <c r="XER51" s="344"/>
      <c r="XES51" s="344"/>
      <c r="XET51" s="344"/>
      <c r="XEU51" s="344"/>
      <c r="XEV51" s="344"/>
      <c r="XEW51" s="344"/>
      <c r="XEX51" s="344"/>
      <c r="XEY51" s="344"/>
      <c r="XEZ51" s="344"/>
      <c r="XFA51" s="344"/>
    </row>
    <row r="52" s="337" customFormat="1" ht="29.25" customHeight="1" spans="1:1024 1025:16381">
      <c r="B52" s="353"/>
      <c r="C52" s="381"/>
      <c r="D52" s="375" t="s">
        <v>416</v>
      </c>
      <c r="E52" s="375"/>
      <c r="F52" s="376" t="e">
        <f>SUM(F41:F51)</f>
        <v>#N/A</v>
      </c>
      <c r="G52" s="373"/>
      <c r="H52" s="377"/>
      <c r="I52" s="376">
        <f>SUM(I40:I51)</f>
        <v>0</v>
      </c>
      <c r="J52" s="376">
        <f>SUM(J40:J51)</f>
        <v>0</v>
      </c>
      <c r="K52" s="376">
        <f>SUM(K40:K51)</f>
        <v>0</v>
      </c>
      <c r="L52" s="376">
        <f>SUM(L40:L51)</f>
        <v>0</v>
      </c>
      <c r="M52" s="378"/>
      <c r="N52" s="379"/>
      <c r="O52" s="379"/>
      <c r="P52" s="371"/>
      <c r="Q52" s="372"/>
      <c r="R52" s="372"/>
      <c r="S52" s="372"/>
      <c r="T52" s="372"/>
    </row>
    <row r="53" s="339" customFormat="1" ht="29.25" customHeight="1" spans="1:1024 1025:16381">
      <c r="A53" s="384"/>
      <c r="B53" s="385">
        <v>42</v>
      </c>
      <c r="C53" s="386" t="str">
        <f>_xlfn.XLOOKUP(D53,商品汇总表!$B:$B,商品汇总表!$A:$A,"")</f>
        <v/>
      </c>
      <c r="D53" s="387" t="str" cm="1">
        <f t="array" ref="D53">_xlfn.UNIQUE(_xlfn._xlws.FILTER('5.21出货明细'!E:E,'5.21出货明细'!AR:AR=D56,""))</f>
        <v/>
      </c>
      <c r="E53" s="388" t="str">
        <f>_xlfn.XLOOKUP(D53,商品汇总表!$B:$B,商品汇总表!$D:$D,"")</f>
        <v/>
      </c>
      <c r="F53" s="389">
        <f>SUMIFS('5.21出货明细'!$K:$K,'5.21出货明细'!$E:$E,$D53,'5.21出货明细'!$AR:$AR,$D$56)</f>
        <v>0</v>
      </c>
      <c r="G53" s="390" t="str">
        <f>_xlfn.XLOOKUP(_xlfn.XLOOKUP($D53,'5.21出货明细'!$E:$E,'5.21出货明细'!$J:$J,""),单位对照!$A:$A,单位对照!$B:$B,"未匹配")</f>
        <v>未匹配</v>
      </c>
      <c r="H53" s="391" t="e">
        <f>I53/F53</f>
        <v>#DIV/0!</v>
      </c>
      <c r="I53" s="392">
        <f>SUMIFS('5.21出货明细'!$AA:$AA,'5.21出货明细'!$E:$E,$D53,'5.21出货明细'!$AR:$AR,$D$56)</f>
        <v>0</v>
      </c>
      <c r="J53" s="393">
        <f>SUMIFS('5.21出货明细'!$P:$P,'5.21出货明细'!$E:$E,$D53,'5.21出货明细'!$AR:$AR,$D$56)</f>
        <v>0</v>
      </c>
      <c r="K53" s="394">
        <f>SUMIFS('5.21出货明细'!$Q:$Q,'5.21出货明细'!$E:$E,$D53,'5.21出货明细'!$AR:$AR,$D$56)</f>
        <v>0</v>
      </c>
      <c r="L53" s="395">
        <f>SUMIFS('5.21出货明细'!$AT:$AT,'5.21出货明细'!$E:$E,$D53,'5.21出货明细'!$AR:$AR,$D$56)</f>
        <v>0</v>
      </c>
      <c r="M53" s="390" t="s">
        <v>2953</v>
      </c>
      <c r="N53" s="396"/>
      <c r="O53" s="396"/>
      <c r="P53" s="397"/>
      <c r="Q53" s="398"/>
      <c r="R53" s="398"/>
      <c r="S53" s="398"/>
      <c r="T53" s="398"/>
      <c r="U53" s="384"/>
      <c r="V53" s="384"/>
      <c r="W53" s="384"/>
      <c r="X53" s="384"/>
      <c r="Y53" s="384"/>
      <c r="Z53" s="384"/>
      <c r="AA53" s="384"/>
      <c r="AB53" s="384"/>
      <c r="AC53" s="384"/>
      <c r="AD53" s="384"/>
      <c r="AE53" s="384"/>
      <c r="AF53" s="384"/>
      <c r="AG53" s="384"/>
      <c r="AH53" s="384"/>
      <c r="AI53" s="384"/>
      <c r="AJ53" s="384"/>
      <c r="AK53" s="384"/>
      <c r="AL53" s="384"/>
      <c r="AM53" s="384"/>
      <c r="AN53" s="384"/>
      <c r="AO53" s="384"/>
      <c r="AP53" s="384"/>
      <c r="AQ53" s="384"/>
      <c r="AR53" s="384"/>
      <c r="AS53" s="384"/>
      <c r="AT53" s="384"/>
      <c r="AU53" s="384"/>
      <c r="AV53" s="384"/>
      <c r="AW53" s="384"/>
      <c r="AX53" s="384"/>
      <c r="AY53" s="384"/>
      <c r="AZ53" s="384"/>
      <c r="BA53" s="384"/>
      <c r="BB53" s="384"/>
      <c r="BC53" s="384"/>
      <c r="BD53" s="384"/>
      <c r="BE53" s="384"/>
      <c r="BF53" s="384"/>
      <c r="BG53" s="384"/>
      <c r="BH53" s="384"/>
      <c r="BI53" s="384"/>
      <c r="BJ53" s="384"/>
      <c r="BK53" s="384"/>
      <c r="BL53" s="384"/>
      <c r="BM53" s="384"/>
      <c r="BN53" s="384"/>
      <c r="BO53" s="384"/>
      <c r="BP53" s="384"/>
      <c r="BQ53" s="384"/>
      <c r="BR53" s="384"/>
      <c r="BS53" s="384"/>
      <c r="BT53" s="384"/>
      <c r="BU53" s="384"/>
      <c r="BV53" s="384"/>
      <c r="BW53" s="384"/>
      <c r="BX53" s="384"/>
      <c r="BY53" s="384"/>
      <c r="BZ53" s="384"/>
      <c r="CA53" s="384"/>
      <c r="CB53" s="384"/>
      <c r="CC53" s="384"/>
      <c r="CD53" s="384"/>
      <c r="CE53" s="384"/>
      <c r="CF53" s="384"/>
      <c r="CG53" s="384"/>
      <c r="CH53" s="384"/>
      <c r="CI53" s="384"/>
      <c r="CJ53" s="384"/>
      <c r="CK53" s="384"/>
      <c r="CL53" s="384"/>
      <c r="CM53" s="384"/>
      <c r="CN53" s="384"/>
      <c r="CO53" s="384"/>
      <c r="CP53" s="384"/>
      <c r="CQ53" s="384"/>
      <c r="CR53" s="384"/>
      <c r="CS53" s="384"/>
      <c r="CT53" s="384"/>
      <c r="CU53" s="384"/>
      <c r="CV53" s="384"/>
      <c r="CW53" s="384"/>
      <c r="CX53" s="384"/>
      <c r="CY53" s="384"/>
      <c r="CZ53" s="384"/>
      <c r="DA53" s="384"/>
      <c r="DB53" s="384"/>
      <c r="DC53" s="384"/>
      <c r="DD53" s="384"/>
      <c r="DE53" s="384"/>
      <c r="DF53" s="384"/>
      <c r="DG53" s="384"/>
      <c r="DH53" s="384"/>
      <c r="DI53" s="384"/>
      <c r="DJ53" s="384"/>
      <c r="DK53" s="384"/>
      <c r="DL53" s="384"/>
      <c r="DM53" s="384"/>
      <c r="DN53" s="384"/>
      <c r="DO53" s="384"/>
      <c r="DP53" s="384"/>
      <c r="DQ53" s="384"/>
      <c r="DR53" s="384"/>
      <c r="DS53" s="384"/>
      <c r="DT53" s="384"/>
      <c r="DU53" s="384"/>
      <c r="DV53" s="384"/>
      <c r="DW53" s="384"/>
      <c r="DX53" s="384"/>
      <c r="DY53" s="384"/>
      <c r="DZ53" s="384"/>
      <c r="EA53" s="384"/>
      <c r="EB53" s="384"/>
      <c r="EC53" s="384"/>
      <c r="ED53" s="384"/>
      <c r="EE53" s="384"/>
      <c r="EF53" s="384"/>
      <c r="EG53" s="384"/>
      <c r="EH53" s="384"/>
      <c r="EI53" s="384"/>
      <c r="EJ53" s="384"/>
      <c r="EK53" s="384"/>
      <c r="EL53" s="384"/>
      <c r="EM53" s="384"/>
      <c r="EN53" s="384"/>
      <c r="EO53" s="384"/>
      <c r="EP53" s="384"/>
      <c r="EQ53" s="384"/>
      <c r="ER53" s="384"/>
      <c r="ES53" s="384"/>
      <c r="ET53" s="384"/>
      <c r="EU53" s="384"/>
      <c r="EV53" s="384"/>
      <c r="EW53" s="384"/>
      <c r="EX53" s="384"/>
      <c r="EY53" s="384"/>
      <c r="EZ53" s="384"/>
      <c r="FA53" s="384"/>
      <c r="FB53" s="384"/>
      <c r="FC53" s="384"/>
      <c r="FD53" s="384"/>
      <c r="FE53" s="384"/>
      <c r="FF53" s="384"/>
      <c r="FG53" s="384"/>
      <c r="FH53" s="384"/>
      <c r="FI53" s="384"/>
      <c r="FJ53" s="384"/>
      <c r="FK53" s="384"/>
      <c r="FL53" s="384"/>
      <c r="FM53" s="384"/>
      <c r="FN53" s="384"/>
      <c r="FO53" s="384"/>
      <c r="FP53" s="384"/>
      <c r="FQ53" s="384"/>
      <c r="FR53" s="384"/>
      <c r="FS53" s="384"/>
      <c r="FT53" s="384"/>
      <c r="FU53" s="384"/>
      <c r="FV53" s="384"/>
      <c r="FW53" s="384"/>
      <c r="FX53" s="384"/>
      <c r="FY53" s="384"/>
      <c r="FZ53" s="384"/>
      <c r="GA53" s="384"/>
      <c r="GB53" s="384"/>
      <c r="GC53" s="384"/>
      <c r="GD53" s="384"/>
      <c r="GE53" s="384"/>
      <c r="GF53" s="384"/>
      <c r="GG53" s="384"/>
      <c r="GH53" s="384"/>
      <c r="GI53" s="384"/>
      <c r="GJ53" s="384"/>
      <c r="GK53" s="384"/>
      <c r="GL53" s="384"/>
      <c r="GM53" s="384"/>
      <c r="GN53" s="384"/>
      <c r="GO53" s="384"/>
      <c r="GP53" s="384"/>
      <c r="GQ53" s="384"/>
      <c r="GR53" s="384"/>
      <c r="GS53" s="384"/>
      <c r="GT53" s="384"/>
      <c r="GU53" s="384"/>
      <c r="GV53" s="384"/>
      <c r="GW53" s="384"/>
      <c r="GX53" s="384"/>
      <c r="GY53" s="384"/>
      <c r="GZ53" s="384"/>
      <c r="HA53" s="384"/>
      <c r="HB53" s="384"/>
      <c r="HC53" s="384"/>
      <c r="HD53" s="384"/>
      <c r="HE53" s="384"/>
      <c r="HF53" s="384"/>
      <c r="HG53" s="384"/>
      <c r="HH53" s="384"/>
      <c r="HI53" s="384"/>
      <c r="HJ53" s="384"/>
      <c r="HK53" s="384"/>
      <c r="HL53" s="384"/>
      <c r="HM53" s="384"/>
      <c r="HN53" s="384"/>
      <c r="HO53" s="384"/>
      <c r="HP53" s="384"/>
      <c r="HQ53" s="384"/>
      <c r="HR53" s="384"/>
      <c r="HS53" s="384"/>
      <c r="HT53" s="384"/>
      <c r="HU53" s="384"/>
      <c r="HV53" s="384"/>
      <c r="HW53" s="384"/>
      <c r="HX53" s="384"/>
      <c r="HY53" s="384"/>
      <c r="HZ53" s="384"/>
      <c r="IA53" s="384"/>
      <c r="IB53" s="384"/>
      <c r="IC53" s="384"/>
      <c r="ID53" s="384"/>
      <c r="IE53" s="384"/>
      <c r="IF53" s="384"/>
      <c r="IG53" s="384"/>
      <c r="IH53" s="384"/>
      <c r="II53" s="384"/>
      <c r="IJ53" s="384"/>
      <c r="IK53" s="384"/>
      <c r="IL53" s="384"/>
      <c r="IM53" s="384"/>
      <c r="IN53" s="384"/>
      <c r="IO53" s="384"/>
      <c r="IP53" s="384"/>
      <c r="IQ53" s="384"/>
      <c r="IR53" s="384"/>
      <c r="IS53" s="384"/>
      <c r="IT53" s="384"/>
      <c r="IU53" s="384"/>
      <c r="IV53" s="384"/>
      <c r="IW53" s="384"/>
      <c r="IX53" s="384"/>
      <c r="IY53" s="384"/>
      <c r="IZ53" s="384"/>
      <c r="JA53" s="384"/>
      <c r="JB53" s="384"/>
      <c r="JC53" s="384"/>
      <c r="JD53" s="384"/>
      <c r="JE53" s="384"/>
      <c r="JF53" s="384"/>
      <c r="JG53" s="384"/>
      <c r="JH53" s="384"/>
      <c r="JI53" s="384"/>
      <c r="JJ53" s="384"/>
      <c r="JK53" s="384"/>
      <c r="JL53" s="384"/>
      <c r="JM53" s="384"/>
      <c r="JN53" s="384"/>
      <c r="JO53" s="384"/>
      <c r="JP53" s="384"/>
      <c r="JQ53" s="384"/>
      <c r="JR53" s="384"/>
      <c r="JS53" s="384"/>
      <c r="JT53" s="384"/>
      <c r="JU53" s="384"/>
      <c r="JV53" s="384"/>
      <c r="JW53" s="384"/>
      <c r="JX53" s="384"/>
      <c r="JY53" s="384"/>
      <c r="JZ53" s="384"/>
      <c r="KA53" s="384"/>
      <c r="KB53" s="384"/>
      <c r="KC53" s="384"/>
      <c r="KD53" s="384"/>
      <c r="KE53" s="384"/>
      <c r="KF53" s="384"/>
      <c r="KG53" s="384"/>
      <c r="KH53" s="384"/>
      <c r="KI53" s="384"/>
      <c r="KJ53" s="384"/>
      <c r="KK53" s="384"/>
      <c r="KL53" s="384"/>
      <c r="KM53" s="384"/>
      <c r="KN53" s="384"/>
      <c r="KO53" s="384"/>
      <c r="KP53" s="384"/>
      <c r="KQ53" s="384"/>
      <c r="KR53" s="384"/>
      <c r="KS53" s="384"/>
      <c r="KT53" s="384"/>
      <c r="KU53" s="384"/>
      <c r="KV53" s="384"/>
      <c r="KW53" s="384"/>
      <c r="KX53" s="384"/>
      <c r="KY53" s="384"/>
      <c r="KZ53" s="384"/>
      <c r="LA53" s="384"/>
      <c r="LB53" s="384"/>
      <c r="LC53" s="384"/>
      <c r="LD53" s="384"/>
      <c r="LE53" s="384"/>
      <c r="LF53" s="384"/>
      <c r="LG53" s="384"/>
      <c r="LH53" s="384"/>
      <c r="LI53" s="384"/>
      <c r="LJ53" s="384"/>
      <c r="LK53" s="384"/>
      <c r="LL53" s="384"/>
      <c r="LM53" s="384"/>
      <c r="LN53" s="384"/>
      <c r="LO53" s="384"/>
      <c r="LP53" s="384"/>
      <c r="LQ53" s="384"/>
      <c r="LR53" s="384"/>
      <c r="LS53" s="384"/>
      <c r="LT53" s="384"/>
      <c r="LU53" s="384"/>
      <c r="LV53" s="384"/>
      <c r="LW53" s="384"/>
      <c r="LX53" s="384"/>
      <c r="LY53" s="384"/>
      <c r="LZ53" s="384"/>
      <c r="MA53" s="384"/>
      <c r="MB53" s="384"/>
      <c r="MC53" s="384"/>
      <c r="MD53" s="384"/>
      <c r="ME53" s="384"/>
      <c r="MF53" s="384"/>
      <c r="MG53" s="384"/>
      <c r="MH53" s="384"/>
      <c r="MI53" s="384"/>
      <c r="MJ53" s="384"/>
      <c r="MK53" s="384"/>
      <c r="ML53" s="384"/>
      <c r="MM53" s="384"/>
      <c r="MN53" s="384"/>
      <c r="MO53" s="384"/>
      <c r="MP53" s="384"/>
      <c r="MQ53" s="384"/>
      <c r="MR53" s="384"/>
      <c r="MS53" s="384"/>
      <c r="MT53" s="384"/>
      <c r="MU53" s="384"/>
      <c r="MV53" s="384"/>
      <c r="MW53" s="384"/>
      <c r="MX53" s="384"/>
      <c r="MY53" s="384"/>
      <c r="MZ53" s="384"/>
      <c r="NA53" s="384"/>
      <c r="NB53" s="384"/>
      <c r="NC53" s="384"/>
      <c r="ND53" s="384"/>
      <c r="NE53" s="384"/>
      <c r="NF53" s="384"/>
      <c r="NG53" s="384"/>
      <c r="NH53" s="384"/>
      <c r="NI53" s="384"/>
      <c r="NJ53" s="384"/>
      <c r="NK53" s="384"/>
      <c r="NL53" s="384"/>
      <c r="NM53" s="384"/>
      <c r="NN53" s="384"/>
      <c r="NO53" s="384"/>
      <c r="NP53" s="384"/>
      <c r="NQ53" s="384"/>
      <c r="NR53" s="384"/>
      <c r="NS53" s="384"/>
      <c r="NT53" s="384"/>
      <c r="NU53" s="384"/>
      <c r="NV53" s="384"/>
      <c r="NW53" s="384"/>
      <c r="NX53" s="384"/>
      <c r="NY53" s="384"/>
      <c r="NZ53" s="384"/>
      <c r="OA53" s="384"/>
      <c r="OB53" s="384"/>
      <c r="OC53" s="384"/>
      <c r="OD53" s="384"/>
      <c r="OE53" s="384"/>
      <c r="OF53" s="384"/>
      <c r="OG53" s="384"/>
      <c r="OH53" s="384"/>
      <c r="OI53" s="384"/>
      <c r="OJ53" s="384"/>
      <c r="OK53" s="384"/>
      <c r="OL53" s="384"/>
      <c r="OM53" s="384"/>
      <c r="ON53" s="384"/>
      <c r="OO53" s="384"/>
      <c r="OP53" s="384"/>
      <c r="OQ53" s="384"/>
      <c r="OR53" s="384"/>
      <c r="OS53" s="384"/>
      <c r="OT53" s="384"/>
      <c r="OU53" s="384"/>
      <c r="OV53" s="384"/>
      <c r="OW53" s="384"/>
      <c r="OX53" s="384"/>
      <c r="OY53" s="384"/>
      <c r="OZ53" s="384"/>
      <c r="PA53" s="384"/>
      <c r="PB53" s="384"/>
      <c r="PC53" s="384"/>
      <c r="PD53" s="384"/>
      <c r="PE53" s="384"/>
      <c r="PF53" s="384"/>
      <c r="PG53" s="384"/>
      <c r="PH53" s="384"/>
      <c r="PI53" s="384"/>
      <c r="PJ53" s="384"/>
      <c r="PK53" s="384"/>
      <c r="PL53" s="384"/>
      <c r="PM53" s="384"/>
      <c r="PN53" s="384"/>
      <c r="PO53" s="384"/>
      <c r="PP53" s="384"/>
      <c r="PQ53" s="384"/>
      <c r="PR53" s="384"/>
      <c r="PS53" s="384"/>
      <c r="PT53" s="384"/>
      <c r="PU53" s="384"/>
      <c r="PV53" s="384"/>
      <c r="PW53" s="384"/>
      <c r="PX53" s="384"/>
      <c r="PY53" s="384"/>
      <c r="PZ53" s="384"/>
      <c r="QA53" s="384"/>
      <c r="QB53" s="384"/>
      <c r="QC53" s="384"/>
      <c r="QD53" s="384"/>
      <c r="QE53" s="384"/>
      <c r="QF53" s="384"/>
      <c r="QG53" s="384"/>
      <c r="QH53" s="384"/>
      <c r="QI53" s="384"/>
      <c r="QJ53" s="384"/>
      <c r="QK53" s="384"/>
      <c r="QL53" s="384"/>
      <c r="QM53" s="384"/>
      <c r="QN53" s="384"/>
      <c r="QO53" s="384"/>
      <c r="QP53" s="384"/>
      <c r="QQ53" s="384"/>
      <c r="QR53" s="384"/>
      <c r="QS53" s="384"/>
      <c r="QT53" s="384"/>
      <c r="QU53" s="384"/>
      <c r="QV53" s="384"/>
      <c r="QW53" s="384"/>
      <c r="QX53" s="384"/>
      <c r="QY53" s="384"/>
      <c r="QZ53" s="384"/>
      <c r="RA53" s="384"/>
      <c r="RB53" s="384"/>
      <c r="RC53" s="384"/>
      <c r="RD53" s="384"/>
      <c r="RE53" s="384"/>
      <c r="RF53" s="384"/>
      <c r="RG53" s="384"/>
      <c r="RH53" s="384"/>
      <c r="RI53" s="384"/>
      <c r="RJ53" s="384"/>
      <c r="RK53" s="384"/>
      <c r="RL53" s="384"/>
      <c r="RM53" s="384"/>
      <c r="RN53" s="384"/>
      <c r="RO53" s="384"/>
      <c r="RP53" s="384"/>
      <c r="RQ53" s="384"/>
      <c r="RR53" s="384"/>
      <c r="RS53" s="384"/>
      <c r="RT53" s="384"/>
      <c r="RU53" s="384"/>
      <c r="RV53" s="384"/>
      <c r="RW53" s="384"/>
      <c r="RX53" s="384"/>
      <c r="RY53" s="384"/>
      <c r="RZ53" s="384"/>
      <c r="SA53" s="384"/>
      <c r="SB53" s="384"/>
      <c r="SC53" s="384"/>
      <c r="SD53" s="384"/>
      <c r="SE53" s="384"/>
      <c r="SF53" s="384"/>
      <c r="SG53" s="384"/>
      <c r="SH53" s="384"/>
      <c r="SI53" s="384"/>
      <c r="SJ53" s="384"/>
      <c r="SK53" s="384"/>
      <c r="SL53" s="384"/>
      <c r="SM53" s="384"/>
      <c r="SN53" s="384"/>
      <c r="SO53" s="384"/>
      <c r="SP53" s="384"/>
      <c r="SQ53" s="384"/>
      <c r="SR53" s="384"/>
      <c r="SS53" s="384"/>
      <c r="ST53" s="384"/>
      <c r="SU53" s="384"/>
      <c r="SV53" s="384"/>
      <c r="SW53" s="384"/>
      <c r="SX53" s="384"/>
      <c r="SY53" s="384"/>
      <c r="SZ53" s="384"/>
      <c r="TA53" s="384"/>
      <c r="TB53" s="384"/>
      <c r="TC53" s="384"/>
      <c r="TD53" s="384"/>
      <c r="TE53" s="384"/>
      <c r="TF53" s="384"/>
      <c r="TG53" s="384"/>
      <c r="TH53" s="384"/>
      <c r="TI53" s="384"/>
      <c r="TJ53" s="384"/>
      <c r="TK53" s="384"/>
      <c r="TL53" s="384"/>
      <c r="TM53" s="384"/>
      <c r="TN53" s="384"/>
      <c r="TO53" s="384"/>
      <c r="TP53" s="384"/>
      <c r="TQ53" s="384"/>
      <c r="TR53" s="384"/>
      <c r="TS53" s="384"/>
      <c r="TT53" s="384"/>
      <c r="TU53" s="384"/>
      <c r="TV53" s="384"/>
      <c r="TW53" s="384"/>
      <c r="TX53" s="384"/>
      <c r="TY53" s="384"/>
      <c r="TZ53" s="384"/>
      <c r="UA53" s="384"/>
      <c r="UB53" s="384"/>
      <c r="UC53" s="384"/>
      <c r="UD53" s="384"/>
      <c r="UE53" s="384"/>
      <c r="UF53" s="384"/>
      <c r="UG53" s="384"/>
      <c r="UH53" s="384"/>
      <c r="UI53" s="384"/>
      <c r="UJ53" s="384"/>
      <c r="UK53" s="384"/>
      <c r="UL53" s="384"/>
      <c r="UM53" s="384"/>
      <c r="UN53" s="384"/>
      <c r="UO53" s="384"/>
      <c r="UP53" s="384"/>
      <c r="UQ53" s="384"/>
      <c r="UR53" s="384"/>
      <c r="US53" s="384"/>
      <c r="UT53" s="384"/>
      <c r="UU53" s="384"/>
      <c r="UV53" s="384"/>
      <c r="UW53" s="384"/>
      <c r="UX53" s="384"/>
      <c r="UY53" s="384"/>
      <c r="UZ53" s="384"/>
      <c r="VA53" s="384"/>
      <c r="VB53" s="384"/>
      <c r="VC53" s="384"/>
      <c r="VD53" s="384"/>
      <c r="VE53" s="384"/>
      <c r="VF53" s="384"/>
      <c r="VG53" s="384"/>
      <c r="VH53" s="384"/>
      <c r="VI53" s="384"/>
      <c r="VJ53" s="384"/>
      <c r="VK53" s="384"/>
      <c r="VL53" s="384"/>
      <c r="VM53" s="384"/>
      <c r="VN53" s="384"/>
      <c r="VO53" s="384"/>
      <c r="VP53" s="384"/>
      <c r="VQ53" s="384"/>
      <c r="VR53" s="384"/>
      <c r="VS53" s="384"/>
      <c r="VT53" s="384"/>
      <c r="VU53" s="384"/>
      <c r="VV53" s="384"/>
      <c r="VW53" s="384"/>
      <c r="VX53" s="384"/>
      <c r="VY53" s="384"/>
      <c r="VZ53" s="384"/>
      <c r="WA53" s="384"/>
      <c r="WB53" s="384"/>
      <c r="WC53" s="384"/>
      <c r="WD53" s="384"/>
      <c r="WE53" s="384"/>
      <c r="WF53" s="384"/>
      <c r="WG53" s="384"/>
      <c r="WH53" s="384"/>
      <c r="WI53" s="384"/>
      <c r="WJ53" s="384"/>
      <c r="WK53" s="384"/>
      <c r="WL53" s="384"/>
      <c r="WM53" s="384"/>
      <c r="WN53" s="384"/>
      <c r="WO53" s="384"/>
      <c r="WP53" s="384"/>
      <c r="WQ53" s="384"/>
      <c r="WR53" s="384"/>
      <c r="WS53" s="384"/>
      <c r="WT53" s="384"/>
      <c r="WU53" s="384"/>
      <c r="WV53" s="384"/>
      <c r="WW53" s="384"/>
      <c r="WX53" s="384"/>
      <c r="WY53" s="384"/>
      <c r="WZ53" s="384"/>
      <c r="XA53" s="384"/>
      <c r="XB53" s="384"/>
      <c r="XC53" s="384"/>
      <c r="XD53" s="384"/>
      <c r="XE53" s="384"/>
      <c r="XF53" s="384"/>
      <c r="XG53" s="384"/>
      <c r="XH53" s="384"/>
      <c r="XI53" s="384"/>
      <c r="XJ53" s="384"/>
      <c r="XK53" s="384"/>
      <c r="XL53" s="384"/>
      <c r="XM53" s="384"/>
      <c r="XN53" s="384"/>
      <c r="XO53" s="384"/>
      <c r="XP53" s="384"/>
      <c r="XQ53" s="384"/>
      <c r="XR53" s="384"/>
      <c r="XS53" s="384"/>
      <c r="XT53" s="384"/>
      <c r="XU53" s="384"/>
      <c r="XV53" s="384"/>
      <c r="XW53" s="384"/>
      <c r="XX53" s="384"/>
      <c r="XY53" s="384"/>
      <c r="XZ53" s="384"/>
      <c r="YA53" s="384"/>
      <c r="YB53" s="384"/>
      <c r="YC53" s="384"/>
      <c r="YD53" s="384"/>
      <c r="YE53" s="384"/>
      <c r="YF53" s="384"/>
      <c r="YG53" s="384"/>
      <c r="YH53" s="384"/>
      <c r="YI53" s="384"/>
      <c r="YJ53" s="384"/>
      <c r="YK53" s="384"/>
      <c r="YL53" s="384"/>
      <c r="YM53" s="384"/>
      <c r="YN53" s="384"/>
      <c r="YO53" s="384"/>
      <c r="YP53" s="384"/>
      <c r="YQ53" s="384"/>
      <c r="YR53" s="384"/>
      <c r="YS53" s="384"/>
      <c r="YT53" s="384"/>
      <c r="YU53" s="384"/>
      <c r="YV53" s="384"/>
      <c r="YW53" s="384"/>
      <c r="YX53" s="384"/>
      <c r="YY53" s="384"/>
      <c r="YZ53" s="384"/>
      <c r="ZA53" s="384"/>
      <c r="ZB53" s="384"/>
      <c r="ZC53" s="384"/>
      <c r="ZD53" s="384"/>
      <c r="ZE53" s="384"/>
      <c r="ZF53" s="384"/>
      <c r="ZG53" s="384"/>
      <c r="ZH53" s="384"/>
      <c r="ZI53" s="384"/>
      <c r="ZJ53" s="384"/>
      <c r="ZK53" s="384"/>
      <c r="ZL53" s="384"/>
      <c r="ZM53" s="384"/>
      <c r="ZN53" s="384"/>
      <c r="ZO53" s="384"/>
      <c r="ZP53" s="384"/>
      <c r="ZQ53" s="384"/>
      <c r="ZR53" s="384"/>
      <c r="ZS53" s="384"/>
      <c r="ZT53" s="384"/>
      <c r="ZU53" s="384"/>
      <c r="ZV53" s="384"/>
      <c r="ZW53" s="384"/>
      <c r="ZX53" s="384"/>
      <c r="ZY53" s="384"/>
      <c r="ZZ53" s="384"/>
      <c r="AAA53" s="384"/>
      <c r="AAB53" s="384"/>
      <c r="AAC53" s="384"/>
      <c r="AAD53" s="384"/>
      <c r="AAE53" s="384"/>
      <c r="AAF53" s="384"/>
      <c r="AAG53" s="384"/>
      <c r="AAH53" s="384"/>
      <c r="AAI53" s="384"/>
      <c r="AAJ53" s="384"/>
      <c r="AAK53" s="384"/>
      <c r="AAL53" s="384"/>
      <c r="AAM53" s="384"/>
      <c r="AAN53" s="384"/>
      <c r="AAO53" s="384"/>
      <c r="AAP53" s="384"/>
      <c r="AAQ53" s="384"/>
      <c r="AAR53" s="384"/>
      <c r="AAS53" s="384"/>
      <c r="AAT53" s="384"/>
      <c r="AAU53" s="384"/>
      <c r="AAV53" s="384"/>
      <c r="AAW53" s="384"/>
      <c r="AAX53" s="384"/>
      <c r="AAY53" s="384"/>
      <c r="AAZ53" s="384"/>
      <c r="ABA53" s="384"/>
      <c r="ABB53" s="384"/>
      <c r="ABC53" s="384"/>
      <c r="ABD53" s="384"/>
      <c r="ABE53" s="384"/>
      <c r="ABF53" s="384"/>
      <c r="ABG53" s="384"/>
      <c r="ABH53" s="384"/>
      <c r="ABI53" s="384"/>
      <c r="ABJ53" s="384"/>
      <c r="ABK53" s="384"/>
      <c r="ABL53" s="384"/>
      <c r="ABM53" s="384"/>
      <c r="ABN53" s="384"/>
      <c r="ABO53" s="384"/>
      <c r="ABP53" s="384"/>
      <c r="ABQ53" s="384"/>
      <c r="ABR53" s="384"/>
      <c r="ABS53" s="384"/>
      <c r="ABT53" s="384"/>
      <c r="ABU53" s="384"/>
      <c r="ABV53" s="384"/>
      <c r="ABW53" s="384"/>
      <c r="ABX53" s="384"/>
      <c r="ABY53" s="384"/>
      <c r="ABZ53" s="384"/>
      <c r="ACA53" s="384"/>
      <c r="ACB53" s="384"/>
      <c r="ACC53" s="384"/>
      <c r="ACD53" s="384"/>
      <c r="ACE53" s="384"/>
      <c r="ACF53" s="384"/>
      <c r="ACG53" s="384"/>
      <c r="ACH53" s="384"/>
      <c r="ACI53" s="384"/>
      <c r="ACJ53" s="384"/>
      <c r="ACK53" s="384"/>
      <c r="ACL53" s="384"/>
      <c r="ACM53" s="384"/>
      <c r="ACN53" s="384"/>
      <c r="ACO53" s="384"/>
      <c r="ACP53" s="384"/>
      <c r="ACQ53" s="384"/>
      <c r="ACR53" s="384"/>
      <c r="ACS53" s="384"/>
      <c r="ACT53" s="384"/>
      <c r="ACU53" s="384"/>
      <c r="ACV53" s="384"/>
      <c r="ACW53" s="384"/>
      <c r="ACX53" s="384"/>
      <c r="ACY53" s="384"/>
      <c r="ACZ53" s="384"/>
      <c r="ADA53" s="384"/>
      <c r="ADB53" s="384"/>
      <c r="ADC53" s="384"/>
      <c r="ADD53" s="384"/>
      <c r="ADE53" s="384"/>
      <c r="ADF53" s="384"/>
      <c r="ADG53" s="384"/>
      <c r="ADH53" s="384"/>
      <c r="ADI53" s="384"/>
      <c r="ADJ53" s="384"/>
      <c r="ADK53" s="384"/>
      <c r="ADL53" s="384"/>
      <c r="ADM53" s="384"/>
      <c r="ADN53" s="384"/>
      <c r="ADO53" s="384"/>
      <c r="ADP53" s="384"/>
      <c r="ADQ53" s="384"/>
      <c r="ADR53" s="384"/>
      <c r="ADS53" s="384"/>
      <c r="ADT53" s="384"/>
      <c r="ADU53" s="384"/>
      <c r="ADV53" s="384"/>
      <c r="ADW53" s="384"/>
      <c r="ADX53" s="384"/>
      <c r="ADY53" s="384"/>
      <c r="ADZ53" s="384"/>
      <c r="AEA53" s="384"/>
      <c r="AEB53" s="384"/>
      <c r="AEC53" s="384"/>
      <c r="AED53" s="384"/>
      <c r="AEE53" s="384"/>
      <c r="AEF53" s="384"/>
      <c r="AEG53" s="384"/>
      <c r="AEH53" s="384"/>
      <c r="AEI53" s="384"/>
      <c r="AEJ53" s="384"/>
      <c r="AEK53" s="384"/>
      <c r="AEL53" s="384"/>
      <c r="AEM53" s="384"/>
      <c r="AEN53" s="384"/>
      <c r="AEO53" s="384"/>
      <c r="AEP53" s="384"/>
      <c r="AEQ53" s="384"/>
      <c r="AER53" s="384"/>
      <c r="AES53" s="384"/>
      <c r="AET53" s="384"/>
      <c r="AEU53" s="384"/>
      <c r="AEV53" s="384"/>
      <c r="AEW53" s="384"/>
      <c r="AEX53" s="384"/>
      <c r="AEY53" s="384"/>
      <c r="AEZ53" s="384"/>
      <c r="AFA53" s="384"/>
      <c r="AFB53" s="384"/>
      <c r="AFC53" s="384"/>
      <c r="AFD53" s="384"/>
      <c r="AFE53" s="384"/>
      <c r="AFF53" s="384"/>
      <c r="AFG53" s="384"/>
      <c r="AFH53" s="384"/>
      <c r="AFI53" s="384"/>
      <c r="AFJ53" s="384"/>
      <c r="AFK53" s="384"/>
      <c r="AFL53" s="384"/>
      <c r="AFM53" s="384"/>
      <c r="AFN53" s="384"/>
      <c r="AFO53" s="384"/>
      <c r="AFP53" s="384"/>
      <c r="AFQ53" s="384"/>
      <c r="AFR53" s="384"/>
      <c r="AFS53" s="384"/>
      <c r="AFT53" s="384"/>
      <c r="AFU53" s="384"/>
      <c r="AFV53" s="384"/>
      <c r="AFW53" s="384"/>
      <c r="AFX53" s="384"/>
      <c r="AFY53" s="384"/>
      <c r="AFZ53" s="384"/>
      <c r="AGA53" s="384"/>
      <c r="AGB53" s="384"/>
      <c r="AGC53" s="384"/>
      <c r="AGD53" s="384"/>
      <c r="AGE53" s="384"/>
      <c r="AGF53" s="384"/>
      <c r="AGG53" s="384"/>
      <c r="AGH53" s="384"/>
      <c r="AGI53" s="384"/>
      <c r="AGJ53" s="384"/>
      <c r="AGK53" s="384"/>
      <c r="AGL53" s="384"/>
      <c r="AGM53" s="384"/>
      <c r="AGN53" s="384"/>
      <c r="AGO53" s="384"/>
      <c r="AGP53" s="384"/>
      <c r="AGQ53" s="384"/>
      <c r="AGR53" s="384"/>
      <c r="AGS53" s="384"/>
      <c r="AGT53" s="384"/>
      <c r="AGU53" s="384"/>
      <c r="AGV53" s="384"/>
      <c r="AGW53" s="384"/>
      <c r="AGX53" s="384"/>
      <c r="AGY53" s="384"/>
      <c r="AGZ53" s="384"/>
      <c r="AHA53" s="384"/>
      <c r="AHB53" s="384"/>
      <c r="AHC53" s="384"/>
      <c r="AHD53" s="384"/>
      <c r="AHE53" s="384"/>
      <c r="AHF53" s="384"/>
      <c r="AHG53" s="384"/>
      <c r="AHH53" s="384"/>
      <c r="AHI53" s="384"/>
      <c r="AHJ53" s="384"/>
      <c r="AHK53" s="384"/>
      <c r="AHL53" s="384"/>
      <c r="AHM53" s="384"/>
      <c r="AHN53" s="384"/>
      <c r="AHO53" s="384"/>
      <c r="AHP53" s="384"/>
      <c r="AHQ53" s="384"/>
      <c r="AHR53" s="384"/>
      <c r="AHS53" s="384"/>
      <c r="AHT53" s="384"/>
      <c r="AHU53" s="384"/>
      <c r="AHV53" s="384"/>
      <c r="AHW53" s="384"/>
      <c r="AHX53" s="384"/>
      <c r="AHY53" s="384"/>
      <c r="AHZ53" s="384"/>
      <c r="AIA53" s="384"/>
      <c r="AIB53" s="384"/>
      <c r="AIC53" s="384"/>
      <c r="AID53" s="384"/>
      <c r="AIE53" s="384"/>
      <c r="AIF53" s="384"/>
      <c r="AIG53" s="384"/>
      <c r="AIH53" s="384"/>
      <c r="AII53" s="384"/>
      <c r="AIJ53" s="384"/>
      <c r="AIK53" s="384"/>
      <c r="AIL53" s="384"/>
      <c r="AIM53" s="384"/>
      <c r="AIN53" s="384"/>
      <c r="AIO53" s="384"/>
      <c r="AIP53" s="384"/>
      <c r="AIQ53" s="384"/>
      <c r="AIR53" s="384"/>
      <c r="AIS53" s="384"/>
      <c r="AIT53" s="384"/>
      <c r="AIU53" s="384"/>
      <c r="AIV53" s="384"/>
      <c r="AIW53" s="384"/>
      <c r="AIX53" s="384"/>
      <c r="AIY53" s="384"/>
      <c r="AIZ53" s="384"/>
      <c r="AJA53" s="384"/>
      <c r="AJB53" s="384"/>
      <c r="AJC53" s="384"/>
      <c r="AJD53" s="384"/>
      <c r="AJE53" s="384"/>
      <c r="AJF53" s="384"/>
      <c r="AJG53" s="384"/>
      <c r="AJH53" s="384"/>
      <c r="AJI53" s="384"/>
      <c r="AJJ53" s="384"/>
      <c r="AJK53" s="384"/>
      <c r="AJL53" s="384"/>
      <c r="AJM53" s="384"/>
      <c r="AJN53" s="384"/>
      <c r="AJO53" s="384"/>
      <c r="AJP53" s="384"/>
      <c r="AJQ53" s="384"/>
      <c r="AJR53" s="384"/>
      <c r="AJS53" s="384"/>
      <c r="AJT53" s="384"/>
      <c r="AJU53" s="384"/>
      <c r="AJV53" s="384"/>
      <c r="AJW53" s="384"/>
      <c r="AJX53" s="384"/>
      <c r="AJY53" s="384"/>
      <c r="AJZ53" s="384"/>
      <c r="AKA53" s="384"/>
      <c r="AKB53" s="384"/>
      <c r="AKC53" s="384"/>
      <c r="AKD53" s="384"/>
      <c r="AKE53" s="384"/>
      <c r="AKF53" s="384"/>
      <c r="AKG53" s="384"/>
      <c r="AKH53" s="384"/>
      <c r="AKI53" s="384"/>
      <c r="AKJ53" s="384"/>
      <c r="AKK53" s="384"/>
      <c r="AKL53" s="384"/>
      <c r="AKM53" s="384"/>
      <c r="AKN53" s="384"/>
      <c r="AKO53" s="384"/>
      <c r="AKP53" s="384"/>
      <c r="AKQ53" s="384"/>
      <c r="AKR53" s="384"/>
      <c r="AKS53" s="384"/>
      <c r="AKT53" s="384"/>
      <c r="AKU53" s="384"/>
      <c r="AKV53" s="384"/>
      <c r="AKW53" s="384"/>
      <c r="AKX53" s="384"/>
      <c r="AKY53" s="384"/>
      <c r="AKZ53" s="384"/>
      <c r="ALA53" s="384"/>
      <c r="ALB53" s="384"/>
      <c r="ALC53" s="384"/>
      <c r="ALD53" s="384"/>
      <c r="ALE53" s="384"/>
      <c r="ALF53" s="384"/>
      <c r="ALG53" s="384"/>
      <c r="ALH53" s="384"/>
      <c r="ALI53" s="384"/>
      <c r="ALJ53" s="384"/>
      <c r="ALK53" s="384"/>
      <c r="ALL53" s="384"/>
      <c r="ALM53" s="384"/>
      <c r="ALN53" s="384"/>
      <c r="ALO53" s="384"/>
      <c r="ALP53" s="384"/>
      <c r="ALQ53" s="384"/>
      <c r="ALR53" s="384"/>
      <c r="ALS53" s="384"/>
      <c r="ALT53" s="384"/>
      <c r="ALU53" s="384"/>
      <c r="ALV53" s="384"/>
      <c r="ALW53" s="384"/>
      <c r="ALX53" s="384"/>
      <c r="ALY53" s="384"/>
      <c r="ALZ53" s="384"/>
      <c r="AMA53" s="384"/>
      <c r="AMB53" s="384"/>
      <c r="AMC53" s="384"/>
      <c r="AMD53" s="384"/>
      <c r="AME53" s="384"/>
      <c r="AMF53" s="384"/>
      <c r="AMG53" s="384"/>
      <c r="AMH53" s="384"/>
      <c r="AMI53" s="384"/>
      <c r="AMJ53" s="384"/>
      <c r="AMK53" s="384"/>
      <c r="AML53" s="384"/>
      <c r="AMM53" s="384"/>
      <c r="AMN53" s="384"/>
      <c r="AMO53" s="384"/>
      <c r="AMP53" s="384"/>
      <c r="AMQ53" s="384"/>
      <c r="AMR53" s="384"/>
      <c r="AMS53" s="384"/>
      <c r="AMT53" s="384"/>
      <c r="AMU53" s="384"/>
      <c r="AMV53" s="384"/>
      <c r="AMW53" s="384"/>
      <c r="AMX53" s="384"/>
      <c r="AMY53" s="384"/>
      <c r="AMZ53" s="384"/>
      <c r="ANA53" s="384"/>
      <c r="ANB53" s="384"/>
      <c r="ANC53" s="384"/>
      <c r="AND53" s="384"/>
      <c r="ANE53" s="384"/>
      <c r="ANF53" s="384"/>
      <c r="ANG53" s="384"/>
      <c r="ANH53" s="384"/>
      <c r="ANI53" s="384"/>
      <c r="ANJ53" s="384"/>
      <c r="ANK53" s="384"/>
      <c r="ANL53" s="384"/>
      <c r="ANM53" s="384"/>
      <c r="ANN53" s="384"/>
      <c r="ANO53" s="384"/>
      <c r="ANP53" s="384"/>
      <c r="ANQ53" s="384"/>
      <c r="ANR53" s="384"/>
      <c r="ANS53" s="384"/>
      <c r="ANT53" s="384"/>
      <c r="ANU53" s="384"/>
      <c r="ANV53" s="384"/>
      <c r="ANW53" s="384"/>
      <c r="ANX53" s="384"/>
      <c r="ANY53" s="384"/>
      <c r="ANZ53" s="384"/>
      <c r="AOA53" s="384"/>
      <c r="AOB53" s="384"/>
      <c r="AOC53" s="384"/>
      <c r="AOD53" s="384"/>
      <c r="AOE53" s="384"/>
      <c r="AOF53" s="384"/>
      <c r="AOG53" s="384"/>
      <c r="AOH53" s="384"/>
      <c r="AOI53" s="384"/>
      <c r="AOJ53" s="384"/>
      <c r="AOK53" s="384"/>
      <c r="AOL53" s="384"/>
      <c r="AOM53" s="384"/>
      <c r="AON53" s="384"/>
      <c r="AOO53" s="384"/>
      <c r="AOP53" s="384"/>
      <c r="AOQ53" s="384"/>
      <c r="AOR53" s="384"/>
      <c r="AOS53" s="384"/>
      <c r="AOT53" s="384"/>
      <c r="AOU53" s="384"/>
      <c r="AOV53" s="384"/>
      <c r="AOW53" s="384"/>
      <c r="AOX53" s="384"/>
      <c r="AOY53" s="384"/>
      <c r="AOZ53" s="384"/>
      <c r="APA53" s="384"/>
      <c r="APB53" s="384"/>
      <c r="APC53" s="384"/>
      <c r="APD53" s="384"/>
      <c r="APE53" s="384"/>
      <c r="APF53" s="384"/>
      <c r="APG53" s="384"/>
      <c r="APH53" s="384"/>
      <c r="API53" s="384"/>
      <c r="APJ53" s="384"/>
      <c r="APK53" s="384"/>
      <c r="APL53" s="384"/>
      <c r="APM53" s="384"/>
      <c r="APN53" s="384"/>
      <c r="APO53" s="384"/>
      <c r="APP53" s="384"/>
      <c r="APQ53" s="384"/>
      <c r="APR53" s="384"/>
      <c r="APS53" s="384"/>
      <c r="APT53" s="384"/>
      <c r="APU53" s="384"/>
      <c r="APV53" s="384"/>
      <c r="APW53" s="384"/>
      <c r="APX53" s="384"/>
      <c r="APY53" s="384"/>
      <c r="APZ53" s="384"/>
      <c r="AQA53" s="384"/>
      <c r="AQB53" s="384"/>
      <c r="AQC53" s="384"/>
      <c r="AQD53" s="384"/>
      <c r="AQE53" s="384"/>
      <c r="AQF53" s="384"/>
      <c r="AQG53" s="384"/>
      <c r="AQH53" s="384"/>
      <c r="AQI53" s="384"/>
      <c r="AQJ53" s="384"/>
      <c r="AQK53" s="384"/>
      <c r="AQL53" s="384"/>
      <c r="AQM53" s="384"/>
      <c r="AQN53" s="384"/>
      <c r="AQO53" s="384"/>
      <c r="AQP53" s="384"/>
      <c r="AQQ53" s="384"/>
      <c r="AQR53" s="384"/>
      <c r="AQS53" s="384"/>
      <c r="AQT53" s="384"/>
      <c r="AQU53" s="384"/>
      <c r="AQV53" s="384"/>
      <c r="AQW53" s="384"/>
      <c r="AQX53" s="384"/>
      <c r="AQY53" s="384"/>
      <c r="AQZ53" s="384"/>
      <c r="ARA53" s="384"/>
      <c r="ARB53" s="384"/>
      <c r="ARC53" s="384"/>
      <c r="ARD53" s="384"/>
      <c r="ARE53" s="384"/>
      <c r="ARF53" s="384"/>
      <c r="ARG53" s="384"/>
      <c r="ARH53" s="384"/>
      <c r="ARI53" s="384"/>
      <c r="ARJ53" s="384"/>
      <c r="ARK53" s="384"/>
      <c r="ARL53" s="384"/>
      <c r="ARM53" s="384"/>
      <c r="ARN53" s="384"/>
      <c r="ARO53" s="384"/>
      <c r="ARP53" s="384"/>
      <c r="ARQ53" s="384"/>
      <c r="ARR53" s="384"/>
      <c r="ARS53" s="384"/>
      <c r="ART53" s="384"/>
      <c r="ARU53" s="384"/>
      <c r="ARV53" s="384"/>
      <c r="ARW53" s="384"/>
      <c r="ARX53" s="384"/>
      <c r="ARY53" s="384"/>
      <c r="ARZ53" s="384"/>
      <c r="ASA53" s="384"/>
      <c r="ASB53" s="384"/>
      <c r="ASC53" s="384"/>
      <c r="ASD53" s="384"/>
      <c r="ASE53" s="384"/>
      <c r="ASF53" s="384"/>
      <c r="ASG53" s="384"/>
      <c r="ASH53" s="384"/>
      <c r="ASI53" s="384"/>
      <c r="ASJ53" s="384"/>
      <c r="ASK53" s="384"/>
      <c r="ASL53" s="384"/>
      <c r="ASM53" s="384"/>
      <c r="ASN53" s="384"/>
      <c r="ASO53" s="384"/>
      <c r="ASP53" s="384"/>
      <c r="ASQ53" s="384"/>
      <c r="ASR53" s="384"/>
      <c r="ASS53" s="384"/>
      <c r="AST53" s="384"/>
      <c r="ASU53" s="384"/>
      <c r="ASV53" s="384"/>
      <c r="ASW53" s="384"/>
      <c r="ASX53" s="384"/>
      <c r="ASY53" s="384"/>
      <c r="ASZ53" s="384"/>
      <c r="ATA53" s="384"/>
      <c r="ATB53" s="384"/>
      <c r="ATC53" s="384"/>
      <c r="ATD53" s="384"/>
      <c r="ATE53" s="384"/>
      <c r="ATF53" s="384"/>
      <c r="ATG53" s="384"/>
      <c r="ATH53" s="384"/>
      <c r="ATI53" s="384"/>
      <c r="ATJ53" s="384"/>
      <c r="ATK53" s="384"/>
      <c r="ATL53" s="384"/>
      <c r="ATM53" s="384"/>
      <c r="ATN53" s="384"/>
      <c r="ATO53" s="384"/>
      <c r="ATP53" s="384"/>
      <c r="ATQ53" s="384"/>
      <c r="ATR53" s="384"/>
      <c r="ATS53" s="384"/>
      <c r="ATT53" s="384"/>
      <c r="ATU53" s="384"/>
      <c r="ATV53" s="384"/>
      <c r="ATW53" s="384"/>
      <c r="ATX53" s="384"/>
      <c r="ATY53" s="384"/>
      <c r="ATZ53" s="384"/>
      <c r="AUA53" s="384"/>
      <c r="AUB53" s="384"/>
      <c r="AUC53" s="384"/>
      <c r="AUD53" s="384"/>
      <c r="AUE53" s="384"/>
      <c r="AUF53" s="384"/>
      <c r="AUG53" s="384"/>
      <c r="AUH53" s="384"/>
      <c r="AUI53" s="384"/>
      <c r="AUJ53" s="384"/>
      <c r="AUK53" s="384"/>
      <c r="AUL53" s="384"/>
      <c r="AUM53" s="384"/>
      <c r="AUN53" s="384"/>
      <c r="AUO53" s="384"/>
      <c r="AUP53" s="384"/>
      <c r="AUQ53" s="384"/>
      <c r="AUR53" s="384"/>
      <c r="AUS53" s="384"/>
      <c r="AUT53" s="384"/>
      <c r="AUU53" s="384"/>
      <c r="AUV53" s="384"/>
      <c r="AUW53" s="384"/>
      <c r="AUX53" s="384"/>
      <c r="AUY53" s="384"/>
      <c r="AUZ53" s="384"/>
      <c r="AVA53" s="384"/>
      <c r="AVB53" s="384"/>
      <c r="AVC53" s="384"/>
      <c r="AVD53" s="384"/>
      <c r="AVE53" s="384"/>
      <c r="AVF53" s="384"/>
      <c r="AVG53" s="384"/>
      <c r="AVH53" s="384"/>
      <c r="AVI53" s="384"/>
      <c r="AVJ53" s="384"/>
      <c r="AVK53" s="384"/>
      <c r="AVL53" s="384"/>
      <c r="AVM53" s="384"/>
      <c r="AVN53" s="384"/>
      <c r="AVO53" s="384"/>
      <c r="AVP53" s="384"/>
      <c r="AVQ53" s="384"/>
      <c r="AVR53" s="384"/>
      <c r="AVS53" s="384"/>
      <c r="AVT53" s="384"/>
      <c r="AVU53" s="384"/>
      <c r="AVV53" s="384"/>
      <c r="AVW53" s="384"/>
      <c r="AVX53" s="384"/>
      <c r="AVY53" s="384"/>
      <c r="AVZ53" s="384"/>
      <c r="AWA53" s="384"/>
      <c r="AWB53" s="384"/>
      <c r="AWC53" s="384"/>
      <c r="AWD53" s="384"/>
      <c r="AWE53" s="384"/>
      <c r="AWF53" s="384"/>
      <c r="AWG53" s="384"/>
      <c r="AWH53" s="384"/>
      <c r="AWI53" s="384"/>
      <c r="AWJ53" s="384"/>
      <c r="AWK53" s="384"/>
      <c r="AWL53" s="384"/>
      <c r="AWM53" s="384"/>
      <c r="AWN53" s="384"/>
      <c r="AWO53" s="384"/>
      <c r="AWP53" s="384"/>
      <c r="AWQ53" s="384"/>
      <c r="AWR53" s="384"/>
      <c r="AWS53" s="384"/>
      <c r="AWT53" s="384"/>
      <c r="AWU53" s="384"/>
      <c r="AWV53" s="384"/>
      <c r="AWW53" s="384"/>
      <c r="AWX53" s="384"/>
      <c r="AWY53" s="384"/>
      <c r="AWZ53" s="384"/>
      <c r="AXA53" s="384"/>
      <c r="AXB53" s="384"/>
      <c r="AXC53" s="384"/>
      <c r="AXD53" s="384"/>
      <c r="AXE53" s="384"/>
      <c r="AXF53" s="384"/>
      <c r="AXG53" s="384"/>
      <c r="AXH53" s="384"/>
      <c r="AXI53" s="384"/>
      <c r="AXJ53" s="384"/>
      <c r="AXK53" s="384"/>
      <c r="AXL53" s="384"/>
      <c r="AXM53" s="384"/>
      <c r="AXN53" s="384"/>
      <c r="AXO53" s="384"/>
      <c r="AXP53" s="384"/>
      <c r="AXQ53" s="384"/>
      <c r="AXR53" s="384"/>
      <c r="AXS53" s="384"/>
      <c r="AXT53" s="384"/>
      <c r="AXU53" s="384"/>
      <c r="AXV53" s="384"/>
      <c r="AXW53" s="384"/>
      <c r="AXX53" s="384"/>
      <c r="AXY53" s="384"/>
      <c r="AXZ53" s="384"/>
      <c r="AYA53" s="384"/>
      <c r="AYB53" s="384"/>
      <c r="AYC53" s="384"/>
      <c r="AYD53" s="384"/>
      <c r="AYE53" s="384"/>
      <c r="AYF53" s="384"/>
      <c r="AYG53" s="384"/>
      <c r="AYH53" s="384"/>
      <c r="AYI53" s="384"/>
      <c r="AYJ53" s="384"/>
      <c r="AYK53" s="384"/>
      <c r="AYL53" s="384"/>
      <c r="AYM53" s="384"/>
      <c r="AYN53" s="384"/>
      <c r="AYO53" s="384"/>
      <c r="AYP53" s="384"/>
      <c r="AYQ53" s="384"/>
      <c r="AYR53" s="384"/>
      <c r="AYS53" s="384"/>
      <c r="AYT53" s="384"/>
      <c r="AYU53" s="384"/>
      <c r="AYV53" s="384"/>
      <c r="AYW53" s="384"/>
      <c r="AYX53" s="384"/>
      <c r="AYY53" s="384"/>
      <c r="AYZ53" s="384"/>
      <c r="AZA53" s="384"/>
      <c r="AZB53" s="384"/>
      <c r="AZC53" s="384"/>
      <c r="AZD53" s="384"/>
      <c r="AZE53" s="384"/>
      <c r="AZF53" s="384"/>
      <c r="AZG53" s="384"/>
      <c r="AZH53" s="384"/>
      <c r="AZI53" s="384"/>
      <c r="AZJ53" s="384"/>
      <c r="AZK53" s="384"/>
      <c r="AZL53" s="384"/>
      <c r="AZM53" s="384"/>
      <c r="AZN53" s="384"/>
      <c r="AZO53" s="384"/>
      <c r="AZP53" s="384"/>
      <c r="AZQ53" s="384"/>
      <c r="AZR53" s="384"/>
      <c r="AZS53" s="384"/>
      <c r="AZT53" s="384"/>
      <c r="AZU53" s="384"/>
      <c r="AZV53" s="384"/>
      <c r="AZW53" s="384"/>
      <c r="AZX53" s="384"/>
      <c r="AZY53" s="384"/>
      <c r="AZZ53" s="384"/>
      <c r="BAA53" s="384"/>
      <c r="BAB53" s="384"/>
      <c r="BAC53" s="384"/>
      <c r="BAD53" s="384"/>
      <c r="BAE53" s="384"/>
      <c r="BAF53" s="384"/>
      <c r="BAG53" s="384"/>
      <c r="BAH53" s="384"/>
      <c r="BAI53" s="384"/>
      <c r="BAJ53" s="384"/>
      <c r="BAK53" s="384"/>
      <c r="BAL53" s="384"/>
      <c r="BAM53" s="384"/>
      <c r="BAN53" s="384"/>
      <c r="BAO53" s="384"/>
      <c r="BAP53" s="384"/>
      <c r="BAQ53" s="384"/>
      <c r="BAR53" s="384"/>
      <c r="BAS53" s="384"/>
      <c r="BAT53" s="384"/>
      <c r="BAU53" s="384"/>
      <c r="BAV53" s="384"/>
      <c r="BAW53" s="384"/>
      <c r="BAX53" s="384"/>
      <c r="BAY53" s="384"/>
      <c r="BAZ53" s="384"/>
      <c r="BBA53" s="384"/>
      <c r="BBB53" s="384"/>
      <c r="BBC53" s="384"/>
      <c r="BBD53" s="384"/>
      <c r="BBE53" s="384"/>
      <c r="BBF53" s="384"/>
      <c r="BBG53" s="384"/>
      <c r="BBH53" s="384"/>
      <c r="BBI53" s="384"/>
      <c r="BBJ53" s="384"/>
      <c r="BBK53" s="384"/>
      <c r="BBL53" s="384"/>
      <c r="BBM53" s="384"/>
      <c r="BBN53" s="384"/>
      <c r="BBO53" s="384"/>
      <c r="BBP53" s="384"/>
      <c r="BBQ53" s="384"/>
      <c r="BBR53" s="384"/>
      <c r="BBS53" s="384"/>
      <c r="BBT53" s="384"/>
      <c r="BBU53" s="384"/>
      <c r="BBV53" s="384"/>
      <c r="BBW53" s="384"/>
      <c r="BBX53" s="384"/>
      <c r="BBY53" s="384"/>
      <c r="BBZ53" s="384"/>
      <c r="BCA53" s="384"/>
      <c r="BCB53" s="384"/>
      <c r="BCC53" s="384"/>
      <c r="BCD53" s="384"/>
      <c r="BCE53" s="384"/>
      <c r="BCF53" s="384"/>
      <c r="BCG53" s="384"/>
      <c r="BCH53" s="384"/>
      <c r="BCI53" s="384"/>
      <c r="BCJ53" s="384"/>
      <c r="BCK53" s="384"/>
      <c r="BCL53" s="384"/>
      <c r="BCM53" s="384"/>
      <c r="BCN53" s="384"/>
      <c r="BCO53" s="384"/>
      <c r="BCP53" s="384"/>
      <c r="BCQ53" s="384"/>
      <c r="BCR53" s="384"/>
      <c r="BCS53" s="384"/>
      <c r="BCT53" s="384"/>
      <c r="BCU53" s="384"/>
      <c r="BCV53" s="384"/>
      <c r="BCW53" s="384"/>
      <c r="BCX53" s="384"/>
      <c r="BCY53" s="384"/>
      <c r="BCZ53" s="384"/>
      <c r="BDA53" s="384"/>
      <c r="BDB53" s="384"/>
      <c r="BDC53" s="384"/>
      <c r="BDD53" s="384"/>
      <c r="BDE53" s="384"/>
      <c r="BDF53" s="384"/>
      <c r="BDG53" s="384"/>
      <c r="BDH53" s="384"/>
      <c r="BDI53" s="384"/>
      <c r="BDJ53" s="384"/>
      <c r="BDK53" s="384"/>
      <c r="BDL53" s="384"/>
      <c r="BDM53" s="384"/>
      <c r="BDN53" s="384"/>
      <c r="BDO53" s="384"/>
      <c r="BDP53" s="384"/>
      <c r="BDQ53" s="384"/>
      <c r="BDR53" s="384"/>
      <c r="BDS53" s="384"/>
      <c r="BDT53" s="384"/>
      <c r="BDU53" s="384"/>
      <c r="BDV53" s="384"/>
      <c r="BDW53" s="384"/>
      <c r="BDX53" s="384"/>
      <c r="BDY53" s="384"/>
      <c r="BDZ53" s="384"/>
      <c r="BEA53" s="384"/>
      <c r="BEB53" s="384"/>
      <c r="BEC53" s="384"/>
      <c r="BED53" s="384"/>
      <c r="BEE53" s="384"/>
      <c r="BEF53" s="384"/>
      <c r="BEG53" s="384"/>
      <c r="BEH53" s="384"/>
      <c r="BEI53" s="384"/>
      <c r="BEJ53" s="384"/>
      <c r="BEK53" s="384"/>
      <c r="BEL53" s="384"/>
      <c r="BEM53" s="384"/>
      <c r="BEN53" s="384"/>
      <c r="BEO53" s="384"/>
      <c r="BEP53" s="384"/>
      <c r="BEQ53" s="384"/>
      <c r="BER53" s="384"/>
      <c r="BES53" s="384"/>
      <c r="BET53" s="384"/>
      <c r="BEU53" s="384"/>
      <c r="BEV53" s="384"/>
      <c r="BEW53" s="384"/>
      <c r="BEX53" s="384"/>
      <c r="BEY53" s="384"/>
      <c r="BEZ53" s="384"/>
      <c r="BFA53" s="384"/>
      <c r="BFB53" s="384"/>
      <c r="BFC53" s="384"/>
      <c r="BFD53" s="384"/>
      <c r="BFE53" s="384"/>
      <c r="BFF53" s="384"/>
      <c r="BFG53" s="384"/>
      <c r="BFH53" s="384"/>
      <c r="BFI53" s="384"/>
      <c r="BFJ53" s="384"/>
      <c r="BFK53" s="384"/>
      <c r="BFL53" s="384"/>
      <c r="BFM53" s="384"/>
      <c r="BFN53" s="384"/>
      <c r="BFO53" s="384"/>
      <c r="BFP53" s="384"/>
      <c r="BFQ53" s="384"/>
      <c r="BFR53" s="384"/>
      <c r="BFS53" s="384"/>
      <c r="BFT53" s="384"/>
      <c r="BFU53" s="384"/>
      <c r="BFV53" s="384"/>
      <c r="BFW53" s="384"/>
      <c r="BFX53" s="384"/>
      <c r="BFY53" s="384"/>
      <c r="BFZ53" s="384"/>
      <c r="BGA53" s="384"/>
      <c r="BGB53" s="384"/>
      <c r="BGC53" s="384"/>
      <c r="BGD53" s="384"/>
      <c r="BGE53" s="384"/>
      <c r="BGF53" s="384"/>
      <c r="BGG53" s="384"/>
      <c r="BGH53" s="384"/>
      <c r="BGI53" s="384"/>
      <c r="BGJ53" s="384"/>
      <c r="BGK53" s="384"/>
      <c r="BGL53" s="384"/>
      <c r="BGM53" s="384"/>
      <c r="BGN53" s="384"/>
      <c r="BGO53" s="384"/>
      <c r="BGP53" s="384"/>
      <c r="BGQ53" s="384"/>
      <c r="BGR53" s="384"/>
      <c r="BGS53" s="384"/>
      <c r="BGT53" s="384"/>
      <c r="BGU53" s="384"/>
      <c r="BGV53" s="384"/>
      <c r="BGW53" s="384"/>
      <c r="BGX53" s="384"/>
      <c r="BGY53" s="384"/>
      <c r="BGZ53" s="384"/>
      <c r="BHA53" s="384"/>
      <c r="BHB53" s="384"/>
      <c r="BHC53" s="384"/>
      <c r="BHD53" s="384"/>
      <c r="BHE53" s="384"/>
      <c r="BHF53" s="384"/>
      <c r="BHG53" s="384"/>
      <c r="BHH53" s="384"/>
      <c r="BHI53" s="384"/>
      <c r="BHJ53" s="384"/>
      <c r="BHK53" s="384"/>
      <c r="BHL53" s="384"/>
      <c r="BHM53" s="384"/>
      <c r="BHN53" s="384"/>
      <c r="BHO53" s="384"/>
      <c r="BHP53" s="384"/>
      <c r="BHQ53" s="384"/>
      <c r="BHR53" s="384"/>
      <c r="BHS53" s="384"/>
      <c r="BHT53" s="384"/>
      <c r="BHU53" s="384"/>
      <c r="BHV53" s="384"/>
      <c r="BHW53" s="384"/>
      <c r="BHX53" s="384"/>
      <c r="BHY53" s="384"/>
      <c r="BHZ53" s="384"/>
      <c r="BIA53" s="384"/>
      <c r="BIB53" s="384"/>
      <c r="BIC53" s="384"/>
      <c r="BID53" s="384"/>
      <c r="BIE53" s="384"/>
      <c r="BIF53" s="384"/>
      <c r="BIG53" s="384"/>
      <c r="BIH53" s="384"/>
      <c r="BII53" s="384"/>
      <c r="BIJ53" s="384"/>
      <c r="BIK53" s="384"/>
      <c r="BIL53" s="384"/>
      <c r="BIM53" s="384"/>
      <c r="BIN53" s="384"/>
      <c r="BIO53" s="384"/>
      <c r="BIP53" s="384"/>
      <c r="BIQ53" s="384"/>
      <c r="BIR53" s="384"/>
      <c r="BIS53" s="384"/>
      <c r="BIT53" s="384"/>
      <c r="BIU53" s="384"/>
      <c r="BIV53" s="384"/>
      <c r="BIW53" s="384"/>
      <c r="BIX53" s="384"/>
      <c r="BIY53" s="384"/>
      <c r="BIZ53" s="384"/>
      <c r="BJA53" s="384"/>
      <c r="BJB53" s="384"/>
      <c r="BJC53" s="384"/>
      <c r="BJD53" s="384"/>
      <c r="BJE53" s="384"/>
      <c r="BJF53" s="384"/>
      <c r="BJG53" s="384"/>
      <c r="BJH53" s="384"/>
      <c r="BJI53" s="384"/>
      <c r="BJJ53" s="384"/>
      <c r="BJK53" s="384"/>
      <c r="BJL53" s="384"/>
      <c r="BJM53" s="384"/>
      <c r="BJN53" s="384"/>
      <c r="BJO53" s="384"/>
      <c r="BJP53" s="384"/>
      <c r="BJQ53" s="384"/>
      <c r="BJR53" s="384"/>
      <c r="BJS53" s="384"/>
      <c r="BJT53" s="384"/>
      <c r="BJU53" s="384"/>
      <c r="BJV53" s="384"/>
      <c r="BJW53" s="384"/>
      <c r="BJX53" s="384"/>
      <c r="BJY53" s="384"/>
      <c r="BJZ53" s="384"/>
      <c r="BKA53" s="384"/>
      <c r="BKB53" s="384"/>
      <c r="BKC53" s="384"/>
      <c r="BKD53" s="384"/>
      <c r="BKE53" s="384"/>
      <c r="BKF53" s="384"/>
      <c r="BKG53" s="384"/>
      <c r="BKH53" s="384"/>
      <c r="BKI53" s="384"/>
      <c r="BKJ53" s="384"/>
      <c r="BKK53" s="384"/>
      <c r="BKL53" s="384"/>
      <c r="BKM53" s="384"/>
      <c r="BKN53" s="384"/>
      <c r="BKO53" s="384"/>
      <c r="BKP53" s="384"/>
      <c r="BKQ53" s="384"/>
      <c r="BKR53" s="384"/>
      <c r="BKS53" s="384"/>
      <c r="BKT53" s="384"/>
      <c r="BKU53" s="384"/>
      <c r="BKV53" s="384"/>
      <c r="BKW53" s="384"/>
      <c r="BKX53" s="384"/>
      <c r="BKY53" s="384"/>
      <c r="BKZ53" s="384"/>
      <c r="BLA53" s="384"/>
      <c r="BLB53" s="384"/>
      <c r="BLC53" s="384"/>
      <c r="BLD53" s="384"/>
      <c r="BLE53" s="384"/>
      <c r="BLF53" s="384"/>
      <c r="BLG53" s="384"/>
      <c r="BLH53" s="384"/>
      <c r="BLI53" s="384"/>
      <c r="BLJ53" s="384"/>
      <c r="BLK53" s="384"/>
      <c r="BLL53" s="384"/>
      <c r="BLM53" s="384"/>
      <c r="BLN53" s="384"/>
      <c r="BLO53" s="384"/>
      <c r="BLP53" s="384"/>
      <c r="BLQ53" s="384"/>
      <c r="BLR53" s="384"/>
      <c r="BLS53" s="384"/>
      <c r="BLT53" s="384"/>
      <c r="BLU53" s="384"/>
      <c r="BLV53" s="384"/>
      <c r="BLW53" s="384"/>
      <c r="BLX53" s="384"/>
      <c r="BLY53" s="384"/>
      <c r="BLZ53" s="384"/>
      <c r="BMA53" s="384"/>
      <c r="BMB53" s="384"/>
      <c r="BMC53" s="384"/>
      <c r="BMD53" s="384"/>
      <c r="BME53" s="384"/>
      <c r="BMF53" s="384"/>
      <c r="BMG53" s="384"/>
      <c r="BMH53" s="384"/>
      <c r="BMI53" s="384"/>
      <c r="BMJ53" s="384"/>
      <c r="BMK53" s="384"/>
      <c r="BML53" s="384"/>
      <c r="BMM53" s="384"/>
      <c r="BMN53" s="384"/>
      <c r="BMO53" s="384"/>
      <c r="BMP53" s="384"/>
      <c r="BMQ53" s="384"/>
      <c r="BMR53" s="384"/>
      <c r="BMS53" s="384"/>
      <c r="BMT53" s="384"/>
      <c r="BMU53" s="384"/>
      <c r="BMV53" s="384"/>
      <c r="BMW53" s="384"/>
      <c r="BMX53" s="384"/>
      <c r="BMY53" s="384"/>
      <c r="BMZ53" s="384"/>
      <c r="BNA53" s="384"/>
      <c r="BNB53" s="384"/>
      <c r="BNC53" s="384"/>
      <c r="BND53" s="384"/>
      <c r="BNE53" s="384"/>
      <c r="BNF53" s="384"/>
      <c r="BNG53" s="384"/>
      <c r="BNH53" s="384"/>
      <c r="BNI53" s="384"/>
      <c r="BNJ53" s="384"/>
      <c r="BNK53" s="384"/>
      <c r="BNL53" s="384"/>
      <c r="BNM53" s="384"/>
      <c r="BNN53" s="384"/>
      <c r="BNO53" s="384"/>
      <c r="BNP53" s="384"/>
      <c r="BNQ53" s="384"/>
      <c r="BNR53" s="384"/>
      <c r="BNS53" s="384"/>
      <c r="BNT53" s="384"/>
      <c r="BNU53" s="384"/>
      <c r="BNV53" s="384"/>
      <c r="BNW53" s="384"/>
      <c r="BNX53" s="384"/>
      <c r="BNY53" s="384"/>
      <c r="BNZ53" s="384"/>
      <c r="BOA53" s="384"/>
      <c r="BOB53" s="384"/>
      <c r="BOC53" s="384"/>
      <c r="BOD53" s="384"/>
      <c r="BOE53" s="384"/>
      <c r="BOF53" s="384"/>
      <c r="BOG53" s="384"/>
      <c r="BOH53" s="384"/>
      <c r="BOI53" s="384"/>
      <c r="BOJ53" s="384"/>
      <c r="BOK53" s="384"/>
      <c r="BOL53" s="384"/>
      <c r="BOM53" s="384"/>
      <c r="BON53" s="384"/>
      <c r="BOO53" s="384"/>
      <c r="BOP53" s="384"/>
      <c r="BOQ53" s="384"/>
      <c r="BOR53" s="384"/>
      <c r="BOS53" s="384"/>
      <c r="BOT53" s="384"/>
      <c r="BOU53" s="384"/>
      <c r="BOV53" s="384"/>
      <c r="BOW53" s="384"/>
      <c r="BOX53" s="384"/>
      <c r="BOY53" s="384"/>
      <c r="BOZ53" s="384"/>
      <c r="BPA53" s="384"/>
      <c r="BPB53" s="384"/>
      <c r="BPC53" s="384"/>
      <c r="BPD53" s="384"/>
      <c r="BPE53" s="384"/>
      <c r="BPF53" s="384"/>
      <c r="BPG53" s="384"/>
      <c r="BPH53" s="384"/>
      <c r="BPI53" s="384"/>
      <c r="BPJ53" s="384"/>
      <c r="BPK53" s="384"/>
      <c r="BPL53" s="384"/>
      <c r="BPM53" s="384"/>
      <c r="BPN53" s="384"/>
      <c r="BPO53" s="384"/>
      <c r="BPP53" s="384"/>
      <c r="BPQ53" s="384"/>
      <c r="BPR53" s="384"/>
      <c r="BPS53" s="384"/>
      <c r="BPT53" s="384"/>
      <c r="BPU53" s="384"/>
      <c r="BPV53" s="384"/>
      <c r="BPW53" s="384"/>
      <c r="BPX53" s="384"/>
      <c r="BPY53" s="384"/>
      <c r="BPZ53" s="384"/>
      <c r="BQA53" s="384"/>
      <c r="BQB53" s="384"/>
      <c r="BQC53" s="384"/>
      <c r="BQD53" s="384"/>
      <c r="BQE53" s="384"/>
      <c r="BQF53" s="384"/>
      <c r="BQG53" s="384"/>
      <c r="BQH53" s="384"/>
      <c r="BQI53" s="384"/>
      <c r="BQJ53" s="384"/>
      <c r="BQK53" s="384"/>
      <c r="BQL53" s="384"/>
      <c r="BQM53" s="384"/>
      <c r="BQN53" s="384"/>
      <c r="BQO53" s="384"/>
      <c r="BQP53" s="384"/>
      <c r="BQQ53" s="384"/>
      <c r="BQR53" s="384"/>
      <c r="BQS53" s="384"/>
      <c r="BQT53" s="384"/>
      <c r="BQU53" s="384"/>
      <c r="BQV53" s="384"/>
      <c r="BQW53" s="384"/>
      <c r="BQX53" s="384"/>
      <c r="BQY53" s="384"/>
      <c r="BQZ53" s="384"/>
      <c r="BRA53" s="384"/>
      <c r="BRB53" s="384"/>
      <c r="BRC53" s="384"/>
      <c r="BRD53" s="384"/>
      <c r="BRE53" s="384"/>
      <c r="BRF53" s="384"/>
      <c r="BRG53" s="384"/>
      <c r="BRH53" s="384"/>
      <c r="BRI53" s="384"/>
      <c r="BRJ53" s="384"/>
      <c r="BRK53" s="384"/>
      <c r="BRL53" s="384"/>
      <c r="BRM53" s="384"/>
      <c r="BRN53" s="384"/>
      <c r="BRO53" s="384"/>
      <c r="BRP53" s="384"/>
      <c r="BRQ53" s="384"/>
      <c r="BRR53" s="384"/>
      <c r="BRS53" s="384"/>
      <c r="BRT53" s="384"/>
      <c r="BRU53" s="384"/>
      <c r="BRV53" s="384"/>
      <c r="BRW53" s="384"/>
      <c r="BRX53" s="384"/>
      <c r="BRY53" s="384"/>
      <c r="BRZ53" s="384"/>
      <c r="BSA53" s="384"/>
      <c r="BSB53" s="384"/>
      <c r="BSC53" s="384"/>
      <c r="BSD53" s="384"/>
      <c r="BSE53" s="384"/>
      <c r="BSF53" s="384"/>
      <c r="BSG53" s="384"/>
      <c r="BSH53" s="384"/>
      <c r="BSI53" s="384"/>
      <c r="BSJ53" s="384"/>
      <c r="BSK53" s="384"/>
      <c r="BSL53" s="384"/>
      <c r="BSM53" s="384"/>
      <c r="BSN53" s="384"/>
      <c r="BSO53" s="384"/>
      <c r="BSP53" s="384"/>
      <c r="BSQ53" s="384"/>
      <c r="BSR53" s="384"/>
      <c r="BSS53" s="384"/>
      <c r="BST53" s="384"/>
      <c r="BSU53" s="384"/>
      <c r="BSV53" s="384"/>
      <c r="BSW53" s="384"/>
      <c r="BSX53" s="384"/>
      <c r="BSY53" s="384"/>
      <c r="BSZ53" s="384"/>
      <c r="BTA53" s="384"/>
      <c r="BTB53" s="384"/>
      <c r="BTC53" s="384"/>
      <c r="BTD53" s="384"/>
      <c r="BTE53" s="384"/>
      <c r="BTF53" s="384"/>
      <c r="BTG53" s="384"/>
      <c r="BTH53" s="384"/>
      <c r="BTI53" s="384"/>
      <c r="BTJ53" s="384"/>
      <c r="BTK53" s="384"/>
      <c r="BTL53" s="384"/>
      <c r="BTM53" s="384"/>
      <c r="BTN53" s="384"/>
      <c r="BTO53" s="384"/>
      <c r="BTP53" s="384"/>
      <c r="BTQ53" s="384"/>
      <c r="BTR53" s="384"/>
      <c r="BTS53" s="384"/>
      <c r="BTT53" s="384"/>
      <c r="BTU53" s="384"/>
      <c r="BTV53" s="384"/>
      <c r="BTW53" s="384"/>
      <c r="BTX53" s="384"/>
      <c r="BTY53" s="384"/>
      <c r="BTZ53" s="384"/>
      <c r="BUA53" s="384"/>
      <c r="BUB53" s="384"/>
      <c r="BUC53" s="384"/>
      <c r="BUD53" s="384"/>
      <c r="BUE53" s="384"/>
      <c r="BUF53" s="384"/>
      <c r="BUG53" s="384"/>
      <c r="BUH53" s="384"/>
      <c r="BUI53" s="384"/>
      <c r="BUJ53" s="384"/>
      <c r="BUK53" s="384"/>
      <c r="BUL53" s="384"/>
      <c r="BUM53" s="384"/>
      <c r="BUN53" s="384"/>
      <c r="BUO53" s="384"/>
      <c r="BUP53" s="384"/>
      <c r="BUQ53" s="384"/>
      <c r="BUR53" s="384"/>
      <c r="BUS53" s="384"/>
      <c r="BUT53" s="384"/>
      <c r="BUU53" s="384"/>
      <c r="BUV53" s="384"/>
      <c r="BUW53" s="384"/>
      <c r="BUX53" s="384"/>
      <c r="BUY53" s="384"/>
      <c r="BUZ53" s="384"/>
      <c r="BVA53" s="384"/>
      <c r="BVB53" s="384"/>
      <c r="BVC53" s="384"/>
      <c r="BVD53" s="384"/>
      <c r="BVE53" s="384"/>
      <c r="BVF53" s="384"/>
      <c r="BVG53" s="384"/>
      <c r="BVH53" s="384"/>
      <c r="BVI53" s="384"/>
      <c r="BVJ53" s="384"/>
      <c r="BVK53" s="384"/>
      <c r="BVL53" s="384"/>
      <c r="BVM53" s="384"/>
      <c r="BVN53" s="384"/>
      <c r="BVO53" s="384"/>
      <c r="BVP53" s="384"/>
      <c r="BVQ53" s="384"/>
      <c r="BVR53" s="384"/>
      <c r="BVS53" s="384"/>
      <c r="BVT53" s="384"/>
      <c r="BVU53" s="384"/>
      <c r="BVV53" s="384"/>
      <c r="BVW53" s="384"/>
      <c r="BVX53" s="384"/>
      <c r="BVY53" s="384"/>
      <c r="BVZ53" s="384"/>
      <c r="BWA53" s="384"/>
      <c r="BWB53" s="384"/>
      <c r="BWC53" s="384"/>
      <c r="BWD53" s="384"/>
      <c r="BWE53" s="384"/>
      <c r="BWF53" s="384"/>
      <c r="BWG53" s="384"/>
      <c r="BWH53" s="384"/>
      <c r="BWI53" s="384"/>
      <c r="BWJ53" s="384"/>
      <c r="BWK53" s="384"/>
      <c r="BWL53" s="384"/>
      <c r="BWM53" s="384"/>
      <c r="BWN53" s="384"/>
      <c r="BWO53" s="384"/>
      <c r="BWP53" s="384"/>
      <c r="BWQ53" s="384"/>
      <c r="BWR53" s="384"/>
      <c r="BWS53" s="384"/>
      <c r="BWT53" s="384"/>
      <c r="BWU53" s="384"/>
      <c r="BWV53" s="384"/>
      <c r="BWW53" s="384"/>
      <c r="BWX53" s="384"/>
      <c r="BWY53" s="384"/>
      <c r="BWZ53" s="384"/>
      <c r="BXA53" s="384"/>
      <c r="BXB53" s="384"/>
      <c r="BXC53" s="384"/>
      <c r="BXD53" s="384"/>
      <c r="BXE53" s="384"/>
      <c r="BXF53" s="384"/>
      <c r="BXG53" s="384"/>
      <c r="BXH53" s="384"/>
      <c r="BXI53" s="384"/>
      <c r="BXJ53" s="384"/>
      <c r="BXK53" s="384"/>
      <c r="BXL53" s="384"/>
      <c r="BXM53" s="384"/>
      <c r="BXN53" s="384"/>
      <c r="BXO53" s="384"/>
      <c r="BXP53" s="384"/>
      <c r="BXQ53" s="384"/>
      <c r="BXR53" s="384"/>
      <c r="BXS53" s="384"/>
      <c r="BXT53" s="384"/>
      <c r="BXU53" s="384"/>
      <c r="BXV53" s="384"/>
      <c r="BXW53" s="384"/>
      <c r="BXX53" s="384"/>
      <c r="BXY53" s="384"/>
      <c r="BXZ53" s="384"/>
      <c r="BYA53" s="384"/>
      <c r="BYB53" s="384"/>
      <c r="BYC53" s="384"/>
      <c r="BYD53" s="384"/>
      <c r="BYE53" s="384"/>
      <c r="BYF53" s="384"/>
      <c r="BYG53" s="384"/>
      <c r="BYH53" s="384"/>
      <c r="BYI53" s="384"/>
      <c r="BYJ53" s="384"/>
      <c r="BYK53" s="384"/>
      <c r="BYL53" s="384"/>
      <c r="BYM53" s="384"/>
      <c r="BYN53" s="384"/>
      <c r="BYO53" s="384"/>
      <c r="BYP53" s="384"/>
      <c r="BYQ53" s="384"/>
      <c r="BYR53" s="384"/>
      <c r="BYS53" s="384"/>
      <c r="BYT53" s="384"/>
      <c r="BYU53" s="384"/>
      <c r="BYV53" s="384"/>
      <c r="BYW53" s="384"/>
      <c r="BYX53" s="384"/>
      <c r="BYY53" s="384"/>
      <c r="BYZ53" s="384"/>
      <c r="BZA53" s="384"/>
      <c r="BZB53" s="384"/>
      <c r="BZC53" s="384"/>
      <c r="BZD53" s="384"/>
      <c r="BZE53" s="384"/>
      <c r="BZF53" s="384"/>
      <c r="BZG53" s="384"/>
      <c r="BZH53" s="384"/>
      <c r="BZI53" s="384"/>
      <c r="BZJ53" s="384"/>
      <c r="BZK53" s="384"/>
      <c r="BZL53" s="384"/>
      <c r="BZM53" s="384"/>
      <c r="BZN53" s="384"/>
      <c r="BZO53" s="384"/>
      <c r="BZP53" s="384"/>
      <c r="BZQ53" s="384"/>
      <c r="BZR53" s="384"/>
      <c r="BZS53" s="384"/>
      <c r="BZT53" s="384"/>
      <c r="BZU53" s="384"/>
      <c r="BZV53" s="384"/>
      <c r="BZW53" s="384"/>
      <c r="BZX53" s="384"/>
      <c r="BZY53" s="384"/>
      <c r="BZZ53" s="384"/>
      <c r="CAA53" s="384"/>
      <c r="CAB53" s="384"/>
      <c r="CAC53" s="384"/>
      <c r="CAD53" s="384"/>
      <c r="CAE53" s="384"/>
      <c r="CAF53" s="384"/>
      <c r="CAG53" s="384"/>
      <c r="CAH53" s="384"/>
      <c r="CAI53" s="384"/>
      <c r="CAJ53" s="384"/>
      <c r="CAK53" s="384"/>
      <c r="CAL53" s="384"/>
      <c r="CAM53" s="384"/>
      <c r="CAN53" s="384"/>
      <c r="CAO53" s="384"/>
      <c r="CAP53" s="384"/>
      <c r="CAQ53" s="384"/>
      <c r="CAR53" s="384"/>
      <c r="CAS53" s="384"/>
      <c r="CAT53" s="384"/>
      <c r="CAU53" s="384"/>
      <c r="CAV53" s="384"/>
      <c r="CAW53" s="384"/>
      <c r="CAX53" s="384"/>
      <c r="CAY53" s="384"/>
      <c r="CAZ53" s="384"/>
      <c r="CBA53" s="384"/>
      <c r="CBB53" s="384"/>
      <c r="CBC53" s="384"/>
      <c r="CBD53" s="384"/>
      <c r="CBE53" s="384"/>
      <c r="CBF53" s="384"/>
      <c r="CBG53" s="384"/>
      <c r="CBH53" s="384"/>
      <c r="CBI53" s="384"/>
      <c r="CBJ53" s="384"/>
      <c r="CBK53" s="384"/>
      <c r="CBL53" s="384"/>
      <c r="CBM53" s="384"/>
      <c r="CBN53" s="384"/>
      <c r="CBO53" s="384"/>
      <c r="CBP53" s="384"/>
      <c r="CBQ53" s="384"/>
      <c r="CBR53" s="384"/>
      <c r="CBS53" s="384"/>
      <c r="CBT53" s="384"/>
      <c r="CBU53" s="384"/>
      <c r="CBV53" s="384"/>
      <c r="CBW53" s="384"/>
      <c r="CBX53" s="384"/>
      <c r="CBY53" s="384"/>
      <c r="CBZ53" s="384"/>
      <c r="CCA53" s="384"/>
      <c r="CCB53" s="384"/>
      <c r="CCC53" s="384"/>
      <c r="CCD53" s="384"/>
      <c r="CCE53" s="384"/>
      <c r="CCF53" s="384"/>
      <c r="CCG53" s="384"/>
      <c r="CCH53" s="384"/>
      <c r="CCI53" s="384"/>
      <c r="CCJ53" s="384"/>
      <c r="CCK53" s="384"/>
      <c r="CCL53" s="384"/>
      <c r="CCM53" s="384"/>
      <c r="CCN53" s="384"/>
      <c r="CCO53" s="384"/>
      <c r="CCP53" s="384"/>
      <c r="CCQ53" s="384"/>
      <c r="CCR53" s="384"/>
      <c r="CCS53" s="384"/>
      <c r="CCT53" s="384"/>
      <c r="CCU53" s="384"/>
      <c r="CCV53" s="384"/>
      <c r="CCW53" s="384"/>
      <c r="CCX53" s="384"/>
      <c r="CCY53" s="384"/>
      <c r="CCZ53" s="384"/>
      <c r="CDA53" s="384"/>
      <c r="CDB53" s="384"/>
      <c r="CDC53" s="384"/>
      <c r="CDD53" s="384"/>
      <c r="CDE53" s="384"/>
      <c r="CDF53" s="384"/>
      <c r="CDG53" s="384"/>
      <c r="CDH53" s="384"/>
      <c r="CDI53" s="384"/>
      <c r="CDJ53" s="384"/>
      <c r="CDK53" s="384"/>
      <c r="CDL53" s="384"/>
      <c r="CDM53" s="384"/>
      <c r="CDN53" s="384"/>
      <c r="CDO53" s="384"/>
      <c r="CDP53" s="384"/>
      <c r="CDQ53" s="384"/>
      <c r="CDR53" s="384"/>
      <c r="CDS53" s="384"/>
      <c r="CDT53" s="384"/>
      <c r="CDU53" s="384"/>
      <c r="CDV53" s="384"/>
      <c r="CDW53" s="384"/>
      <c r="CDX53" s="384"/>
      <c r="CDY53" s="384"/>
      <c r="CDZ53" s="384"/>
      <c r="CEA53" s="384"/>
      <c r="CEB53" s="384"/>
      <c r="CEC53" s="384"/>
      <c r="CED53" s="384"/>
      <c r="CEE53" s="384"/>
      <c r="CEF53" s="384"/>
      <c r="CEG53" s="384"/>
      <c r="CEH53" s="384"/>
      <c r="CEI53" s="384"/>
      <c r="CEJ53" s="384"/>
      <c r="CEK53" s="384"/>
      <c r="CEL53" s="384"/>
      <c r="CEM53" s="384"/>
      <c r="CEN53" s="384"/>
      <c r="CEO53" s="384"/>
      <c r="CEP53" s="384"/>
      <c r="CEQ53" s="384"/>
      <c r="CER53" s="384"/>
      <c r="CES53" s="384"/>
      <c r="CET53" s="384"/>
      <c r="CEU53" s="384"/>
      <c r="CEV53" s="384"/>
      <c r="CEW53" s="384"/>
      <c r="CEX53" s="384"/>
      <c r="CEY53" s="384"/>
      <c r="CEZ53" s="384"/>
      <c r="CFA53" s="384"/>
      <c r="CFB53" s="384"/>
      <c r="CFC53" s="384"/>
      <c r="CFD53" s="384"/>
      <c r="CFE53" s="384"/>
      <c r="CFF53" s="384"/>
      <c r="CFG53" s="384"/>
      <c r="CFH53" s="384"/>
      <c r="CFI53" s="384"/>
      <c r="CFJ53" s="384"/>
      <c r="CFK53" s="384"/>
      <c r="CFL53" s="384"/>
      <c r="CFM53" s="384"/>
      <c r="CFN53" s="384"/>
      <c r="CFO53" s="384"/>
      <c r="CFP53" s="384"/>
      <c r="CFQ53" s="384"/>
      <c r="CFR53" s="384"/>
      <c r="CFS53" s="384"/>
      <c r="CFT53" s="384"/>
      <c r="CFU53" s="384"/>
      <c r="CFV53" s="384"/>
      <c r="CFW53" s="384"/>
      <c r="CFX53" s="384"/>
      <c r="CFY53" s="384"/>
      <c r="CFZ53" s="384"/>
      <c r="CGA53" s="384"/>
      <c r="CGB53" s="384"/>
      <c r="CGC53" s="384"/>
      <c r="CGD53" s="384"/>
      <c r="CGE53" s="384"/>
      <c r="CGF53" s="384"/>
      <c r="CGG53" s="384"/>
      <c r="CGH53" s="384"/>
      <c r="CGI53" s="384"/>
      <c r="CGJ53" s="384"/>
      <c r="CGK53" s="384"/>
      <c r="CGL53" s="384"/>
      <c r="CGM53" s="384"/>
      <c r="CGN53" s="384"/>
      <c r="CGO53" s="384"/>
      <c r="CGP53" s="384"/>
      <c r="CGQ53" s="384"/>
      <c r="CGR53" s="384"/>
      <c r="CGS53" s="384"/>
      <c r="CGT53" s="384"/>
      <c r="CGU53" s="384"/>
      <c r="CGV53" s="384"/>
      <c r="CGW53" s="384"/>
      <c r="CGX53" s="384"/>
      <c r="CGY53" s="384"/>
      <c r="CGZ53" s="384"/>
      <c r="CHA53" s="384"/>
      <c r="CHB53" s="384"/>
      <c r="CHC53" s="384"/>
      <c r="CHD53" s="384"/>
      <c r="CHE53" s="384"/>
      <c r="CHF53" s="384"/>
      <c r="CHG53" s="384"/>
      <c r="CHH53" s="384"/>
      <c r="CHI53" s="384"/>
      <c r="CHJ53" s="384"/>
      <c r="CHK53" s="384"/>
      <c r="CHL53" s="384"/>
      <c r="CHM53" s="384"/>
      <c r="CHN53" s="384"/>
      <c r="CHO53" s="384"/>
      <c r="CHP53" s="384"/>
      <c r="CHQ53" s="384"/>
      <c r="CHR53" s="384"/>
      <c r="CHS53" s="384"/>
      <c r="CHT53" s="384"/>
      <c r="CHU53" s="384"/>
      <c r="CHV53" s="384"/>
      <c r="CHW53" s="384"/>
      <c r="CHX53" s="384"/>
      <c r="CHY53" s="384"/>
      <c r="CHZ53" s="384"/>
      <c r="CIA53" s="384"/>
      <c r="CIB53" s="384"/>
      <c r="CIC53" s="384"/>
      <c r="CID53" s="384"/>
      <c r="CIE53" s="384"/>
      <c r="CIF53" s="384"/>
      <c r="CIG53" s="384"/>
      <c r="CIH53" s="384"/>
      <c r="CII53" s="384"/>
      <c r="CIJ53" s="384"/>
      <c r="CIK53" s="384"/>
      <c r="CIL53" s="384"/>
      <c r="CIM53" s="384"/>
      <c r="CIN53" s="384"/>
      <c r="CIO53" s="384"/>
      <c r="CIP53" s="384"/>
      <c r="CIQ53" s="384"/>
      <c r="CIR53" s="384"/>
      <c r="CIS53" s="384"/>
      <c r="CIT53" s="384"/>
      <c r="CIU53" s="384"/>
      <c r="CIV53" s="384"/>
      <c r="CIW53" s="384"/>
      <c r="CIX53" s="384"/>
      <c r="CIY53" s="384"/>
      <c r="CIZ53" s="384"/>
      <c r="CJA53" s="384"/>
      <c r="CJB53" s="384"/>
      <c r="CJC53" s="384"/>
      <c r="CJD53" s="384"/>
      <c r="CJE53" s="384"/>
      <c r="CJF53" s="384"/>
      <c r="CJG53" s="384"/>
      <c r="CJH53" s="384"/>
      <c r="CJI53" s="384"/>
      <c r="CJJ53" s="384"/>
      <c r="CJK53" s="384"/>
      <c r="CJL53" s="384"/>
      <c r="CJM53" s="384"/>
      <c r="CJN53" s="384"/>
      <c r="CJO53" s="384"/>
      <c r="CJP53" s="384"/>
      <c r="CJQ53" s="384"/>
      <c r="CJR53" s="384"/>
      <c r="CJS53" s="384"/>
      <c r="CJT53" s="384"/>
      <c r="CJU53" s="384"/>
      <c r="CJV53" s="384"/>
      <c r="CJW53" s="384"/>
      <c r="CJX53" s="384"/>
      <c r="CJY53" s="384"/>
      <c r="CJZ53" s="384"/>
      <c r="CKA53" s="384"/>
      <c r="CKB53" s="384"/>
      <c r="CKC53" s="384"/>
      <c r="CKD53" s="384"/>
      <c r="CKE53" s="384"/>
      <c r="CKF53" s="384"/>
      <c r="CKG53" s="384"/>
      <c r="CKH53" s="384"/>
      <c r="CKI53" s="384"/>
      <c r="CKJ53" s="384"/>
      <c r="CKK53" s="384"/>
      <c r="CKL53" s="384"/>
      <c r="CKM53" s="384"/>
      <c r="CKN53" s="384"/>
      <c r="CKO53" s="384"/>
      <c r="CKP53" s="384"/>
      <c r="CKQ53" s="384"/>
      <c r="CKR53" s="384"/>
      <c r="CKS53" s="384"/>
      <c r="CKT53" s="384"/>
      <c r="CKU53" s="384"/>
      <c r="CKV53" s="384"/>
      <c r="CKW53" s="384"/>
      <c r="CKX53" s="384"/>
      <c r="CKY53" s="384"/>
      <c r="CKZ53" s="384"/>
      <c r="CLA53" s="384"/>
      <c r="CLB53" s="384"/>
      <c r="CLC53" s="384"/>
      <c r="CLD53" s="384"/>
      <c r="CLE53" s="384"/>
      <c r="CLF53" s="384"/>
      <c r="CLG53" s="384"/>
      <c r="CLH53" s="384"/>
      <c r="CLI53" s="384"/>
      <c r="CLJ53" s="384"/>
      <c r="CLK53" s="384"/>
      <c r="CLL53" s="384"/>
      <c r="CLM53" s="384"/>
      <c r="CLN53" s="384"/>
      <c r="CLO53" s="384"/>
      <c r="CLP53" s="384"/>
      <c r="CLQ53" s="384"/>
      <c r="CLR53" s="384"/>
      <c r="CLS53" s="384"/>
      <c r="CLT53" s="384"/>
      <c r="CLU53" s="384"/>
      <c r="CLV53" s="384"/>
      <c r="CLW53" s="384"/>
      <c r="CLX53" s="384"/>
      <c r="CLY53" s="384"/>
      <c r="CLZ53" s="384"/>
      <c r="CMA53" s="384"/>
      <c r="CMB53" s="384"/>
      <c r="CMC53" s="384"/>
      <c r="CMD53" s="384"/>
      <c r="CME53" s="384"/>
      <c r="CMF53" s="384"/>
      <c r="CMG53" s="384"/>
      <c r="CMH53" s="384"/>
      <c r="CMI53" s="384"/>
      <c r="CMJ53" s="384"/>
      <c r="CMK53" s="384"/>
      <c r="CML53" s="384"/>
      <c r="CMM53" s="384"/>
      <c r="CMN53" s="384"/>
      <c r="CMO53" s="384"/>
      <c r="CMP53" s="384"/>
      <c r="CMQ53" s="384"/>
      <c r="CMR53" s="384"/>
      <c r="CMS53" s="384"/>
      <c r="CMT53" s="384"/>
      <c r="CMU53" s="384"/>
      <c r="CMV53" s="384"/>
      <c r="CMW53" s="384"/>
      <c r="CMX53" s="384"/>
      <c r="CMY53" s="384"/>
      <c r="CMZ53" s="384"/>
      <c r="CNA53" s="384"/>
      <c r="CNB53" s="384"/>
      <c r="CNC53" s="384"/>
      <c r="CND53" s="384"/>
      <c r="CNE53" s="384"/>
      <c r="CNF53" s="384"/>
      <c r="CNG53" s="384"/>
      <c r="CNH53" s="384"/>
      <c r="CNI53" s="384"/>
      <c r="CNJ53" s="384"/>
      <c r="CNK53" s="384"/>
      <c r="CNL53" s="384"/>
      <c r="CNM53" s="384"/>
      <c r="CNN53" s="384"/>
      <c r="CNO53" s="384"/>
      <c r="CNP53" s="384"/>
      <c r="CNQ53" s="384"/>
      <c r="CNR53" s="384"/>
      <c r="CNS53" s="384"/>
      <c r="CNT53" s="384"/>
      <c r="CNU53" s="384"/>
      <c r="CNV53" s="384"/>
      <c r="CNW53" s="384"/>
      <c r="CNX53" s="384"/>
      <c r="CNY53" s="384"/>
      <c r="CNZ53" s="384"/>
      <c r="COA53" s="384"/>
      <c r="COB53" s="384"/>
      <c r="COC53" s="384"/>
      <c r="COD53" s="384"/>
      <c r="COE53" s="384"/>
      <c r="COF53" s="384"/>
      <c r="COG53" s="384"/>
      <c r="COH53" s="384"/>
      <c r="COI53" s="384"/>
      <c r="COJ53" s="384"/>
      <c r="COK53" s="384"/>
      <c r="COL53" s="384"/>
      <c r="COM53" s="384"/>
      <c r="CON53" s="384"/>
      <c r="COO53" s="384"/>
      <c r="COP53" s="384"/>
      <c r="COQ53" s="384"/>
      <c r="COR53" s="384"/>
      <c r="COS53" s="384"/>
      <c r="COT53" s="384"/>
      <c r="COU53" s="384"/>
      <c r="COV53" s="384"/>
      <c r="COW53" s="384"/>
      <c r="COX53" s="384"/>
      <c r="COY53" s="384"/>
      <c r="COZ53" s="384"/>
      <c r="CPA53" s="384"/>
      <c r="CPB53" s="384"/>
      <c r="CPC53" s="384"/>
      <c r="CPD53" s="384"/>
      <c r="CPE53" s="384"/>
      <c r="CPF53" s="384"/>
      <c r="CPG53" s="384"/>
      <c r="CPH53" s="384"/>
      <c r="CPI53" s="384"/>
      <c r="CPJ53" s="384"/>
      <c r="CPK53" s="384"/>
      <c r="CPL53" s="384"/>
      <c r="CPM53" s="384"/>
      <c r="CPN53" s="384"/>
      <c r="CPO53" s="384"/>
      <c r="CPP53" s="384"/>
      <c r="CPQ53" s="384"/>
      <c r="CPR53" s="384"/>
      <c r="CPS53" s="384"/>
      <c r="CPT53" s="384"/>
      <c r="CPU53" s="384"/>
      <c r="CPV53" s="384"/>
      <c r="CPW53" s="384"/>
      <c r="CPX53" s="384"/>
      <c r="CPY53" s="384"/>
      <c r="CPZ53" s="384"/>
      <c r="CQA53" s="384"/>
      <c r="CQB53" s="384"/>
      <c r="CQC53" s="384"/>
      <c r="CQD53" s="384"/>
      <c r="CQE53" s="384"/>
      <c r="CQF53" s="384"/>
      <c r="CQG53" s="384"/>
      <c r="CQH53" s="384"/>
      <c r="CQI53" s="384"/>
      <c r="CQJ53" s="384"/>
      <c r="CQK53" s="384"/>
      <c r="CQL53" s="384"/>
      <c r="CQM53" s="384"/>
      <c r="CQN53" s="384"/>
      <c r="CQO53" s="384"/>
      <c r="CQP53" s="384"/>
      <c r="CQQ53" s="384"/>
      <c r="CQR53" s="384"/>
      <c r="CQS53" s="384"/>
      <c r="CQT53" s="384"/>
      <c r="CQU53" s="384"/>
      <c r="CQV53" s="384"/>
      <c r="CQW53" s="384"/>
      <c r="CQX53" s="384"/>
      <c r="CQY53" s="384"/>
      <c r="CQZ53" s="384"/>
      <c r="CRA53" s="384"/>
      <c r="CRB53" s="384"/>
      <c r="CRC53" s="384"/>
      <c r="CRD53" s="384"/>
      <c r="CRE53" s="384"/>
      <c r="CRF53" s="384"/>
      <c r="CRG53" s="384"/>
      <c r="CRH53" s="384"/>
      <c r="CRI53" s="384"/>
      <c r="CRJ53" s="384"/>
      <c r="CRK53" s="384"/>
      <c r="CRL53" s="384"/>
      <c r="CRM53" s="384"/>
      <c r="CRN53" s="384"/>
      <c r="CRO53" s="384"/>
      <c r="CRP53" s="384"/>
      <c r="CRQ53" s="384"/>
      <c r="CRR53" s="384"/>
      <c r="CRS53" s="384"/>
      <c r="CRT53" s="384"/>
      <c r="CRU53" s="384"/>
      <c r="CRV53" s="384"/>
      <c r="CRW53" s="384"/>
      <c r="CRX53" s="384"/>
      <c r="CRY53" s="384"/>
      <c r="CRZ53" s="384"/>
      <c r="CSA53" s="384"/>
      <c r="CSB53" s="384"/>
      <c r="CSC53" s="384"/>
      <c r="CSD53" s="384"/>
      <c r="CSE53" s="384"/>
      <c r="CSF53" s="384"/>
      <c r="CSG53" s="384"/>
      <c r="CSH53" s="384"/>
      <c r="CSI53" s="384"/>
      <c r="CSJ53" s="384"/>
      <c r="CSK53" s="384"/>
      <c r="CSL53" s="384"/>
      <c r="CSM53" s="384"/>
      <c r="CSN53" s="384"/>
      <c r="CSO53" s="384"/>
      <c r="CSP53" s="384"/>
      <c r="CSQ53" s="384"/>
      <c r="CSR53" s="384"/>
      <c r="CSS53" s="384"/>
      <c r="CST53" s="384"/>
      <c r="CSU53" s="384"/>
      <c r="CSV53" s="384"/>
      <c r="CSW53" s="384"/>
      <c r="CSX53" s="384"/>
      <c r="CSY53" s="384"/>
      <c r="CSZ53" s="384"/>
      <c r="CTA53" s="384"/>
      <c r="CTB53" s="384"/>
      <c r="CTC53" s="384"/>
      <c r="CTD53" s="384"/>
      <c r="CTE53" s="384"/>
      <c r="CTF53" s="384"/>
      <c r="CTG53" s="384"/>
      <c r="CTH53" s="384"/>
      <c r="CTI53" s="384"/>
      <c r="CTJ53" s="384"/>
      <c r="CTK53" s="384"/>
      <c r="CTL53" s="384"/>
      <c r="CTM53" s="384"/>
      <c r="CTN53" s="384"/>
      <c r="CTO53" s="384"/>
      <c r="CTP53" s="384"/>
      <c r="CTQ53" s="384"/>
      <c r="CTR53" s="384"/>
      <c r="CTS53" s="384"/>
      <c r="CTT53" s="384"/>
      <c r="CTU53" s="384"/>
      <c r="CTV53" s="384"/>
      <c r="CTW53" s="384"/>
      <c r="CTX53" s="384"/>
      <c r="CTY53" s="384"/>
      <c r="CTZ53" s="384"/>
      <c r="CUA53" s="384"/>
      <c r="CUB53" s="384"/>
      <c r="CUC53" s="384"/>
      <c r="CUD53" s="384"/>
      <c r="CUE53" s="384"/>
      <c r="CUF53" s="384"/>
      <c r="CUG53" s="384"/>
      <c r="CUH53" s="384"/>
      <c r="CUI53" s="384"/>
      <c r="CUJ53" s="384"/>
      <c r="CUK53" s="384"/>
      <c r="CUL53" s="384"/>
      <c r="CUM53" s="384"/>
      <c r="CUN53" s="384"/>
      <c r="CUO53" s="384"/>
      <c r="CUP53" s="384"/>
      <c r="CUQ53" s="384"/>
      <c r="CUR53" s="384"/>
      <c r="CUS53" s="384"/>
      <c r="CUT53" s="384"/>
      <c r="CUU53" s="384"/>
      <c r="CUV53" s="384"/>
      <c r="CUW53" s="384"/>
      <c r="CUX53" s="384"/>
      <c r="CUY53" s="384"/>
      <c r="CUZ53" s="384"/>
      <c r="CVA53" s="384"/>
      <c r="CVB53" s="384"/>
      <c r="CVC53" s="384"/>
      <c r="CVD53" s="384"/>
      <c r="CVE53" s="384"/>
      <c r="CVF53" s="384"/>
      <c r="CVG53" s="384"/>
      <c r="CVH53" s="384"/>
      <c r="CVI53" s="384"/>
      <c r="CVJ53" s="384"/>
      <c r="CVK53" s="384"/>
      <c r="CVL53" s="384"/>
      <c r="CVM53" s="384"/>
      <c r="CVN53" s="384"/>
      <c r="CVO53" s="384"/>
      <c r="CVP53" s="384"/>
      <c r="CVQ53" s="384"/>
      <c r="CVR53" s="384"/>
      <c r="CVS53" s="384"/>
      <c r="CVT53" s="384"/>
      <c r="CVU53" s="384"/>
      <c r="CVV53" s="384"/>
      <c r="CVW53" s="384"/>
      <c r="CVX53" s="384"/>
      <c r="CVY53" s="384"/>
      <c r="CVZ53" s="384"/>
      <c r="CWA53" s="384"/>
      <c r="CWB53" s="384"/>
      <c r="CWC53" s="384"/>
      <c r="CWD53" s="384"/>
      <c r="CWE53" s="384"/>
      <c r="CWF53" s="384"/>
      <c r="CWG53" s="384"/>
      <c r="CWH53" s="384"/>
      <c r="CWI53" s="384"/>
      <c r="CWJ53" s="384"/>
      <c r="CWK53" s="384"/>
      <c r="CWL53" s="384"/>
      <c r="CWM53" s="384"/>
      <c r="CWN53" s="384"/>
      <c r="CWO53" s="384"/>
      <c r="CWP53" s="384"/>
      <c r="CWQ53" s="384"/>
      <c r="CWR53" s="384"/>
      <c r="CWS53" s="384"/>
      <c r="CWT53" s="384"/>
      <c r="CWU53" s="384"/>
      <c r="CWV53" s="384"/>
      <c r="CWW53" s="384"/>
      <c r="CWX53" s="384"/>
      <c r="CWY53" s="384"/>
      <c r="CWZ53" s="384"/>
      <c r="CXA53" s="384"/>
      <c r="CXB53" s="384"/>
      <c r="CXC53" s="384"/>
      <c r="CXD53" s="384"/>
      <c r="CXE53" s="384"/>
      <c r="CXF53" s="384"/>
      <c r="CXG53" s="384"/>
      <c r="CXH53" s="384"/>
      <c r="CXI53" s="384"/>
      <c r="CXJ53" s="384"/>
      <c r="CXK53" s="384"/>
      <c r="CXL53" s="384"/>
      <c r="CXM53" s="384"/>
      <c r="CXN53" s="384"/>
      <c r="CXO53" s="384"/>
      <c r="CXP53" s="384"/>
      <c r="CXQ53" s="384"/>
      <c r="CXR53" s="384"/>
      <c r="CXS53" s="384"/>
      <c r="CXT53" s="384"/>
      <c r="CXU53" s="384"/>
      <c r="CXV53" s="384"/>
      <c r="CXW53" s="384"/>
      <c r="CXX53" s="384"/>
      <c r="CXY53" s="384"/>
      <c r="CXZ53" s="384"/>
      <c r="CYA53" s="384"/>
      <c r="CYB53" s="384"/>
      <c r="CYC53" s="384"/>
      <c r="CYD53" s="384"/>
      <c r="CYE53" s="384"/>
      <c r="CYF53" s="384"/>
      <c r="CYG53" s="384"/>
      <c r="CYH53" s="384"/>
      <c r="CYI53" s="384"/>
      <c r="CYJ53" s="384"/>
      <c r="CYK53" s="384"/>
      <c r="CYL53" s="384"/>
      <c r="CYM53" s="384"/>
      <c r="CYN53" s="384"/>
      <c r="CYO53" s="384"/>
      <c r="CYP53" s="384"/>
      <c r="CYQ53" s="384"/>
      <c r="CYR53" s="384"/>
      <c r="CYS53" s="384"/>
      <c r="CYT53" s="384"/>
      <c r="CYU53" s="384"/>
      <c r="CYV53" s="384"/>
      <c r="CYW53" s="384"/>
      <c r="CYX53" s="384"/>
      <c r="CYY53" s="384"/>
      <c r="CYZ53" s="384"/>
      <c r="CZA53" s="384"/>
      <c r="CZB53" s="384"/>
      <c r="CZC53" s="384"/>
      <c r="CZD53" s="384"/>
      <c r="CZE53" s="384"/>
      <c r="CZF53" s="384"/>
      <c r="CZG53" s="384"/>
      <c r="CZH53" s="384"/>
      <c r="CZI53" s="384"/>
      <c r="CZJ53" s="384"/>
      <c r="CZK53" s="384"/>
      <c r="CZL53" s="384"/>
      <c r="CZM53" s="384"/>
      <c r="CZN53" s="384"/>
      <c r="CZO53" s="384"/>
      <c r="CZP53" s="384"/>
      <c r="CZQ53" s="384"/>
      <c r="CZR53" s="384"/>
      <c r="CZS53" s="384"/>
      <c r="CZT53" s="384"/>
      <c r="CZU53" s="384"/>
      <c r="CZV53" s="384"/>
      <c r="CZW53" s="384"/>
      <c r="CZX53" s="384"/>
      <c r="CZY53" s="384"/>
      <c r="CZZ53" s="384"/>
      <c r="DAA53" s="384"/>
      <c r="DAB53" s="384"/>
      <c r="DAC53" s="384"/>
      <c r="DAD53" s="384"/>
      <c r="DAE53" s="384"/>
      <c r="DAF53" s="384"/>
      <c r="DAG53" s="384"/>
      <c r="DAH53" s="384"/>
      <c r="DAI53" s="384"/>
      <c r="DAJ53" s="384"/>
      <c r="DAK53" s="384"/>
      <c r="DAL53" s="384"/>
      <c r="DAM53" s="384"/>
      <c r="DAN53" s="384"/>
      <c r="DAO53" s="384"/>
      <c r="DAP53" s="384"/>
      <c r="DAQ53" s="384"/>
      <c r="DAR53" s="384"/>
      <c r="DAS53" s="384"/>
      <c r="DAT53" s="384"/>
      <c r="DAU53" s="384"/>
      <c r="DAV53" s="384"/>
      <c r="DAW53" s="384"/>
      <c r="DAX53" s="384"/>
      <c r="DAY53" s="384"/>
      <c r="DAZ53" s="384"/>
      <c r="DBA53" s="384"/>
      <c r="DBB53" s="384"/>
      <c r="DBC53" s="384"/>
      <c r="DBD53" s="384"/>
      <c r="DBE53" s="384"/>
      <c r="DBF53" s="384"/>
      <c r="DBG53" s="384"/>
      <c r="DBH53" s="384"/>
      <c r="DBI53" s="384"/>
      <c r="DBJ53" s="384"/>
      <c r="DBK53" s="384"/>
      <c r="DBL53" s="384"/>
      <c r="DBM53" s="384"/>
      <c r="DBN53" s="384"/>
      <c r="DBO53" s="384"/>
      <c r="DBP53" s="384"/>
      <c r="DBQ53" s="384"/>
      <c r="DBR53" s="384"/>
      <c r="DBS53" s="384"/>
      <c r="DBT53" s="384"/>
      <c r="DBU53" s="384"/>
      <c r="DBV53" s="384"/>
      <c r="DBW53" s="384"/>
      <c r="DBX53" s="384"/>
      <c r="DBY53" s="384"/>
      <c r="DBZ53" s="384"/>
      <c r="DCA53" s="384"/>
      <c r="DCB53" s="384"/>
      <c r="DCC53" s="384"/>
      <c r="DCD53" s="384"/>
      <c r="DCE53" s="384"/>
      <c r="DCF53" s="384"/>
      <c r="DCG53" s="384"/>
      <c r="DCH53" s="384"/>
      <c r="DCI53" s="384"/>
      <c r="DCJ53" s="384"/>
      <c r="DCK53" s="384"/>
      <c r="DCL53" s="384"/>
      <c r="DCM53" s="384"/>
      <c r="DCN53" s="384"/>
      <c r="DCO53" s="384"/>
      <c r="DCP53" s="384"/>
      <c r="DCQ53" s="384"/>
      <c r="DCR53" s="384"/>
      <c r="DCS53" s="384"/>
      <c r="DCT53" s="384"/>
      <c r="DCU53" s="384"/>
      <c r="DCV53" s="384"/>
      <c r="DCW53" s="384"/>
      <c r="DCX53" s="384"/>
      <c r="DCY53" s="384"/>
      <c r="DCZ53" s="384"/>
      <c r="DDA53" s="384"/>
      <c r="DDB53" s="384"/>
      <c r="DDC53" s="384"/>
      <c r="DDD53" s="384"/>
      <c r="DDE53" s="384"/>
      <c r="DDF53" s="384"/>
      <c r="DDG53" s="384"/>
      <c r="DDH53" s="384"/>
      <c r="DDI53" s="384"/>
      <c r="DDJ53" s="384"/>
      <c r="DDK53" s="384"/>
      <c r="DDL53" s="384"/>
      <c r="DDM53" s="384"/>
      <c r="DDN53" s="384"/>
      <c r="DDO53" s="384"/>
      <c r="DDP53" s="384"/>
      <c r="DDQ53" s="384"/>
      <c r="DDR53" s="384"/>
      <c r="DDS53" s="384"/>
      <c r="DDT53" s="384"/>
      <c r="DDU53" s="384"/>
      <c r="DDV53" s="384"/>
      <c r="DDW53" s="384"/>
      <c r="DDX53" s="384"/>
      <c r="DDY53" s="384"/>
      <c r="DDZ53" s="384"/>
      <c r="DEA53" s="384"/>
      <c r="DEB53" s="384"/>
      <c r="DEC53" s="384"/>
      <c r="DED53" s="384"/>
      <c r="DEE53" s="384"/>
      <c r="DEF53" s="384"/>
      <c r="DEG53" s="384"/>
      <c r="DEH53" s="384"/>
      <c r="DEI53" s="384"/>
      <c r="DEJ53" s="384"/>
      <c r="DEK53" s="384"/>
      <c r="DEL53" s="384"/>
      <c r="DEM53" s="384"/>
      <c r="DEN53" s="384"/>
      <c r="DEO53" s="384"/>
      <c r="DEP53" s="384"/>
      <c r="DEQ53" s="384"/>
      <c r="DER53" s="384"/>
      <c r="DES53" s="384"/>
      <c r="DET53" s="384"/>
      <c r="DEU53" s="384"/>
      <c r="DEV53" s="384"/>
      <c r="DEW53" s="384"/>
      <c r="DEX53" s="384"/>
      <c r="DEY53" s="384"/>
      <c r="DEZ53" s="384"/>
      <c r="DFA53" s="384"/>
      <c r="DFB53" s="384"/>
      <c r="DFC53" s="384"/>
      <c r="DFD53" s="384"/>
      <c r="DFE53" s="384"/>
      <c r="DFF53" s="384"/>
      <c r="DFG53" s="384"/>
      <c r="DFH53" s="384"/>
      <c r="DFI53" s="384"/>
      <c r="DFJ53" s="384"/>
      <c r="DFK53" s="384"/>
      <c r="DFL53" s="384"/>
      <c r="DFM53" s="384"/>
      <c r="DFN53" s="384"/>
      <c r="DFO53" s="384"/>
      <c r="DFP53" s="384"/>
      <c r="DFQ53" s="384"/>
      <c r="DFR53" s="384"/>
      <c r="DFS53" s="384"/>
      <c r="DFT53" s="384"/>
      <c r="DFU53" s="384"/>
      <c r="DFV53" s="384"/>
      <c r="DFW53" s="384"/>
      <c r="DFX53" s="384"/>
      <c r="DFY53" s="384"/>
      <c r="DFZ53" s="384"/>
      <c r="DGA53" s="384"/>
      <c r="DGB53" s="384"/>
      <c r="DGC53" s="384"/>
      <c r="DGD53" s="384"/>
      <c r="DGE53" s="384"/>
      <c r="DGF53" s="384"/>
      <c r="DGG53" s="384"/>
      <c r="DGH53" s="384"/>
      <c r="DGI53" s="384"/>
      <c r="DGJ53" s="384"/>
      <c r="DGK53" s="384"/>
      <c r="DGL53" s="384"/>
      <c r="DGM53" s="384"/>
      <c r="DGN53" s="384"/>
      <c r="DGO53" s="384"/>
      <c r="DGP53" s="384"/>
      <c r="DGQ53" s="384"/>
      <c r="DGR53" s="384"/>
      <c r="DGS53" s="384"/>
      <c r="DGT53" s="384"/>
      <c r="DGU53" s="384"/>
      <c r="DGV53" s="384"/>
      <c r="DGW53" s="384"/>
      <c r="DGX53" s="384"/>
      <c r="DGY53" s="384"/>
      <c r="DGZ53" s="384"/>
      <c r="DHA53" s="384"/>
      <c r="DHB53" s="384"/>
      <c r="DHC53" s="384"/>
      <c r="DHD53" s="384"/>
      <c r="DHE53" s="384"/>
      <c r="DHF53" s="384"/>
      <c r="DHG53" s="384"/>
      <c r="DHH53" s="384"/>
      <c r="DHI53" s="384"/>
      <c r="DHJ53" s="384"/>
      <c r="DHK53" s="384"/>
      <c r="DHL53" s="384"/>
      <c r="DHM53" s="384"/>
      <c r="DHN53" s="384"/>
      <c r="DHO53" s="384"/>
      <c r="DHP53" s="384"/>
      <c r="DHQ53" s="384"/>
      <c r="DHR53" s="384"/>
      <c r="DHS53" s="384"/>
      <c r="DHT53" s="384"/>
      <c r="DHU53" s="384"/>
      <c r="DHV53" s="384"/>
      <c r="DHW53" s="384"/>
      <c r="DHX53" s="384"/>
      <c r="DHY53" s="384"/>
      <c r="DHZ53" s="384"/>
      <c r="DIA53" s="384"/>
      <c r="DIB53" s="384"/>
      <c r="DIC53" s="384"/>
      <c r="DID53" s="384"/>
      <c r="DIE53" s="384"/>
      <c r="DIF53" s="384"/>
      <c r="DIG53" s="384"/>
      <c r="DIH53" s="384"/>
      <c r="DII53" s="384"/>
      <c r="DIJ53" s="384"/>
      <c r="DIK53" s="384"/>
      <c r="DIL53" s="384"/>
      <c r="DIM53" s="384"/>
      <c r="DIN53" s="384"/>
      <c r="DIO53" s="384"/>
      <c r="DIP53" s="384"/>
      <c r="DIQ53" s="384"/>
      <c r="DIR53" s="384"/>
      <c r="DIS53" s="384"/>
      <c r="DIT53" s="384"/>
      <c r="DIU53" s="384"/>
      <c r="DIV53" s="384"/>
      <c r="DIW53" s="384"/>
      <c r="DIX53" s="384"/>
      <c r="DIY53" s="384"/>
      <c r="DIZ53" s="384"/>
      <c r="DJA53" s="384"/>
      <c r="DJB53" s="384"/>
      <c r="DJC53" s="384"/>
      <c r="DJD53" s="384"/>
      <c r="DJE53" s="384"/>
      <c r="DJF53" s="384"/>
      <c r="DJG53" s="384"/>
      <c r="DJH53" s="384"/>
      <c r="DJI53" s="384"/>
      <c r="DJJ53" s="384"/>
      <c r="DJK53" s="384"/>
      <c r="DJL53" s="384"/>
      <c r="DJM53" s="384"/>
      <c r="DJN53" s="384"/>
      <c r="DJO53" s="384"/>
      <c r="DJP53" s="384"/>
      <c r="DJQ53" s="384"/>
      <c r="DJR53" s="384"/>
      <c r="DJS53" s="384"/>
      <c r="DJT53" s="384"/>
      <c r="DJU53" s="384"/>
      <c r="DJV53" s="384"/>
      <c r="DJW53" s="384"/>
      <c r="DJX53" s="384"/>
      <c r="DJY53" s="384"/>
      <c r="DJZ53" s="384"/>
      <c r="DKA53" s="384"/>
      <c r="DKB53" s="384"/>
      <c r="DKC53" s="384"/>
      <c r="DKD53" s="384"/>
      <c r="DKE53" s="384"/>
      <c r="DKF53" s="384"/>
      <c r="DKG53" s="384"/>
      <c r="DKH53" s="384"/>
      <c r="DKI53" s="384"/>
      <c r="DKJ53" s="384"/>
      <c r="DKK53" s="384"/>
      <c r="DKL53" s="384"/>
      <c r="DKM53" s="384"/>
      <c r="DKN53" s="384"/>
      <c r="DKO53" s="384"/>
      <c r="DKP53" s="384"/>
      <c r="DKQ53" s="384"/>
      <c r="DKR53" s="384"/>
      <c r="DKS53" s="384"/>
      <c r="DKT53" s="384"/>
      <c r="DKU53" s="384"/>
      <c r="DKV53" s="384"/>
      <c r="DKW53" s="384"/>
      <c r="DKX53" s="384"/>
      <c r="DKY53" s="384"/>
      <c r="DKZ53" s="384"/>
      <c r="DLA53" s="384"/>
      <c r="DLB53" s="384"/>
      <c r="DLC53" s="384"/>
      <c r="DLD53" s="384"/>
      <c r="DLE53" s="384"/>
      <c r="DLF53" s="384"/>
      <c r="DLG53" s="384"/>
      <c r="DLH53" s="384"/>
      <c r="DLI53" s="384"/>
      <c r="DLJ53" s="384"/>
      <c r="DLK53" s="384"/>
      <c r="DLL53" s="384"/>
      <c r="DLM53" s="384"/>
      <c r="DLN53" s="384"/>
      <c r="DLO53" s="384"/>
      <c r="DLP53" s="384"/>
      <c r="DLQ53" s="384"/>
      <c r="DLR53" s="384"/>
      <c r="DLS53" s="384"/>
      <c r="DLT53" s="384"/>
      <c r="DLU53" s="384"/>
      <c r="DLV53" s="384"/>
      <c r="DLW53" s="384"/>
      <c r="DLX53" s="384"/>
      <c r="DLY53" s="384"/>
      <c r="DLZ53" s="384"/>
      <c r="DMA53" s="384"/>
      <c r="DMB53" s="384"/>
      <c r="DMC53" s="384"/>
      <c r="DMD53" s="384"/>
      <c r="DME53" s="384"/>
      <c r="DMF53" s="384"/>
      <c r="DMG53" s="384"/>
      <c r="DMH53" s="384"/>
      <c r="DMI53" s="384"/>
      <c r="DMJ53" s="384"/>
      <c r="DMK53" s="384"/>
      <c r="DML53" s="384"/>
      <c r="DMM53" s="384"/>
      <c r="DMN53" s="384"/>
      <c r="DMO53" s="384"/>
      <c r="DMP53" s="384"/>
      <c r="DMQ53" s="384"/>
      <c r="DMR53" s="384"/>
      <c r="DMS53" s="384"/>
      <c r="DMT53" s="384"/>
      <c r="DMU53" s="384"/>
      <c r="DMV53" s="384"/>
      <c r="DMW53" s="384"/>
      <c r="DMX53" s="384"/>
      <c r="DMY53" s="384"/>
      <c r="DMZ53" s="384"/>
      <c r="DNA53" s="384"/>
      <c r="DNB53" s="384"/>
      <c r="DNC53" s="384"/>
      <c r="DND53" s="384"/>
      <c r="DNE53" s="384"/>
      <c r="DNF53" s="384"/>
      <c r="DNG53" s="384"/>
      <c r="DNH53" s="384"/>
      <c r="DNI53" s="384"/>
      <c r="DNJ53" s="384"/>
      <c r="DNK53" s="384"/>
      <c r="DNL53" s="384"/>
      <c r="DNM53" s="384"/>
      <c r="DNN53" s="384"/>
      <c r="DNO53" s="384"/>
      <c r="DNP53" s="384"/>
      <c r="DNQ53" s="384"/>
      <c r="DNR53" s="384"/>
      <c r="DNS53" s="384"/>
      <c r="DNT53" s="384"/>
      <c r="DNU53" s="384"/>
      <c r="DNV53" s="384"/>
      <c r="DNW53" s="384"/>
      <c r="DNX53" s="384"/>
      <c r="DNY53" s="384"/>
      <c r="DNZ53" s="384"/>
      <c r="DOA53" s="384"/>
      <c r="DOB53" s="384"/>
      <c r="DOC53" s="384"/>
      <c r="DOD53" s="384"/>
      <c r="DOE53" s="384"/>
      <c r="DOF53" s="384"/>
      <c r="DOG53" s="384"/>
      <c r="DOH53" s="384"/>
      <c r="DOI53" s="384"/>
      <c r="DOJ53" s="384"/>
      <c r="DOK53" s="384"/>
      <c r="DOL53" s="384"/>
      <c r="DOM53" s="384"/>
      <c r="DON53" s="384"/>
      <c r="DOO53" s="384"/>
      <c r="DOP53" s="384"/>
      <c r="DOQ53" s="384"/>
      <c r="DOR53" s="384"/>
      <c r="DOS53" s="384"/>
      <c r="DOT53" s="384"/>
      <c r="DOU53" s="384"/>
      <c r="DOV53" s="384"/>
      <c r="DOW53" s="384"/>
      <c r="DOX53" s="384"/>
      <c r="DOY53" s="384"/>
      <c r="DOZ53" s="384"/>
      <c r="DPA53" s="384"/>
      <c r="DPB53" s="384"/>
      <c r="DPC53" s="384"/>
      <c r="DPD53" s="384"/>
      <c r="DPE53" s="384"/>
      <c r="DPF53" s="384"/>
      <c r="DPG53" s="384"/>
      <c r="DPH53" s="384"/>
      <c r="DPI53" s="384"/>
      <c r="DPJ53" s="384"/>
      <c r="DPK53" s="384"/>
      <c r="DPL53" s="384"/>
      <c r="DPM53" s="384"/>
      <c r="DPN53" s="384"/>
      <c r="DPO53" s="384"/>
      <c r="DPP53" s="384"/>
      <c r="DPQ53" s="384"/>
      <c r="DPR53" s="384"/>
      <c r="DPS53" s="384"/>
      <c r="DPT53" s="384"/>
      <c r="DPU53" s="384"/>
      <c r="DPV53" s="384"/>
      <c r="DPW53" s="384"/>
      <c r="DPX53" s="384"/>
      <c r="DPY53" s="384"/>
      <c r="DPZ53" s="384"/>
      <c r="DQA53" s="384"/>
      <c r="DQB53" s="384"/>
      <c r="DQC53" s="384"/>
      <c r="DQD53" s="384"/>
      <c r="DQE53" s="384"/>
      <c r="DQF53" s="384"/>
      <c r="DQG53" s="384"/>
      <c r="DQH53" s="384"/>
      <c r="DQI53" s="384"/>
      <c r="DQJ53" s="384"/>
      <c r="DQK53" s="384"/>
      <c r="DQL53" s="384"/>
      <c r="DQM53" s="384"/>
      <c r="DQN53" s="384"/>
      <c r="DQO53" s="384"/>
      <c r="DQP53" s="384"/>
      <c r="DQQ53" s="384"/>
      <c r="DQR53" s="384"/>
      <c r="DQS53" s="384"/>
      <c r="DQT53" s="384"/>
      <c r="DQU53" s="384"/>
      <c r="DQV53" s="384"/>
      <c r="DQW53" s="384"/>
      <c r="DQX53" s="384"/>
      <c r="DQY53" s="384"/>
      <c r="DQZ53" s="384"/>
      <c r="DRA53" s="384"/>
      <c r="DRB53" s="384"/>
      <c r="DRC53" s="384"/>
      <c r="DRD53" s="384"/>
      <c r="DRE53" s="384"/>
      <c r="DRF53" s="384"/>
      <c r="DRG53" s="384"/>
      <c r="DRH53" s="384"/>
      <c r="DRI53" s="384"/>
      <c r="DRJ53" s="384"/>
      <c r="DRK53" s="384"/>
      <c r="DRL53" s="384"/>
      <c r="DRM53" s="384"/>
      <c r="DRN53" s="384"/>
      <c r="DRO53" s="384"/>
      <c r="DRP53" s="384"/>
      <c r="DRQ53" s="384"/>
      <c r="DRR53" s="384"/>
      <c r="DRS53" s="384"/>
      <c r="DRT53" s="384"/>
      <c r="DRU53" s="384"/>
      <c r="DRV53" s="384"/>
      <c r="DRW53" s="384"/>
      <c r="DRX53" s="384"/>
      <c r="DRY53" s="384"/>
      <c r="DRZ53" s="384"/>
      <c r="DSA53" s="384"/>
      <c r="DSB53" s="384"/>
      <c r="DSC53" s="384"/>
      <c r="DSD53" s="384"/>
      <c r="DSE53" s="384"/>
      <c r="DSF53" s="384"/>
      <c r="DSG53" s="384"/>
      <c r="DSH53" s="384"/>
      <c r="DSI53" s="384"/>
      <c r="DSJ53" s="384"/>
      <c r="DSK53" s="384"/>
      <c r="DSL53" s="384"/>
      <c r="DSM53" s="384"/>
      <c r="DSN53" s="384"/>
      <c r="DSO53" s="384"/>
      <c r="DSP53" s="384"/>
      <c r="DSQ53" s="384"/>
      <c r="DSR53" s="384"/>
      <c r="DSS53" s="384"/>
      <c r="DST53" s="384"/>
      <c r="DSU53" s="384"/>
      <c r="DSV53" s="384"/>
      <c r="DSW53" s="384"/>
      <c r="DSX53" s="384"/>
      <c r="DSY53" s="384"/>
      <c r="DSZ53" s="384"/>
      <c r="DTA53" s="384"/>
      <c r="DTB53" s="384"/>
      <c r="DTC53" s="384"/>
      <c r="DTD53" s="384"/>
      <c r="DTE53" s="384"/>
      <c r="DTF53" s="384"/>
      <c r="DTG53" s="384"/>
      <c r="DTH53" s="384"/>
      <c r="DTI53" s="384"/>
      <c r="DTJ53" s="384"/>
      <c r="DTK53" s="384"/>
      <c r="DTL53" s="384"/>
      <c r="DTM53" s="384"/>
      <c r="DTN53" s="384"/>
      <c r="DTO53" s="384"/>
      <c r="DTP53" s="384"/>
      <c r="DTQ53" s="384"/>
      <c r="DTR53" s="384"/>
      <c r="DTS53" s="384"/>
      <c r="DTT53" s="384"/>
      <c r="DTU53" s="384"/>
      <c r="DTV53" s="384"/>
      <c r="DTW53" s="384"/>
      <c r="DTX53" s="384"/>
      <c r="DTY53" s="384"/>
      <c r="DTZ53" s="384"/>
      <c r="DUA53" s="384"/>
      <c r="DUB53" s="384"/>
      <c r="DUC53" s="384"/>
      <c r="DUD53" s="384"/>
      <c r="DUE53" s="384"/>
      <c r="DUF53" s="384"/>
      <c r="DUG53" s="384"/>
      <c r="DUH53" s="384"/>
      <c r="DUI53" s="384"/>
      <c r="DUJ53" s="384"/>
      <c r="DUK53" s="384"/>
      <c r="DUL53" s="384"/>
      <c r="DUM53" s="384"/>
      <c r="DUN53" s="384"/>
      <c r="DUO53" s="384"/>
      <c r="DUP53" s="384"/>
      <c r="DUQ53" s="384"/>
      <c r="DUR53" s="384"/>
      <c r="DUS53" s="384"/>
      <c r="DUT53" s="384"/>
      <c r="DUU53" s="384"/>
      <c r="DUV53" s="384"/>
      <c r="DUW53" s="384"/>
      <c r="DUX53" s="384"/>
      <c r="DUY53" s="384"/>
      <c r="DUZ53" s="384"/>
      <c r="DVA53" s="384"/>
      <c r="DVB53" s="384"/>
      <c r="DVC53" s="384"/>
      <c r="DVD53" s="384"/>
      <c r="DVE53" s="384"/>
      <c r="DVF53" s="384"/>
      <c r="DVG53" s="384"/>
      <c r="DVH53" s="384"/>
      <c r="DVI53" s="384"/>
      <c r="DVJ53" s="384"/>
      <c r="DVK53" s="384"/>
      <c r="DVL53" s="384"/>
      <c r="DVM53" s="384"/>
      <c r="DVN53" s="384"/>
      <c r="DVO53" s="384"/>
      <c r="DVP53" s="384"/>
      <c r="DVQ53" s="384"/>
      <c r="DVR53" s="384"/>
      <c r="DVS53" s="384"/>
      <c r="DVT53" s="384"/>
      <c r="DVU53" s="384"/>
      <c r="DVV53" s="384"/>
      <c r="DVW53" s="384"/>
      <c r="DVX53" s="384"/>
      <c r="DVY53" s="384"/>
      <c r="DVZ53" s="384"/>
      <c r="DWA53" s="384"/>
      <c r="DWB53" s="384"/>
      <c r="DWC53" s="384"/>
      <c r="DWD53" s="384"/>
      <c r="DWE53" s="384"/>
      <c r="DWF53" s="384"/>
      <c r="DWG53" s="384"/>
      <c r="DWH53" s="384"/>
      <c r="DWI53" s="384"/>
      <c r="DWJ53" s="384"/>
      <c r="DWK53" s="384"/>
      <c r="DWL53" s="384"/>
      <c r="DWM53" s="384"/>
      <c r="DWN53" s="384"/>
      <c r="DWO53" s="384"/>
      <c r="DWP53" s="384"/>
      <c r="DWQ53" s="384"/>
      <c r="DWR53" s="384"/>
      <c r="DWS53" s="384"/>
      <c r="DWT53" s="384"/>
      <c r="DWU53" s="384"/>
      <c r="DWV53" s="384"/>
      <c r="DWW53" s="384"/>
      <c r="DWX53" s="384"/>
      <c r="DWY53" s="384"/>
      <c r="DWZ53" s="384"/>
      <c r="DXA53" s="384"/>
      <c r="DXB53" s="384"/>
      <c r="DXC53" s="384"/>
      <c r="DXD53" s="384"/>
      <c r="DXE53" s="384"/>
      <c r="DXF53" s="384"/>
      <c r="DXG53" s="384"/>
      <c r="DXH53" s="384"/>
      <c r="DXI53" s="384"/>
      <c r="DXJ53" s="384"/>
      <c r="DXK53" s="384"/>
      <c r="DXL53" s="384"/>
      <c r="DXM53" s="384"/>
      <c r="DXN53" s="384"/>
      <c r="DXO53" s="384"/>
      <c r="DXP53" s="384"/>
      <c r="DXQ53" s="384"/>
      <c r="DXR53" s="384"/>
      <c r="DXS53" s="384"/>
      <c r="DXT53" s="384"/>
      <c r="DXU53" s="384"/>
      <c r="DXV53" s="384"/>
      <c r="DXW53" s="384"/>
      <c r="DXX53" s="384"/>
      <c r="DXY53" s="384"/>
      <c r="DXZ53" s="384"/>
      <c r="DYA53" s="384"/>
      <c r="DYB53" s="384"/>
      <c r="DYC53" s="384"/>
      <c r="DYD53" s="384"/>
      <c r="DYE53" s="384"/>
      <c r="DYF53" s="384"/>
      <c r="DYG53" s="384"/>
      <c r="DYH53" s="384"/>
      <c r="DYI53" s="384"/>
      <c r="DYJ53" s="384"/>
      <c r="DYK53" s="384"/>
      <c r="DYL53" s="384"/>
      <c r="DYM53" s="384"/>
      <c r="DYN53" s="384"/>
      <c r="DYO53" s="384"/>
      <c r="DYP53" s="384"/>
      <c r="DYQ53" s="384"/>
      <c r="DYR53" s="384"/>
      <c r="DYS53" s="384"/>
      <c r="DYT53" s="384"/>
      <c r="DYU53" s="384"/>
      <c r="DYV53" s="384"/>
      <c r="DYW53" s="384"/>
      <c r="DYX53" s="384"/>
      <c r="DYY53" s="384"/>
      <c r="DYZ53" s="384"/>
      <c r="DZA53" s="384"/>
      <c r="DZB53" s="384"/>
      <c r="DZC53" s="384"/>
      <c r="DZD53" s="384"/>
      <c r="DZE53" s="384"/>
      <c r="DZF53" s="384"/>
      <c r="DZG53" s="384"/>
      <c r="DZH53" s="384"/>
      <c r="DZI53" s="384"/>
      <c r="DZJ53" s="384"/>
      <c r="DZK53" s="384"/>
      <c r="DZL53" s="384"/>
      <c r="DZM53" s="384"/>
      <c r="DZN53" s="384"/>
      <c r="DZO53" s="384"/>
      <c r="DZP53" s="384"/>
      <c r="DZQ53" s="384"/>
      <c r="DZR53" s="384"/>
      <c r="DZS53" s="384"/>
      <c r="DZT53" s="384"/>
      <c r="DZU53" s="384"/>
      <c r="DZV53" s="384"/>
      <c r="DZW53" s="384"/>
      <c r="DZX53" s="384"/>
      <c r="DZY53" s="384"/>
      <c r="DZZ53" s="384"/>
      <c r="EAA53" s="384"/>
      <c r="EAB53" s="384"/>
      <c r="EAC53" s="384"/>
      <c r="EAD53" s="384"/>
      <c r="EAE53" s="384"/>
      <c r="EAF53" s="384"/>
      <c r="EAG53" s="384"/>
      <c r="EAH53" s="384"/>
      <c r="EAI53" s="384"/>
      <c r="EAJ53" s="384"/>
      <c r="EAK53" s="384"/>
      <c r="EAL53" s="384"/>
      <c r="EAM53" s="384"/>
      <c r="EAN53" s="384"/>
      <c r="EAO53" s="384"/>
      <c r="EAP53" s="384"/>
      <c r="EAQ53" s="384"/>
      <c r="EAR53" s="384"/>
      <c r="EAS53" s="384"/>
      <c r="EAT53" s="384"/>
      <c r="EAU53" s="384"/>
      <c r="EAV53" s="384"/>
      <c r="EAW53" s="384"/>
      <c r="EAX53" s="384"/>
      <c r="EAY53" s="384"/>
      <c r="EAZ53" s="384"/>
      <c r="EBA53" s="384"/>
      <c r="EBB53" s="384"/>
      <c r="EBC53" s="384"/>
      <c r="EBD53" s="384"/>
      <c r="EBE53" s="384"/>
      <c r="EBF53" s="384"/>
      <c r="EBG53" s="384"/>
      <c r="EBH53" s="384"/>
      <c r="EBI53" s="384"/>
      <c r="EBJ53" s="384"/>
      <c r="EBK53" s="384"/>
      <c r="EBL53" s="384"/>
      <c r="EBM53" s="384"/>
      <c r="EBN53" s="384"/>
      <c r="EBO53" s="384"/>
      <c r="EBP53" s="384"/>
      <c r="EBQ53" s="384"/>
      <c r="EBR53" s="384"/>
      <c r="EBS53" s="384"/>
      <c r="EBT53" s="384"/>
      <c r="EBU53" s="384"/>
      <c r="EBV53" s="384"/>
      <c r="EBW53" s="384"/>
      <c r="EBX53" s="384"/>
      <c r="EBY53" s="384"/>
      <c r="EBZ53" s="384"/>
      <c r="ECA53" s="384"/>
      <c r="ECB53" s="384"/>
      <c r="ECC53" s="384"/>
      <c r="ECD53" s="384"/>
      <c r="ECE53" s="384"/>
      <c r="ECF53" s="384"/>
      <c r="ECG53" s="384"/>
      <c r="ECH53" s="384"/>
      <c r="ECI53" s="384"/>
      <c r="ECJ53" s="384"/>
      <c r="ECK53" s="384"/>
      <c r="ECL53" s="384"/>
      <c r="ECM53" s="384"/>
      <c r="ECN53" s="384"/>
      <c r="ECO53" s="384"/>
      <c r="ECP53" s="384"/>
      <c r="ECQ53" s="384"/>
      <c r="ECR53" s="384"/>
      <c r="ECS53" s="384"/>
      <c r="ECT53" s="384"/>
      <c r="ECU53" s="384"/>
      <c r="ECV53" s="384"/>
      <c r="ECW53" s="384"/>
      <c r="ECX53" s="384"/>
      <c r="ECY53" s="384"/>
      <c r="ECZ53" s="384"/>
      <c r="EDA53" s="384"/>
      <c r="EDB53" s="384"/>
      <c r="EDC53" s="384"/>
      <c r="EDD53" s="384"/>
      <c r="EDE53" s="384"/>
      <c r="EDF53" s="384"/>
      <c r="EDG53" s="384"/>
      <c r="EDH53" s="384"/>
      <c r="EDI53" s="384"/>
      <c r="EDJ53" s="384"/>
      <c r="EDK53" s="384"/>
      <c r="EDL53" s="384"/>
      <c r="EDM53" s="384"/>
      <c r="EDN53" s="384"/>
      <c r="EDO53" s="384"/>
      <c r="EDP53" s="384"/>
      <c r="EDQ53" s="384"/>
      <c r="EDR53" s="384"/>
      <c r="EDS53" s="384"/>
      <c r="EDT53" s="384"/>
      <c r="EDU53" s="384"/>
      <c r="EDV53" s="384"/>
      <c r="EDW53" s="384"/>
      <c r="EDX53" s="384"/>
      <c r="EDY53" s="384"/>
      <c r="EDZ53" s="384"/>
      <c r="EEA53" s="384"/>
      <c r="EEB53" s="384"/>
      <c r="EEC53" s="384"/>
      <c r="EED53" s="384"/>
      <c r="EEE53" s="384"/>
      <c r="EEF53" s="384"/>
      <c r="EEG53" s="384"/>
      <c r="EEH53" s="384"/>
      <c r="EEI53" s="384"/>
      <c r="EEJ53" s="384"/>
      <c r="EEK53" s="384"/>
      <c r="EEL53" s="384"/>
      <c r="EEM53" s="384"/>
      <c r="EEN53" s="384"/>
      <c r="EEO53" s="384"/>
      <c r="EEP53" s="384"/>
      <c r="EEQ53" s="384"/>
      <c r="EER53" s="384"/>
      <c r="EES53" s="384"/>
      <c r="EET53" s="384"/>
      <c r="EEU53" s="384"/>
      <c r="EEV53" s="384"/>
      <c r="EEW53" s="384"/>
      <c r="EEX53" s="384"/>
      <c r="EEY53" s="384"/>
      <c r="EEZ53" s="384"/>
      <c r="EFA53" s="384"/>
      <c r="EFB53" s="384"/>
      <c r="EFC53" s="384"/>
      <c r="EFD53" s="384"/>
      <c r="EFE53" s="384"/>
      <c r="EFF53" s="384"/>
      <c r="EFG53" s="384"/>
      <c r="EFH53" s="384"/>
      <c r="EFI53" s="384"/>
      <c r="EFJ53" s="384"/>
      <c r="EFK53" s="384"/>
      <c r="EFL53" s="384"/>
      <c r="EFM53" s="384"/>
      <c r="EFN53" s="384"/>
      <c r="EFO53" s="384"/>
      <c r="EFP53" s="384"/>
      <c r="EFQ53" s="384"/>
      <c r="EFR53" s="384"/>
      <c r="EFS53" s="384"/>
      <c r="EFT53" s="384"/>
      <c r="EFU53" s="384"/>
      <c r="EFV53" s="384"/>
      <c r="EFW53" s="384"/>
      <c r="EFX53" s="384"/>
      <c r="EFY53" s="384"/>
      <c r="EFZ53" s="384"/>
      <c r="EGA53" s="384"/>
      <c r="EGB53" s="384"/>
      <c r="EGC53" s="384"/>
      <c r="EGD53" s="384"/>
      <c r="EGE53" s="384"/>
      <c r="EGF53" s="384"/>
      <c r="EGG53" s="384"/>
      <c r="EGH53" s="384"/>
      <c r="EGI53" s="384"/>
      <c r="EGJ53" s="384"/>
      <c r="EGK53" s="384"/>
      <c r="EGL53" s="384"/>
      <c r="EGM53" s="384"/>
      <c r="EGN53" s="384"/>
      <c r="EGO53" s="384"/>
      <c r="EGP53" s="384"/>
      <c r="EGQ53" s="384"/>
      <c r="EGR53" s="384"/>
      <c r="EGS53" s="384"/>
      <c r="EGT53" s="384"/>
      <c r="EGU53" s="384"/>
      <c r="EGV53" s="384"/>
      <c r="EGW53" s="384"/>
      <c r="EGX53" s="384"/>
      <c r="EGY53" s="384"/>
      <c r="EGZ53" s="384"/>
      <c r="EHA53" s="384"/>
      <c r="EHB53" s="384"/>
      <c r="EHC53" s="384"/>
      <c r="EHD53" s="384"/>
      <c r="EHE53" s="384"/>
      <c r="EHF53" s="384"/>
      <c r="EHG53" s="384"/>
      <c r="EHH53" s="384"/>
      <c r="EHI53" s="384"/>
      <c r="EHJ53" s="384"/>
      <c r="EHK53" s="384"/>
      <c r="EHL53" s="384"/>
      <c r="EHM53" s="384"/>
      <c r="EHN53" s="384"/>
      <c r="EHO53" s="384"/>
      <c r="EHP53" s="384"/>
      <c r="EHQ53" s="384"/>
      <c r="EHR53" s="384"/>
      <c r="EHS53" s="384"/>
      <c r="EHT53" s="384"/>
      <c r="EHU53" s="384"/>
      <c r="EHV53" s="384"/>
      <c r="EHW53" s="384"/>
      <c r="EHX53" s="384"/>
      <c r="EHY53" s="384"/>
      <c r="EHZ53" s="384"/>
      <c r="EIA53" s="384"/>
      <c r="EIB53" s="384"/>
      <c r="EIC53" s="384"/>
      <c r="EID53" s="384"/>
      <c r="EIE53" s="384"/>
      <c r="EIF53" s="384"/>
      <c r="EIG53" s="384"/>
      <c r="EIH53" s="384"/>
      <c r="EII53" s="384"/>
      <c r="EIJ53" s="384"/>
      <c r="EIK53" s="384"/>
      <c r="EIL53" s="384"/>
      <c r="EIM53" s="384"/>
      <c r="EIN53" s="384"/>
      <c r="EIO53" s="384"/>
      <c r="EIP53" s="384"/>
      <c r="EIQ53" s="384"/>
      <c r="EIR53" s="384"/>
      <c r="EIS53" s="384"/>
      <c r="EIT53" s="384"/>
      <c r="EIU53" s="384"/>
      <c r="EIV53" s="384"/>
      <c r="EIW53" s="384"/>
      <c r="EIX53" s="384"/>
      <c r="EIY53" s="384"/>
      <c r="EIZ53" s="384"/>
      <c r="EJA53" s="384"/>
      <c r="EJB53" s="384"/>
      <c r="EJC53" s="384"/>
      <c r="EJD53" s="384"/>
      <c r="EJE53" s="384"/>
      <c r="EJF53" s="384"/>
      <c r="EJG53" s="384"/>
      <c r="EJH53" s="384"/>
      <c r="EJI53" s="384"/>
      <c r="EJJ53" s="384"/>
      <c r="EJK53" s="384"/>
      <c r="EJL53" s="384"/>
      <c r="EJM53" s="384"/>
      <c r="EJN53" s="384"/>
      <c r="EJO53" s="384"/>
      <c r="EJP53" s="384"/>
      <c r="EJQ53" s="384"/>
      <c r="EJR53" s="384"/>
      <c r="EJS53" s="384"/>
      <c r="EJT53" s="384"/>
      <c r="EJU53" s="384"/>
      <c r="EJV53" s="384"/>
      <c r="EJW53" s="384"/>
      <c r="EJX53" s="384"/>
      <c r="EJY53" s="384"/>
      <c r="EJZ53" s="384"/>
      <c r="EKA53" s="384"/>
      <c r="EKB53" s="384"/>
      <c r="EKC53" s="384"/>
      <c r="EKD53" s="384"/>
      <c r="EKE53" s="384"/>
      <c r="EKF53" s="384"/>
      <c r="EKG53" s="384"/>
      <c r="EKH53" s="384"/>
      <c r="EKI53" s="384"/>
      <c r="EKJ53" s="384"/>
      <c r="EKK53" s="384"/>
      <c r="EKL53" s="384"/>
      <c r="EKM53" s="384"/>
      <c r="EKN53" s="384"/>
      <c r="EKO53" s="384"/>
      <c r="EKP53" s="384"/>
      <c r="EKQ53" s="384"/>
      <c r="EKR53" s="384"/>
      <c r="EKS53" s="384"/>
      <c r="EKT53" s="384"/>
      <c r="EKU53" s="384"/>
      <c r="EKV53" s="384"/>
      <c r="EKW53" s="384"/>
      <c r="EKX53" s="384"/>
      <c r="EKY53" s="384"/>
      <c r="EKZ53" s="384"/>
      <c r="ELA53" s="384"/>
      <c r="ELB53" s="384"/>
      <c r="ELC53" s="384"/>
      <c r="ELD53" s="384"/>
      <c r="ELE53" s="384"/>
      <c r="ELF53" s="384"/>
      <c r="ELG53" s="384"/>
      <c r="ELH53" s="384"/>
      <c r="ELI53" s="384"/>
      <c r="ELJ53" s="384"/>
      <c r="ELK53" s="384"/>
      <c r="ELL53" s="384"/>
      <c r="ELM53" s="384"/>
      <c r="ELN53" s="384"/>
      <c r="ELO53" s="384"/>
      <c r="ELP53" s="384"/>
      <c r="ELQ53" s="384"/>
      <c r="ELR53" s="384"/>
      <c r="ELS53" s="384"/>
      <c r="ELT53" s="384"/>
      <c r="ELU53" s="384"/>
      <c r="ELV53" s="384"/>
      <c r="ELW53" s="384"/>
      <c r="ELX53" s="384"/>
      <c r="ELY53" s="384"/>
      <c r="ELZ53" s="384"/>
      <c r="EMA53" s="384"/>
      <c r="EMB53" s="384"/>
      <c r="EMC53" s="384"/>
      <c r="EMD53" s="384"/>
      <c r="EME53" s="384"/>
      <c r="EMF53" s="384"/>
      <c r="EMG53" s="384"/>
      <c r="EMH53" s="384"/>
      <c r="EMI53" s="384"/>
      <c r="EMJ53" s="384"/>
      <c r="EMK53" s="384"/>
      <c r="EML53" s="384"/>
      <c r="EMM53" s="384"/>
      <c r="EMN53" s="384"/>
      <c r="EMO53" s="384"/>
      <c r="EMP53" s="384"/>
      <c r="EMQ53" s="384"/>
      <c r="EMR53" s="384"/>
      <c r="EMS53" s="384"/>
      <c r="EMT53" s="384"/>
      <c r="EMU53" s="384"/>
      <c r="EMV53" s="384"/>
      <c r="EMW53" s="384"/>
      <c r="EMX53" s="384"/>
      <c r="EMY53" s="384"/>
      <c r="EMZ53" s="384"/>
      <c r="ENA53" s="384"/>
      <c r="ENB53" s="384"/>
      <c r="ENC53" s="384"/>
      <c r="END53" s="384"/>
      <c r="ENE53" s="384"/>
      <c r="ENF53" s="384"/>
      <c r="ENG53" s="384"/>
      <c r="ENH53" s="384"/>
      <c r="ENI53" s="384"/>
      <c r="ENJ53" s="384"/>
      <c r="ENK53" s="384"/>
      <c r="ENL53" s="384"/>
      <c r="ENM53" s="384"/>
      <c r="ENN53" s="384"/>
      <c r="ENO53" s="384"/>
      <c r="ENP53" s="384"/>
      <c r="ENQ53" s="384"/>
      <c r="ENR53" s="384"/>
      <c r="ENS53" s="384"/>
      <c r="ENT53" s="384"/>
      <c r="ENU53" s="384"/>
      <c r="ENV53" s="384"/>
      <c r="ENW53" s="384"/>
      <c r="ENX53" s="384"/>
      <c r="ENY53" s="384"/>
      <c r="ENZ53" s="384"/>
      <c r="EOA53" s="384"/>
      <c r="EOB53" s="384"/>
      <c r="EOC53" s="384"/>
      <c r="EOD53" s="384"/>
      <c r="EOE53" s="384"/>
      <c r="EOF53" s="384"/>
      <c r="EOG53" s="384"/>
      <c r="EOH53" s="384"/>
      <c r="EOI53" s="384"/>
      <c r="EOJ53" s="384"/>
      <c r="EOK53" s="384"/>
      <c r="EOL53" s="384"/>
      <c r="EOM53" s="384"/>
      <c r="EON53" s="384"/>
      <c r="EOO53" s="384"/>
      <c r="EOP53" s="384"/>
      <c r="EOQ53" s="384"/>
      <c r="EOR53" s="384"/>
      <c r="EOS53" s="384"/>
      <c r="EOT53" s="384"/>
      <c r="EOU53" s="384"/>
      <c r="EOV53" s="384"/>
      <c r="EOW53" s="384"/>
      <c r="EOX53" s="384"/>
      <c r="EOY53" s="384"/>
      <c r="EOZ53" s="384"/>
      <c r="EPA53" s="384"/>
      <c r="EPB53" s="384"/>
      <c r="EPC53" s="384"/>
      <c r="EPD53" s="384"/>
      <c r="EPE53" s="384"/>
      <c r="EPF53" s="384"/>
      <c r="EPG53" s="384"/>
      <c r="EPH53" s="384"/>
      <c r="EPI53" s="384"/>
      <c r="EPJ53" s="384"/>
      <c r="EPK53" s="384"/>
      <c r="EPL53" s="384"/>
      <c r="EPM53" s="384"/>
      <c r="EPN53" s="384"/>
      <c r="EPO53" s="384"/>
      <c r="EPP53" s="384"/>
      <c r="EPQ53" s="384"/>
      <c r="EPR53" s="384"/>
      <c r="EPS53" s="384"/>
      <c r="EPT53" s="384"/>
      <c r="EPU53" s="384"/>
      <c r="EPV53" s="384"/>
      <c r="EPW53" s="384"/>
      <c r="EPX53" s="384"/>
      <c r="EPY53" s="384"/>
      <c r="EPZ53" s="384"/>
      <c r="EQA53" s="384"/>
      <c r="EQB53" s="384"/>
      <c r="EQC53" s="384"/>
      <c r="EQD53" s="384"/>
      <c r="EQE53" s="384"/>
      <c r="EQF53" s="384"/>
      <c r="EQG53" s="384"/>
      <c r="EQH53" s="384"/>
      <c r="EQI53" s="384"/>
      <c r="EQJ53" s="384"/>
      <c r="EQK53" s="384"/>
      <c r="EQL53" s="384"/>
      <c r="EQM53" s="384"/>
      <c r="EQN53" s="384"/>
      <c r="EQO53" s="384"/>
      <c r="EQP53" s="384"/>
      <c r="EQQ53" s="384"/>
      <c r="EQR53" s="384"/>
      <c r="EQS53" s="384"/>
      <c r="EQT53" s="384"/>
      <c r="EQU53" s="384"/>
      <c r="EQV53" s="384"/>
      <c r="EQW53" s="384"/>
      <c r="EQX53" s="384"/>
      <c r="EQY53" s="384"/>
      <c r="EQZ53" s="384"/>
      <c r="ERA53" s="384"/>
      <c r="ERB53" s="384"/>
      <c r="ERC53" s="384"/>
      <c r="ERD53" s="384"/>
      <c r="ERE53" s="384"/>
      <c r="ERF53" s="384"/>
      <c r="ERG53" s="384"/>
      <c r="ERH53" s="384"/>
      <c r="ERI53" s="384"/>
      <c r="ERJ53" s="384"/>
      <c r="ERK53" s="384"/>
      <c r="ERL53" s="384"/>
      <c r="ERM53" s="384"/>
      <c r="ERN53" s="384"/>
      <c r="ERO53" s="384"/>
      <c r="ERP53" s="384"/>
      <c r="ERQ53" s="384"/>
      <c r="ERR53" s="384"/>
      <c r="ERS53" s="384"/>
      <c r="ERT53" s="384"/>
      <c r="ERU53" s="384"/>
      <c r="ERV53" s="384"/>
      <c r="ERW53" s="384"/>
      <c r="ERX53" s="384"/>
      <c r="ERY53" s="384"/>
      <c r="ERZ53" s="384"/>
      <c r="ESA53" s="384"/>
      <c r="ESB53" s="384"/>
      <c r="ESC53" s="384"/>
      <c r="ESD53" s="384"/>
      <c r="ESE53" s="384"/>
      <c r="ESF53" s="384"/>
      <c r="ESG53" s="384"/>
      <c r="ESH53" s="384"/>
      <c r="ESI53" s="384"/>
      <c r="ESJ53" s="384"/>
      <c r="ESK53" s="384"/>
      <c r="ESL53" s="384"/>
      <c r="ESM53" s="384"/>
      <c r="ESN53" s="384"/>
      <c r="ESO53" s="384"/>
      <c r="ESP53" s="384"/>
      <c r="ESQ53" s="384"/>
      <c r="ESR53" s="384"/>
      <c r="ESS53" s="384"/>
      <c r="EST53" s="384"/>
      <c r="ESU53" s="384"/>
      <c r="ESV53" s="384"/>
      <c r="ESW53" s="384"/>
      <c r="ESX53" s="384"/>
      <c r="ESY53" s="384"/>
      <c r="ESZ53" s="384"/>
      <c r="ETA53" s="384"/>
      <c r="ETB53" s="384"/>
      <c r="ETC53" s="384"/>
      <c r="ETD53" s="384"/>
      <c r="ETE53" s="384"/>
      <c r="ETF53" s="384"/>
      <c r="ETG53" s="384"/>
      <c r="ETH53" s="384"/>
      <c r="ETI53" s="384"/>
      <c r="ETJ53" s="384"/>
      <c r="ETK53" s="384"/>
      <c r="ETL53" s="384"/>
      <c r="ETM53" s="384"/>
      <c r="ETN53" s="384"/>
      <c r="ETO53" s="384"/>
      <c r="ETP53" s="384"/>
      <c r="ETQ53" s="384"/>
      <c r="ETR53" s="384"/>
      <c r="ETS53" s="384"/>
      <c r="ETT53" s="384"/>
      <c r="ETU53" s="384"/>
      <c r="ETV53" s="384"/>
      <c r="ETW53" s="384"/>
      <c r="ETX53" s="384"/>
      <c r="ETY53" s="384"/>
      <c r="ETZ53" s="384"/>
      <c r="EUA53" s="384"/>
      <c r="EUB53" s="384"/>
      <c r="EUC53" s="384"/>
      <c r="EUD53" s="384"/>
      <c r="EUE53" s="384"/>
      <c r="EUF53" s="384"/>
      <c r="EUG53" s="384"/>
      <c r="EUH53" s="384"/>
      <c r="EUI53" s="384"/>
      <c r="EUJ53" s="384"/>
      <c r="EUK53" s="384"/>
      <c r="EUL53" s="384"/>
      <c r="EUM53" s="384"/>
      <c r="EUN53" s="384"/>
      <c r="EUO53" s="384"/>
      <c r="EUP53" s="384"/>
      <c r="EUQ53" s="384"/>
      <c r="EUR53" s="384"/>
      <c r="EUS53" s="384"/>
      <c r="EUT53" s="384"/>
      <c r="EUU53" s="384"/>
      <c r="EUV53" s="384"/>
      <c r="EUW53" s="384"/>
      <c r="EUX53" s="384"/>
      <c r="EUY53" s="384"/>
      <c r="EUZ53" s="384"/>
      <c r="EVA53" s="384"/>
      <c r="EVB53" s="384"/>
      <c r="EVC53" s="384"/>
      <c r="EVD53" s="384"/>
      <c r="EVE53" s="384"/>
      <c r="EVF53" s="384"/>
      <c r="EVG53" s="384"/>
      <c r="EVH53" s="384"/>
      <c r="EVI53" s="384"/>
      <c r="EVJ53" s="384"/>
      <c r="EVK53" s="384"/>
      <c r="EVL53" s="384"/>
      <c r="EVM53" s="384"/>
      <c r="EVN53" s="384"/>
      <c r="EVO53" s="384"/>
      <c r="EVP53" s="384"/>
      <c r="EVQ53" s="384"/>
      <c r="EVR53" s="384"/>
      <c r="EVS53" s="384"/>
      <c r="EVT53" s="384"/>
      <c r="EVU53" s="384"/>
      <c r="EVV53" s="384"/>
      <c r="EVW53" s="384"/>
      <c r="EVX53" s="384"/>
      <c r="EVY53" s="384"/>
      <c r="EVZ53" s="384"/>
      <c r="EWA53" s="384"/>
      <c r="EWB53" s="384"/>
      <c r="EWC53" s="384"/>
      <c r="EWD53" s="384"/>
      <c r="EWE53" s="384"/>
      <c r="EWF53" s="384"/>
      <c r="EWG53" s="384"/>
      <c r="EWH53" s="384"/>
      <c r="EWI53" s="384"/>
      <c r="EWJ53" s="384"/>
      <c r="EWK53" s="384"/>
      <c r="EWL53" s="384"/>
      <c r="EWM53" s="384"/>
      <c r="EWN53" s="384"/>
      <c r="EWO53" s="384"/>
      <c r="EWP53" s="384"/>
      <c r="EWQ53" s="384"/>
      <c r="EWR53" s="384"/>
      <c r="EWS53" s="384"/>
      <c r="EWT53" s="384"/>
      <c r="EWU53" s="384"/>
      <c r="EWV53" s="384"/>
      <c r="EWW53" s="384"/>
      <c r="EWX53" s="384"/>
      <c r="EWY53" s="384"/>
      <c r="EWZ53" s="384"/>
      <c r="EXA53" s="384"/>
      <c r="EXB53" s="384"/>
      <c r="EXC53" s="384"/>
      <c r="EXD53" s="384"/>
      <c r="EXE53" s="384"/>
      <c r="EXF53" s="384"/>
      <c r="EXG53" s="384"/>
      <c r="EXH53" s="384"/>
      <c r="EXI53" s="384"/>
      <c r="EXJ53" s="384"/>
      <c r="EXK53" s="384"/>
      <c r="EXL53" s="384"/>
      <c r="EXM53" s="384"/>
      <c r="EXN53" s="384"/>
      <c r="EXO53" s="384"/>
      <c r="EXP53" s="384"/>
      <c r="EXQ53" s="384"/>
      <c r="EXR53" s="384"/>
      <c r="EXS53" s="384"/>
      <c r="EXT53" s="384"/>
      <c r="EXU53" s="384"/>
      <c r="EXV53" s="384"/>
      <c r="EXW53" s="384"/>
      <c r="EXX53" s="384"/>
      <c r="EXY53" s="384"/>
      <c r="EXZ53" s="384"/>
      <c r="EYA53" s="384"/>
      <c r="EYB53" s="384"/>
      <c r="EYC53" s="384"/>
      <c r="EYD53" s="384"/>
      <c r="EYE53" s="384"/>
      <c r="EYF53" s="384"/>
      <c r="EYG53" s="384"/>
      <c r="EYH53" s="384"/>
      <c r="EYI53" s="384"/>
      <c r="EYJ53" s="384"/>
      <c r="EYK53" s="384"/>
      <c r="EYL53" s="384"/>
      <c r="EYM53" s="384"/>
      <c r="EYN53" s="384"/>
      <c r="EYO53" s="384"/>
      <c r="EYP53" s="384"/>
      <c r="EYQ53" s="384"/>
      <c r="EYR53" s="384"/>
      <c r="EYS53" s="384"/>
      <c r="EYT53" s="384"/>
      <c r="EYU53" s="384"/>
      <c r="EYV53" s="384"/>
      <c r="EYW53" s="384"/>
      <c r="EYX53" s="384"/>
      <c r="EYY53" s="384"/>
      <c r="EYZ53" s="384"/>
      <c r="EZA53" s="384"/>
      <c r="EZB53" s="384"/>
      <c r="EZC53" s="384"/>
      <c r="EZD53" s="384"/>
      <c r="EZE53" s="384"/>
      <c r="EZF53" s="384"/>
      <c r="EZG53" s="384"/>
      <c r="EZH53" s="384"/>
      <c r="EZI53" s="384"/>
      <c r="EZJ53" s="384"/>
      <c r="EZK53" s="384"/>
      <c r="EZL53" s="384"/>
      <c r="EZM53" s="384"/>
      <c r="EZN53" s="384"/>
      <c r="EZO53" s="384"/>
      <c r="EZP53" s="384"/>
      <c r="EZQ53" s="384"/>
      <c r="EZR53" s="384"/>
      <c r="EZS53" s="384"/>
      <c r="EZT53" s="384"/>
      <c r="EZU53" s="384"/>
      <c r="EZV53" s="384"/>
      <c r="EZW53" s="384"/>
      <c r="EZX53" s="384"/>
      <c r="EZY53" s="384"/>
      <c r="EZZ53" s="384"/>
      <c r="FAA53" s="384"/>
      <c r="FAB53" s="384"/>
      <c r="FAC53" s="384"/>
      <c r="FAD53" s="384"/>
      <c r="FAE53" s="384"/>
      <c r="FAF53" s="384"/>
      <c r="FAG53" s="384"/>
      <c r="FAH53" s="384"/>
      <c r="FAI53" s="384"/>
      <c r="FAJ53" s="384"/>
      <c r="FAK53" s="384"/>
      <c r="FAL53" s="384"/>
      <c r="FAM53" s="384"/>
      <c r="FAN53" s="384"/>
      <c r="FAO53" s="384"/>
      <c r="FAP53" s="384"/>
      <c r="FAQ53" s="384"/>
      <c r="FAR53" s="384"/>
      <c r="FAS53" s="384"/>
      <c r="FAT53" s="384"/>
      <c r="FAU53" s="384"/>
      <c r="FAV53" s="384"/>
      <c r="FAW53" s="384"/>
      <c r="FAX53" s="384"/>
      <c r="FAY53" s="384"/>
      <c r="FAZ53" s="384"/>
      <c r="FBA53" s="384"/>
      <c r="FBB53" s="384"/>
      <c r="FBC53" s="384"/>
      <c r="FBD53" s="384"/>
      <c r="FBE53" s="384"/>
      <c r="FBF53" s="384"/>
      <c r="FBG53" s="384"/>
      <c r="FBH53" s="384"/>
      <c r="FBI53" s="384"/>
      <c r="FBJ53" s="384"/>
      <c r="FBK53" s="384"/>
      <c r="FBL53" s="384"/>
      <c r="FBM53" s="384"/>
      <c r="FBN53" s="384"/>
      <c r="FBO53" s="384"/>
      <c r="FBP53" s="384"/>
      <c r="FBQ53" s="384"/>
      <c r="FBR53" s="384"/>
      <c r="FBS53" s="384"/>
      <c r="FBT53" s="384"/>
      <c r="FBU53" s="384"/>
      <c r="FBV53" s="384"/>
      <c r="FBW53" s="384"/>
      <c r="FBX53" s="384"/>
      <c r="FBY53" s="384"/>
      <c r="FBZ53" s="384"/>
      <c r="FCA53" s="384"/>
      <c r="FCB53" s="384"/>
      <c r="FCC53" s="384"/>
      <c r="FCD53" s="384"/>
      <c r="FCE53" s="384"/>
      <c r="FCF53" s="384"/>
      <c r="FCG53" s="384"/>
      <c r="FCH53" s="384"/>
      <c r="FCI53" s="384"/>
      <c r="FCJ53" s="384"/>
      <c r="FCK53" s="384"/>
      <c r="FCL53" s="384"/>
      <c r="FCM53" s="384"/>
      <c r="FCN53" s="384"/>
      <c r="FCO53" s="384"/>
      <c r="FCP53" s="384"/>
      <c r="FCQ53" s="384"/>
      <c r="FCR53" s="384"/>
      <c r="FCS53" s="384"/>
      <c r="FCT53" s="384"/>
      <c r="FCU53" s="384"/>
      <c r="FCV53" s="384"/>
      <c r="FCW53" s="384"/>
      <c r="FCX53" s="384"/>
      <c r="FCY53" s="384"/>
      <c r="FCZ53" s="384"/>
      <c r="FDA53" s="384"/>
      <c r="FDB53" s="384"/>
      <c r="FDC53" s="384"/>
      <c r="FDD53" s="384"/>
      <c r="FDE53" s="384"/>
      <c r="FDF53" s="384"/>
      <c r="FDG53" s="384"/>
      <c r="FDH53" s="384"/>
      <c r="FDI53" s="384"/>
      <c r="FDJ53" s="384"/>
      <c r="FDK53" s="384"/>
      <c r="FDL53" s="384"/>
      <c r="FDM53" s="384"/>
      <c r="FDN53" s="384"/>
      <c r="FDO53" s="384"/>
      <c r="FDP53" s="384"/>
      <c r="FDQ53" s="384"/>
      <c r="FDR53" s="384"/>
      <c r="FDS53" s="384"/>
      <c r="FDT53" s="384"/>
      <c r="FDU53" s="384"/>
      <c r="FDV53" s="384"/>
      <c r="FDW53" s="384"/>
      <c r="FDX53" s="384"/>
      <c r="FDY53" s="384"/>
      <c r="FDZ53" s="384"/>
      <c r="FEA53" s="384"/>
      <c r="FEB53" s="384"/>
      <c r="FEC53" s="384"/>
      <c r="FED53" s="384"/>
      <c r="FEE53" s="384"/>
      <c r="FEF53" s="384"/>
      <c r="FEG53" s="384"/>
      <c r="FEH53" s="384"/>
      <c r="FEI53" s="384"/>
      <c r="FEJ53" s="384"/>
      <c r="FEK53" s="384"/>
      <c r="FEL53" s="384"/>
      <c r="FEM53" s="384"/>
      <c r="FEN53" s="384"/>
      <c r="FEO53" s="384"/>
      <c r="FEP53" s="384"/>
      <c r="FEQ53" s="384"/>
      <c r="FER53" s="384"/>
      <c r="FES53" s="384"/>
      <c r="FET53" s="384"/>
      <c r="FEU53" s="384"/>
      <c r="FEV53" s="384"/>
      <c r="FEW53" s="384"/>
      <c r="FEX53" s="384"/>
      <c r="FEY53" s="384"/>
      <c r="FEZ53" s="384"/>
      <c r="FFA53" s="384"/>
      <c r="FFB53" s="384"/>
      <c r="FFC53" s="384"/>
      <c r="FFD53" s="384"/>
      <c r="FFE53" s="384"/>
      <c r="FFF53" s="384"/>
      <c r="FFG53" s="384"/>
      <c r="FFH53" s="384"/>
      <c r="FFI53" s="384"/>
      <c r="FFJ53" s="384"/>
      <c r="FFK53" s="384"/>
      <c r="FFL53" s="384"/>
      <c r="FFM53" s="384"/>
      <c r="FFN53" s="384"/>
      <c r="FFO53" s="384"/>
      <c r="FFP53" s="384"/>
      <c r="FFQ53" s="384"/>
      <c r="FFR53" s="384"/>
      <c r="FFS53" s="384"/>
      <c r="FFT53" s="384"/>
      <c r="FFU53" s="384"/>
      <c r="FFV53" s="384"/>
      <c r="FFW53" s="384"/>
      <c r="FFX53" s="384"/>
      <c r="FFY53" s="384"/>
      <c r="FFZ53" s="384"/>
      <c r="FGA53" s="384"/>
      <c r="FGB53" s="384"/>
      <c r="FGC53" s="384"/>
      <c r="FGD53" s="384"/>
      <c r="FGE53" s="384"/>
      <c r="FGF53" s="384"/>
      <c r="FGG53" s="384"/>
      <c r="FGH53" s="384"/>
      <c r="FGI53" s="384"/>
      <c r="FGJ53" s="384"/>
      <c r="FGK53" s="384"/>
      <c r="FGL53" s="384"/>
      <c r="FGM53" s="384"/>
      <c r="FGN53" s="384"/>
      <c r="FGO53" s="384"/>
      <c r="FGP53" s="384"/>
      <c r="FGQ53" s="384"/>
      <c r="FGR53" s="384"/>
      <c r="FGS53" s="384"/>
      <c r="FGT53" s="384"/>
      <c r="FGU53" s="384"/>
      <c r="FGV53" s="384"/>
      <c r="FGW53" s="384"/>
      <c r="FGX53" s="384"/>
      <c r="FGY53" s="384"/>
      <c r="FGZ53" s="384"/>
      <c r="FHA53" s="384"/>
      <c r="FHB53" s="384"/>
      <c r="FHC53" s="384"/>
      <c r="FHD53" s="384"/>
      <c r="FHE53" s="384"/>
      <c r="FHF53" s="384"/>
      <c r="FHG53" s="384"/>
      <c r="FHH53" s="384"/>
      <c r="FHI53" s="384"/>
      <c r="FHJ53" s="384"/>
      <c r="FHK53" s="384"/>
      <c r="FHL53" s="384"/>
      <c r="FHM53" s="384"/>
      <c r="FHN53" s="384"/>
      <c r="FHO53" s="384"/>
      <c r="FHP53" s="384"/>
      <c r="FHQ53" s="384"/>
      <c r="FHR53" s="384"/>
      <c r="FHS53" s="384"/>
      <c r="FHT53" s="384"/>
      <c r="FHU53" s="384"/>
      <c r="FHV53" s="384"/>
      <c r="FHW53" s="384"/>
      <c r="FHX53" s="384"/>
      <c r="FHY53" s="384"/>
      <c r="FHZ53" s="384"/>
      <c r="FIA53" s="384"/>
      <c r="FIB53" s="384"/>
      <c r="FIC53" s="384"/>
      <c r="FID53" s="384"/>
      <c r="FIE53" s="384"/>
      <c r="FIF53" s="384"/>
      <c r="FIG53" s="384"/>
      <c r="FIH53" s="384"/>
      <c r="FII53" s="384"/>
      <c r="FIJ53" s="384"/>
      <c r="FIK53" s="384"/>
      <c r="FIL53" s="384"/>
      <c r="FIM53" s="384"/>
      <c r="FIN53" s="384"/>
      <c r="FIO53" s="384"/>
      <c r="FIP53" s="384"/>
      <c r="FIQ53" s="384"/>
      <c r="FIR53" s="384"/>
      <c r="FIS53" s="384"/>
      <c r="FIT53" s="384"/>
      <c r="FIU53" s="384"/>
      <c r="FIV53" s="384"/>
      <c r="FIW53" s="384"/>
      <c r="FIX53" s="384"/>
      <c r="FIY53" s="384"/>
      <c r="FIZ53" s="384"/>
      <c r="FJA53" s="384"/>
      <c r="FJB53" s="384"/>
      <c r="FJC53" s="384"/>
      <c r="FJD53" s="384"/>
      <c r="FJE53" s="384"/>
      <c r="FJF53" s="384"/>
      <c r="FJG53" s="384"/>
      <c r="FJH53" s="384"/>
      <c r="FJI53" s="384"/>
      <c r="FJJ53" s="384"/>
      <c r="FJK53" s="384"/>
      <c r="FJL53" s="384"/>
      <c r="FJM53" s="384"/>
      <c r="FJN53" s="384"/>
      <c r="FJO53" s="384"/>
      <c r="FJP53" s="384"/>
      <c r="FJQ53" s="384"/>
      <c r="FJR53" s="384"/>
      <c r="FJS53" s="384"/>
      <c r="FJT53" s="384"/>
      <c r="FJU53" s="384"/>
      <c r="FJV53" s="384"/>
      <c r="FJW53" s="384"/>
      <c r="FJX53" s="384"/>
      <c r="FJY53" s="384"/>
      <c r="FJZ53" s="384"/>
      <c r="FKA53" s="384"/>
      <c r="FKB53" s="384"/>
      <c r="FKC53" s="384"/>
      <c r="FKD53" s="384"/>
      <c r="FKE53" s="384"/>
      <c r="FKF53" s="384"/>
      <c r="FKG53" s="384"/>
      <c r="FKH53" s="384"/>
      <c r="FKI53" s="384"/>
      <c r="FKJ53" s="384"/>
      <c r="FKK53" s="384"/>
      <c r="FKL53" s="384"/>
      <c r="FKM53" s="384"/>
      <c r="FKN53" s="384"/>
      <c r="FKO53" s="384"/>
      <c r="FKP53" s="384"/>
      <c r="FKQ53" s="384"/>
      <c r="FKR53" s="384"/>
      <c r="FKS53" s="384"/>
      <c r="FKT53" s="384"/>
      <c r="FKU53" s="384"/>
      <c r="FKV53" s="384"/>
      <c r="FKW53" s="384"/>
      <c r="FKX53" s="384"/>
      <c r="FKY53" s="384"/>
      <c r="FKZ53" s="384"/>
      <c r="FLA53" s="384"/>
      <c r="FLB53" s="384"/>
      <c r="FLC53" s="384"/>
      <c r="FLD53" s="384"/>
      <c r="FLE53" s="384"/>
      <c r="FLF53" s="384"/>
      <c r="FLG53" s="384"/>
      <c r="FLH53" s="384"/>
      <c r="FLI53" s="384"/>
      <c r="FLJ53" s="384"/>
      <c r="FLK53" s="384"/>
      <c r="FLL53" s="384"/>
      <c r="FLM53" s="384"/>
      <c r="FLN53" s="384"/>
      <c r="FLO53" s="384"/>
      <c r="FLP53" s="384"/>
      <c r="FLQ53" s="384"/>
      <c r="FLR53" s="384"/>
      <c r="FLS53" s="384"/>
      <c r="FLT53" s="384"/>
      <c r="FLU53" s="384"/>
      <c r="FLV53" s="384"/>
      <c r="FLW53" s="384"/>
      <c r="FLX53" s="384"/>
      <c r="FLY53" s="384"/>
      <c r="FLZ53" s="384"/>
      <c r="FMA53" s="384"/>
      <c r="FMB53" s="384"/>
      <c r="FMC53" s="384"/>
      <c r="FMD53" s="384"/>
      <c r="FME53" s="384"/>
      <c r="FMF53" s="384"/>
      <c r="FMG53" s="384"/>
      <c r="FMH53" s="384"/>
      <c r="FMI53" s="384"/>
      <c r="FMJ53" s="384"/>
      <c r="FMK53" s="384"/>
      <c r="FML53" s="384"/>
      <c r="FMM53" s="384"/>
      <c r="FMN53" s="384"/>
      <c r="FMO53" s="384"/>
      <c r="FMP53" s="384"/>
      <c r="FMQ53" s="384"/>
      <c r="FMR53" s="384"/>
      <c r="FMS53" s="384"/>
      <c r="FMT53" s="384"/>
      <c r="FMU53" s="384"/>
      <c r="FMV53" s="384"/>
      <c r="FMW53" s="384"/>
      <c r="FMX53" s="384"/>
      <c r="FMY53" s="384"/>
      <c r="FMZ53" s="384"/>
      <c r="FNA53" s="384"/>
      <c r="FNB53" s="384"/>
      <c r="FNC53" s="384"/>
      <c r="FND53" s="384"/>
      <c r="FNE53" s="384"/>
      <c r="FNF53" s="384"/>
      <c r="FNG53" s="384"/>
      <c r="FNH53" s="384"/>
      <c r="FNI53" s="384"/>
      <c r="FNJ53" s="384"/>
      <c r="FNK53" s="384"/>
      <c r="FNL53" s="384"/>
      <c r="FNM53" s="384"/>
      <c r="FNN53" s="384"/>
      <c r="FNO53" s="384"/>
      <c r="FNP53" s="384"/>
      <c r="FNQ53" s="384"/>
      <c r="FNR53" s="384"/>
      <c r="FNS53" s="384"/>
      <c r="FNT53" s="384"/>
      <c r="FNU53" s="384"/>
      <c r="FNV53" s="384"/>
      <c r="FNW53" s="384"/>
      <c r="FNX53" s="384"/>
      <c r="FNY53" s="384"/>
      <c r="FNZ53" s="384"/>
      <c r="FOA53" s="384"/>
      <c r="FOB53" s="384"/>
      <c r="FOC53" s="384"/>
      <c r="FOD53" s="384"/>
      <c r="FOE53" s="384"/>
      <c r="FOF53" s="384"/>
      <c r="FOG53" s="384"/>
      <c r="FOH53" s="384"/>
      <c r="FOI53" s="384"/>
      <c r="FOJ53" s="384"/>
      <c r="FOK53" s="384"/>
      <c r="FOL53" s="384"/>
      <c r="FOM53" s="384"/>
      <c r="FON53" s="384"/>
      <c r="FOO53" s="384"/>
      <c r="FOP53" s="384"/>
      <c r="FOQ53" s="384"/>
      <c r="FOR53" s="384"/>
      <c r="FOS53" s="384"/>
      <c r="FOT53" s="384"/>
      <c r="FOU53" s="384"/>
      <c r="FOV53" s="384"/>
      <c r="FOW53" s="384"/>
      <c r="FOX53" s="384"/>
      <c r="FOY53" s="384"/>
      <c r="FOZ53" s="384"/>
      <c r="FPA53" s="384"/>
      <c r="FPB53" s="384"/>
      <c r="FPC53" s="384"/>
      <c r="FPD53" s="384"/>
      <c r="FPE53" s="384"/>
      <c r="FPF53" s="384"/>
      <c r="FPG53" s="384"/>
      <c r="FPH53" s="384"/>
      <c r="FPI53" s="384"/>
      <c r="FPJ53" s="384"/>
      <c r="FPK53" s="384"/>
      <c r="FPL53" s="384"/>
      <c r="FPM53" s="384"/>
      <c r="FPN53" s="384"/>
      <c r="FPO53" s="384"/>
      <c r="FPP53" s="384"/>
      <c r="FPQ53" s="384"/>
      <c r="FPR53" s="384"/>
      <c r="FPS53" s="384"/>
      <c r="FPT53" s="384"/>
      <c r="FPU53" s="384"/>
      <c r="FPV53" s="384"/>
      <c r="FPW53" s="384"/>
      <c r="FPX53" s="384"/>
      <c r="FPY53" s="384"/>
      <c r="FPZ53" s="384"/>
      <c r="FQA53" s="384"/>
      <c r="FQB53" s="384"/>
      <c r="FQC53" s="384"/>
      <c r="FQD53" s="384"/>
      <c r="FQE53" s="384"/>
      <c r="FQF53" s="384"/>
      <c r="FQG53" s="384"/>
      <c r="FQH53" s="384"/>
      <c r="FQI53" s="384"/>
      <c r="FQJ53" s="384"/>
      <c r="FQK53" s="384"/>
      <c r="FQL53" s="384"/>
      <c r="FQM53" s="384"/>
      <c r="FQN53" s="384"/>
      <c r="FQO53" s="384"/>
      <c r="FQP53" s="384"/>
      <c r="FQQ53" s="384"/>
      <c r="FQR53" s="384"/>
      <c r="FQS53" s="384"/>
      <c r="FQT53" s="384"/>
      <c r="FQU53" s="384"/>
      <c r="FQV53" s="384"/>
      <c r="FQW53" s="384"/>
      <c r="FQX53" s="384"/>
      <c r="FQY53" s="384"/>
      <c r="FQZ53" s="384"/>
      <c r="FRA53" s="384"/>
      <c r="FRB53" s="384"/>
      <c r="FRC53" s="384"/>
      <c r="FRD53" s="384"/>
      <c r="FRE53" s="384"/>
      <c r="FRF53" s="384"/>
      <c r="FRG53" s="384"/>
      <c r="FRH53" s="384"/>
      <c r="FRI53" s="384"/>
      <c r="FRJ53" s="384"/>
      <c r="FRK53" s="384"/>
      <c r="FRL53" s="384"/>
      <c r="FRM53" s="384"/>
      <c r="FRN53" s="384"/>
      <c r="FRO53" s="384"/>
      <c r="FRP53" s="384"/>
      <c r="FRQ53" s="384"/>
      <c r="FRR53" s="384"/>
      <c r="FRS53" s="384"/>
      <c r="FRT53" s="384"/>
      <c r="FRU53" s="384"/>
      <c r="FRV53" s="384"/>
      <c r="FRW53" s="384"/>
      <c r="FRX53" s="384"/>
      <c r="FRY53" s="384"/>
      <c r="FRZ53" s="384"/>
      <c r="FSA53" s="384"/>
      <c r="FSB53" s="384"/>
      <c r="FSC53" s="384"/>
      <c r="FSD53" s="384"/>
      <c r="FSE53" s="384"/>
      <c r="FSF53" s="384"/>
      <c r="FSG53" s="384"/>
      <c r="FSH53" s="384"/>
      <c r="FSI53" s="384"/>
      <c r="FSJ53" s="384"/>
      <c r="FSK53" s="384"/>
      <c r="FSL53" s="384"/>
      <c r="FSM53" s="384"/>
      <c r="FSN53" s="384"/>
      <c r="FSO53" s="384"/>
      <c r="FSP53" s="384"/>
      <c r="FSQ53" s="384"/>
      <c r="FSR53" s="384"/>
      <c r="FSS53" s="384"/>
      <c r="FST53" s="384"/>
      <c r="FSU53" s="384"/>
      <c r="FSV53" s="384"/>
      <c r="FSW53" s="384"/>
      <c r="FSX53" s="384"/>
      <c r="FSY53" s="384"/>
      <c r="FSZ53" s="384"/>
      <c r="FTA53" s="384"/>
      <c r="FTB53" s="384"/>
      <c r="FTC53" s="384"/>
      <c r="FTD53" s="384"/>
      <c r="FTE53" s="384"/>
      <c r="FTF53" s="384"/>
      <c r="FTG53" s="384"/>
      <c r="FTH53" s="384"/>
      <c r="FTI53" s="384"/>
      <c r="FTJ53" s="384"/>
      <c r="FTK53" s="384"/>
      <c r="FTL53" s="384"/>
      <c r="FTM53" s="384"/>
      <c r="FTN53" s="384"/>
      <c r="FTO53" s="384"/>
      <c r="FTP53" s="384"/>
      <c r="FTQ53" s="384"/>
      <c r="FTR53" s="384"/>
      <c r="FTS53" s="384"/>
      <c r="FTT53" s="384"/>
      <c r="FTU53" s="384"/>
      <c r="FTV53" s="384"/>
      <c r="FTW53" s="384"/>
      <c r="FTX53" s="384"/>
      <c r="FTY53" s="384"/>
      <c r="FTZ53" s="384"/>
      <c r="FUA53" s="384"/>
      <c r="FUB53" s="384"/>
      <c r="FUC53" s="384"/>
      <c r="FUD53" s="384"/>
      <c r="FUE53" s="384"/>
      <c r="FUF53" s="384"/>
      <c r="FUG53" s="384"/>
      <c r="FUH53" s="384"/>
      <c r="FUI53" s="384"/>
      <c r="FUJ53" s="384"/>
      <c r="FUK53" s="384"/>
      <c r="FUL53" s="384"/>
      <c r="FUM53" s="384"/>
      <c r="FUN53" s="384"/>
      <c r="FUO53" s="384"/>
      <c r="FUP53" s="384"/>
      <c r="FUQ53" s="384"/>
      <c r="FUR53" s="384"/>
      <c r="FUS53" s="384"/>
      <c r="FUT53" s="384"/>
      <c r="FUU53" s="384"/>
      <c r="FUV53" s="384"/>
      <c r="FUW53" s="384"/>
      <c r="FUX53" s="384"/>
      <c r="FUY53" s="384"/>
      <c r="FUZ53" s="384"/>
      <c r="FVA53" s="384"/>
      <c r="FVB53" s="384"/>
      <c r="FVC53" s="384"/>
      <c r="FVD53" s="384"/>
      <c r="FVE53" s="384"/>
      <c r="FVF53" s="384"/>
      <c r="FVG53" s="384"/>
      <c r="FVH53" s="384"/>
      <c r="FVI53" s="384"/>
      <c r="FVJ53" s="384"/>
      <c r="FVK53" s="384"/>
      <c r="FVL53" s="384"/>
      <c r="FVM53" s="384"/>
      <c r="FVN53" s="384"/>
      <c r="FVO53" s="384"/>
      <c r="FVP53" s="384"/>
      <c r="FVQ53" s="384"/>
      <c r="FVR53" s="384"/>
      <c r="FVS53" s="384"/>
      <c r="FVT53" s="384"/>
      <c r="FVU53" s="384"/>
      <c r="FVV53" s="384"/>
      <c r="FVW53" s="384"/>
      <c r="FVX53" s="384"/>
      <c r="FVY53" s="384"/>
      <c r="FVZ53" s="384"/>
      <c r="FWA53" s="384"/>
      <c r="FWB53" s="384"/>
      <c r="FWC53" s="384"/>
      <c r="FWD53" s="384"/>
      <c r="FWE53" s="384"/>
      <c r="FWF53" s="384"/>
      <c r="FWG53" s="384"/>
      <c r="FWH53" s="384"/>
      <c r="FWI53" s="384"/>
      <c r="FWJ53" s="384"/>
      <c r="FWK53" s="384"/>
      <c r="FWL53" s="384"/>
      <c r="FWM53" s="384"/>
      <c r="FWN53" s="384"/>
      <c r="FWO53" s="384"/>
      <c r="FWP53" s="384"/>
      <c r="FWQ53" s="384"/>
      <c r="FWR53" s="384"/>
      <c r="FWS53" s="384"/>
      <c r="FWT53" s="384"/>
      <c r="FWU53" s="384"/>
      <c r="FWV53" s="384"/>
      <c r="FWW53" s="384"/>
      <c r="FWX53" s="384"/>
      <c r="FWY53" s="384"/>
      <c r="FWZ53" s="384"/>
      <c r="FXA53" s="384"/>
      <c r="FXB53" s="384"/>
      <c r="FXC53" s="384"/>
      <c r="FXD53" s="384"/>
      <c r="FXE53" s="384"/>
      <c r="FXF53" s="384"/>
      <c r="FXG53" s="384"/>
      <c r="FXH53" s="384"/>
      <c r="FXI53" s="384"/>
      <c r="FXJ53" s="384"/>
      <c r="FXK53" s="384"/>
      <c r="FXL53" s="384"/>
      <c r="FXM53" s="384"/>
      <c r="FXN53" s="384"/>
      <c r="FXO53" s="384"/>
      <c r="FXP53" s="384"/>
      <c r="FXQ53" s="384"/>
      <c r="FXR53" s="384"/>
      <c r="FXS53" s="384"/>
      <c r="FXT53" s="384"/>
      <c r="FXU53" s="384"/>
      <c r="FXV53" s="384"/>
      <c r="FXW53" s="384"/>
      <c r="FXX53" s="384"/>
      <c r="FXY53" s="384"/>
      <c r="FXZ53" s="384"/>
      <c r="FYA53" s="384"/>
      <c r="FYB53" s="384"/>
      <c r="FYC53" s="384"/>
      <c r="FYD53" s="384"/>
      <c r="FYE53" s="384"/>
      <c r="FYF53" s="384"/>
      <c r="FYG53" s="384"/>
      <c r="FYH53" s="384"/>
      <c r="FYI53" s="384"/>
      <c r="FYJ53" s="384"/>
      <c r="FYK53" s="384"/>
      <c r="FYL53" s="384"/>
      <c r="FYM53" s="384"/>
      <c r="FYN53" s="384"/>
      <c r="FYO53" s="384"/>
      <c r="FYP53" s="384"/>
      <c r="FYQ53" s="384"/>
      <c r="FYR53" s="384"/>
      <c r="FYS53" s="384"/>
      <c r="FYT53" s="384"/>
      <c r="FYU53" s="384"/>
      <c r="FYV53" s="384"/>
      <c r="FYW53" s="384"/>
      <c r="FYX53" s="384"/>
      <c r="FYY53" s="384"/>
      <c r="FYZ53" s="384"/>
      <c r="FZA53" s="384"/>
      <c r="FZB53" s="384"/>
      <c r="FZC53" s="384"/>
      <c r="FZD53" s="384"/>
      <c r="FZE53" s="384"/>
      <c r="FZF53" s="384"/>
      <c r="FZG53" s="384"/>
      <c r="FZH53" s="384"/>
      <c r="FZI53" s="384"/>
      <c r="FZJ53" s="384"/>
      <c r="FZK53" s="384"/>
      <c r="FZL53" s="384"/>
      <c r="FZM53" s="384"/>
      <c r="FZN53" s="384"/>
      <c r="FZO53" s="384"/>
      <c r="FZP53" s="384"/>
      <c r="FZQ53" s="384"/>
      <c r="FZR53" s="384"/>
      <c r="FZS53" s="384"/>
      <c r="FZT53" s="384"/>
      <c r="FZU53" s="384"/>
      <c r="FZV53" s="384"/>
      <c r="FZW53" s="384"/>
      <c r="FZX53" s="384"/>
      <c r="FZY53" s="384"/>
      <c r="FZZ53" s="384"/>
      <c r="GAA53" s="384"/>
      <c r="GAB53" s="384"/>
      <c r="GAC53" s="384"/>
      <c r="GAD53" s="384"/>
      <c r="GAE53" s="384"/>
      <c r="GAF53" s="384"/>
      <c r="GAG53" s="384"/>
      <c r="GAH53" s="384"/>
      <c r="GAI53" s="384"/>
      <c r="GAJ53" s="384"/>
      <c r="GAK53" s="384"/>
      <c r="GAL53" s="384"/>
      <c r="GAM53" s="384"/>
      <c r="GAN53" s="384"/>
      <c r="GAO53" s="384"/>
      <c r="GAP53" s="384"/>
      <c r="GAQ53" s="384"/>
      <c r="GAR53" s="384"/>
      <c r="GAS53" s="384"/>
      <c r="GAT53" s="384"/>
      <c r="GAU53" s="384"/>
      <c r="GAV53" s="384"/>
      <c r="GAW53" s="384"/>
      <c r="GAX53" s="384"/>
      <c r="GAY53" s="384"/>
      <c r="GAZ53" s="384"/>
      <c r="GBA53" s="384"/>
      <c r="GBB53" s="384"/>
      <c r="GBC53" s="384"/>
      <c r="GBD53" s="384"/>
      <c r="GBE53" s="384"/>
      <c r="GBF53" s="384"/>
      <c r="GBG53" s="384"/>
      <c r="GBH53" s="384"/>
      <c r="GBI53" s="384"/>
      <c r="GBJ53" s="384"/>
      <c r="GBK53" s="384"/>
      <c r="GBL53" s="384"/>
      <c r="GBM53" s="384"/>
      <c r="GBN53" s="384"/>
      <c r="GBO53" s="384"/>
      <c r="GBP53" s="384"/>
      <c r="GBQ53" s="384"/>
      <c r="GBR53" s="384"/>
      <c r="GBS53" s="384"/>
      <c r="GBT53" s="384"/>
      <c r="GBU53" s="384"/>
      <c r="GBV53" s="384"/>
      <c r="GBW53" s="384"/>
      <c r="GBX53" s="384"/>
      <c r="GBY53" s="384"/>
      <c r="GBZ53" s="384"/>
      <c r="GCA53" s="384"/>
      <c r="GCB53" s="384"/>
      <c r="GCC53" s="384"/>
      <c r="GCD53" s="384"/>
      <c r="GCE53" s="384"/>
      <c r="GCF53" s="384"/>
      <c r="GCG53" s="384"/>
      <c r="GCH53" s="384"/>
      <c r="GCI53" s="384"/>
      <c r="GCJ53" s="384"/>
      <c r="GCK53" s="384"/>
      <c r="GCL53" s="384"/>
      <c r="GCM53" s="384"/>
      <c r="GCN53" s="384"/>
      <c r="GCO53" s="384"/>
      <c r="GCP53" s="384"/>
      <c r="GCQ53" s="384"/>
      <c r="GCR53" s="384"/>
      <c r="GCS53" s="384"/>
      <c r="GCT53" s="384"/>
      <c r="GCU53" s="384"/>
      <c r="GCV53" s="384"/>
      <c r="GCW53" s="384"/>
      <c r="GCX53" s="384"/>
      <c r="GCY53" s="384"/>
      <c r="GCZ53" s="384"/>
      <c r="GDA53" s="384"/>
      <c r="GDB53" s="384"/>
      <c r="GDC53" s="384"/>
      <c r="GDD53" s="384"/>
      <c r="GDE53" s="384"/>
      <c r="GDF53" s="384"/>
      <c r="GDG53" s="384"/>
      <c r="GDH53" s="384"/>
      <c r="GDI53" s="384"/>
      <c r="GDJ53" s="384"/>
      <c r="GDK53" s="384"/>
      <c r="GDL53" s="384"/>
      <c r="GDM53" s="384"/>
      <c r="GDN53" s="384"/>
      <c r="GDO53" s="384"/>
      <c r="GDP53" s="384"/>
      <c r="GDQ53" s="384"/>
      <c r="GDR53" s="384"/>
      <c r="GDS53" s="384"/>
      <c r="GDT53" s="384"/>
      <c r="GDU53" s="384"/>
      <c r="GDV53" s="384"/>
      <c r="GDW53" s="384"/>
      <c r="GDX53" s="384"/>
      <c r="GDY53" s="384"/>
      <c r="GDZ53" s="384"/>
      <c r="GEA53" s="384"/>
      <c r="GEB53" s="384"/>
      <c r="GEC53" s="384"/>
      <c r="GED53" s="384"/>
      <c r="GEE53" s="384"/>
      <c r="GEF53" s="384"/>
      <c r="GEG53" s="384"/>
      <c r="GEH53" s="384"/>
      <c r="GEI53" s="384"/>
      <c r="GEJ53" s="384"/>
      <c r="GEK53" s="384"/>
      <c r="GEL53" s="384"/>
      <c r="GEM53" s="384"/>
      <c r="GEN53" s="384"/>
      <c r="GEO53" s="384"/>
      <c r="GEP53" s="384"/>
      <c r="GEQ53" s="384"/>
      <c r="GER53" s="384"/>
      <c r="GES53" s="384"/>
      <c r="GET53" s="384"/>
      <c r="GEU53" s="384"/>
      <c r="GEV53" s="384"/>
      <c r="GEW53" s="384"/>
      <c r="GEX53" s="384"/>
      <c r="GEY53" s="384"/>
      <c r="GEZ53" s="384"/>
      <c r="GFA53" s="384"/>
      <c r="GFB53" s="384"/>
      <c r="GFC53" s="384"/>
      <c r="GFD53" s="384"/>
      <c r="GFE53" s="384"/>
      <c r="GFF53" s="384"/>
      <c r="GFG53" s="384"/>
      <c r="GFH53" s="384"/>
      <c r="GFI53" s="384"/>
      <c r="GFJ53" s="384"/>
      <c r="GFK53" s="384"/>
      <c r="GFL53" s="384"/>
      <c r="GFM53" s="384"/>
      <c r="GFN53" s="384"/>
      <c r="GFO53" s="384"/>
      <c r="GFP53" s="384"/>
      <c r="GFQ53" s="384"/>
      <c r="GFR53" s="384"/>
      <c r="GFS53" s="384"/>
      <c r="GFT53" s="384"/>
      <c r="GFU53" s="384"/>
      <c r="GFV53" s="384"/>
      <c r="GFW53" s="384"/>
      <c r="GFX53" s="384"/>
      <c r="GFY53" s="384"/>
      <c r="GFZ53" s="384"/>
      <c r="GGA53" s="384"/>
      <c r="GGB53" s="384"/>
      <c r="GGC53" s="384"/>
      <c r="GGD53" s="384"/>
      <c r="GGE53" s="384"/>
      <c r="GGF53" s="384"/>
      <c r="GGG53" s="384"/>
      <c r="GGH53" s="384"/>
      <c r="GGI53" s="384"/>
      <c r="GGJ53" s="384"/>
      <c r="GGK53" s="384"/>
      <c r="GGL53" s="384"/>
      <c r="GGM53" s="384"/>
      <c r="GGN53" s="384"/>
      <c r="GGO53" s="384"/>
      <c r="GGP53" s="384"/>
      <c r="GGQ53" s="384"/>
      <c r="GGR53" s="384"/>
      <c r="GGS53" s="384"/>
      <c r="GGT53" s="384"/>
      <c r="GGU53" s="384"/>
      <c r="GGV53" s="384"/>
      <c r="GGW53" s="384"/>
      <c r="GGX53" s="384"/>
      <c r="GGY53" s="384"/>
      <c r="GGZ53" s="384"/>
      <c r="GHA53" s="384"/>
      <c r="GHB53" s="384"/>
      <c r="GHC53" s="384"/>
      <c r="GHD53" s="384"/>
      <c r="GHE53" s="384"/>
      <c r="GHF53" s="384"/>
      <c r="GHG53" s="384"/>
      <c r="GHH53" s="384"/>
      <c r="GHI53" s="384"/>
      <c r="GHJ53" s="384"/>
      <c r="GHK53" s="384"/>
      <c r="GHL53" s="384"/>
      <c r="GHM53" s="384"/>
      <c r="GHN53" s="384"/>
      <c r="GHO53" s="384"/>
      <c r="GHP53" s="384"/>
      <c r="GHQ53" s="384"/>
      <c r="GHR53" s="384"/>
      <c r="GHS53" s="384"/>
      <c r="GHT53" s="384"/>
      <c r="GHU53" s="384"/>
      <c r="GHV53" s="384"/>
      <c r="GHW53" s="384"/>
      <c r="GHX53" s="384"/>
      <c r="GHY53" s="384"/>
      <c r="GHZ53" s="384"/>
      <c r="GIA53" s="384"/>
      <c r="GIB53" s="384"/>
      <c r="GIC53" s="384"/>
      <c r="GID53" s="384"/>
      <c r="GIE53" s="384"/>
      <c r="GIF53" s="384"/>
      <c r="GIG53" s="384"/>
      <c r="GIH53" s="384"/>
      <c r="GII53" s="384"/>
      <c r="GIJ53" s="384"/>
      <c r="GIK53" s="384"/>
      <c r="GIL53" s="384"/>
      <c r="GIM53" s="384"/>
      <c r="GIN53" s="384"/>
      <c r="GIO53" s="384"/>
      <c r="GIP53" s="384"/>
      <c r="GIQ53" s="384"/>
      <c r="GIR53" s="384"/>
      <c r="GIS53" s="384"/>
      <c r="GIT53" s="384"/>
      <c r="GIU53" s="384"/>
      <c r="GIV53" s="384"/>
      <c r="GIW53" s="384"/>
      <c r="GIX53" s="384"/>
      <c r="GIY53" s="384"/>
      <c r="GIZ53" s="384"/>
      <c r="GJA53" s="384"/>
      <c r="GJB53" s="384"/>
      <c r="GJC53" s="384"/>
      <c r="GJD53" s="384"/>
      <c r="GJE53" s="384"/>
      <c r="GJF53" s="384"/>
      <c r="GJG53" s="384"/>
      <c r="GJH53" s="384"/>
      <c r="GJI53" s="384"/>
      <c r="GJJ53" s="384"/>
      <c r="GJK53" s="384"/>
      <c r="GJL53" s="384"/>
      <c r="GJM53" s="384"/>
      <c r="GJN53" s="384"/>
      <c r="GJO53" s="384"/>
      <c r="GJP53" s="384"/>
      <c r="GJQ53" s="384"/>
      <c r="GJR53" s="384"/>
      <c r="GJS53" s="384"/>
      <c r="GJT53" s="384"/>
      <c r="GJU53" s="384"/>
      <c r="GJV53" s="384"/>
      <c r="GJW53" s="384"/>
      <c r="GJX53" s="384"/>
      <c r="GJY53" s="384"/>
      <c r="GJZ53" s="384"/>
      <c r="GKA53" s="384"/>
      <c r="GKB53" s="384"/>
      <c r="GKC53" s="384"/>
      <c r="GKD53" s="384"/>
      <c r="GKE53" s="384"/>
      <c r="GKF53" s="384"/>
      <c r="GKG53" s="384"/>
      <c r="GKH53" s="384"/>
      <c r="GKI53" s="384"/>
      <c r="GKJ53" s="384"/>
      <c r="GKK53" s="384"/>
      <c r="GKL53" s="384"/>
      <c r="GKM53" s="384"/>
      <c r="GKN53" s="384"/>
      <c r="GKO53" s="384"/>
      <c r="GKP53" s="384"/>
      <c r="GKQ53" s="384"/>
      <c r="GKR53" s="384"/>
      <c r="GKS53" s="384"/>
      <c r="GKT53" s="384"/>
      <c r="GKU53" s="384"/>
      <c r="GKV53" s="384"/>
      <c r="GKW53" s="384"/>
      <c r="GKX53" s="384"/>
      <c r="GKY53" s="384"/>
      <c r="GKZ53" s="384"/>
      <c r="GLA53" s="384"/>
      <c r="GLB53" s="384"/>
      <c r="GLC53" s="384"/>
      <c r="GLD53" s="384"/>
      <c r="GLE53" s="384"/>
      <c r="GLF53" s="384"/>
      <c r="GLG53" s="384"/>
      <c r="GLH53" s="384"/>
      <c r="GLI53" s="384"/>
      <c r="GLJ53" s="384"/>
      <c r="GLK53" s="384"/>
      <c r="GLL53" s="384"/>
      <c r="GLM53" s="384"/>
      <c r="GLN53" s="384"/>
      <c r="GLO53" s="384"/>
      <c r="GLP53" s="384"/>
      <c r="GLQ53" s="384"/>
      <c r="GLR53" s="384"/>
      <c r="GLS53" s="384"/>
      <c r="GLT53" s="384"/>
      <c r="GLU53" s="384"/>
      <c r="GLV53" s="384"/>
      <c r="GLW53" s="384"/>
      <c r="GLX53" s="384"/>
      <c r="GLY53" s="384"/>
      <c r="GLZ53" s="384"/>
      <c r="GMA53" s="384"/>
      <c r="GMB53" s="384"/>
      <c r="GMC53" s="384"/>
      <c r="GMD53" s="384"/>
      <c r="GME53" s="384"/>
      <c r="GMF53" s="384"/>
      <c r="GMG53" s="384"/>
      <c r="GMH53" s="384"/>
      <c r="GMI53" s="384"/>
      <c r="GMJ53" s="384"/>
      <c r="GMK53" s="384"/>
      <c r="GML53" s="384"/>
      <c r="GMM53" s="384"/>
      <c r="GMN53" s="384"/>
      <c r="GMO53" s="384"/>
      <c r="GMP53" s="384"/>
      <c r="GMQ53" s="384"/>
      <c r="GMR53" s="384"/>
      <c r="GMS53" s="384"/>
      <c r="GMT53" s="384"/>
      <c r="GMU53" s="384"/>
      <c r="GMV53" s="384"/>
      <c r="GMW53" s="384"/>
      <c r="GMX53" s="384"/>
      <c r="GMY53" s="384"/>
      <c r="GMZ53" s="384"/>
      <c r="GNA53" s="384"/>
      <c r="GNB53" s="384"/>
      <c r="GNC53" s="384"/>
      <c r="GND53" s="384"/>
      <c r="GNE53" s="384"/>
      <c r="GNF53" s="384"/>
      <c r="GNG53" s="384"/>
      <c r="GNH53" s="384"/>
      <c r="GNI53" s="384"/>
      <c r="GNJ53" s="384"/>
      <c r="GNK53" s="384"/>
      <c r="GNL53" s="384"/>
      <c r="GNM53" s="384"/>
      <c r="GNN53" s="384"/>
      <c r="GNO53" s="384"/>
      <c r="GNP53" s="384"/>
      <c r="GNQ53" s="384"/>
      <c r="GNR53" s="384"/>
      <c r="GNS53" s="384"/>
      <c r="GNT53" s="384"/>
      <c r="GNU53" s="384"/>
      <c r="GNV53" s="384"/>
      <c r="GNW53" s="384"/>
      <c r="GNX53" s="384"/>
      <c r="GNY53" s="384"/>
      <c r="GNZ53" s="384"/>
      <c r="GOA53" s="384"/>
      <c r="GOB53" s="384"/>
      <c r="GOC53" s="384"/>
      <c r="GOD53" s="384"/>
      <c r="GOE53" s="384"/>
      <c r="GOF53" s="384"/>
      <c r="GOG53" s="384"/>
      <c r="GOH53" s="384"/>
      <c r="GOI53" s="384"/>
      <c r="GOJ53" s="384"/>
      <c r="GOK53" s="384"/>
      <c r="GOL53" s="384"/>
      <c r="GOM53" s="384"/>
      <c r="GON53" s="384"/>
      <c r="GOO53" s="384"/>
      <c r="GOP53" s="384"/>
      <c r="GOQ53" s="384"/>
      <c r="GOR53" s="384"/>
      <c r="GOS53" s="384"/>
      <c r="GOT53" s="384"/>
      <c r="GOU53" s="384"/>
      <c r="GOV53" s="384"/>
      <c r="GOW53" s="384"/>
      <c r="GOX53" s="384"/>
      <c r="GOY53" s="384"/>
      <c r="GOZ53" s="384"/>
      <c r="GPA53" s="384"/>
      <c r="GPB53" s="384"/>
      <c r="GPC53" s="384"/>
      <c r="GPD53" s="384"/>
      <c r="GPE53" s="384"/>
      <c r="GPF53" s="384"/>
      <c r="GPG53" s="384"/>
      <c r="GPH53" s="384"/>
      <c r="GPI53" s="384"/>
      <c r="GPJ53" s="384"/>
      <c r="GPK53" s="384"/>
      <c r="GPL53" s="384"/>
      <c r="GPM53" s="384"/>
      <c r="GPN53" s="384"/>
      <c r="GPO53" s="384"/>
      <c r="GPP53" s="384"/>
      <c r="GPQ53" s="384"/>
      <c r="GPR53" s="384"/>
      <c r="GPS53" s="384"/>
      <c r="GPT53" s="384"/>
      <c r="GPU53" s="384"/>
      <c r="GPV53" s="384"/>
      <c r="GPW53" s="384"/>
      <c r="GPX53" s="384"/>
      <c r="GPY53" s="384"/>
      <c r="GPZ53" s="384"/>
      <c r="GQA53" s="384"/>
      <c r="GQB53" s="384"/>
      <c r="GQC53" s="384"/>
      <c r="GQD53" s="384"/>
      <c r="GQE53" s="384"/>
      <c r="GQF53" s="384"/>
      <c r="GQG53" s="384"/>
      <c r="GQH53" s="384"/>
      <c r="GQI53" s="384"/>
      <c r="GQJ53" s="384"/>
      <c r="GQK53" s="384"/>
      <c r="GQL53" s="384"/>
      <c r="GQM53" s="384"/>
      <c r="GQN53" s="384"/>
      <c r="GQO53" s="384"/>
      <c r="GQP53" s="384"/>
      <c r="GQQ53" s="384"/>
      <c r="GQR53" s="384"/>
      <c r="GQS53" s="384"/>
      <c r="GQT53" s="384"/>
      <c r="GQU53" s="384"/>
      <c r="GQV53" s="384"/>
      <c r="GQW53" s="384"/>
      <c r="GQX53" s="384"/>
      <c r="GQY53" s="384"/>
      <c r="GQZ53" s="384"/>
      <c r="GRA53" s="384"/>
      <c r="GRB53" s="384"/>
      <c r="GRC53" s="384"/>
      <c r="GRD53" s="384"/>
      <c r="GRE53" s="384"/>
      <c r="GRF53" s="384"/>
      <c r="GRG53" s="384"/>
      <c r="GRH53" s="384"/>
      <c r="GRI53" s="384"/>
      <c r="GRJ53" s="384"/>
      <c r="GRK53" s="384"/>
      <c r="GRL53" s="384"/>
      <c r="GRM53" s="384"/>
      <c r="GRN53" s="384"/>
      <c r="GRO53" s="384"/>
      <c r="GRP53" s="384"/>
      <c r="GRQ53" s="384"/>
      <c r="GRR53" s="384"/>
      <c r="GRS53" s="384"/>
      <c r="GRT53" s="384"/>
      <c r="GRU53" s="384"/>
      <c r="GRV53" s="384"/>
      <c r="GRW53" s="384"/>
      <c r="GRX53" s="384"/>
      <c r="GRY53" s="384"/>
      <c r="GRZ53" s="384"/>
      <c r="GSA53" s="384"/>
      <c r="GSB53" s="384"/>
      <c r="GSC53" s="384"/>
      <c r="GSD53" s="384"/>
      <c r="GSE53" s="384"/>
      <c r="GSF53" s="384"/>
      <c r="GSG53" s="384"/>
      <c r="GSH53" s="384"/>
      <c r="GSI53" s="384"/>
      <c r="GSJ53" s="384"/>
      <c r="GSK53" s="384"/>
      <c r="GSL53" s="384"/>
      <c r="GSM53" s="384"/>
      <c r="GSN53" s="384"/>
      <c r="GSO53" s="384"/>
      <c r="GSP53" s="384"/>
      <c r="GSQ53" s="384"/>
      <c r="GSR53" s="384"/>
      <c r="GSS53" s="384"/>
      <c r="GST53" s="384"/>
      <c r="GSU53" s="384"/>
      <c r="GSV53" s="384"/>
      <c r="GSW53" s="384"/>
      <c r="GSX53" s="384"/>
      <c r="GSY53" s="384"/>
      <c r="GSZ53" s="384"/>
      <c r="GTA53" s="384"/>
      <c r="GTB53" s="384"/>
      <c r="GTC53" s="384"/>
      <c r="GTD53" s="384"/>
      <c r="GTE53" s="384"/>
      <c r="GTF53" s="384"/>
      <c r="GTG53" s="384"/>
      <c r="GTH53" s="384"/>
      <c r="GTI53" s="384"/>
      <c r="GTJ53" s="384"/>
      <c r="GTK53" s="384"/>
      <c r="GTL53" s="384"/>
      <c r="GTM53" s="384"/>
      <c r="GTN53" s="384"/>
      <c r="GTO53" s="384"/>
      <c r="GTP53" s="384"/>
      <c r="GTQ53" s="384"/>
      <c r="GTR53" s="384"/>
      <c r="GTS53" s="384"/>
      <c r="GTT53" s="384"/>
      <c r="GTU53" s="384"/>
      <c r="GTV53" s="384"/>
      <c r="GTW53" s="384"/>
      <c r="GTX53" s="384"/>
      <c r="GTY53" s="384"/>
      <c r="GTZ53" s="384"/>
      <c r="GUA53" s="384"/>
      <c r="GUB53" s="384"/>
      <c r="GUC53" s="384"/>
      <c r="GUD53" s="384"/>
      <c r="GUE53" s="384"/>
      <c r="GUF53" s="384"/>
      <c r="GUG53" s="384"/>
      <c r="GUH53" s="384"/>
      <c r="GUI53" s="384"/>
      <c r="GUJ53" s="384"/>
      <c r="GUK53" s="384"/>
      <c r="GUL53" s="384"/>
      <c r="GUM53" s="384"/>
      <c r="GUN53" s="384"/>
      <c r="GUO53" s="384"/>
      <c r="GUP53" s="384"/>
      <c r="GUQ53" s="384"/>
      <c r="GUR53" s="384"/>
      <c r="GUS53" s="384"/>
      <c r="GUT53" s="384"/>
      <c r="GUU53" s="384"/>
      <c r="GUV53" s="384"/>
      <c r="GUW53" s="384"/>
      <c r="GUX53" s="384"/>
      <c r="GUY53" s="384"/>
      <c r="GUZ53" s="384"/>
      <c r="GVA53" s="384"/>
      <c r="GVB53" s="384"/>
      <c r="GVC53" s="384"/>
      <c r="GVD53" s="384"/>
      <c r="GVE53" s="384"/>
      <c r="GVF53" s="384"/>
      <c r="GVG53" s="384"/>
      <c r="GVH53" s="384"/>
      <c r="GVI53" s="384"/>
      <c r="GVJ53" s="384"/>
      <c r="GVK53" s="384"/>
      <c r="GVL53" s="384"/>
      <c r="GVM53" s="384"/>
      <c r="GVN53" s="384"/>
      <c r="GVO53" s="384"/>
      <c r="GVP53" s="384"/>
      <c r="GVQ53" s="384"/>
      <c r="GVR53" s="384"/>
      <c r="GVS53" s="384"/>
      <c r="GVT53" s="384"/>
      <c r="GVU53" s="384"/>
      <c r="GVV53" s="384"/>
      <c r="GVW53" s="384"/>
      <c r="GVX53" s="384"/>
      <c r="GVY53" s="384"/>
      <c r="GVZ53" s="384"/>
      <c r="GWA53" s="384"/>
      <c r="GWB53" s="384"/>
      <c r="GWC53" s="384"/>
      <c r="GWD53" s="384"/>
      <c r="GWE53" s="384"/>
      <c r="GWF53" s="384"/>
      <c r="GWG53" s="384"/>
      <c r="GWH53" s="384"/>
      <c r="GWI53" s="384"/>
      <c r="GWJ53" s="384"/>
      <c r="GWK53" s="384"/>
      <c r="GWL53" s="384"/>
      <c r="GWM53" s="384"/>
      <c r="GWN53" s="384"/>
      <c r="GWO53" s="384"/>
      <c r="GWP53" s="384"/>
      <c r="GWQ53" s="384"/>
      <c r="GWR53" s="384"/>
      <c r="GWS53" s="384"/>
      <c r="GWT53" s="384"/>
      <c r="GWU53" s="384"/>
      <c r="GWV53" s="384"/>
      <c r="GWW53" s="384"/>
      <c r="GWX53" s="384"/>
      <c r="GWY53" s="384"/>
      <c r="GWZ53" s="384"/>
      <c r="GXA53" s="384"/>
      <c r="GXB53" s="384"/>
      <c r="GXC53" s="384"/>
      <c r="GXD53" s="384"/>
      <c r="GXE53" s="384"/>
      <c r="GXF53" s="384"/>
      <c r="GXG53" s="384"/>
      <c r="GXH53" s="384"/>
      <c r="GXI53" s="384"/>
      <c r="GXJ53" s="384"/>
      <c r="GXK53" s="384"/>
      <c r="GXL53" s="384"/>
      <c r="GXM53" s="384"/>
      <c r="GXN53" s="384"/>
      <c r="GXO53" s="384"/>
      <c r="GXP53" s="384"/>
      <c r="GXQ53" s="384"/>
      <c r="GXR53" s="384"/>
      <c r="GXS53" s="384"/>
      <c r="GXT53" s="384"/>
      <c r="GXU53" s="384"/>
      <c r="GXV53" s="384"/>
      <c r="GXW53" s="384"/>
      <c r="GXX53" s="384"/>
      <c r="GXY53" s="384"/>
      <c r="GXZ53" s="384"/>
      <c r="GYA53" s="384"/>
      <c r="GYB53" s="384"/>
      <c r="GYC53" s="384"/>
      <c r="GYD53" s="384"/>
      <c r="GYE53" s="384"/>
      <c r="GYF53" s="384"/>
      <c r="GYG53" s="384"/>
      <c r="GYH53" s="384"/>
      <c r="GYI53" s="384"/>
      <c r="GYJ53" s="384"/>
      <c r="GYK53" s="384"/>
      <c r="GYL53" s="384"/>
      <c r="GYM53" s="384"/>
      <c r="GYN53" s="384"/>
      <c r="GYO53" s="384"/>
      <c r="GYP53" s="384"/>
      <c r="GYQ53" s="384"/>
      <c r="GYR53" s="384"/>
      <c r="GYS53" s="384"/>
      <c r="GYT53" s="384"/>
      <c r="GYU53" s="384"/>
      <c r="GYV53" s="384"/>
      <c r="GYW53" s="384"/>
      <c r="GYX53" s="384"/>
      <c r="GYY53" s="384"/>
      <c r="GYZ53" s="384"/>
      <c r="GZA53" s="384"/>
      <c r="GZB53" s="384"/>
      <c r="GZC53" s="384"/>
      <c r="GZD53" s="384"/>
      <c r="GZE53" s="384"/>
      <c r="GZF53" s="384"/>
      <c r="GZG53" s="384"/>
      <c r="GZH53" s="384"/>
      <c r="GZI53" s="384"/>
      <c r="GZJ53" s="384"/>
      <c r="GZK53" s="384"/>
      <c r="GZL53" s="384"/>
      <c r="GZM53" s="384"/>
      <c r="GZN53" s="384"/>
      <c r="GZO53" s="384"/>
      <c r="GZP53" s="384"/>
      <c r="GZQ53" s="384"/>
      <c r="GZR53" s="384"/>
      <c r="GZS53" s="384"/>
      <c r="GZT53" s="384"/>
      <c r="GZU53" s="384"/>
      <c r="GZV53" s="384"/>
      <c r="GZW53" s="384"/>
      <c r="GZX53" s="384"/>
      <c r="GZY53" s="384"/>
      <c r="GZZ53" s="384"/>
      <c r="HAA53" s="384"/>
      <c r="HAB53" s="384"/>
      <c r="HAC53" s="384"/>
      <c r="HAD53" s="384"/>
      <c r="HAE53" s="384"/>
      <c r="HAF53" s="384"/>
      <c r="HAG53" s="384"/>
      <c r="HAH53" s="384"/>
      <c r="HAI53" s="384"/>
      <c r="HAJ53" s="384"/>
      <c r="HAK53" s="384"/>
      <c r="HAL53" s="384"/>
      <c r="HAM53" s="384"/>
      <c r="HAN53" s="384"/>
      <c r="HAO53" s="384"/>
      <c r="HAP53" s="384"/>
      <c r="HAQ53" s="384"/>
      <c r="HAR53" s="384"/>
      <c r="HAS53" s="384"/>
      <c r="HAT53" s="384"/>
      <c r="HAU53" s="384"/>
      <c r="HAV53" s="384"/>
      <c r="HAW53" s="384"/>
      <c r="HAX53" s="384"/>
      <c r="HAY53" s="384"/>
      <c r="HAZ53" s="384"/>
      <c r="HBA53" s="384"/>
      <c r="HBB53" s="384"/>
      <c r="HBC53" s="384"/>
      <c r="HBD53" s="384"/>
      <c r="HBE53" s="384"/>
      <c r="HBF53" s="384"/>
      <c r="HBG53" s="384"/>
      <c r="HBH53" s="384"/>
      <c r="HBI53" s="384"/>
      <c r="HBJ53" s="384"/>
      <c r="HBK53" s="384"/>
      <c r="HBL53" s="384"/>
      <c r="HBM53" s="384"/>
      <c r="HBN53" s="384"/>
      <c r="HBO53" s="384"/>
      <c r="HBP53" s="384"/>
      <c r="HBQ53" s="384"/>
      <c r="HBR53" s="384"/>
      <c r="HBS53" s="384"/>
      <c r="HBT53" s="384"/>
      <c r="HBU53" s="384"/>
      <c r="HBV53" s="384"/>
      <c r="HBW53" s="384"/>
      <c r="HBX53" s="384"/>
      <c r="HBY53" s="384"/>
      <c r="HBZ53" s="384"/>
      <c r="HCA53" s="384"/>
      <c r="HCB53" s="384"/>
      <c r="HCC53" s="384"/>
      <c r="HCD53" s="384"/>
      <c r="HCE53" s="384"/>
      <c r="HCF53" s="384"/>
      <c r="HCG53" s="384"/>
      <c r="HCH53" s="384"/>
      <c r="HCI53" s="384"/>
      <c r="HCJ53" s="384"/>
      <c r="HCK53" s="384"/>
      <c r="HCL53" s="384"/>
      <c r="HCM53" s="384"/>
      <c r="HCN53" s="384"/>
      <c r="HCO53" s="384"/>
      <c r="HCP53" s="384"/>
      <c r="HCQ53" s="384"/>
      <c r="HCR53" s="384"/>
      <c r="HCS53" s="384"/>
      <c r="HCT53" s="384"/>
      <c r="HCU53" s="384"/>
      <c r="HCV53" s="384"/>
      <c r="HCW53" s="384"/>
      <c r="HCX53" s="384"/>
      <c r="HCY53" s="384"/>
      <c r="HCZ53" s="384"/>
      <c r="HDA53" s="384"/>
      <c r="HDB53" s="384"/>
      <c r="HDC53" s="384"/>
      <c r="HDD53" s="384"/>
      <c r="HDE53" s="384"/>
      <c r="HDF53" s="384"/>
      <c r="HDG53" s="384"/>
      <c r="HDH53" s="384"/>
      <c r="HDI53" s="384"/>
      <c r="HDJ53" s="384"/>
      <c r="HDK53" s="384"/>
      <c r="HDL53" s="384"/>
      <c r="HDM53" s="384"/>
      <c r="HDN53" s="384"/>
      <c r="HDO53" s="384"/>
      <c r="HDP53" s="384"/>
      <c r="HDQ53" s="384"/>
      <c r="HDR53" s="384"/>
      <c r="HDS53" s="384"/>
      <c r="HDT53" s="384"/>
      <c r="HDU53" s="384"/>
      <c r="HDV53" s="384"/>
      <c r="HDW53" s="384"/>
      <c r="HDX53" s="384"/>
      <c r="HDY53" s="384"/>
      <c r="HDZ53" s="384"/>
      <c r="HEA53" s="384"/>
      <c r="HEB53" s="384"/>
      <c r="HEC53" s="384"/>
      <c r="HED53" s="384"/>
      <c r="HEE53" s="384"/>
      <c r="HEF53" s="384"/>
      <c r="HEG53" s="384"/>
      <c r="HEH53" s="384"/>
      <c r="HEI53" s="384"/>
      <c r="HEJ53" s="384"/>
      <c r="HEK53" s="384"/>
      <c r="HEL53" s="384"/>
      <c r="HEM53" s="384"/>
      <c r="HEN53" s="384"/>
      <c r="HEO53" s="384"/>
      <c r="HEP53" s="384"/>
      <c r="HEQ53" s="384"/>
      <c r="HER53" s="384"/>
      <c r="HES53" s="384"/>
      <c r="HET53" s="384"/>
      <c r="HEU53" s="384"/>
      <c r="HEV53" s="384"/>
      <c r="HEW53" s="384"/>
      <c r="HEX53" s="384"/>
      <c r="HEY53" s="384"/>
      <c r="HEZ53" s="384"/>
      <c r="HFA53" s="384"/>
      <c r="HFB53" s="384"/>
      <c r="HFC53" s="384"/>
      <c r="HFD53" s="384"/>
      <c r="HFE53" s="384"/>
      <c r="HFF53" s="384"/>
      <c r="HFG53" s="384"/>
      <c r="HFH53" s="384"/>
      <c r="HFI53" s="384"/>
      <c r="HFJ53" s="384"/>
      <c r="HFK53" s="384"/>
      <c r="HFL53" s="384"/>
      <c r="HFM53" s="384"/>
      <c r="HFN53" s="384"/>
      <c r="HFO53" s="384"/>
      <c r="HFP53" s="384"/>
      <c r="HFQ53" s="384"/>
      <c r="HFR53" s="384"/>
      <c r="HFS53" s="384"/>
      <c r="HFT53" s="384"/>
      <c r="HFU53" s="384"/>
      <c r="HFV53" s="384"/>
      <c r="HFW53" s="384"/>
      <c r="HFX53" s="384"/>
      <c r="HFY53" s="384"/>
      <c r="HFZ53" s="384"/>
      <c r="HGA53" s="384"/>
      <c r="HGB53" s="384"/>
      <c r="HGC53" s="384"/>
      <c r="HGD53" s="384"/>
      <c r="HGE53" s="384"/>
      <c r="HGF53" s="384"/>
      <c r="HGG53" s="384"/>
      <c r="HGH53" s="384"/>
      <c r="HGI53" s="384"/>
      <c r="HGJ53" s="384"/>
      <c r="HGK53" s="384"/>
      <c r="HGL53" s="384"/>
      <c r="HGM53" s="384"/>
      <c r="HGN53" s="384"/>
      <c r="HGO53" s="384"/>
      <c r="HGP53" s="384"/>
      <c r="HGQ53" s="384"/>
      <c r="HGR53" s="384"/>
      <c r="HGS53" s="384"/>
      <c r="HGT53" s="384"/>
      <c r="HGU53" s="384"/>
      <c r="HGV53" s="384"/>
      <c r="HGW53" s="384"/>
      <c r="HGX53" s="384"/>
      <c r="HGY53" s="384"/>
      <c r="HGZ53" s="384"/>
      <c r="HHA53" s="384"/>
      <c r="HHB53" s="384"/>
      <c r="HHC53" s="384"/>
      <c r="HHD53" s="384"/>
      <c r="HHE53" s="384"/>
      <c r="HHF53" s="384"/>
      <c r="HHG53" s="384"/>
      <c r="HHH53" s="384"/>
      <c r="HHI53" s="384"/>
      <c r="HHJ53" s="384"/>
      <c r="HHK53" s="384"/>
      <c r="HHL53" s="384"/>
      <c r="HHM53" s="384"/>
      <c r="HHN53" s="384"/>
      <c r="HHO53" s="384"/>
      <c r="HHP53" s="384"/>
      <c r="HHQ53" s="384"/>
      <c r="HHR53" s="384"/>
      <c r="HHS53" s="384"/>
      <c r="HHT53" s="384"/>
      <c r="HHU53" s="384"/>
      <c r="HHV53" s="384"/>
      <c r="HHW53" s="384"/>
      <c r="HHX53" s="384"/>
      <c r="HHY53" s="384"/>
      <c r="HHZ53" s="384"/>
      <c r="HIA53" s="384"/>
      <c r="HIB53" s="384"/>
      <c r="HIC53" s="384"/>
      <c r="HID53" s="384"/>
      <c r="HIE53" s="384"/>
      <c r="HIF53" s="384"/>
      <c r="HIG53" s="384"/>
      <c r="HIH53" s="384"/>
      <c r="HII53" s="384"/>
      <c r="HIJ53" s="384"/>
      <c r="HIK53" s="384"/>
      <c r="HIL53" s="384"/>
      <c r="HIM53" s="384"/>
      <c r="HIN53" s="384"/>
      <c r="HIO53" s="384"/>
      <c r="HIP53" s="384"/>
      <c r="HIQ53" s="384"/>
      <c r="HIR53" s="384"/>
      <c r="HIS53" s="384"/>
      <c r="HIT53" s="384"/>
      <c r="HIU53" s="384"/>
      <c r="HIV53" s="384"/>
      <c r="HIW53" s="384"/>
      <c r="HIX53" s="384"/>
      <c r="HIY53" s="384"/>
      <c r="HIZ53" s="384"/>
      <c r="HJA53" s="384"/>
      <c r="HJB53" s="384"/>
      <c r="HJC53" s="384"/>
      <c r="HJD53" s="384"/>
      <c r="HJE53" s="384"/>
      <c r="HJF53" s="384"/>
      <c r="HJG53" s="384"/>
      <c r="HJH53" s="384"/>
      <c r="HJI53" s="384"/>
      <c r="HJJ53" s="384"/>
      <c r="HJK53" s="384"/>
      <c r="HJL53" s="384"/>
      <c r="HJM53" s="384"/>
      <c r="HJN53" s="384"/>
      <c r="HJO53" s="384"/>
      <c r="HJP53" s="384"/>
      <c r="HJQ53" s="384"/>
      <c r="HJR53" s="384"/>
      <c r="HJS53" s="384"/>
      <c r="HJT53" s="384"/>
      <c r="HJU53" s="384"/>
      <c r="HJV53" s="384"/>
      <c r="HJW53" s="384"/>
      <c r="HJX53" s="384"/>
      <c r="HJY53" s="384"/>
      <c r="HJZ53" s="384"/>
      <c r="HKA53" s="384"/>
      <c r="HKB53" s="384"/>
      <c r="HKC53" s="384"/>
      <c r="HKD53" s="384"/>
      <c r="HKE53" s="384"/>
      <c r="HKF53" s="384"/>
      <c r="HKG53" s="384"/>
      <c r="HKH53" s="384"/>
      <c r="HKI53" s="384"/>
      <c r="HKJ53" s="384"/>
      <c r="HKK53" s="384"/>
      <c r="HKL53" s="384"/>
      <c r="HKM53" s="384"/>
      <c r="HKN53" s="384"/>
      <c r="HKO53" s="384"/>
      <c r="HKP53" s="384"/>
      <c r="HKQ53" s="384"/>
      <c r="HKR53" s="384"/>
      <c r="HKS53" s="384"/>
      <c r="HKT53" s="384"/>
      <c r="HKU53" s="384"/>
      <c r="HKV53" s="384"/>
      <c r="HKW53" s="384"/>
      <c r="HKX53" s="384"/>
      <c r="HKY53" s="384"/>
      <c r="HKZ53" s="384"/>
      <c r="HLA53" s="384"/>
      <c r="HLB53" s="384"/>
      <c r="HLC53" s="384"/>
      <c r="HLD53" s="384"/>
      <c r="HLE53" s="384"/>
      <c r="HLF53" s="384"/>
      <c r="HLG53" s="384"/>
      <c r="HLH53" s="384"/>
      <c r="HLI53" s="384"/>
      <c r="HLJ53" s="384"/>
      <c r="HLK53" s="384"/>
      <c r="HLL53" s="384"/>
      <c r="HLM53" s="384"/>
      <c r="HLN53" s="384"/>
      <c r="HLO53" s="384"/>
      <c r="HLP53" s="384"/>
      <c r="HLQ53" s="384"/>
      <c r="HLR53" s="384"/>
      <c r="HLS53" s="384"/>
      <c r="HLT53" s="384"/>
      <c r="HLU53" s="384"/>
      <c r="HLV53" s="384"/>
      <c r="HLW53" s="384"/>
      <c r="HLX53" s="384"/>
      <c r="HLY53" s="384"/>
      <c r="HLZ53" s="384"/>
      <c r="HMA53" s="384"/>
      <c r="HMB53" s="384"/>
      <c r="HMC53" s="384"/>
      <c r="HMD53" s="384"/>
      <c r="HME53" s="384"/>
      <c r="HMF53" s="384"/>
      <c r="HMG53" s="384"/>
      <c r="HMH53" s="384"/>
      <c r="HMI53" s="384"/>
      <c r="HMJ53" s="384"/>
      <c r="HMK53" s="384"/>
      <c r="HML53" s="384"/>
      <c r="HMM53" s="384"/>
      <c r="HMN53" s="384"/>
      <c r="HMO53" s="384"/>
      <c r="HMP53" s="384"/>
      <c r="HMQ53" s="384"/>
      <c r="HMR53" s="384"/>
      <c r="HMS53" s="384"/>
      <c r="HMT53" s="384"/>
      <c r="HMU53" s="384"/>
      <c r="HMV53" s="384"/>
      <c r="HMW53" s="384"/>
      <c r="HMX53" s="384"/>
      <c r="HMY53" s="384"/>
      <c r="HMZ53" s="384"/>
      <c r="HNA53" s="384"/>
      <c r="HNB53" s="384"/>
      <c r="HNC53" s="384"/>
      <c r="HND53" s="384"/>
      <c r="HNE53" s="384"/>
      <c r="HNF53" s="384"/>
      <c r="HNG53" s="384"/>
      <c r="HNH53" s="384"/>
      <c r="HNI53" s="384"/>
      <c r="HNJ53" s="384"/>
      <c r="HNK53" s="384"/>
      <c r="HNL53" s="384"/>
      <c r="HNM53" s="384"/>
      <c r="HNN53" s="384"/>
      <c r="HNO53" s="384"/>
      <c r="HNP53" s="384"/>
      <c r="HNQ53" s="384"/>
      <c r="HNR53" s="384"/>
      <c r="HNS53" s="384"/>
      <c r="HNT53" s="384"/>
      <c r="HNU53" s="384"/>
      <c r="HNV53" s="384"/>
      <c r="HNW53" s="384"/>
      <c r="HNX53" s="384"/>
      <c r="HNY53" s="384"/>
      <c r="HNZ53" s="384"/>
      <c r="HOA53" s="384"/>
      <c r="HOB53" s="384"/>
      <c r="HOC53" s="384"/>
      <c r="HOD53" s="384"/>
      <c r="HOE53" s="384"/>
      <c r="HOF53" s="384"/>
      <c r="HOG53" s="384"/>
      <c r="HOH53" s="384"/>
      <c r="HOI53" s="384"/>
      <c r="HOJ53" s="384"/>
      <c r="HOK53" s="384"/>
      <c r="HOL53" s="384"/>
      <c r="HOM53" s="384"/>
      <c r="HON53" s="384"/>
      <c r="HOO53" s="384"/>
      <c r="HOP53" s="384"/>
      <c r="HOQ53" s="384"/>
      <c r="HOR53" s="384"/>
      <c r="HOS53" s="384"/>
      <c r="HOT53" s="384"/>
      <c r="HOU53" s="384"/>
      <c r="HOV53" s="384"/>
      <c r="HOW53" s="384"/>
      <c r="HOX53" s="384"/>
      <c r="HOY53" s="384"/>
      <c r="HOZ53" s="384"/>
      <c r="HPA53" s="384"/>
      <c r="HPB53" s="384"/>
      <c r="HPC53" s="384"/>
      <c r="HPD53" s="384"/>
      <c r="HPE53" s="384"/>
      <c r="HPF53" s="384"/>
      <c r="HPG53" s="384"/>
      <c r="HPH53" s="384"/>
      <c r="HPI53" s="384"/>
      <c r="HPJ53" s="384"/>
      <c r="HPK53" s="384"/>
      <c r="HPL53" s="384"/>
      <c r="HPM53" s="384"/>
      <c r="HPN53" s="384"/>
      <c r="HPO53" s="384"/>
      <c r="HPP53" s="384"/>
      <c r="HPQ53" s="384"/>
      <c r="HPR53" s="384"/>
      <c r="HPS53" s="384"/>
      <c r="HPT53" s="384"/>
      <c r="HPU53" s="384"/>
      <c r="HPV53" s="384"/>
      <c r="HPW53" s="384"/>
      <c r="HPX53" s="384"/>
      <c r="HPY53" s="384"/>
      <c r="HPZ53" s="384"/>
      <c r="HQA53" s="384"/>
      <c r="HQB53" s="384"/>
      <c r="HQC53" s="384"/>
      <c r="HQD53" s="384"/>
      <c r="HQE53" s="384"/>
      <c r="HQF53" s="384"/>
      <c r="HQG53" s="384"/>
      <c r="HQH53" s="384"/>
      <c r="HQI53" s="384"/>
      <c r="HQJ53" s="384"/>
      <c r="HQK53" s="384"/>
      <c r="HQL53" s="384"/>
      <c r="HQM53" s="384"/>
      <c r="HQN53" s="384"/>
      <c r="HQO53" s="384"/>
      <c r="HQP53" s="384"/>
      <c r="HQQ53" s="384"/>
      <c r="HQR53" s="384"/>
      <c r="HQS53" s="384"/>
      <c r="HQT53" s="384"/>
      <c r="HQU53" s="384"/>
      <c r="HQV53" s="384"/>
      <c r="HQW53" s="384"/>
      <c r="HQX53" s="384"/>
      <c r="HQY53" s="384"/>
      <c r="HQZ53" s="384"/>
      <c r="HRA53" s="384"/>
      <c r="HRB53" s="384"/>
      <c r="HRC53" s="384"/>
      <c r="HRD53" s="384"/>
      <c r="HRE53" s="384"/>
      <c r="HRF53" s="384"/>
      <c r="HRG53" s="384"/>
      <c r="HRH53" s="384"/>
      <c r="HRI53" s="384"/>
      <c r="HRJ53" s="384"/>
      <c r="HRK53" s="384"/>
      <c r="HRL53" s="384"/>
      <c r="HRM53" s="384"/>
      <c r="HRN53" s="384"/>
      <c r="HRO53" s="384"/>
      <c r="HRP53" s="384"/>
      <c r="HRQ53" s="384"/>
      <c r="HRR53" s="384"/>
      <c r="HRS53" s="384"/>
      <c r="HRT53" s="384"/>
      <c r="HRU53" s="384"/>
      <c r="HRV53" s="384"/>
      <c r="HRW53" s="384"/>
      <c r="HRX53" s="384"/>
      <c r="HRY53" s="384"/>
      <c r="HRZ53" s="384"/>
      <c r="HSA53" s="384"/>
      <c r="HSB53" s="384"/>
      <c r="HSC53" s="384"/>
      <c r="HSD53" s="384"/>
      <c r="HSE53" s="384"/>
      <c r="HSF53" s="384"/>
      <c r="HSG53" s="384"/>
      <c r="HSH53" s="384"/>
      <c r="HSI53" s="384"/>
      <c r="HSJ53" s="384"/>
      <c r="HSK53" s="384"/>
      <c r="HSL53" s="384"/>
      <c r="HSM53" s="384"/>
      <c r="HSN53" s="384"/>
      <c r="HSO53" s="384"/>
      <c r="HSP53" s="384"/>
      <c r="HSQ53" s="384"/>
      <c r="HSR53" s="384"/>
      <c r="HSS53" s="384"/>
      <c r="HST53" s="384"/>
      <c r="HSU53" s="384"/>
      <c r="HSV53" s="384"/>
      <c r="HSW53" s="384"/>
      <c r="HSX53" s="384"/>
      <c r="HSY53" s="384"/>
      <c r="HSZ53" s="384"/>
      <c r="HTA53" s="384"/>
      <c r="HTB53" s="384"/>
      <c r="HTC53" s="384"/>
      <c r="HTD53" s="384"/>
      <c r="HTE53" s="384"/>
      <c r="HTF53" s="384"/>
      <c r="HTG53" s="384"/>
      <c r="HTH53" s="384"/>
      <c r="HTI53" s="384"/>
      <c r="HTJ53" s="384"/>
      <c r="HTK53" s="384"/>
      <c r="HTL53" s="384"/>
      <c r="HTM53" s="384"/>
      <c r="HTN53" s="384"/>
      <c r="HTO53" s="384"/>
      <c r="HTP53" s="384"/>
      <c r="HTQ53" s="384"/>
      <c r="HTR53" s="384"/>
      <c r="HTS53" s="384"/>
      <c r="HTT53" s="384"/>
      <c r="HTU53" s="384"/>
      <c r="HTV53" s="384"/>
      <c r="HTW53" s="384"/>
      <c r="HTX53" s="384"/>
      <c r="HTY53" s="384"/>
      <c r="HTZ53" s="384"/>
      <c r="HUA53" s="384"/>
      <c r="HUB53" s="384"/>
      <c r="HUC53" s="384"/>
      <c r="HUD53" s="384"/>
      <c r="HUE53" s="384"/>
      <c r="HUF53" s="384"/>
      <c r="HUG53" s="384"/>
      <c r="HUH53" s="384"/>
      <c r="HUI53" s="384"/>
      <c r="HUJ53" s="384"/>
      <c r="HUK53" s="384"/>
      <c r="HUL53" s="384"/>
      <c r="HUM53" s="384"/>
      <c r="HUN53" s="384"/>
      <c r="HUO53" s="384"/>
      <c r="HUP53" s="384"/>
      <c r="HUQ53" s="384"/>
      <c r="HUR53" s="384"/>
      <c r="HUS53" s="384"/>
      <c r="HUT53" s="384"/>
      <c r="HUU53" s="384"/>
      <c r="HUV53" s="384"/>
      <c r="HUW53" s="384"/>
      <c r="HUX53" s="384"/>
      <c r="HUY53" s="384"/>
      <c r="HUZ53" s="384"/>
      <c r="HVA53" s="384"/>
      <c r="HVB53" s="384"/>
      <c r="HVC53" s="384"/>
      <c r="HVD53" s="384"/>
      <c r="HVE53" s="384"/>
      <c r="HVF53" s="384"/>
      <c r="HVG53" s="384"/>
      <c r="HVH53" s="384"/>
      <c r="HVI53" s="384"/>
      <c r="HVJ53" s="384"/>
      <c r="HVK53" s="384"/>
      <c r="HVL53" s="384"/>
      <c r="HVM53" s="384"/>
      <c r="HVN53" s="384"/>
      <c r="HVO53" s="384"/>
      <c r="HVP53" s="384"/>
      <c r="HVQ53" s="384"/>
      <c r="HVR53" s="384"/>
      <c r="HVS53" s="384"/>
      <c r="HVT53" s="384"/>
      <c r="HVU53" s="384"/>
      <c r="HVV53" s="384"/>
      <c r="HVW53" s="384"/>
      <c r="HVX53" s="384"/>
      <c r="HVY53" s="384"/>
      <c r="HVZ53" s="384"/>
      <c r="HWA53" s="384"/>
      <c r="HWB53" s="384"/>
      <c r="HWC53" s="384"/>
      <c r="HWD53" s="384"/>
      <c r="HWE53" s="384"/>
      <c r="HWF53" s="384"/>
      <c r="HWG53" s="384"/>
      <c r="HWH53" s="384"/>
      <c r="HWI53" s="384"/>
      <c r="HWJ53" s="384"/>
      <c r="HWK53" s="384"/>
      <c r="HWL53" s="384"/>
      <c r="HWM53" s="384"/>
      <c r="HWN53" s="384"/>
      <c r="HWO53" s="384"/>
      <c r="HWP53" s="384"/>
      <c r="HWQ53" s="384"/>
      <c r="HWR53" s="384"/>
      <c r="HWS53" s="384"/>
      <c r="HWT53" s="384"/>
      <c r="HWU53" s="384"/>
      <c r="HWV53" s="384"/>
      <c r="HWW53" s="384"/>
      <c r="HWX53" s="384"/>
      <c r="HWY53" s="384"/>
      <c r="HWZ53" s="384"/>
      <c r="HXA53" s="384"/>
      <c r="HXB53" s="384"/>
      <c r="HXC53" s="384"/>
      <c r="HXD53" s="384"/>
      <c r="HXE53" s="384"/>
      <c r="HXF53" s="384"/>
      <c r="HXG53" s="384"/>
      <c r="HXH53" s="384"/>
      <c r="HXI53" s="384"/>
      <c r="HXJ53" s="384"/>
      <c r="HXK53" s="384"/>
      <c r="HXL53" s="384"/>
      <c r="HXM53" s="384"/>
      <c r="HXN53" s="384"/>
      <c r="HXO53" s="384"/>
      <c r="HXP53" s="384"/>
      <c r="HXQ53" s="384"/>
      <c r="HXR53" s="384"/>
      <c r="HXS53" s="384"/>
      <c r="HXT53" s="384"/>
      <c r="HXU53" s="384"/>
      <c r="HXV53" s="384"/>
      <c r="HXW53" s="384"/>
      <c r="HXX53" s="384"/>
      <c r="HXY53" s="384"/>
      <c r="HXZ53" s="384"/>
      <c r="HYA53" s="384"/>
      <c r="HYB53" s="384"/>
      <c r="HYC53" s="384"/>
      <c r="HYD53" s="384"/>
      <c r="HYE53" s="384"/>
      <c r="HYF53" s="384"/>
      <c r="HYG53" s="384"/>
      <c r="HYH53" s="384"/>
      <c r="HYI53" s="384"/>
      <c r="HYJ53" s="384"/>
      <c r="HYK53" s="384"/>
      <c r="HYL53" s="384"/>
      <c r="HYM53" s="384"/>
      <c r="HYN53" s="384"/>
      <c r="HYO53" s="384"/>
      <c r="HYP53" s="384"/>
      <c r="HYQ53" s="384"/>
      <c r="HYR53" s="384"/>
      <c r="HYS53" s="384"/>
      <c r="HYT53" s="384"/>
      <c r="HYU53" s="384"/>
      <c r="HYV53" s="384"/>
      <c r="HYW53" s="384"/>
      <c r="HYX53" s="384"/>
      <c r="HYY53" s="384"/>
      <c r="HYZ53" s="384"/>
      <c r="HZA53" s="384"/>
      <c r="HZB53" s="384"/>
      <c r="HZC53" s="384"/>
      <c r="HZD53" s="384"/>
      <c r="HZE53" s="384"/>
      <c r="HZF53" s="384"/>
      <c r="HZG53" s="384"/>
      <c r="HZH53" s="384"/>
      <c r="HZI53" s="384"/>
      <c r="HZJ53" s="384"/>
      <c r="HZK53" s="384"/>
      <c r="HZL53" s="384"/>
      <c r="HZM53" s="384"/>
      <c r="HZN53" s="384"/>
      <c r="HZO53" s="384"/>
      <c r="HZP53" s="384"/>
      <c r="HZQ53" s="384"/>
      <c r="HZR53" s="384"/>
      <c r="HZS53" s="384"/>
      <c r="HZT53" s="384"/>
      <c r="HZU53" s="384"/>
      <c r="HZV53" s="384"/>
      <c r="HZW53" s="384"/>
      <c r="HZX53" s="384"/>
      <c r="HZY53" s="384"/>
      <c r="HZZ53" s="384"/>
      <c r="IAA53" s="384"/>
      <c r="IAB53" s="384"/>
      <c r="IAC53" s="384"/>
      <c r="IAD53" s="384"/>
      <c r="IAE53" s="384"/>
      <c r="IAF53" s="384"/>
      <c r="IAG53" s="384"/>
      <c r="IAH53" s="384"/>
      <c r="IAI53" s="384"/>
      <c r="IAJ53" s="384"/>
      <c r="IAK53" s="384"/>
      <c r="IAL53" s="384"/>
      <c r="IAM53" s="384"/>
      <c r="IAN53" s="384"/>
      <c r="IAO53" s="384"/>
      <c r="IAP53" s="384"/>
      <c r="IAQ53" s="384"/>
      <c r="IAR53" s="384"/>
      <c r="IAS53" s="384"/>
      <c r="IAT53" s="384"/>
      <c r="IAU53" s="384"/>
      <c r="IAV53" s="384"/>
      <c r="IAW53" s="384"/>
      <c r="IAX53" s="384"/>
      <c r="IAY53" s="384"/>
      <c r="IAZ53" s="384"/>
      <c r="IBA53" s="384"/>
      <c r="IBB53" s="384"/>
      <c r="IBC53" s="384"/>
      <c r="IBD53" s="384"/>
      <c r="IBE53" s="384"/>
      <c r="IBF53" s="384"/>
      <c r="IBG53" s="384"/>
      <c r="IBH53" s="384"/>
      <c r="IBI53" s="384"/>
      <c r="IBJ53" s="384"/>
      <c r="IBK53" s="384"/>
      <c r="IBL53" s="384"/>
      <c r="IBM53" s="384"/>
      <c r="IBN53" s="384"/>
      <c r="IBO53" s="384"/>
      <c r="IBP53" s="384"/>
      <c r="IBQ53" s="384"/>
      <c r="IBR53" s="384"/>
      <c r="IBS53" s="384"/>
      <c r="IBT53" s="384"/>
      <c r="IBU53" s="384"/>
      <c r="IBV53" s="384"/>
      <c r="IBW53" s="384"/>
      <c r="IBX53" s="384"/>
      <c r="IBY53" s="384"/>
      <c r="IBZ53" s="384"/>
      <c r="ICA53" s="384"/>
      <c r="ICB53" s="384"/>
      <c r="ICC53" s="384"/>
      <c r="ICD53" s="384"/>
      <c r="ICE53" s="384"/>
      <c r="ICF53" s="384"/>
      <c r="ICG53" s="384"/>
      <c r="ICH53" s="384"/>
      <c r="ICI53" s="384"/>
      <c r="ICJ53" s="384"/>
      <c r="ICK53" s="384"/>
      <c r="ICL53" s="384"/>
      <c r="ICM53" s="384"/>
      <c r="ICN53" s="384"/>
      <c r="ICO53" s="384"/>
      <c r="ICP53" s="384"/>
      <c r="ICQ53" s="384"/>
      <c r="ICR53" s="384"/>
      <c r="ICS53" s="384"/>
      <c r="ICT53" s="384"/>
      <c r="ICU53" s="384"/>
      <c r="ICV53" s="384"/>
      <c r="ICW53" s="384"/>
      <c r="ICX53" s="384"/>
      <c r="ICY53" s="384"/>
      <c r="ICZ53" s="384"/>
      <c r="IDA53" s="384"/>
      <c r="IDB53" s="384"/>
      <c r="IDC53" s="384"/>
      <c r="IDD53" s="384"/>
      <c r="IDE53" s="384"/>
      <c r="IDF53" s="384"/>
      <c r="IDG53" s="384"/>
      <c r="IDH53" s="384"/>
      <c r="IDI53" s="384"/>
      <c r="IDJ53" s="384"/>
      <c r="IDK53" s="384"/>
      <c r="IDL53" s="384"/>
      <c r="IDM53" s="384"/>
      <c r="IDN53" s="384"/>
      <c r="IDO53" s="384"/>
      <c r="IDP53" s="384"/>
      <c r="IDQ53" s="384"/>
      <c r="IDR53" s="384"/>
      <c r="IDS53" s="384"/>
      <c r="IDT53" s="384"/>
      <c r="IDU53" s="384"/>
      <c r="IDV53" s="384"/>
      <c r="IDW53" s="384"/>
      <c r="IDX53" s="384"/>
      <c r="IDY53" s="384"/>
      <c r="IDZ53" s="384"/>
      <c r="IEA53" s="384"/>
      <c r="IEB53" s="384"/>
      <c r="IEC53" s="384"/>
      <c r="IED53" s="384"/>
      <c r="IEE53" s="384"/>
      <c r="IEF53" s="384"/>
      <c r="IEG53" s="384"/>
      <c r="IEH53" s="384"/>
      <c r="IEI53" s="384"/>
      <c r="IEJ53" s="384"/>
      <c r="IEK53" s="384"/>
      <c r="IEL53" s="384"/>
      <c r="IEM53" s="384"/>
      <c r="IEN53" s="384"/>
      <c r="IEO53" s="384"/>
      <c r="IEP53" s="384"/>
      <c r="IEQ53" s="384"/>
      <c r="IER53" s="384"/>
      <c r="IES53" s="384"/>
      <c r="IET53" s="384"/>
      <c r="IEU53" s="384"/>
      <c r="IEV53" s="384"/>
      <c r="IEW53" s="384"/>
      <c r="IEX53" s="384"/>
      <c r="IEY53" s="384"/>
      <c r="IEZ53" s="384"/>
      <c r="IFA53" s="384"/>
      <c r="IFB53" s="384"/>
      <c r="IFC53" s="384"/>
      <c r="IFD53" s="384"/>
      <c r="IFE53" s="384"/>
      <c r="IFF53" s="384"/>
      <c r="IFG53" s="384"/>
      <c r="IFH53" s="384"/>
      <c r="IFI53" s="384"/>
      <c r="IFJ53" s="384"/>
      <c r="IFK53" s="384"/>
      <c r="IFL53" s="384"/>
      <c r="IFM53" s="384"/>
      <c r="IFN53" s="384"/>
      <c r="IFO53" s="384"/>
      <c r="IFP53" s="384"/>
      <c r="IFQ53" s="384"/>
      <c r="IFR53" s="384"/>
      <c r="IFS53" s="384"/>
      <c r="IFT53" s="384"/>
      <c r="IFU53" s="384"/>
      <c r="IFV53" s="384"/>
      <c r="IFW53" s="384"/>
      <c r="IFX53" s="384"/>
      <c r="IFY53" s="384"/>
      <c r="IFZ53" s="384"/>
      <c r="IGA53" s="384"/>
      <c r="IGB53" s="384"/>
      <c r="IGC53" s="384"/>
      <c r="IGD53" s="384"/>
      <c r="IGE53" s="384"/>
      <c r="IGF53" s="384"/>
      <c r="IGG53" s="384"/>
      <c r="IGH53" s="384"/>
      <c r="IGI53" s="384"/>
      <c r="IGJ53" s="384"/>
      <c r="IGK53" s="384"/>
      <c r="IGL53" s="384"/>
      <c r="IGM53" s="384"/>
      <c r="IGN53" s="384"/>
      <c r="IGO53" s="384"/>
      <c r="IGP53" s="384"/>
      <c r="IGQ53" s="384"/>
      <c r="IGR53" s="384"/>
      <c r="IGS53" s="384"/>
      <c r="IGT53" s="384"/>
      <c r="IGU53" s="384"/>
      <c r="IGV53" s="384"/>
      <c r="IGW53" s="384"/>
      <c r="IGX53" s="384"/>
      <c r="IGY53" s="384"/>
      <c r="IGZ53" s="384"/>
      <c r="IHA53" s="384"/>
      <c r="IHB53" s="384"/>
      <c r="IHC53" s="384"/>
      <c r="IHD53" s="384"/>
      <c r="IHE53" s="384"/>
      <c r="IHF53" s="384"/>
      <c r="IHG53" s="384"/>
      <c r="IHH53" s="384"/>
      <c r="IHI53" s="384"/>
      <c r="IHJ53" s="384"/>
      <c r="IHK53" s="384"/>
      <c r="IHL53" s="384"/>
      <c r="IHM53" s="384"/>
      <c r="IHN53" s="384"/>
      <c r="IHO53" s="384"/>
      <c r="IHP53" s="384"/>
      <c r="IHQ53" s="384"/>
      <c r="IHR53" s="384"/>
      <c r="IHS53" s="384"/>
      <c r="IHT53" s="384"/>
      <c r="IHU53" s="384"/>
      <c r="IHV53" s="384"/>
      <c r="IHW53" s="384"/>
      <c r="IHX53" s="384"/>
      <c r="IHY53" s="384"/>
      <c r="IHZ53" s="384"/>
      <c r="IIA53" s="384"/>
      <c r="IIB53" s="384"/>
      <c r="IIC53" s="384"/>
      <c r="IID53" s="384"/>
      <c r="IIE53" s="384"/>
      <c r="IIF53" s="384"/>
      <c r="IIG53" s="384"/>
      <c r="IIH53" s="384"/>
      <c r="III53" s="384"/>
      <c r="IIJ53" s="384"/>
      <c r="IIK53" s="384"/>
      <c r="IIL53" s="384"/>
      <c r="IIM53" s="384"/>
      <c r="IIN53" s="384"/>
      <c r="IIO53" s="384"/>
      <c r="IIP53" s="384"/>
      <c r="IIQ53" s="384"/>
      <c r="IIR53" s="384"/>
      <c r="IIS53" s="384"/>
      <c r="IIT53" s="384"/>
      <c r="IIU53" s="384"/>
      <c r="IIV53" s="384"/>
      <c r="IIW53" s="384"/>
      <c r="IIX53" s="384"/>
      <c r="IIY53" s="384"/>
      <c r="IIZ53" s="384"/>
      <c r="IJA53" s="384"/>
      <c r="IJB53" s="384"/>
      <c r="IJC53" s="384"/>
      <c r="IJD53" s="384"/>
      <c r="IJE53" s="384"/>
      <c r="IJF53" s="384"/>
      <c r="IJG53" s="384"/>
      <c r="IJH53" s="384"/>
      <c r="IJI53" s="384"/>
      <c r="IJJ53" s="384"/>
      <c r="IJK53" s="384"/>
      <c r="IJL53" s="384"/>
      <c r="IJM53" s="384"/>
      <c r="IJN53" s="384"/>
      <c r="IJO53" s="384"/>
      <c r="IJP53" s="384"/>
      <c r="IJQ53" s="384"/>
      <c r="IJR53" s="384"/>
      <c r="IJS53" s="384"/>
      <c r="IJT53" s="384"/>
      <c r="IJU53" s="384"/>
      <c r="IJV53" s="384"/>
      <c r="IJW53" s="384"/>
      <c r="IJX53" s="384"/>
      <c r="IJY53" s="384"/>
      <c r="IJZ53" s="384"/>
      <c r="IKA53" s="384"/>
      <c r="IKB53" s="384"/>
      <c r="IKC53" s="384"/>
      <c r="IKD53" s="384"/>
      <c r="IKE53" s="384"/>
      <c r="IKF53" s="384"/>
      <c r="IKG53" s="384"/>
      <c r="IKH53" s="384"/>
      <c r="IKI53" s="384"/>
      <c r="IKJ53" s="384"/>
      <c r="IKK53" s="384"/>
      <c r="IKL53" s="384"/>
      <c r="IKM53" s="384"/>
      <c r="IKN53" s="384"/>
      <c r="IKO53" s="384"/>
      <c r="IKP53" s="384"/>
      <c r="IKQ53" s="384"/>
      <c r="IKR53" s="384"/>
      <c r="IKS53" s="384"/>
      <c r="IKT53" s="384"/>
      <c r="IKU53" s="384"/>
      <c r="IKV53" s="384"/>
      <c r="IKW53" s="384"/>
      <c r="IKX53" s="384"/>
      <c r="IKY53" s="384"/>
      <c r="IKZ53" s="384"/>
      <c r="ILA53" s="384"/>
      <c r="ILB53" s="384"/>
      <c r="ILC53" s="384"/>
      <c r="ILD53" s="384"/>
      <c r="ILE53" s="384"/>
      <c r="ILF53" s="384"/>
      <c r="ILG53" s="384"/>
      <c r="ILH53" s="384"/>
      <c r="ILI53" s="384"/>
      <c r="ILJ53" s="384"/>
      <c r="ILK53" s="384"/>
      <c r="ILL53" s="384"/>
      <c r="ILM53" s="384"/>
      <c r="ILN53" s="384"/>
      <c r="ILO53" s="384"/>
      <c r="ILP53" s="384"/>
      <c r="ILQ53" s="384"/>
      <c r="ILR53" s="384"/>
      <c r="ILS53" s="384"/>
      <c r="ILT53" s="384"/>
      <c r="ILU53" s="384"/>
      <c r="ILV53" s="384"/>
      <c r="ILW53" s="384"/>
      <c r="ILX53" s="384"/>
      <c r="ILY53" s="384"/>
      <c r="ILZ53" s="384"/>
      <c r="IMA53" s="384"/>
      <c r="IMB53" s="384"/>
      <c r="IMC53" s="384"/>
      <c r="IMD53" s="384"/>
      <c r="IME53" s="384"/>
      <c r="IMF53" s="384"/>
      <c r="IMG53" s="384"/>
      <c r="IMH53" s="384"/>
      <c r="IMI53" s="384"/>
      <c r="IMJ53" s="384"/>
      <c r="IMK53" s="384"/>
      <c r="IML53" s="384"/>
      <c r="IMM53" s="384"/>
      <c r="IMN53" s="384"/>
      <c r="IMO53" s="384"/>
      <c r="IMP53" s="384"/>
      <c r="IMQ53" s="384"/>
      <c r="IMR53" s="384"/>
      <c r="IMS53" s="384"/>
      <c r="IMT53" s="384"/>
      <c r="IMU53" s="384"/>
      <c r="IMV53" s="384"/>
      <c r="IMW53" s="384"/>
      <c r="IMX53" s="384"/>
      <c r="IMY53" s="384"/>
      <c r="IMZ53" s="384"/>
      <c r="INA53" s="384"/>
      <c r="INB53" s="384"/>
      <c r="INC53" s="384"/>
      <c r="IND53" s="384"/>
      <c r="INE53" s="384"/>
      <c r="INF53" s="384"/>
      <c r="ING53" s="384"/>
      <c r="INH53" s="384"/>
      <c r="INI53" s="384"/>
      <c r="INJ53" s="384"/>
      <c r="INK53" s="384"/>
      <c r="INL53" s="384"/>
      <c r="INM53" s="384"/>
      <c r="INN53" s="384"/>
      <c r="INO53" s="384"/>
      <c r="INP53" s="384"/>
      <c r="INQ53" s="384"/>
      <c r="INR53" s="384"/>
      <c r="INS53" s="384"/>
      <c r="INT53" s="384"/>
      <c r="INU53" s="384"/>
      <c r="INV53" s="384"/>
      <c r="INW53" s="384"/>
      <c r="INX53" s="384"/>
      <c r="INY53" s="384"/>
      <c r="INZ53" s="384"/>
      <c r="IOA53" s="384"/>
      <c r="IOB53" s="384"/>
      <c r="IOC53" s="384"/>
      <c r="IOD53" s="384"/>
      <c r="IOE53" s="384"/>
      <c r="IOF53" s="384"/>
      <c r="IOG53" s="384"/>
      <c r="IOH53" s="384"/>
      <c r="IOI53" s="384"/>
      <c r="IOJ53" s="384"/>
      <c r="IOK53" s="384"/>
      <c r="IOL53" s="384"/>
      <c r="IOM53" s="384"/>
      <c r="ION53" s="384"/>
      <c r="IOO53" s="384"/>
      <c r="IOP53" s="384"/>
      <c r="IOQ53" s="384"/>
      <c r="IOR53" s="384"/>
      <c r="IOS53" s="384"/>
      <c r="IOT53" s="384"/>
      <c r="IOU53" s="384"/>
      <c r="IOV53" s="384"/>
      <c r="IOW53" s="384"/>
      <c r="IOX53" s="384"/>
      <c r="IOY53" s="384"/>
      <c r="IOZ53" s="384"/>
      <c r="IPA53" s="384"/>
      <c r="IPB53" s="384"/>
      <c r="IPC53" s="384"/>
      <c r="IPD53" s="384"/>
      <c r="IPE53" s="384"/>
      <c r="IPF53" s="384"/>
      <c r="IPG53" s="384"/>
      <c r="IPH53" s="384"/>
      <c r="IPI53" s="384"/>
      <c r="IPJ53" s="384"/>
      <c r="IPK53" s="384"/>
      <c r="IPL53" s="384"/>
      <c r="IPM53" s="384"/>
      <c r="IPN53" s="384"/>
      <c r="IPO53" s="384"/>
      <c r="IPP53" s="384"/>
      <c r="IPQ53" s="384"/>
      <c r="IPR53" s="384"/>
      <c r="IPS53" s="384"/>
      <c r="IPT53" s="384"/>
      <c r="IPU53" s="384"/>
      <c r="IPV53" s="384"/>
      <c r="IPW53" s="384"/>
      <c r="IPX53" s="384"/>
      <c r="IPY53" s="384"/>
      <c r="IPZ53" s="384"/>
      <c r="IQA53" s="384"/>
      <c r="IQB53" s="384"/>
      <c r="IQC53" s="384"/>
      <c r="IQD53" s="384"/>
      <c r="IQE53" s="384"/>
      <c r="IQF53" s="384"/>
      <c r="IQG53" s="384"/>
      <c r="IQH53" s="384"/>
      <c r="IQI53" s="384"/>
      <c r="IQJ53" s="384"/>
      <c r="IQK53" s="384"/>
      <c r="IQL53" s="384"/>
      <c r="IQM53" s="384"/>
      <c r="IQN53" s="384"/>
      <c r="IQO53" s="384"/>
      <c r="IQP53" s="384"/>
      <c r="IQQ53" s="384"/>
      <c r="IQR53" s="384"/>
      <c r="IQS53" s="384"/>
      <c r="IQT53" s="384"/>
      <c r="IQU53" s="384"/>
      <c r="IQV53" s="384"/>
      <c r="IQW53" s="384"/>
      <c r="IQX53" s="384"/>
      <c r="IQY53" s="384"/>
      <c r="IQZ53" s="384"/>
      <c r="IRA53" s="384"/>
      <c r="IRB53" s="384"/>
      <c r="IRC53" s="384"/>
      <c r="IRD53" s="384"/>
      <c r="IRE53" s="384"/>
      <c r="IRF53" s="384"/>
      <c r="IRG53" s="384"/>
      <c r="IRH53" s="384"/>
      <c r="IRI53" s="384"/>
      <c r="IRJ53" s="384"/>
      <c r="IRK53" s="384"/>
      <c r="IRL53" s="384"/>
      <c r="IRM53" s="384"/>
      <c r="IRN53" s="384"/>
      <c r="IRO53" s="384"/>
      <c r="IRP53" s="384"/>
      <c r="IRQ53" s="384"/>
      <c r="IRR53" s="384"/>
      <c r="IRS53" s="384"/>
      <c r="IRT53" s="384"/>
      <c r="IRU53" s="384"/>
      <c r="IRV53" s="384"/>
      <c r="IRW53" s="384"/>
      <c r="IRX53" s="384"/>
      <c r="IRY53" s="384"/>
      <c r="IRZ53" s="384"/>
      <c r="ISA53" s="384"/>
      <c r="ISB53" s="384"/>
      <c r="ISC53" s="384"/>
      <c r="ISD53" s="384"/>
      <c r="ISE53" s="384"/>
      <c r="ISF53" s="384"/>
      <c r="ISG53" s="384"/>
      <c r="ISH53" s="384"/>
      <c r="ISI53" s="384"/>
      <c r="ISJ53" s="384"/>
      <c r="ISK53" s="384"/>
      <c r="ISL53" s="384"/>
      <c r="ISM53" s="384"/>
      <c r="ISN53" s="384"/>
      <c r="ISO53" s="384"/>
      <c r="ISP53" s="384"/>
      <c r="ISQ53" s="384"/>
      <c r="ISR53" s="384"/>
      <c r="ISS53" s="384"/>
      <c r="IST53" s="384"/>
      <c r="ISU53" s="384"/>
      <c r="ISV53" s="384"/>
      <c r="ISW53" s="384"/>
      <c r="ISX53" s="384"/>
      <c r="ISY53" s="384"/>
      <c r="ISZ53" s="384"/>
      <c r="ITA53" s="384"/>
      <c r="ITB53" s="384"/>
      <c r="ITC53" s="384"/>
      <c r="ITD53" s="384"/>
      <c r="ITE53" s="384"/>
      <c r="ITF53" s="384"/>
      <c r="ITG53" s="384"/>
      <c r="ITH53" s="384"/>
      <c r="ITI53" s="384"/>
      <c r="ITJ53" s="384"/>
      <c r="ITK53" s="384"/>
      <c r="ITL53" s="384"/>
      <c r="ITM53" s="384"/>
      <c r="ITN53" s="384"/>
      <c r="ITO53" s="384"/>
      <c r="ITP53" s="384"/>
      <c r="ITQ53" s="384"/>
      <c r="ITR53" s="384"/>
      <c r="ITS53" s="384"/>
      <c r="ITT53" s="384"/>
      <c r="ITU53" s="384"/>
      <c r="ITV53" s="384"/>
      <c r="ITW53" s="384"/>
      <c r="ITX53" s="384"/>
      <c r="ITY53" s="384"/>
      <c r="ITZ53" s="384"/>
      <c r="IUA53" s="384"/>
      <c r="IUB53" s="384"/>
      <c r="IUC53" s="384"/>
      <c r="IUD53" s="384"/>
      <c r="IUE53" s="384"/>
      <c r="IUF53" s="384"/>
      <c r="IUG53" s="384"/>
      <c r="IUH53" s="384"/>
      <c r="IUI53" s="384"/>
      <c r="IUJ53" s="384"/>
      <c r="IUK53" s="384"/>
      <c r="IUL53" s="384"/>
      <c r="IUM53" s="384"/>
      <c r="IUN53" s="384"/>
      <c r="IUO53" s="384"/>
      <c r="IUP53" s="384"/>
      <c r="IUQ53" s="384"/>
      <c r="IUR53" s="384"/>
      <c r="IUS53" s="384"/>
      <c r="IUT53" s="384"/>
      <c r="IUU53" s="384"/>
      <c r="IUV53" s="384"/>
      <c r="IUW53" s="384"/>
      <c r="IUX53" s="384"/>
      <c r="IUY53" s="384"/>
      <c r="IUZ53" s="384"/>
      <c r="IVA53" s="384"/>
      <c r="IVB53" s="384"/>
      <c r="IVC53" s="384"/>
      <c r="IVD53" s="384"/>
      <c r="IVE53" s="384"/>
      <c r="IVF53" s="384"/>
      <c r="IVG53" s="384"/>
      <c r="IVH53" s="384"/>
      <c r="IVI53" s="384"/>
      <c r="IVJ53" s="384"/>
      <c r="IVK53" s="384"/>
      <c r="IVL53" s="384"/>
      <c r="IVM53" s="384"/>
      <c r="IVN53" s="384"/>
      <c r="IVO53" s="384"/>
      <c r="IVP53" s="384"/>
      <c r="IVQ53" s="384"/>
      <c r="IVR53" s="384"/>
      <c r="IVS53" s="384"/>
      <c r="IVT53" s="384"/>
      <c r="IVU53" s="384"/>
      <c r="IVV53" s="384"/>
      <c r="IVW53" s="384"/>
      <c r="IVX53" s="384"/>
      <c r="IVY53" s="384"/>
      <c r="IVZ53" s="384"/>
      <c r="IWA53" s="384"/>
      <c r="IWB53" s="384"/>
      <c r="IWC53" s="384"/>
      <c r="IWD53" s="384"/>
      <c r="IWE53" s="384"/>
      <c r="IWF53" s="384"/>
      <c r="IWG53" s="384"/>
      <c r="IWH53" s="384"/>
      <c r="IWI53" s="384"/>
      <c r="IWJ53" s="384"/>
      <c r="IWK53" s="384"/>
      <c r="IWL53" s="384"/>
      <c r="IWM53" s="384"/>
      <c r="IWN53" s="384"/>
      <c r="IWO53" s="384"/>
      <c r="IWP53" s="384"/>
      <c r="IWQ53" s="384"/>
      <c r="IWR53" s="384"/>
      <c r="IWS53" s="384"/>
      <c r="IWT53" s="384"/>
      <c r="IWU53" s="384"/>
      <c r="IWV53" s="384"/>
      <c r="IWW53" s="384"/>
      <c r="IWX53" s="384"/>
      <c r="IWY53" s="384"/>
      <c r="IWZ53" s="384"/>
      <c r="IXA53" s="384"/>
      <c r="IXB53" s="384"/>
      <c r="IXC53" s="384"/>
      <c r="IXD53" s="384"/>
      <c r="IXE53" s="384"/>
      <c r="IXF53" s="384"/>
      <c r="IXG53" s="384"/>
      <c r="IXH53" s="384"/>
      <c r="IXI53" s="384"/>
      <c r="IXJ53" s="384"/>
      <c r="IXK53" s="384"/>
      <c r="IXL53" s="384"/>
      <c r="IXM53" s="384"/>
      <c r="IXN53" s="384"/>
      <c r="IXO53" s="384"/>
      <c r="IXP53" s="384"/>
      <c r="IXQ53" s="384"/>
      <c r="IXR53" s="384"/>
      <c r="IXS53" s="384"/>
      <c r="IXT53" s="384"/>
      <c r="IXU53" s="384"/>
      <c r="IXV53" s="384"/>
      <c r="IXW53" s="384"/>
      <c r="IXX53" s="384"/>
      <c r="IXY53" s="384"/>
      <c r="IXZ53" s="384"/>
      <c r="IYA53" s="384"/>
      <c r="IYB53" s="384"/>
      <c r="IYC53" s="384"/>
      <c r="IYD53" s="384"/>
      <c r="IYE53" s="384"/>
      <c r="IYF53" s="384"/>
      <c r="IYG53" s="384"/>
      <c r="IYH53" s="384"/>
      <c r="IYI53" s="384"/>
      <c r="IYJ53" s="384"/>
      <c r="IYK53" s="384"/>
      <c r="IYL53" s="384"/>
      <c r="IYM53" s="384"/>
      <c r="IYN53" s="384"/>
      <c r="IYO53" s="384"/>
      <c r="IYP53" s="384"/>
      <c r="IYQ53" s="384"/>
      <c r="IYR53" s="384"/>
      <c r="IYS53" s="384"/>
      <c r="IYT53" s="384"/>
      <c r="IYU53" s="384"/>
      <c r="IYV53" s="384"/>
      <c r="IYW53" s="384"/>
      <c r="IYX53" s="384"/>
      <c r="IYY53" s="384"/>
      <c r="IYZ53" s="384"/>
      <c r="IZA53" s="384"/>
      <c r="IZB53" s="384"/>
      <c r="IZC53" s="384"/>
      <c r="IZD53" s="384"/>
      <c r="IZE53" s="384"/>
      <c r="IZF53" s="384"/>
      <c r="IZG53" s="384"/>
      <c r="IZH53" s="384"/>
      <c r="IZI53" s="384"/>
      <c r="IZJ53" s="384"/>
      <c r="IZK53" s="384"/>
      <c r="IZL53" s="384"/>
      <c r="IZM53" s="384"/>
      <c r="IZN53" s="384"/>
      <c r="IZO53" s="384"/>
      <c r="IZP53" s="384"/>
      <c r="IZQ53" s="384"/>
      <c r="IZR53" s="384"/>
      <c r="IZS53" s="384"/>
      <c r="IZT53" s="384"/>
      <c r="IZU53" s="384"/>
      <c r="IZV53" s="384"/>
      <c r="IZW53" s="384"/>
      <c r="IZX53" s="384"/>
      <c r="IZY53" s="384"/>
      <c r="IZZ53" s="384"/>
      <c r="JAA53" s="384"/>
      <c r="JAB53" s="384"/>
      <c r="JAC53" s="384"/>
      <c r="JAD53" s="384"/>
      <c r="JAE53" s="384"/>
      <c r="JAF53" s="384"/>
      <c r="JAG53" s="384"/>
      <c r="JAH53" s="384"/>
      <c r="JAI53" s="384"/>
      <c r="JAJ53" s="384"/>
      <c r="JAK53" s="384"/>
      <c r="JAL53" s="384"/>
      <c r="JAM53" s="384"/>
      <c r="JAN53" s="384"/>
      <c r="JAO53" s="384"/>
      <c r="JAP53" s="384"/>
      <c r="JAQ53" s="384"/>
      <c r="JAR53" s="384"/>
      <c r="JAS53" s="384"/>
      <c r="JAT53" s="384"/>
      <c r="JAU53" s="384"/>
      <c r="JAV53" s="384"/>
      <c r="JAW53" s="384"/>
      <c r="JAX53" s="384"/>
      <c r="JAY53" s="384"/>
      <c r="JAZ53" s="384"/>
      <c r="JBA53" s="384"/>
      <c r="JBB53" s="384"/>
      <c r="JBC53" s="384"/>
      <c r="JBD53" s="384"/>
      <c r="JBE53" s="384"/>
      <c r="JBF53" s="384"/>
      <c r="JBG53" s="384"/>
      <c r="JBH53" s="384"/>
      <c r="JBI53" s="384"/>
      <c r="JBJ53" s="384"/>
      <c r="JBK53" s="384"/>
      <c r="JBL53" s="384"/>
      <c r="JBM53" s="384"/>
      <c r="JBN53" s="384"/>
      <c r="JBO53" s="384"/>
      <c r="JBP53" s="384"/>
      <c r="JBQ53" s="384"/>
      <c r="JBR53" s="384"/>
      <c r="JBS53" s="384"/>
      <c r="JBT53" s="384"/>
      <c r="JBU53" s="384"/>
      <c r="JBV53" s="384"/>
      <c r="JBW53" s="384"/>
      <c r="JBX53" s="384"/>
      <c r="JBY53" s="384"/>
      <c r="JBZ53" s="384"/>
      <c r="JCA53" s="384"/>
      <c r="JCB53" s="384"/>
      <c r="JCC53" s="384"/>
      <c r="JCD53" s="384"/>
      <c r="JCE53" s="384"/>
      <c r="JCF53" s="384"/>
      <c r="JCG53" s="384"/>
      <c r="JCH53" s="384"/>
      <c r="JCI53" s="384"/>
      <c r="JCJ53" s="384"/>
      <c r="JCK53" s="384"/>
      <c r="JCL53" s="384"/>
      <c r="JCM53" s="384"/>
      <c r="JCN53" s="384"/>
      <c r="JCO53" s="384"/>
      <c r="JCP53" s="384"/>
      <c r="JCQ53" s="384"/>
      <c r="JCR53" s="384"/>
      <c r="JCS53" s="384"/>
      <c r="JCT53" s="384"/>
      <c r="JCU53" s="384"/>
      <c r="JCV53" s="384"/>
      <c r="JCW53" s="384"/>
      <c r="JCX53" s="384"/>
      <c r="JCY53" s="384"/>
      <c r="JCZ53" s="384"/>
      <c r="JDA53" s="384"/>
      <c r="JDB53" s="384"/>
      <c r="JDC53" s="384"/>
      <c r="JDD53" s="384"/>
      <c r="JDE53" s="384"/>
      <c r="JDF53" s="384"/>
      <c r="JDG53" s="384"/>
      <c r="JDH53" s="384"/>
      <c r="JDI53" s="384"/>
      <c r="JDJ53" s="384"/>
      <c r="JDK53" s="384"/>
      <c r="JDL53" s="384"/>
      <c r="JDM53" s="384"/>
      <c r="JDN53" s="384"/>
      <c r="JDO53" s="384"/>
      <c r="JDP53" s="384"/>
      <c r="JDQ53" s="384"/>
      <c r="JDR53" s="384"/>
      <c r="JDS53" s="384"/>
      <c r="JDT53" s="384"/>
      <c r="JDU53" s="384"/>
      <c r="JDV53" s="384"/>
      <c r="JDW53" s="384"/>
      <c r="JDX53" s="384"/>
      <c r="JDY53" s="384"/>
      <c r="JDZ53" s="384"/>
      <c r="JEA53" s="384"/>
      <c r="JEB53" s="384"/>
      <c r="JEC53" s="384"/>
      <c r="JED53" s="384"/>
      <c r="JEE53" s="384"/>
      <c r="JEF53" s="384"/>
      <c r="JEG53" s="384"/>
      <c r="JEH53" s="384"/>
      <c r="JEI53" s="384"/>
      <c r="JEJ53" s="384"/>
      <c r="JEK53" s="384"/>
      <c r="JEL53" s="384"/>
      <c r="JEM53" s="384"/>
      <c r="JEN53" s="384"/>
      <c r="JEO53" s="384"/>
      <c r="JEP53" s="384"/>
      <c r="JEQ53" s="384"/>
      <c r="JER53" s="384"/>
      <c r="JES53" s="384"/>
      <c r="JET53" s="384"/>
      <c r="JEU53" s="384"/>
      <c r="JEV53" s="384"/>
      <c r="JEW53" s="384"/>
      <c r="JEX53" s="384"/>
      <c r="JEY53" s="384"/>
      <c r="JEZ53" s="384"/>
      <c r="JFA53" s="384"/>
      <c r="JFB53" s="384"/>
      <c r="JFC53" s="384"/>
      <c r="JFD53" s="384"/>
      <c r="JFE53" s="384"/>
      <c r="JFF53" s="384"/>
      <c r="JFG53" s="384"/>
      <c r="JFH53" s="384"/>
      <c r="JFI53" s="384"/>
      <c r="JFJ53" s="384"/>
      <c r="JFK53" s="384"/>
      <c r="JFL53" s="384"/>
      <c r="JFM53" s="384"/>
      <c r="JFN53" s="384"/>
      <c r="JFO53" s="384"/>
      <c r="JFP53" s="384"/>
      <c r="JFQ53" s="384"/>
      <c r="JFR53" s="384"/>
      <c r="JFS53" s="384"/>
      <c r="JFT53" s="384"/>
      <c r="JFU53" s="384"/>
      <c r="JFV53" s="384"/>
      <c r="JFW53" s="384"/>
      <c r="JFX53" s="384"/>
      <c r="JFY53" s="384"/>
      <c r="JFZ53" s="384"/>
      <c r="JGA53" s="384"/>
      <c r="JGB53" s="384"/>
      <c r="JGC53" s="384"/>
      <c r="JGD53" s="384"/>
      <c r="JGE53" s="384"/>
      <c r="JGF53" s="384"/>
      <c r="JGG53" s="384"/>
      <c r="JGH53" s="384"/>
      <c r="JGI53" s="384"/>
      <c r="JGJ53" s="384"/>
      <c r="JGK53" s="384"/>
      <c r="JGL53" s="384"/>
      <c r="JGM53" s="384"/>
      <c r="JGN53" s="384"/>
      <c r="JGO53" s="384"/>
      <c r="JGP53" s="384"/>
      <c r="JGQ53" s="384"/>
      <c r="JGR53" s="384"/>
      <c r="JGS53" s="384"/>
      <c r="JGT53" s="384"/>
      <c r="JGU53" s="384"/>
      <c r="JGV53" s="384"/>
      <c r="JGW53" s="384"/>
      <c r="JGX53" s="384"/>
      <c r="JGY53" s="384"/>
      <c r="JGZ53" s="384"/>
      <c r="JHA53" s="384"/>
      <c r="JHB53" s="384"/>
      <c r="JHC53" s="384"/>
      <c r="JHD53" s="384"/>
      <c r="JHE53" s="384"/>
      <c r="JHF53" s="384"/>
      <c r="JHG53" s="384"/>
      <c r="JHH53" s="384"/>
      <c r="JHI53" s="384"/>
      <c r="JHJ53" s="384"/>
      <c r="JHK53" s="384"/>
      <c r="JHL53" s="384"/>
      <c r="JHM53" s="384"/>
      <c r="JHN53" s="384"/>
      <c r="JHO53" s="384"/>
      <c r="JHP53" s="384"/>
      <c r="JHQ53" s="384"/>
      <c r="JHR53" s="384"/>
      <c r="JHS53" s="384"/>
      <c r="JHT53" s="384"/>
      <c r="JHU53" s="384"/>
      <c r="JHV53" s="384"/>
      <c r="JHW53" s="384"/>
      <c r="JHX53" s="384"/>
      <c r="JHY53" s="384"/>
      <c r="JHZ53" s="384"/>
      <c r="JIA53" s="384"/>
      <c r="JIB53" s="384"/>
      <c r="JIC53" s="384"/>
      <c r="JID53" s="384"/>
      <c r="JIE53" s="384"/>
      <c r="JIF53" s="384"/>
      <c r="JIG53" s="384"/>
      <c r="JIH53" s="384"/>
      <c r="JII53" s="384"/>
      <c r="JIJ53" s="384"/>
      <c r="JIK53" s="384"/>
      <c r="JIL53" s="384"/>
      <c r="JIM53" s="384"/>
      <c r="JIN53" s="384"/>
      <c r="JIO53" s="384"/>
      <c r="JIP53" s="384"/>
      <c r="JIQ53" s="384"/>
      <c r="JIR53" s="384"/>
      <c r="JIS53" s="384"/>
      <c r="JIT53" s="384"/>
      <c r="JIU53" s="384"/>
      <c r="JIV53" s="384"/>
      <c r="JIW53" s="384"/>
      <c r="JIX53" s="384"/>
      <c r="JIY53" s="384"/>
      <c r="JIZ53" s="384"/>
      <c r="JJA53" s="384"/>
      <c r="JJB53" s="384"/>
      <c r="JJC53" s="384"/>
      <c r="JJD53" s="384"/>
      <c r="JJE53" s="384"/>
      <c r="JJF53" s="384"/>
      <c r="JJG53" s="384"/>
      <c r="JJH53" s="384"/>
      <c r="JJI53" s="384"/>
      <c r="JJJ53" s="384"/>
      <c r="JJK53" s="384"/>
      <c r="JJL53" s="384"/>
      <c r="JJM53" s="384"/>
      <c r="JJN53" s="384"/>
      <c r="JJO53" s="384"/>
      <c r="JJP53" s="384"/>
      <c r="JJQ53" s="384"/>
      <c r="JJR53" s="384"/>
      <c r="JJS53" s="384"/>
      <c r="JJT53" s="384"/>
      <c r="JJU53" s="384"/>
      <c r="JJV53" s="384"/>
      <c r="JJW53" s="384"/>
      <c r="JJX53" s="384"/>
      <c r="JJY53" s="384"/>
      <c r="JJZ53" s="384"/>
      <c r="JKA53" s="384"/>
      <c r="JKB53" s="384"/>
      <c r="JKC53" s="384"/>
      <c r="JKD53" s="384"/>
      <c r="JKE53" s="384"/>
      <c r="JKF53" s="384"/>
      <c r="JKG53" s="384"/>
      <c r="JKH53" s="384"/>
      <c r="JKI53" s="384"/>
      <c r="JKJ53" s="384"/>
      <c r="JKK53" s="384"/>
      <c r="JKL53" s="384"/>
      <c r="JKM53" s="384"/>
      <c r="JKN53" s="384"/>
      <c r="JKO53" s="384"/>
      <c r="JKP53" s="384"/>
      <c r="JKQ53" s="384"/>
      <c r="JKR53" s="384"/>
      <c r="JKS53" s="384"/>
      <c r="JKT53" s="384"/>
      <c r="JKU53" s="384"/>
      <c r="JKV53" s="384"/>
      <c r="JKW53" s="384"/>
      <c r="JKX53" s="384"/>
      <c r="JKY53" s="384"/>
      <c r="JKZ53" s="384"/>
      <c r="JLA53" s="384"/>
      <c r="JLB53" s="384"/>
      <c r="JLC53" s="384"/>
      <c r="JLD53" s="384"/>
      <c r="JLE53" s="384"/>
      <c r="JLF53" s="384"/>
      <c r="JLG53" s="384"/>
      <c r="JLH53" s="384"/>
      <c r="JLI53" s="384"/>
      <c r="JLJ53" s="384"/>
      <c r="JLK53" s="384"/>
      <c r="JLL53" s="384"/>
      <c r="JLM53" s="384"/>
      <c r="JLN53" s="384"/>
      <c r="JLO53" s="384"/>
      <c r="JLP53" s="384"/>
      <c r="JLQ53" s="384"/>
      <c r="JLR53" s="384"/>
      <c r="JLS53" s="384"/>
      <c r="JLT53" s="384"/>
      <c r="JLU53" s="384"/>
      <c r="JLV53" s="384"/>
      <c r="JLW53" s="384"/>
      <c r="JLX53" s="384"/>
      <c r="JLY53" s="384"/>
      <c r="JLZ53" s="384"/>
      <c r="JMA53" s="384"/>
      <c r="JMB53" s="384"/>
      <c r="JMC53" s="384"/>
      <c r="JMD53" s="384"/>
      <c r="JME53" s="384"/>
      <c r="JMF53" s="384"/>
      <c r="JMG53" s="384"/>
      <c r="JMH53" s="384"/>
      <c r="JMI53" s="384"/>
      <c r="JMJ53" s="384"/>
      <c r="JMK53" s="384"/>
      <c r="JML53" s="384"/>
      <c r="JMM53" s="384"/>
      <c r="JMN53" s="384"/>
      <c r="JMO53" s="384"/>
      <c r="JMP53" s="384"/>
      <c r="JMQ53" s="384"/>
      <c r="JMR53" s="384"/>
      <c r="JMS53" s="384"/>
      <c r="JMT53" s="384"/>
      <c r="JMU53" s="384"/>
      <c r="JMV53" s="384"/>
      <c r="JMW53" s="384"/>
      <c r="JMX53" s="384"/>
      <c r="JMY53" s="384"/>
      <c r="JMZ53" s="384"/>
      <c r="JNA53" s="384"/>
      <c r="JNB53" s="384"/>
      <c r="JNC53" s="384"/>
      <c r="JND53" s="384"/>
      <c r="JNE53" s="384"/>
      <c r="JNF53" s="384"/>
      <c r="JNG53" s="384"/>
      <c r="JNH53" s="384"/>
      <c r="JNI53" s="384"/>
      <c r="JNJ53" s="384"/>
      <c r="JNK53" s="384"/>
      <c r="JNL53" s="384"/>
      <c r="JNM53" s="384"/>
      <c r="JNN53" s="384"/>
      <c r="JNO53" s="384"/>
      <c r="JNP53" s="384"/>
      <c r="JNQ53" s="384"/>
      <c r="JNR53" s="384"/>
      <c r="JNS53" s="384"/>
      <c r="JNT53" s="384"/>
      <c r="JNU53" s="384"/>
      <c r="JNV53" s="384"/>
      <c r="JNW53" s="384"/>
      <c r="JNX53" s="384"/>
      <c r="JNY53" s="384"/>
      <c r="JNZ53" s="384"/>
      <c r="JOA53" s="384"/>
      <c r="JOB53" s="384"/>
      <c r="JOC53" s="384"/>
      <c r="JOD53" s="384"/>
      <c r="JOE53" s="384"/>
      <c r="JOF53" s="384"/>
      <c r="JOG53" s="384"/>
      <c r="JOH53" s="384"/>
      <c r="JOI53" s="384"/>
      <c r="JOJ53" s="384"/>
      <c r="JOK53" s="384"/>
      <c r="JOL53" s="384"/>
      <c r="JOM53" s="384"/>
      <c r="JON53" s="384"/>
      <c r="JOO53" s="384"/>
      <c r="JOP53" s="384"/>
      <c r="JOQ53" s="384"/>
      <c r="JOR53" s="384"/>
      <c r="JOS53" s="384"/>
      <c r="JOT53" s="384"/>
      <c r="JOU53" s="384"/>
      <c r="JOV53" s="384"/>
      <c r="JOW53" s="384"/>
      <c r="JOX53" s="384"/>
      <c r="JOY53" s="384"/>
      <c r="JOZ53" s="384"/>
      <c r="JPA53" s="384"/>
      <c r="JPB53" s="384"/>
      <c r="JPC53" s="384"/>
      <c r="JPD53" s="384"/>
      <c r="JPE53" s="384"/>
      <c r="JPF53" s="384"/>
      <c r="JPG53" s="384"/>
      <c r="JPH53" s="384"/>
      <c r="JPI53" s="384"/>
      <c r="JPJ53" s="384"/>
      <c r="JPK53" s="384"/>
      <c r="JPL53" s="384"/>
      <c r="JPM53" s="384"/>
      <c r="JPN53" s="384"/>
      <c r="JPO53" s="384"/>
      <c r="JPP53" s="384"/>
      <c r="JPQ53" s="384"/>
      <c r="JPR53" s="384"/>
      <c r="JPS53" s="384"/>
      <c r="JPT53" s="384"/>
      <c r="JPU53" s="384"/>
      <c r="JPV53" s="384"/>
      <c r="JPW53" s="384"/>
      <c r="JPX53" s="384"/>
      <c r="JPY53" s="384"/>
      <c r="JPZ53" s="384"/>
      <c r="JQA53" s="384"/>
      <c r="JQB53" s="384"/>
      <c r="JQC53" s="384"/>
      <c r="JQD53" s="384"/>
      <c r="JQE53" s="384"/>
      <c r="JQF53" s="384"/>
      <c r="JQG53" s="384"/>
      <c r="JQH53" s="384"/>
      <c r="JQI53" s="384"/>
      <c r="JQJ53" s="384"/>
      <c r="JQK53" s="384"/>
      <c r="JQL53" s="384"/>
      <c r="JQM53" s="384"/>
      <c r="JQN53" s="384"/>
      <c r="JQO53" s="384"/>
      <c r="JQP53" s="384"/>
      <c r="JQQ53" s="384"/>
      <c r="JQR53" s="384"/>
      <c r="JQS53" s="384"/>
      <c r="JQT53" s="384"/>
      <c r="JQU53" s="384"/>
      <c r="JQV53" s="384"/>
      <c r="JQW53" s="384"/>
      <c r="JQX53" s="384"/>
      <c r="JQY53" s="384"/>
      <c r="JQZ53" s="384"/>
      <c r="JRA53" s="384"/>
      <c r="JRB53" s="384"/>
      <c r="JRC53" s="384"/>
      <c r="JRD53" s="384"/>
      <c r="JRE53" s="384"/>
      <c r="JRF53" s="384"/>
      <c r="JRG53" s="384"/>
      <c r="JRH53" s="384"/>
      <c r="JRI53" s="384"/>
      <c r="JRJ53" s="384"/>
      <c r="JRK53" s="384"/>
      <c r="JRL53" s="384"/>
      <c r="JRM53" s="384"/>
      <c r="JRN53" s="384"/>
      <c r="JRO53" s="384"/>
      <c r="JRP53" s="384"/>
      <c r="JRQ53" s="384"/>
      <c r="JRR53" s="384"/>
      <c r="JRS53" s="384"/>
      <c r="JRT53" s="384"/>
      <c r="JRU53" s="384"/>
      <c r="JRV53" s="384"/>
      <c r="JRW53" s="384"/>
      <c r="JRX53" s="384"/>
      <c r="JRY53" s="384"/>
      <c r="JRZ53" s="384"/>
      <c r="JSA53" s="384"/>
      <c r="JSB53" s="384"/>
      <c r="JSC53" s="384"/>
      <c r="JSD53" s="384"/>
      <c r="JSE53" s="384"/>
      <c r="JSF53" s="384"/>
      <c r="JSG53" s="384"/>
      <c r="JSH53" s="384"/>
      <c r="JSI53" s="384"/>
      <c r="JSJ53" s="384"/>
      <c r="JSK53" s="384"/>
      <c r="JSL53" s="384"/>
      <c r="JSM53" s="384"/>
      <c r="JSN53" s="384"/>
      <c r="JSO53" s="384"/>
      <c r="JSP53" s="384"/>
      <c r="JSQ53" s="384"/>
      <c r="JSR53" s="384"/>
      <c r="JSS53" s="384"/>
      <c r="JST53" s="384"/>
      <c r="JSU53" s="384"/>
      <c r="JSV53" s="384"/>
      <c r="JSW53" s="384"/>
      <c r="JSX53" s="384"/>
      <c r="JSY53" s="384"/>
      <c r="JSZ53" s="384"/>
      <c r="JTA53" s="384"/>
      <c r="JTB53" s="384"/>
      <c r="JTC53" s="384"/>
      <c r="JTD53" s="384"/>
      <c r="JTE53" s="384"/>
      <c r="JTF53" s="384"/>
      <c r="JTG53" s="384"/>
      <c r="JTH53" s="384"/>
      <c r="JTI53" s="384"/>
      <c r="JTJ53" s="384"/>
      <c r="JTK53" s="384"/>
      <c r="JTL53" s="384"/>
      <c r="JTM53" s="384"/>
      <c r="JTN53" s="384"/>
      <c r="JTO53" s="384"/>
      <c r="JTP53" s="384"/>
      <c r="JTQ53" s="384"/>
      <c r="JTR53" s="384"/>
      <c r="JTS53" s="384"/>
      <c r="JTT53" s="384"/>
      <c r="JTU53" s="384"/>
      <c r="JTV53" s="384"/>
      <c r="JTW53" s="384"/>
      <c r="JTX53" s="384"/>
      <c r="JTY53" s="384"/>
      <c r="JTZ53" s="384"/>
      <c r="JUA53" s="384"/>
      <c r="JUB53" s="384"/>
      <c r="JUC53" s="384"/>
      <c r="JUD53" s="384"/>
      <c r="JUE53" s="384"/>
      <c r="JUF53" s="384"/>
      <c r="JUG53" s="384"/>
      <c r="JUH53" s="384"/>
      <c r="JUI53" s="384"/>
      <c r="JUJ53" s="384"/>
      <c r="JUK53" s="384"/>
      <c r="JUL53" s="384"/>
      <c r="JUM53" s="384"/>
      <c r="JUN53" s="384"/>
      <c r="JUO53" s="384"/>
      <c r="JUP53" s="384"/>
      <c r="JUQ53" s="384"/>
      <c r="JUR53" s="384"/>
      <c r="JUS53" s="384"/>
      <c r="JUT53" s="384"/>
      <c r="JUU53" s="384"/>
      <c r="JUV53" s="384"/>
      <c r="JUW53" s="384"/>
      <c r="JUX53" s="384"/>
      <c r="JUY53" s="384"/>
      <c r="JUZ53" s="384"/>
      <c r="JVA53" s="384"/>
      <c r="JVB53" s="384"/>
      <c r="JVC53" s="384"/>
      <c r="JVD53" s="384"/>
      <c r="JVE53" s="384"/>
      <c r="JVF53" s="384"/>
      <c r="JVG53" s="384"/>
      <c r="JVH53" s="384"/>
      <c r="JVI53" s="384"/>
      <c r="JVJ53" s="384"/>
      <c r="JVK53" s="384"/>
      <c r="JVL53" s="384"/>
      <c r="JVM53" s="384"/>
      <c r="JVN53" s="384"/>
      <c r="JVO53" s="384"/>
      <c r="JVP53" s="384"/>
      <c r="JVQ53" s="384"/>
      <c r="JVR53" s="384"/>
      <c r="JVS53" s="384"/>
      <c r="JVT53" s="384"/>
      <c r="JVU53" s="384"/>
      <c r="JVV53" s="384"/>
      <c r="JVW53" s="384"/>
      <c r="JVX53" s="384"/>
      <c r="JVY53" s="384"/>
      <c r="JVZ53" s="384"/>
      <c r="JWA53" s="384"/>
      <c r="JWB53" s="384"/>
      <c r="JWC53" s="384"/>
      <c r="JWD53" s="384"/>
      <c r="JWE53" s="384"/>
      <c r="JWF53" s="384"/>
      <c r="JWG53" s="384"/>
      <c r="JWH53" s="384"/>
      <c r="JWI53" s="384"/>
      <c r="JWJ53" s="384"/>
      <c r="JWK53" s="384"/>
      <c r="JWL53" s="384"/>
      <c r="JWM53" s="384"/>
      <c r="JWN53" s="384"/>
      <c r="JWO53" s="384"/>
      <c r="JWP53" s="384"/>
      <c r="JWQ53" s="384"/>
      <c r="JWR53" s="384"/>
      <c r="JWS53" s="384"/>
      <c r="JWT53" s="384"/>
      <c r="JWU53" s="384"/>
      <c r="JWV53" s="384"/>
      <c r="JWW53" s="384"/>
      <c r="JWX53" s="384"/>
      <c r="JWY53" s="384"/>
      <c r="JWZ53" s="384"/>
      <c r="JXA53" s="384"/>
      <c r="JXB53" s="384"/>
      <c r="JXC53" s="384"/>
      <c r="JXD53" s="384"/>
      <c r="JXE53" s="384"/>
      <c r="JXF53" s="384"/>
      <c r="JXG53" s="384"/>
      <c r="JXH53" s="384"/>
      <c r="JXI53" s="384"/>
      <c r="JXJ53" s="384"/>
      <c r="JXK53" s="384"/>
      <c r="JXL53" s="384"/>
      <c r="JXM53" s="384"/>
      <c r="JXN53" s="384"/>
      <c r="JXO53" s="384"/>
      <c r="JXP53" s="384"/>
      <c r="JXQ53" s="384"/>
      <c r="JXR53" s="384"/>
      <c r="JXS53" s="384"/>
      <c r="JXT53" s="384"/>
      <c r="JXU53" s="384"/>
      <c r="JXV53" s="384"/>
      <c r="JXW53" s="384"/>
      <c r="JXX53" s="384"/>
      <c r="JXY53" s="384"/>
      <c r="JXZ53" s="384"/>
      <c r="JYA53" s="384"/>
      <c r="JYB53" s="384"/>
      <c r="JYC53" s="384"/>
      <c r="JYD53" s="384"/>
      <c r="JYE53" s="384"/>
      <c r="JYF53" s="384"/>
      <c r="JYG53" s="384"/>
      <c r="JYH53" s="384"/>
      <c r="JYI53" s="384"/>
      <c r="JYJ53" s="384"/>
      <c r="JYK53" s="384"/>
      <c r="JYL53" s="384"/>
      <c r="JYM53" s="384"/>
      <c r="JYN53" s="384"/>
      <c r="JYO53" s="384"/>
      <c r="JYP53" s="384"/>
      <c r="JYQ53" s="384"/>
      <c r="JYR53" s="384"/>
      <c r="JYS53" s="384"/>
      <c r="JYT53" s="384"/>
      <c r="JYU53" s="384"/>
      <c r="JYV53" s="384"/>
      <c r="JYW53" s="384"/>
      <c r="JYX53" s="384"/>
      <c r="JYY53" s="384"/>
      <c r="JYZ53" s="384"/>
      <c r="JZA53" s="384"/>
      <c r="JZB53" s="384"/>
      <c r="JZC53" s="384"/>
      <c r="JZD53" s="384"/>
      <c r="JZE53" s="384"/>
      <c r="JZF53" s="384"/>
      <c r="JZG53" s="384"/>
      <c r="JZH53" s="384"/>
      <c r="JZI53" s="384"/>
      <c r="JZJ53" s="384"/>
      <c r="JZK53" s="384"/>
      <c r="JZL53" s="384"/>
      <c r="JZM53" s="384"/>
      <c r="JZN53" s="384"/>
      <c r="JZO53" s="384"/>
      <c r="JZP53" s="384"/>
      <c r="JZQ53" s="384"/>
      <c r="JZR53" s="384"/>
      <c r="JZS53" s="384"/>
      <c r="JZT53" s="384"/>
      <c r="JZU53" s="384"/>
      <c r="JZV53" s="384"/>
      <c r="JZW53" s="384"/>
      <c r="JZX53" s="384"/>
      <c r="JZY53" s="384"/>
      <c r="JZZ53" s="384"/>
      <c r="KAA53" s="384"/>
      <c r="KAB53" s="384"/>
      <c r="KAC53" s="384"/>
      <c r="KAD53" s="384"/>
      <c r="KAE53" s="384"/>
      <c r="KAF53" s="384"/>
      <c r="KAG53" s="384"/>
      <c r="KAH53" s="384"/>
      <c r="KAI53" s="384"/>
      <c r="KAJ53" s="384"/>
      <c r="KAK53" s="384"/>
      <c r="KAL53" s="384"/>
      <c r="KAM53" s="384"/>
      <c r="KAN53" s="384"/>
      <c r="KAO53" s="384"/>
      <c r="KAP53" s="384"/>
      <c r="KAQ53" s="384"/>
      <c r="KAR53" s="384"/>
      <c r="KAS53" s="384"/>
      <c r="KAT53" s="384"/>
      <c r="KAU53" s="384"/>
      <c r="KAV53" s="384"/>
      <c r="KAW53" s="384"/>
      <c r="KAX53" s="384"/>
      <c r="KAY53" s="384"/>
      <c r="KAZ53" s="384"/>
      <c r="KBA53" s="384"/>
      <c r="KBB53" s="384"/>
      <c r="KBC53" s="384"/>
      <c r="KBD53" s="384"/>
      <c r="KBE53" s="384"/>
      <c r="KBF53" s="384"/>
      <c r="KBG53" s="384"/>
      <c r="KBH53" s="384"/>
      <c r="KBI53" s="384"/>
      <c r="KBJ53" s="384"/>
      <c r="KBK53" s="384"/>
      <c r="KBL53" s="384"/>
      <c r="KBM53" s="384"/>
      <c r="KBN53" s="384"/>
      <c r="KBO53" s="384"/>
      <c r="KBP53" s="384"/>
      <c r="KBQ53" s="384"/>
      <c r="KBR53" s="384"/>
      <c r="KBS53" s="384"/>
      <c r="KBT53" s="384"/>
      <c r="KBU53" s="384"/>
      <c r="KBV53" s="384"/>
      <c r="KBW53" s="384"/>
      <c r="KBX53" s="384"/>
      <c r="KBY53" s="384"/>
      <c r="KBZ53" s="384"/>
      <c r="KCA53" s="384"/>
      <c r="KCB53" s="384"/>
      <c r="KCC53" s="384"/>
      <c r="KCD53" s="384"/>
      <c r="KCE53" s="384"/>
      <c r="KCF53" s="384"/>
      <c r="KCG53" s="384"/>
      <c r="KCH53" s="384"/>
      <c r="KCI53" s="384"/>
      <c r="KCJ53" s="384"/>
      <c r="KCK53" s="384"/>
      <c r="KCL53" s="384"/>
      <c r="KCM53" s="384"/>
      <c r="KCN53" s="384"/>
      <c r="KCO53" s="384"/>
      <c r="KCP53" s="384"/>
      <c r="KCQ53" s="384"/>
      <c r="KCR53" s="384"/>
      <c r="KCS53" s="384"/>
      <c r="KCT53" s="384"/>
      <c r="KCU53" s="384"/>
      <c r="KCV53" s="384"/>
      <c r="KCW53" s="384"/>
      <c r="KCX53" s="384"/>
      <c r="KCY53" s="384"/>
      <c r="KCZ53" s="384"/>
      <c r="KDA53" s="384"/>
      <c r="KDB53" s="384"/>
      <c r="KDC53" s="384"/>
      <c r="KDD53" s="384"/>
      <c r="KDE53" s="384"/>
      <c r="KDF53" s="384"/>
      <c r="KDG53" s="384"/>
      <c r="KDH53" s="384"/>
      <c r="KDI53" s="384"/>
      <c r="KDJ53" s="384"/>
      <c r="KDK53" s="384"/>
      <c r="KDL53" s="384"/>
      <c r="KDM53" s="384"/>
      <c r="KDN53" s="384"/>
      <c r="KDO53" s="384"/>
      <c r="KDP53" s="384"/>
      <c r="KDQ53" s="384"/>
      <c r="KDR53" s="384"/>
      <c r="KDS53" s="384"/>
      <c r="KDT53" s="384"/>
      <c r="KDU53" s="384"/>
      <c r="KDV53" s="384"/>
      <c r="KDW53" s="384"/>
      <c r="KDX53" s="384"/>
      <c r="KDY53" s="384"/>
      <c r="KDZ53" s="384"/>
      <c r="KEA53" s="384"/>
      <c r="KEB53" s="384"/>
      <c r="KEC53" s="384"/>
      <c r="KED53" s="384"/>
      <c r="KEE53" s="384"/>
      <c r="KEF53" s="384"/>
      <c r="KEG53" s="384"/>
      <c r="KEH53" s="384"/>
      <c r="KEI53" s="384"/>
      <c r="KEJ53" s="384"/>
      <c r="KEK53" s="384"/>
      <c r="KEL53" s="384"/>
      <c r="KEM53" s="384"/>
      <c r="KEN53" s="384"/>
      <c r="KEO53" s="384"/>
      <c r="KEP53" s="384"/>
      <c r="KEQ53" s="384"/>
      <c r="KER53" s="384"/>
      <c r="KES53" s="384"/>
      <c r="KET53" s="384"/>
      <c r="KEU53" s="384"/>
      <c r="KEV53" s="384"/>
      <c r="KEW53" s="384"/>
      <c r="KEX53" s="384"/>
      <c r="KEY53" s="384"/>
      <c r="KEZ53" s="384"/>
      <c r="KFA53" s="384"/>
      <c r="KFB53" s="384"/>
      <c r="KFC53" s="384"/>
      <c r="KFD53" s="384"/>
      <c r="KFE53" s="384"/>
      <c r="KFF53" s="384"/>
      <c r="KFG53" s="384"/>
      <c r="KFH53" s="384"/>
      <c r="KFI53" s="384"/>
      <c r="KFJ53" s="384"/>
      <c r="KFK53" s="384"/>
      <c r="KFL53" s="384"/>
      <c r="KFM53" s="384"/>
      <c r="KFN53" s="384"/>
      <c r="KFO53" s="384"/>
      <c r="KFP53" s="384"/>
      <c r="KFQ53" s="384"/>
      <c r="KFR53" s="384"/>
      <c r="KFS53" s="384"/>
      <c r="KFT53" s="384"/>
      <c r="KFU53" s="384"/>
      <c r="KFV53" s="384"/>
      <c r="KFW53" s="384"/>
      <c r="KFX53" s="384"/>
      <c r="KFY53" s="384"/>
      <c r="KFZ53" s="384"/>
      <c r="KGA53" s="384"/>
      <c r="KGB53" s="384"/>
      <c r="KGC53" s="384"/>
      <c r="KGD53" s="384"/>
      <c r="KGE53" s="384"/>
      <c r="KGF53" s="384"/>
      <c r="KGG53" s="384"/>
      <c r="KGH53" s="384"/>
      <c r="KGI53" s="384"/>
      <c r="KGJ53" s="384"/>
      <c r="KGK53" s="384"/>
      <c r="KGL53" s="384"/>
      <c r="KGM53" s="384"/>
      <c r="KGN53" s="384"/>
      <c r="KGO53" s="384"/>
      <c r="KGP53" s="384"/>
      <c r="KGQ53" s="384"/>
      <c r="KGR53" s="384"/>
      <c r="KGS53" s="384"/>
      <c r="KGT53" s="384"/>
      <c r="KGU53" s="384"/>
      <c r="KGV53" s="384"/>
      <c r="KGW53" s="384"/>
      <c r="KGX53" s="384"/>
      <c r="KGY53" s="384"/>
      <c r="KGZ53" s="384"/>
      <c r="KHA53" s="384"/>
      <c r="KHB53" s="384"/>
      <c r="KHC53" s="384"/>
      <c r="KHD53" s="384"/>
      <c r="KHE53" s="384"/>
      <c r="KHF53" s="384"/>
      <c r="KHG53" s="384"/>
      <c r="KHH53" s="384"/>
      <c r="KHI53" s="384"/>
      <c r="KHJ53" s="384"/>
      <c r="KHK53" s="384"/>
      <c r="KHL53" s="384"/>
      <c r="KHM53" s="384"/>
      <c r="KHN53" s="384"/>
      <c r="KHO53" s="384"/>
      <c r="KHP53" s="384"/>
      <c r="KHQ53" s="384"/>
      <c r="KHR53" s="384"/>
      <c r="KHS53" s="384"/>
      <c r="KHT53" s="384"/>
      <c r="KHU53" s="384"/>
      <c r="KHV53" s="384"/>
      <c r="KHW53" s="384"/>
      <c r="KHX53" s="384"/>
      <c r="KHY53" s="384"/>
      <c r="KHZ53" s="384"/>
      <c r="KIA53" s="384"/>
      <c r="KIB53" s="384"/>
      <c r="KIC53" s="384"/>
      <c r="KID53" s="384"/>
      <c r="KIE53" s="384"/>
      <c r="KIF53" s="384"/>
      <c r="KIG53" s="384"/>
      <c r="KIH53" s="384"/>
      <c r="KII53" s="384"/>
      <c r="KIJ53" s="384"/>
      <c r="KIK53" s="384"/>
      <c r="KIL53" s="384"/>
      <c r="KIM53" s="384"/>
      <c r="KIN53" s="384"/>
      <c r="KIO53" s="384"/>
      <c r="KIP53" s="384"/>
      <c r="KIQ53" s="384"/>
      <c r="KIR53" s="384"/>
      <c r="KIS53" s="384"/>
      <c r="KIT53" s="384"/>
      <c r="KIU53" s="384"/>
      <c r="KIV53" s="384"/>
      <c r="KIW53" s="384"/>
      <c r="KIX53" s="384"/>
      <c r="KIY53" s="384"/>
      <c r="KIZ53" s="384"/>
      <c r="KJA53" s="384"/>
      <c r="KJB53" s="384"/>
      <c r="KJC53" s="384"/>
      <c r="KJD53" s="384"/>
      <c r="KJE53" s="384"/>
      <c r="KJF53" s="384"/>
      <c r="KJG53" s="384"/>
      <c r="KJH53" s="384"/>
      <c r="KJI53" s="384"/>
      <c r="KJJ53" s="384"/>
      <c r="KJK53" s="384"/>
      <c r="KJL53" s="384"/>
      <c r="KJM53" s="384"/>
      <c r="KJN53" s="384"/>
      <c r="KJO53" s="384"/>
      <c r="KJP53" s="384"/>
      <c r="KJQ53" s="384"/>
      <c r="KJR53" s="384"/>
      <c r="KJS53" s="384"/>
      <c r="KJT53" s="384"/>
      <c r="KJU53" s="384"/>
      <c r="KJV53" s="384"/>
      <c r="KJW53" s="384"/>
      <c r="KJX53" s="384"/>
      <c r="KJY53" s="384"/>
      <c r="KJZ53" s="384"/>
      <c r="KKA53" s="384"/>
      <c r="KKB53" s="384"/>
      <c r="KKC53" s="384"/>
      <c r="KKD53" s="384"/>
      <c r="KKE53" s="384"/>
      <c r="KKF53" s="384"/>
      <c r="KKG53" s="384"/>
      <c r="KKH53" s="384"/>
      <c r="KKI53" s="384"/>
      <c r="KKJ53" s="384"/>
      <c r="KKK53" s="384"/>
      <c r="KKL53" s="384"/>
      <c r="KKM53" s="384"/>
      <c r="KKN53" s="384"/>
      <c r="KKO53" s="384"/>
      <c r="KKP53" s="384"/>
      <c r="KKQ53" s="384"/>
      <c r="KKR53" s="384"/>
      <c r="KKS53" s="384"/>
      <c r="KKT53" s="384"/>
      <c r="KKU53" s="384"/>
      <c r="KKV53" s="384"/>
      <c r="KKW53" s="384"/>
      <c r="KKX53" s="384"/>
      <c r="KKY53" s="384"/>
      <c r="KKZ53" s="384"/>
      <c r="KLA53" s="384"/>
      <c r="KLB53" s="384"/>
      <c r="KLC53" s="384"/>
      <c r="KLD53" s="384"/>
      <c r="KLE53" s="384"/>
      <c r="KLF53" s="384"/>
      <c r="KLG53" s="384"/>
      <c r="KLH53" s="384"/>
      <c r="KLI53" s="384"/>
      <c r="KLJ53" s="384"/>
      <c r="KLK53" s="384"/>
      <c r="KLL53" s="384"/>
      <c r="KLM53" s="384"/>
      <c r="KLN53" s="384"/>
      <c r="KLO53" s="384"/>
      <c r="KLP53" s="384"/>
      <c r="KLQ53" s="384"/>
      <c r="KLR53" s="384"/>
      <c r="KLS53" s="384"/>
      <c r="KLT53" s="384"/>
      <c r="KLU53" s="384"/>
      <c r="KLV53" s="384"/>
      <c r="KLW53" s="384"/>
      <c r="KLX53" s="384"/>
      <c r="KLY53" s="384"/>
      <c r="KLZ53" s="384"/>
      <c r="KMA53" s="384"/>
      <c r="KMB53" s="384"/>
      <c r="KMC53" s="384"/>
      <c r="KMD53" s="384"/>
      <c r="KME53" s="384"/>
      <c r="KMF53" s="384"/>
      <c r="KMG53" s="384"/>
      <c r="KMH53" s="384"/>
      <c r="KMI53" s="384"/>
      <c r="KMJ53" s="384"/>
      <c r="KMK53" s="384"/>
      <c r="KML53" s="384"/>
      <c r="KMM53" s="384"/>
      <c r="KMN53" s="384"/>
      <c r="KMO53" s="384"/>
      <c r="KMP53" s="384"/>
      <c r="KMQ53" s="384"/>
      <c r="KMR53" s="384"/>
      <c r="KMS53" s="384"/>
      <c r="KMT53" s="384"/>
      <c r="KMU53" s="384"/>
      <c r="KMV53" s="384"/>
      <c r="KMW53" s="384"/>
      <c r="KMX53" s="384"/>
      <c r="KMY53" s="384"/>
      <c r="KMZ53" s="384"/>
      <c r="KNA53" s="384"/>
      <c r="KNB53" s="384"/>
      <c r="KNC53" s="384"/>
      <c r="KND53" s="384"/>
      <c r="KNE53" s="384"/>
      <c r="KNF53" s="384"/>
      <c r="KNG53" s="384"/>
      <c r="KNH53" s="384"/>
      <c r="KNI53" s="384"/>
      <c r="KNJ53" s="384"/>
      <c r="KNK53" s="384"/>
      <c r="KNL53" s="384"/>
      <c r="KNM53" s="384"/>
      <c r="KNN53" s="384"/>
      <c r="KNO53" s="384"/>
      <c r="KNP53" s="384"/>
      <c r="KNQ53" s="384"/>
      <c r="KNR53" s="384"/>
      <c r="KNS53" s="384"/>
      <c r="KNT53" s="384"/>
      <c r="KNU53" s="384"/>
      <c r="KNV53" s="384"/>
      <c r="KNW53" s="384"/>
      <c r="KNX53" s="384"/>
      <c r="KNY53" s="384"/>
      <c r="KNZ53" s="384"/>
      <c r="KOA53" s="384"/>
      <c r="KOB53" s="384"/>
      <c r="KOC53" s="384"/>
      <c r="KOD53" s="384"/>
      <c r="KOE53" s="384"/>
      <c r="KOF53" s="384"/>
      <c r="KOG53" s="384"/>
      <c r="KOH53" s="384"/>
      <c r="KOI53" s="384"/>
      <c r="KOJ53" s="384"/>
      <c r="KOK53" s="384"/>
      <c r="KOL53" s="384"/>
      <c r="KOM53" s="384"/>
      <c r="KON53" s="384"/>
      <c r="KOO53" s="384"/>
      <c r="KOP53" s="384"/>
      <c r="KOQ53" s="384"/>
      <c r="KOR53" s="384"/>
      <c r="KOS53" s="384"/>
      <c r="KOT53" s="384"/>
      <c r="KOU53" s="384"/>
      <c r="KOV53" s="384"/>
      <c r="KOW53" s="384"/>
      <c r="KOX53" s="384"/>
      <c r="KOY53" s="384"/>
      <c r="KOZ53" s="384"/>
      <c r="KPA53" s="384"/>
      <c r="KPB53" s="384"/>
      <c r="KPC53" s="384"/>
      <c r="KPD53" s="384"/>
      <c r="KPE53" s="384"/>
      <c r="KPF53" s="384"/>
      <c r="KPG53" s="384"/>
      <c r="KPH53" s="384"/>
      <c r="KPI53" s="384"/>
      <c r="KPJ53" s="384"/>
      <c r="KPK53" s="384"/>
      <c r="KPL53" s="384"/>
      <c r="KPM53" s="384"/>
      <c r="KPN53" s="384"/>
      <c r="KPO53" s="384"/>
      <c r="KPP53" s="384"/>
      <c r="KPQ53" s="384"/>
      <c r="KPR53" s="384"/>
      <c r="KPS53" s="384"/>
      <c r="KPT53" s="384"/>
      <c r="KPU53" s="384"/>
      <c r="KPV53" s="384"/>
      <c r="KPW53" s="384"/>
      <c r="KPX53" s="384"/>
      <c r="KPY53" s="384"/>
      <c r="KPZ53" s="384"/>
      <c r="KQA53" s="384"/>
      <c r="KQB53" s="384"/>
      <c r="KQC53" s="384"/>
      <c r="KQD53" s="384"/>
      <c r="KQE53" s="384"/>
      <c r="KQF53" s="384"/>
      <c r="KQG53" s="384"/>
      <c r="KQH53" s="384"/>
      <c r="KQI53" s="384"/>
      <c r="KQJ53" s="384"/>
      <c r="KQK53" s="384"/>
      <c r="KQL53" s="384"/>
      <c r="KQM53" s="384"/>
      <c r="KQN53" s="384"/>
      <c r="KQO53" s="384"/>
      <c r="KQP53" s="384"/>
      <c r="KQQ53" s="384"/>
      <c r="KQR53" s="384"/>
      <c r="KQS53" s="384"/>
      <c r="KQT53" s="384"/>
      <c r="KQU53" s="384"/>
      <c r="KQV53" s="384"/>
      <c r="KQW53" s="384"/>
      <c r="KQX53" s="384"/>
      <c r="KQY53" s="384"/>
      <c r="KQZ53" s="384"/>
      <c r="KRA53" s="384"/>
      <c r="KRB53" s="384"/>
      <c r="KRC53" s="384"/>
      <c r="KRD53" s="384"/>
      <c r="KRE53" s="384"/>
      <c r="KRF53" s="384"/>
      <c r="KRG53" s="384"/>
      <c r="KRH53" s="384"/>
      <c r="KRI53" s="384"/>
      <c r="KRJ53" s="384"/>
      <c r="KRK53" s="384"/>
      <c r="KRL53" s="384"/>
      <c r="KRM53" s="384"/>
      <c r="KRN53" s="384"/>
      <c r="KRO53" s="384"/>
      <c r="KRP53" s="384"/>
      <c r="KRQ53" s="384"/>
      <c r="KRR53" s="384"/>
      <c r="KRS53" s="384"/>
      <c r="KRT53" s="384"/>
      <c r="KRU53" s="384"/>
      <c r="KRV53" s="384"/>
      <c r="KRW53" s="384"/>
      <c r="KRX53" s="384"/>
      <c r="KRY53" s="384"/>
      <c r="KRZ53" s="384"/>
      <c r="KSA53" s="384"/>
      <c r="KSB53" s="384"/>
      <c r="KSC53" s="384"/>
      <c r="KSD53" s="384"/>
      <c r="KSE53" s="384"/>
      <c r="KSF53" s="384"/>
      <c r="KSG53" s="384"/>
      <c r="KSH53" s="384"/>
      <c r="KSI53" s="384"/>
      <c r="KSJ53" s="384"/>
      <c r="KSK53" s="384"/>
      <c r="KSL53" s="384"/>
      <c r="KSM53" s="384"/>
      <c r="KSN53" s="384"/>
      <c r="KSO53" s="384"/>
      <c r="KSP53" s="384"/>
      <c r="KSQ53" s="384"/>
      <c r="KSR53" s="384"/>
      <c r="KSS53" s="384"/>
      <c r="KST53" s="384"/>
      <c r="KSU53" s="384"/>
      <c r="KSV53" s="384"/>
      <c r="KSW53" s="384"/>
      <c r="KSX53" s="384"/>
      <c r="KSY53" s="384"/>
      <c r="KSZ53" s="384"/>
      <c r="KTA53" s="384"/>
      <c r="KTB53" s="384"/>
      <c r="KTC53" s="384"/>
      <c r="KTD53" s="384"/>
      <c r="KTE53" s="384"/>
      <c r="KTF53" s="384"/>
      <c r="KTG53" s="384"/>
      <c r="KTH53" s="384"/>
      <c r="KTI53" s="384"/>
      <c r="KTJ53" s="384"/>
      <c r="KTK53" s="384"/>
      <c r="KTL53" s="384"/>
      <c r="KTM53" s="384"/>
      <c r="KTN53" s="384"/>
      <c r="KTO53" s="384"/>
      <c r="KTP53" s="384"/>
      <c r="KTQ53" s="384"/>
      <c r="KTR53" s="384"/>
      <c r="KTS53" s="384"/>
      <c r="KTT53" s="384"/>
      <c r="KTU53" s="384"/>
      <c r="KTV53" s="384"/>
      <c r="KTW53" s="384"/>
      <c r="KTX53" s="384"/>
      <c r="KTY53" s="384"/>
      <c r="KTZ53" s="384"/>
      <c r="KUA53" s="384"/>
      <c r="KUB53" s="384"/>
      <c r="KUC53" s="384"/>
      <c r="KUD53" s="384"/>
      <c r="KUE53" s="384"/>
      <c r="KUF53" s="384"/>
      <c r="KUG53" s="384"/>
      <c r="KUH53" s="384"/>
      <c r="KUI53" s="384"/>
      <c r="KUJ53" s="384"/>
      <c r="KUK53" s="384"/>
      <c r="KUL53" s="384"/>
      <c r="KUM53" s="384"/>
      <c r="KUN53" s="384"/>
      <c r="KUO53" s="384"/>
      <c r="KUP53" s="384"/>
      <c r="KUQ53" s="384"/>
      <c r="KUR53" s="384"/>
      <c r="KUS53" s="384"/>
      <c r="KUT53" s="384"/>
      <c r="KUU53" s="384"/>
      <c r="KUV53" s="384"/>
      <c r="KUW53" s="384"/>
      <c r="KUX53" s="384"/>
      <c r="KUY53" s="384"/>
      <c r="KUZ53" s="384"/>
      <c r="KVA53" s="384"/>
      <c r="KVB53" s="384"/>
      <c r="KVC53" s="384"/>
      <c r="KVD53" s="384"/>
      <c r="KVE53" s="384"/>
      <c r="KVF53" s="384"/>
      <c r="KVG53" s="384"/>
      <c r="KVH53" s="384"/>
      <c r="KVI53" s="384"/>
      <c r="KVJ53" s="384"/>
      <c r="KVK53" s="384"/>
      <c r="KVL53" s="384"/>
      <c r="KVM53" s="384"/>
      <c r="KVN53" s="384"/>
      <c r="KVO53" s="384"/>
      <c r="KVP53" s="384"/>
      <c r="KVQ53" s="384"/>
      <c r="KVR53" s="384"/>
      <c r="KVS53" s="384"/>
      <c r="KVT53" s="384"/>
      <c r="KVU53" s="384"/>
      <c r="KVV53" s="384"/>
      <c r="KVW53" s="384"/>
      <c r="KVX53" s="384"/>
      <c r="KVY53" s="384"/>
      <c r="KVZ53" s="384"/>
      <c r="KWA53" s="384"/>
      <c r="KWB53" s="384"/>
      <c r="KWC53" s="384"/>
      <c r="KWD53" s="384"/>
      <c r="KWE53" s="384"/>
      <c r="KWF53" s="384"/>
      <c r="KWG53" s="384"/>
      <c r="KWH53" s="384"/>
      <c r="KWI53" s="384"/>
      <c r="KWJ53" s="384"/>
      <c r="KWK53" s="384"/>
      <c r="KWL53" s="384"/>
      <c r="KWM53" s="384"/>
      <c r="KWN53" s="384"/>
      <c r="KWO53" s="384"/>
      <c r="KWP53" s="384"/>
      <c r="KWQ53" s="384"/>
      <c r="KWR53" s="384"/>
      <c r="KWS53" s="384"/>
      <c r="KWT53" s="384"/>
      <c r="KWU53" s="384"/>
      <c r="KWV53" s="384"/>
      <c r="KWW53" s="384"/>
      <c r="KWX53" s="384"/>
      <c r="KWY53" s="384"/>
      <c r="KWZ53" s="384"/>
      <c r="KXA53" s="384"/>
      <c r="KXB53" s="384"/>
      <c r="KXC53" s="384"/>
      <c r="KXD53" s="384"/>
      <c r="KXE53" s="384"/>
      <c r="KXF53" s="384"/>
      <c r="KXG53" s="384"/>
      <c r="KXH53" s="384"/>
      <c r="KXI53" s="384"/>
      <c r="KXJ53" s="384"/>
      <c r="KXK53" s="384"/>
      <c r="KXL53" s="384"/>
      <c r="KXM53" s="384"/>
      <c r="KXN53" s="384"/>
      <c r="KXO53" s="384"/>
      <c r="KXP53" s="384"/>
      <c r="KXQ53" s="384"/>
      <c r="KXR53" s="384"/>
      <c r="KXS53" s="384"/>
      <c r="KXT53" s="384"/>
      <c r="KXU53" s="384"/>
      <c r="KXV53" s="384"/>
      <c r="KXW53" s="384"/>
      <c r="KXX53" s="384"/>
      <c r="KXY53" s="384"/>
      <c r="KXZ53" s="384"/>
      <c r="KYA53" s="384"/>
      <c r="KYB53" s="384"/>
      <c r="KYC53" s="384"/>
      <c r="KYD53" s="384"/>
      <c r="KYE53" s="384"/>
      <c r="KYF53" s="384"/>
      <c r="KYG53" s="384"/>
      <c r="KYH53" s="384"/>
      <c r="KYI53" s="384"/>
      <c r="KYJ53" s="384"/>
      <c r="KYK53" s="384"/>
      <c r="KYL53" s="384"/>
      <c r="KYM53" s="384"/>
      <c r="KYN53" s="384"/>
      <c r="KYO53" s="384"/>
      <c r="KYP53" s="384"/>
      <c r="KYQ53" s="384"/>
      <c r="KYR53" s="384"/>
      <c r="KYS53" s="384"/>
      <c r="KYT53" s="384"/>
      <c r="KYU53" s="384"/>
      <c r="KYV53" s="384"/>
      <c r="KYW53" s="384"/>
      <c r="KYX53" s="384"/>
      <c r="KYY53" s="384"/>
      <c r="KYZ53" s="384"/>
      <c r="KZA53" s="384"/>
      <c r="KZB53" s="384"/>
      <c r="KZC53" s="384"/>
      <c r="KZD53" s="384"/>
      <c r="KZE53" s="384"/>
      <c r="KZF53" s="384"/>
      <c r="KZG53" s="384"/>
      <c r="KZH53" s="384"/>
      <c r="KZI53" s="384"/>
      <c r="KZJ53" s="384"/>
      <c r="KZK53" s="384"/>
      <c r="KZL53" s="384"/>
      <c r="KZM53" s="384"/>
      <c r="KZN53" s="384"/>
      <c r="KZO53" s="384"/>
      <c r="KZP53" s="384"/>
      <c r="KZQ53" s="384"/>
      <c r="KZR53" s="384"/>
      <c r="KZS53" s="384"/>
      <c r="KZT53" s="384"/>
      <c r="KZU53" s="384"/>
      <c r="KZV53" s="384"/>
      <c r="KZW53" s="384"/>
      <c r="KZX53" s="384"/>
      <c r="KZY53" s="384"/>
      <c r="KZZ53" s="384"/>
      <c r="LAA53" s="384"/>
      <c r="LAB53" s="384"/>
      <c r="LAC53" s="384"/>
      <c r="LAD53" s="384"/>
      <c r="LAE53" s="384"/>
      <c r="LAF53" s="384"/>
      <c r="LAG53" s="384"/>
      <c r="LAH53" s="384"/>
      <c r="LAI53" s="384"/>
      <c r="LAJ53" s="384"/>
      <c r="LAK53" s="384"/>
      <c r="LAL53" s="384"/>
      <c r="LAM53" s="384"/>
      <c r="LAN53" s="384"/>
      <c r="LAO53" s="384"/>
      <c r="LAP53" s="384"/>
      <c r="LAQ53" s="384"/>
      <c r="LAR53" s="384"/>
      <c r="LAS53" s="384"/>
      <c r="LAT53" s="384"/>
      <c r="LAU53" s="384"/>
      <c r="LAV53" s="384"/>
      <c r="LAW53" s="384"/>
      <c r="LAX53" s="384"/>
      <c r="LAY53" s="384"/>
      <c r="LAZ53" s="384"/>
      <c r="LBA53" s="384"/>
      <c r="LBB53" s="384"/>
      <c r="LBC53" s="384"/>
      <c r="LBD53" s="384"/>
      <c r="LBE53" s="384"/>
      <c r="LBF53" s="384"/>
      <c r="LBG53" s="384"/>
      <c r="LBH53" s="384"/>
      <c r="LBI53" s="384"/>
      <c r="LBJ53" s="384"/>
      <c r="LBK53" s="384"/>
      <c r="LBL53" s="384"/>
      <c r="LBM53" s="384"/>
      <c r="LBN53" s="384"/>
      <c r="LBO53" s="384"/>
      <c r="LBP53" s="384"/>
      <c r="LBQ53" s="384"/>
      <c r="LBR53" s="384"/>
      <c r="LBS53" s="384"/>
      <c r="LBT53" s="384"/>
      <c r="LBU53" s="384"/>
      <c r="LBV53" s="384"/>
      <c r="LBW53" s="384"/>
      <c r="LBX53" s="384"/>
      <c r="LBY53" s="384"/>
      <c r="LBZ53" s="384"/>
      <c r="LCA53" s="384"/>
      <c r="LCB53" s="384"/>
      <c r="LCC53" s="384"/>
      <c r="LCD53" s="384"/>
      <c r="LCE53" s="384"/>
      <c r="LCF53" s="384"/>
      <c r="LCG53" s="384"/>
      <c r="LCH53" s="384"/>
      <c r="LCI53" s="384"/>
      <c r="LCJ53" s="384"/>
      <c r="LCK53" s="384"/>
      <c r="LCL53" s="384"/>
      <c r="LCM53" s="384"/>
      <c r="LCN53" s="384"/>
      <c r="LCO53" s="384"/>
      <c r="LCP53" s="384"/>
      <c r="LCQ53" s="384"/>
      <c r="LCR53" s="384"/>
      <c r="LCS53" s="384"/>
      <c r="LCT53" s="384"/>
      <c r="LCU53" s="384"/>
      <c r="LCV53" s="384"/>
      <c r="LCW53" s="384"/>
      <c r="LCX53" s="384"/>
      <c r="LCY53" s="384"/>
      <c r="LCZ53" s="384"/>
      <c r="LDA53" s="384"/>
      <c r="LDB53" s="384"/>
      <c r="LDC53" s="384"/>
      <c r="LDD53" s="384"/>
      <c r="LDE53" s="384"/>
      <c r="LDF53" s="384"/>
      <c r="LDG53" s="384"/>
      <c r="LDH53" s="384"/>
      <c r="LDI53" s="384"/>
      <c r="LDJ53" s="384"/>
      <c r="LDK53" s="384"/>
      <c r="LDL53" s="384"/>
      <c r="LDM53" s="384"/>
      <c r="LDN53" s="384"/>
      <c r="LDO53" s="384"/>
      <c r="LDP53" s="384"/>
      <c r="LDQ53" s="384"/>
      <c r="LDR53" s="384"/>
      <c r="LDS53" s="384"/>
      <c r="LDT53" s="384"/>
      <c r="LDU53" s="384"/>
      <c r="LDV53" s="384"/>
      <c r="LDW53" s="384"/>
      <c r="LDX53" s="384"/>
      <c r="LDY53" s="384"/>
      <c r="LDZ53" s="384"/>
      <c r="LEA53" s="384"/>
      <c r="LEB53" s="384"/>
      <c r="LEC53" s="384"/>
      <c r="LED53" s="384"/>
      <c r="LEE53" s="384"/>
      <c r="LEF53" s="384"/>
      <c r="LEG53" s="384"/>
      <c r="LEH53" s="384"/>
      <c r="LEI53" s="384"/>
      <c r="LEJ53" s="384"/>
      <c r="LEK53" s="384"/>
      <c r="LEL53" s="384"/>
      <c r="LEM53" s="384"/>
      <c r="LEN53" s="384"/>
      <c r="LEO53" s="384"/>
      <c r="LEP53" s="384"/>
      <c r="LEQ53" s="384"/>
      <c r="LER53" s="384"/>
      <c r="LES53" s="384"/>
      <c r="LET53" s="384"/>
      <c r="LEU53" s="384"/>
      <c r="LEV53" s="384"/>
      <c r="LEW53" s="384"/>
      <c r="LEX53" s="384"/>
      <c r="LEY53" s="384"/>
      <c r="LEZ53" s="384"/>
      <c r="LFA53" s="384"/>
      <c r="LFB53" s="384"/>
      <c r="LFC53" s="384"/>
      <c r="LFD53" s="384"/>
      <c r="LFE53" s="384"/>
      <c r="LFF53" s="384"/>
      <c r="LFG53" s="384"/>
      <c r="LFH53" s="384"/>
      <c r="LFI53" s="384"/>
      <c r="LFJ53" s="384"/>
      <c r="LFK53" s="384"/>
      <c r="LFL53" s="384"/>
      <c r="LFM53" s="384"/>
      <c r="LFN53" s="384"/>
      <c r="LFO53" s="384"/>
      <c r="LFP53" s="384"/>
      <c r="LFQ53" s="384"/>
      <c r="LFR53" s="384"/>
      <c r="LFS53" s="384"/>
      <c r="LFT53" s="384"/>
      <c r="LFU53" s="384"/>
      <c r="LFV53" s="384"/>
      <c r="LFW53" s="384"/>
      <c r="LFX53" s="384"/>
      <c r="LFY53" s="384"/>
      <c r="LFZ53" s="384"/>
      <c r="LGA53" s="384"/>
      <c r="LGB53" s="384"/>
      <c r="LGC53" s="384"/>
      <c r="LGD53" s="384"/>
      <c r="LGE53" s="384"/>
      <c r="LGF53" s="384"/>
      <c r="LGG53" s="384"/>
      <c r="LGH53" s="384"/>
      <c r="LGI53" s="384"/>
      <c r="LGJ53" s="384"/>
      <c r="LGK53" s="384"/>
      <c r="LGL53" s="384"/>
      <c r="LGM53" s="384"/>
      <c r="LGN53" s="384"/>
      <c r="LGO53" s="384"/>
      <c r="LGP53" s="384"/>
      <c r="LGQ53" s="384"/>
      <c r="LGR53" s="384"/>
      <c r="LGS53" s="384"/>
      <c r="LGT53" s="384"/>
      <c r="LGU53" s="384"/>
      <c r="LGV53" s="384"/>
      <c r="LGW53" s="384"/>
      <c r="LGX53" s="384"/>
      <c r="LGY53" s="384"/>
      <c r="LGZ53" s="384"/>
      <c r="LHA53" s="384"/>
      <c r="LHB53" s="384"/>
      <c r="LHC53" s="384"/>
      <c r="LHD53" s="384"/>
      <c r="LHE53" s="384"/>
      <c r="LHF53" s="384"/>
      <c r="LHG53" s="384"/>
      <c r="LHH53" s="384"/>
      <c r="LHI53" s="384"/>
      <c r="LHJ53" s="384"/>
      <c r="LHK53" s="384"/>
      <c r="LHL53" s="384"/>
      <c r="LHM53" s="384"/>
      <c r="LHN53" s="384"/>
      <c r="LHO53" s="384"/>
      <c r="LHP53" s="384"/>
      <c r="LHQ53" s="384"/>
      <c r="LHR53" s="384"/>
      <c r="LHS53" s="384"/>
      <c r="LHT53" s="384"/>
      <c r="LHU53" s="384"/>
      <c r="LHV53" s="384"/>
      <c r="LHW53" s="384"/>
      <c r="LHX53" s="384"/>
      <c r="LHY53" s="384"/>
      <c r="LHZ53" s="384"/>
      <c r="LIA53" s="384"/>
      <c r="LIB53" s="384"/>
      <c r="LIC53" s="384"/>
      <c r="LID53" s="384"/>
      <c r="LIE53" s="384"/>
      <c r="LIF53" s="384"/>
      <c r="LIG53" s="384"/>
      <c r="LIH53" s="384"/>
      <c r="LII53" s="384"/>
      <c r="LIJ53" s="384"/>
      <c r="LIK53" s="384"/>
      <c r="LIL53" s="384"/>
      <c r="LIM53" s="384"/>
      <c r="LIN53" s="384"/>
      <c r="LIO53" s="384"/>
      <c r="LIP53" s="384"/>
      <c r="LIQ53" s="384"/>
      <c r="LIR53" s="384"/>
      <c r="LIS53" s="384"/>
      <c r="LIT53" s="384"/>
      <c r="LIU53" s="384"/>
      <c r="LIV53" s="384"/>
      <c r="LIW53" s="384"/>
      <c r="LIX53" s="384"/>
      <c r="LIY53" s="384"/>
      <c r="LIZ53" s="384"/>
      <c r="LJA53" s="384"/>
      <c r="LJB53" s="384"/>
      <c r="LJC53" s="384"/>
      <c r="LJD53" s="384"/>
      <c r="LJE53" s="384"/>
      <c r="LJF53" s="384"/>
      <c r="LJG53" s="384"/>
      <c r="LJH53" s="384"/>
      <c r="LJI53" s="384"/>
      <c r="LJJ53" s="384"/>
      <c r="LJK53" s="384"/>
      <c r="LJL53" s="384"/>
      <c r="LJM53" s="384"/>
      <c r="LJN53" s="384"/>
      <c r="LJO53" s="384"/>
      <c r="LJP53" s="384"/>
      <c r="LJQ53" s="384"/>
      <c r="LJR53" s="384"/>
      <c r="LJS53" s="384"/>
      <c r="LJT53" s="384"/>
      <c r="LJU53" s="384"/>
      <c r="LJV53" s="384"/>
      <c r="LJW53" s="384"/>
      <c r="LJX53" s="384"/>
      <c r="LJY53" s="384"/>
      <c r="LJZ53" s="384"/>
      <c r="LKA53" s="384"/>
      <c r="LKB53" s="384"/>
      <c r="LKC53" s="384"/>
      <c r="LKD53" s="384"/>
      <c r="LKE53" s="384"/>
      <c r="LKF53" s="384"/>
      <c r="LKG53" s="384"/>
      <c r="LKH53" s="384"/>
      <c r="LKI53" s="384"/>
      <c r="LKJ53" s="384"/>
      <c r="LKK53" s="384"/>
      <c r="LKL53" s="384"/>
      <c r="LKM53" s="384"/>
      <c r="LKN53" s="384"/>
      <c r="LKO53" s="384"/>
      <c r="LKP53" s="384"/>
      <c r="LKQ53" s="384"/>
      <c r="LKR53" s="384"/>
      <c r="LKS53" s="384"/>
      <c r="LKT53" s="384"/>
      <c r="LKU53" s="384"/>
      <c r="LKV53" s="384"/>
      <c r="LKW53" s="384"/>
      <c r="LKX53" s="384"/>
      <c r="LKY53" s="384"/>
      <c r="LKZ53" s="384"/>
      <c r="LLA53" s="384"/>
      <c r="LLB53" s="384"/>
      <c r="LLC53" s="384"/>
      <c r="LLD53" s="384"/>
      <c r="LLE53" s="384"/>
      <c r="LLF53" s="384"/>
      <c r="LLG53" s="384"/>
      <c r="LLH53" s="384"/>
      <c r="LLI53" s="384"/>
      <c r="LLJ53" s="384"/>
      <c r="LLK53" s="384"/>
      <c r="LLL53" s="384"/>
      <c r="LLM53" s="384"/>
      <c r="LLN53" s="384"/>
      <c r="LLO53" s="384"/>
      <c r="LLP53" s="384"/>
      <c r="LLQ53" s="384"/>
      <c r="LLR53" s="384"/>
      <c r="LLS53" s="384"/>
      <c r="LLT53" s="384"/>
      <c r="LLU53" s="384"/>
      <c r="LLV53" s="384"/>
      <c r="LLW53" s="384"/>
      <c r="LLX53" s="384"/>
      <c r="LLY53" s="384"/>
      <c r="LLZ53" s="384"/>
      <c r="LMA53" s="384"/>
      <c r="LMB53" s="384"/>
      <c r="LMC53" s="384"/>
      <c r="LMD53" s="384"/>
      <c r="LME53" s="384"/>
      <c r="LMF53" s="384"/>
      <c r="LMG53" s="384"/>
      <c r="LMH53" s="384"/>
      <c r="LMI53" s="384"/>
      <c r="LMJ53" s="384"/>
      <c r="LMK53" s="384"/>
      <c r="LML53" s="384"/>
      <c r="LMM53" s="384"/>
      <c r="LMN53" s="384"/>
      <c r="LMO53" s="384"/>
      <c r="LMP53" s="384"/>
      <c r="LMQ53" s="384"/>
      <c r="LMR53" s="384"/>
      <c r="LMS53" s="384"/>
      <c r="LMT53" s="384"/>
      <c r="LMU53" s="384"/>
      <c r="LMV53" s="384"/>
      <c r="LMW53" s="384"/>
      <c r="LMX53" s="384"/>
      <c r="LMY53" s="384"/>
      <c r="LMZ53" s="384"/>
      <c r="LNA53" s="384"/>
      <c r="LNB53" s="384"/>
      <c r="LNC53" s="384"/>
      <c r="LND53" s="384"/>
      <c r="LNE53" s="384"/>
      <c r="LNF53" s="384"/>
      <c r="LNG53" s="384"/>
      <c r="LNH53" s="384"/>
      <c r="LNI53" s="384"/>
      <c r="LNJ53" s="384"/>
      <c r="LNK53" s="384"/>
      <c r="LNL53" s="384"/>
      <c r="LNM53" s="384"/>
      <c r="LNN53" s="384"/>
      <c r="LNO53" s="384"/>
      <c r="LNP53" s="384"/>
      <c r="LNQ53" s="384"/>
      <c r="LNR53" s="384"/>
      <c r="LNS53" s="384"/>
      <c r="LNT53" s="384"/>
      <c r="LNU53" s="384"/>
      <c r="LNV53" s="384"/>
      <c r="LNW53" s="384"/>
      <c r="LNX53" s="384"/>
      <c r="LNY53" s="384"/>
      <c r="LNZ53" s="384"/>
      <c r="LOA53" s="384"/>
      <c r="LOB53" s="384"/>
      <c r="LOC53" s="384"/>
      <c r="LOD53" s="384"/>
      <c r="LOE53" s="384"/>
      <c r="LOF53" s="384"/>
      <c r="LOG53" s="384"/>
      <c r="LOH53" s="384"/>
      <c r="LOI53" s="384"/>
      <c r="LOJ53" s="384"/>
      <c r="LOK53" s="384"/>
      <c r="LOL53" s="384"/>
      <c r="LOM53" s="384"/>
      <c r="LON53" s="384"/>
      <c r="LOO53" s="384"/>
      <c r="LOP53" s="384"/>
      <c r="LOQ53" s="384"/>
      <c r="LOR53" s="384"/>
      <c r="LOS53" s="384"/>
      <c r="LOT53" s="384"/>
      <c r="LOU53" s="384"/>
      <c r="LOV53" s="384"/>
      <c r="LOW53" s="384"/>
      <c r="LOX53" s="384"/>
      <c r="LOY53" s="384"/>
      <c r="LOZ53" s="384"/>
      <c r="LPA53" s="384"/>
      <c r="LPB53" s="384"/>
      <c r="LPC53" s="384"/>
      <c r="LPD53" s="384"/>
      <c r="LPE53" s="384"/>
      <c r="LPF53" s="384"/>
      <c r="LPG53" s="384"/>
      <c r="LPH53" s="384"/>
      <c r="LPI53" s="384"/>
      <c r="LPJ53" s="384"/>
      <c r="LPK53" s="384"/>
      <c r="LPL53" s="384"/>
      <c r="LPM53" s="384"/>
      <c r="LPN53" s="384"/>
      <c r="LPO53" s="384"/>
      <c r="LPP53" s="384"/>
      <c r="LPQ53" s="384"/>
      <c r="LPR53" s="384"/>
      <c r="LPS53" s="384"/>
      <c r="LPT53" s="384"/>
      <c r="LPU53" s="384"/>
      <c r="LPV53" s="384"/>
      <c r="LPW53" s="384"/>
      <c r="LPX53" s="384"/>
      <c r="LPY53" s="384"/>
      <c r="LPZ53" s="384"/>
      <c r="LQA53" s="384"/>
      <c r="LQB53" s="384"/>
      <c r="LQC53" s="384"/>
      <c r="LQD53" s="384"/>
      <c r="LQE53" s="384"/>
      <c r="LQF53" s="384"/>
      <c r="LQG53" s="384"/>
      <c r="LQH53" s="384"/>
      <c r="LQI53" s="384"/>
      <c r="LQJ53" s="384"/>
      <c r="LQK53" s="384"/>
      <c r="LQL53" s="384"/>
      <c r="LQM53" s="384"/>
      <c r="LQN53" s="384"/>
      <c r="LQO53" s="384"/>
      <c r="LQP53" s="384"/>
      <c r="LQQ53" s="384"/>
      <c r="LQR53" s="384"/>
      <c r="LQS53" s="384"/>
      <c r="LQT53" s="384"/>
      <c r="LQU53" s="384"/>
      <c r="LQV53" s="384"/>
      <c r="LQW53" s="384"/>
      <c r="LQX53" s="384"/>
      <c r="LQY53" s="384"/>
      <c r="LQZ53" s="384"/>
      <c r="LRA53" s="384"/>
      <c r="LRB53" s="384"/>
      <c r="LRC53" s="384"/>
      <c r="LRD53" s="384"/>
      <c r="LRE53" s="384"/>
      <c r="LRF53" s="384"/>
      <c r="LRG53" s="384"/>
      <c r="LRH53" s="384"/>
      <c r="LRI53" s="384"/>
      <c r="LRJ53" s="384"/>
      <c r="LRK53" s="384"/>
      <c r="LRL53" s="384"/>
      <c r="LRM53" s="384"/>
      <c r="LRN53" s="384"/>
      <c r="LRO53" s="384"/>
      <c r="LRP53" s="384"/>
      <c r="LRQ53" s="384"/>
      <c r="LRR53" s="384"/>
      <c r="LRS53" s="384"/>
      <c r="LRT53" s="384"/>
      <c r="LRU53" s="384"/>
      <c r="LRV53" s="384"/>
      <c r="LRW53" s="384"/>
      <c r="LRX53" s="384"/>
      <c r="LRY53" s="384"/>
      <c r="LRZ53" s="384"/>
      <c r="LSA53" s="384"/>
      <c r="LSB53" s="384"/>
      <c r="LSC53" s="384"/>
      <c r="LSD53" s="384"/>
      <c r="LSE53" s="384"/>
      <c r="LSF53" s="384"/>
      <c r="LSG53" s="384"/>
      <c r="LSH53" s="384"/>
      <c r="LSI53" s="384"/>
      <c r="LSJ53" s="384"/>
      <c r="LSK53" s="384"/>
      <c r="LSL53" s="384"/>
      <c r="LSM53" s="384"/>
      <c r="LSN53" s="384"/>
      <c r="LSO53" s="384"/>
      <c r="LSP53" s="384"/>
      <c r="LSQ53" s="384"/>
      <c r="LSR53" s="384"/>
      <c r="LSS53" s="384"/>
      <c r="LST53" s="384"/>
      <c r="LSU53" s="384"/>
      <c r="LSV53" s="384"/>
      <c r="LSW53" s="384"/>
      <c r="LSX53" s="384"/>
      <c r="LSY53" s="384"/>
      <c r="LSZ53" s="384"/>
      <c r="LTA53" s="384"/>
      <c r="LTB53" s="384"/>
      <c r="LTC53" s="384"/>
      <c r="LTD53" s="384"/>
      <c r="LTE53" s="384"/>
      <c r="LTF53" s="384"/>
      <c r="LTG53" s="384"/>
      <c r="LTH53" s="384"/>
      <c r="LTI53" s="384"/>
      <c r="LTJ53" s="384"/>
      <c r="LTK53" s="384"/>
      <c r="LTL53" s="384"/>
      <c r="LTM53" s="384"/>
      <c r="LTN53" s="384"/>
      <c r="LTO53" s="384"/>
      <c r="LTP53" s="384"/>
      <c r="LTQ53" s="384"/>
      <c r="LTR53" s="384"/>
      <c r="LTS53" s="384"/>
      <c r="LTT53" s="384"/>
      <c r="LTU53" s="384"/>
      <c r="LTV53" s="384"/>
      <c r="LTW53" s="384"/>
      <c r="LTX53" s="384"/>
      <c r="LTY53" s="384"/>
      <c r="LTZ53" s="384"/>
      <c r="LUA53" s="384"/>
      <c r="LUB53" s="384"/>
      <c r="LUC53" s="384"/>
      <c r="LUD53" s="384"/>
      <c r="LUE53" s="384"/>
      <c r="LUF53" s="384"/>
      <c r="LUG53" s="384"/>
      <c r="LUH53" s="384"/>
      <c r="LUI53" s="384"/>
      <c r="LUJ53" s="384"/>
      <c r="LUK53" s="384"/>
      <c r="LUL53" s="384"/>
      <c r="LUM53" s="384"/>
      <c r="LUN53" s="384"/>
      <c r="LUO53" s="384"/>
      <c r="LUP53" s="384"/>
      <c r="LUQ53" s="384"/>
      <c r="LUR53" s="384"/>
      <c r="LUS53" s="384"/>
      <c r="LUT53" s="384"/>
      <c r="LUU53" s="384"/>
      <c r="LUV53" s="384"/>
      <c r="LUW53" s="384"/>
      <c r="LUX53" s="384"/>
      <c r="LUY53" s="384"/>
      <c r="LUZ53" s="384"/>
      <c r="LVA53" s="384"/>
      <c r="LVB53" s="384"/>
      <c r="LVC53" s="384"/>
      <c r="LVD53" s="384"/>
      <c r="LVE53" s="384"/>
      <c r="LVF53" s="384"/>
      <c r="LVG53" s="384"/>
      <c r="LVH53" s="384"/>
      <c r="LVI53" s="384"/>
      <c r="LVJ53" s="384"/>
      <c r="LVK53" s="384"/>
      <c r="LVL53" s="384"/>
      <c r="LVM53" s="384"/>
      <c r="LVN53" s="384"/>
      <c r="LVO53" s="384"/>
      <c r="LVP53" s="384"/>
      <c r="LVQ53" s="384"/>
      <c r="LVR53" s="384"/>
      <c r="LVS53" s="384"/>
      <c r="LVT53" s="384"/>
      <c r="LVU53" s="384"/>
      <c r="LVV53" s="384"/>
      <c r="LVW53" s="384"/>
      <c r="LVX53" s="384"/>
      <c r="LVY53" s="384"/>
      <c r="LVZ53" s="384"/>
      <c r="LWA53" s="384"/>
      <c r="LWB53" s="384"/>
      <c r="LWC53" s="384"/>
      <c r="LWD53" s="384"/>
      <c r="LWE53" s="384"/>
      <c r="LWF53" s="384"/>
      <c r="LWG53" s="384"/>
      <c r="LWH53" s="384"/>
      <c r="LWI53" s="384"/>
      <c r="LWJ53" s="384"/>
      <c r="LWK53" s="384"/>
      <c r="LWL53" s="384"/>
      <c r="LWM53" s="384"/>
      <c r="LWN53" s="384"/>
      <c r="LWO53" s="384"/>
      <c r="LWP53" s="384"/>
      <c r="LWQ53" s="384"/>
      <c r="LWR53" s="384"/>
      <c r="LWS53" s="384"/>
      <c r="LWT53" s="384"/>
      <c r="LWU53" s="384"/>
      <c r="LWV53" s="384"/>
      <c r="LWW53" s="384"/>
      <c r="LWX53" s="384"/>
      <c r="LWY53" s="384"/>
      <c r="LWZ53" s="384"/>
      <c r="LXA53" s="384"/>
      <c r="LXB53" s="384"/>
      <c r="LXC53" s="384"/>
      <c r="LXD53" s="384"/>
      <c r="LXE53" s="384"/>
      <c r="LXF53" s="384"/>
      <c r="LXG53" s="384"/>
      <c r="LXH53" s="384"/>
      <c r="LXI53" s="384"/>
      <c r="LXJ53" s="384"/>
      <c r="LXK53" s="384"/>
      <c r="LXL53" s="384"/>
      <c r="LXM53" s="384"/>
      <c r="LXN53" s="384"/>
      <c r="LXO53" s="384"/>
      <c r="LXP53" s="384"/>
      <c r="LXQ53" s="384"/>
      <c r="LXR53" s="384"/>
      <c r="LXS53" s="384"/>
      <c r="LXT53" s="384"/>
      <c r="LXU53" s="384"/>
      <c r="LXV53" s="384"/>
      <c r="LXW53" s="384"/>
      <c r="LXX53" s="384"/>
      <c r="LXY53" s="384"/>
      <c r="LXZ53" s="384"/>
      <c r="LYA53" s="384"/>
      <c r="LYB53" s="384"/>
      <c r="LYC53" s="384"/>
      <c r="LYD53" s="384"/>
      <c r="LYE53" s="384"/>
      <c r="LYF53" s="384"/>
      <c r="LYG53" s="384"/>
      <c r="LYH53" s="384"/>
      <c r="LYI53" s="384"/>
      <c r="LYJ53" s="384"/>
      <c r="LYK53" s="384"/>
      <c r="LYL53" s="384"/>
      <c r="LYM53" s="384"/>
      <c r="LYN53" s="384"/>
      <c r="LYO53" s="384"/>
      <c r="LYP53" s="384"/>
      <c r="LYQ53" s="384"/>
      <c r="LYR53" s="384"/>
      <c r="LYS53" s="384"/>
      <c r="LYT53" s="384"/>
      <c r="LYU53" s="384"/>
      <c r="LYV53" s="384"/>
      <c r="LYW53" s="384"/>
      <c r="LYX53" s="384"/>
      <c r="LYY53" s="384"/>
      <c r="LYZ53" s="384"/>
      <c r="LZA53" s="384"/>
      <c r="LZB53" s="384"/>
      <c r="LZC53" s="384"/>
      <c r="LZD53" s="384"/>
      <c r="LZE53" s="384"/>
      <c r="LZF53" s="384"/>
      <c r="LZG53" s="384"/>
      <c r="LZH53" s="384"/>
      <c r="LZI53" s="384"/>
      <c r="LZJ53" s="384"/>
      <c r="LZK53" s="384"/>
      <c r="LZL53" s="384"/>
      <c r="LZM53" s="384"/>
      <c r="LZN53" s="384"/>
      <c r="LZO53" s="384"/>
      <c r="LZP53" s="384"/>
      <c r="LZQ53" s="384"/>
      <c r="LZR53" s="384"/>
      <c r="LZS53" s="384"/>
      <c r="LZT53" s="384"/>
      <c r="LZU53" s="384"/>
      <c r="LZV53" s="384"/>
      <c r="LZW53" s="384"/>
      <c r="LZX53" s="384"/>
      <c r="LZY53" s="384"/>
      <c r="LZZ53" s="384"/>
      <c r="MAA53" s="384"/>
      <c r="MAB53" s="384"/>
      <c r="MAC53" s="384"/>
      <c r="MAD53" s="384"/>
      <c r="MAE53" s="384"/>
      <c r="MAF53" s="384"/>
      <c r="MAG53" s="384"/>
      <c r="MAH53" s="384"/>
      <c r="MAI53" s="384"/>
      <c r="MAJ53" s="384"/>
      <c r="MAK53" s="384"/>
      <c r="MAL53" s="384"/>
      <c r="MAM53" s="384"/>
      <c r="MAN53" s="384"/>
      <c r="MAO53" s="384"/>
      <c r="MAP53" s="384"/>
      <c r="MAQ53" s="384"/>
      <c r="MAR53" s="384"/>
      <c r="MAS53" s="384"/>
      <c r="MAT53" s="384"/>
      <c r="MAU53" s="384"/>
      <c r="MAV53" s="384"/>
      <c r="MAW53" s="384"/>
      <c r="MAX53" s="384"/>
      <c r="MAY53" s="384"/>
      <c r="MAZ53" s="384"/>
      <c r="MBA53" s="384"/>
      <c r="MBB53" s="384"/>
      <c r="MBC53" s="384"/>
      <c r="MBD53" s="384"/>
      <c r="MBE53" s="384"/>
      <c r="MBF53" s="384"/>
      <c r="MBG53" s="384"/>
      <c r="MBH53" s="384"/>
      <c r="MBI53" s="384"/>
      <c r="MBJ53" s="384"/>
      <c r="MBK53" s="384"/>
      <c r="MBL53" s="384"/>
      <c r="MBM53" s="384"/>
      <c r="MBN53" s="384"/>
      <c r="MBO53" s="384"/>
      <c r="MBP53" s="384"/>
      <c r="MBQ53" s="384"/>
      <c r="MBR53" s="384"/>
      <c r="MBS53" s="384"/>
      <c r="MBT53" s="384"/>
      <c r="MBU53" s="384"/>
      <c r="MBV53" s="384"/>
      <c r="MBW53" s="384"/>
      <c r="MBX53" s="384"/>
      <c r="MBY53" s="384"/>
      <c r="MBZ53" s="384"/>
      <c r="MCA53" s="384"/>
      <c r="MCB53" s="384"/>
      <c r="MCC53" s="384"/>
      <c r="MCD53" s="384"/>
      <c r="MCE53" s="384"/>
      <c r="MCF53" s="384"/>
      <c r="MCG53" s="384"/>
      <c r="MCH53" s="384"/>
      <c r="MCI53" s="384"/>
      <c r="MCJ53" s="384"/>
      <c r="MCK53" s="384"/>
      <c r="MCL53" s="384"/>
      <c r="MCM53" s="384"/>
      <c r="MCN53" s="384"/>
      <c r="MCO53" s="384"/>
      <c r="MCP53" s="384"/>
      <c r="MCQ53" s="384"/>
      <c r="MCR53" s="384"/>
      <c r="MCS53" s="384"/>
      <c r="MCT53" s="384"/>
      <c r="MCU53" s="384"/>
      <c r="MCV53" s="384"/>
      <c r="MCW53" s="384"/>
      <c r="MCX53" s="384"/>
      <c r="MCY53" s="384"/>
      <c r="MCZ53" s="384"/>
      <c r="MDA53" s="384"/>
      <c r="MDB53" s="384"/>
      <c r="MDC53" s="384"/>
      <c r="MDD53" s="384"/>
      <c r="MDE53" s="384"/>
      <c r="MDF53" s="384"/>
      <c r="MDG53" s="384"/>
      <c r="MDH53" s="384"/>
      <c r="MDI53" s="384"/>
      <c r="MDJ53" s="384"/>
      <c r="MDK53" s="384"/>
      <c r="MDL53" s="384"/>
      <c r="MDM53" s="384"/>
      <c r="MDN53" s="384"/>
      <c r="MDO53" s="384"/>
      <c r="MDP53" s="384"/>
      <c r="MDQ53" s="384"/>
      <c r="MDR53" s="384"/>
      <c r="MDS53" s="384"/>
      <c r="MDT53" s="384"/>
      <c r="MDU53" s="384"/>
      <c r="MDV53" s="384"/>
      <c r="MDW53" s="384"/>
      <c r="MDX53" s="384"/>
      <c r="MDY53" s="384"/>
      <c r="MDZ53" s="384"/>
      <c r="MEA53" s="384"/>
      <c r="MEB53" s="384"/>
      <c r="MEC53" s="384"/>
      <c r="MED53" s="384"/>
      <c r="MEE53" s="384"/>
      <c r="MEF53" s="384"/>
      <c r="MEG53" s="384"/>
      <c r="MEH53" s="384"/>
      <c r="MEI53" s="384"/>
      <c r="MEJ53" s="384"/>
      <c r="MEK53" s="384"/>
      <c r="MEL53" s="384"/>
      <c r="MEM53" s="384"/>
      <c r="MEN53" s="384"/>
      <c r="MEO53" s="384"/>
      <c r="MEP53" s="384"/>
      <c r="MEQ53" s="384"/>
      <c r="MER53" s="384"/>
      <c r="MES53" s="384"/>
      <c r="MET53" s="384"/>
      <c r="MEU53" s="384"/>
      <c r="MEV53" s="384"/>
      <c r="MEW53" s="384"/>
      <c r="MEX53" s="384"/>
      <c r="MEY53" s="384"/>
      <c r="MEZ53" s="384"/>
      <c r="MFA53" s="384"/>
      <c r="MFB53" s="384"/>
      <c r="MFC53" s="384"/>
      <c r="MFD53" s="384"/>
      <c r="MFE53" s="384"/>
      <c r="MFF53" s="384"/>
      <c r="MFG53" s="384"/>
      <c r="MFH53" s="384"/>
      <c r="MFI53" s="384"/>
      <c r="MFJ53" s="384"/>
      <c r="MFK53" s="384"/>
      <c r="MFL53" s="384"/>
      <c r="MFM53" s="384"/>
      <c r="MFN53" s="384"/>
      <c r="MFO53" s="384"/>
      <c r="MFP53" s="384"/>
      <c r="MFQ53" s="384"/>
      <c r="MFR53" s="384"/>
      <c r="MFS53" s="384"/>
      <c r="MFT53" s="384"/>
      <c r="MFU53" s="384"/>
      <c r="MFV53" s="384"/>
      <c r="MFW53" s="384"/>
      <c r="MFX53" s="384"/>
      <c r="MFY53" s="384"/>
      <c r="MFZ53" s="384"/>
      <c r="MGA53" s="384"/>
      <c r="MGB53" s="384"/>
      <c r="MGC53" s="384"/>
      <c r="MGD53" s="384"/>
      <c r="MGE53" s="384"/>
      <c r="MGF53" s="384"/>
      <c r="MGG53" s="384"/>
      <c r="MGH53" s="384"/>
      <c r="MGI53" s="384"/>
      <c r="MGJ53" s="384"/>
      <c r="MGK53" s="384"/>
      <c r="MGL53" s="384"/>
      <c r="MGM53" s="384"/>
      <c r="MGN53" s="384"/>
      <c r="MGO53" s="384"/>
      <c r="MGP53" s="384"/>
      <c r="MGQ53" s="384"/>
      <c r="MGR53" s="384"/>
      <c r="MGS53" s="384"/>
      <c r="MGT53" s="384"/>
      <c r="MGU53" s="384"/>
      <c r="MGV53" s="384"/>
      <c r="MGW53" s="384"/>
      <c r="MGX53" s="384"/>
      <c r="MGY53" s="384"/>
      <c r="MGZ53" s="384"/>
      <c r="MHA53" s="384"/>
      <c r="MHB53" s="384"/>
      <c r="MHC53" s="384"/>
      <c r="MHD53" s="384"/>
      <c r="MHE53" s="384"/>
      <c r="MHF53" s="384"/>
      <c r="MHG53" s="384"/>
      <c r="MHH53" s="384"/>
      <c r="MHI53" s="384"/>
      <c r="MHJ53" s="384"/>
      <c r="MHK53" s="384"/>
      <c r="MHL53" s="384"/>
      <c r="MHM53" s="384"/>
      <c r="MHN53" s="384"/>
      <c r="MHO53" s="384"/>
      <c r="MHP53" s="384"/>
      <c r="MHQ53" s="384"/>
      <c r="MHR53" s="384"/>
      <c r="MHS53" s="384"/>
      <c r="MHT53" s="384"/>
      <c r="MHU53" s="384"/>
      <c r="MHV53" s="384"/>
      <c r="MHW53" s="384"/>
      <c r="MHX53" s="384"/>
      <c r="MHY53" s="384"/>
      <c r="MHZ53" s="384"/>
      <c r="MIA53" s="384"/>
      <c r="MIB53" s="384"/>
      <c r="MIC53" s="384"/>
      <c r="MID53" s="384"/>
      <c r="MIE53" s="384"/>
      <c r="MIF53" s="384"/>
      <c r="MIG53" s="384"/>
      <c r="MIH53" s="384"/>
      <c r="MII53" s="384"/>
      <c r="MIJ53" s="384"/>
      <c r="MIK53" s="384"/>
      <c r="MIL53" s="384"/>
      <c r="MIM53" s="384"/>
      <c r="MIN53" s="384"/>
      <c r="MIO53" s="384"/>
      <c r="MIP53" s="384"/>
      <c r="MIQ53" s="384"/>
      <c r="MIR53" s="384"/>
      <c r="MIS53" s="384"/>
      <c r="MIT53" s="384"/>
      <c r="MIU53" s="384"/>
      <c r="MIV53" s="384"/>
      <c r="MIW53" s="384"/>
      <c r="MIX53" s="384"/>
      <c r="MIY53" s="384"/>
      <c r="MIZ53" s="384"/>
      <c r="MJA53" s="384"/>
      <c r="MJB53" s="384"/>
      <c r="MJC53" s="384"/>
      <c r="MJD53" s="384"/>
      <c r="MJE53" s="384"/>
      <c r="MJF53" s="384"/>
      <c r="MJG53" s="384"/>
      <c r="MJH53" s="384"/>
      <c r="MJI53" s="384"/>
      <c r="MJJ53" s="384"/>
      <c r="MJK53" s="384"/>
      <c r="MJL53" s="384"/>
      <c r="MJM53" s="384"/>
      <c r="MJN53" s="384"/>
      <c r="MJO53" s="384"/>
      <c r="MJP53" s="384"/>
      <c r="MJQ53" s="384"/>
      <c r="MJR53" s="384"/>
      <c r="MJS53" s="384"/>
      <c r="MJT53" s="384"/>
      <c r="MJU53" s="384"/>
      <c r="MJV53" s="384"/>
      <c r="MJW53" s="384"/>
      <c r="MJX53" s="384"/>
      <c r="MJY53" s="384"/>
      <c r="MJZ53" s="384"/>
      <c r="MKA53" s="384"/>
      <c r="MKB53" s="384"/>
      <c r="MKC53" s="384"/>
      <c r="MKD53" s="384"/>
      <c r="MKE53" s="384"/>
      <c r="MKF53" s="384"/>
      <c r="MKG53" s="384"/>
      <c r="MKH53" s="384"/>
      <c r="MKI53" s="384"/>
      <c r="MKJ53" s="384"/>
      <c r="MKK53" s="384"/>
      <c r="MKL53" s="384"/>
      <c r="MKM53" s="384"/>
      <c r="MKN53" s="384"/>
      <c r="MKO53" s="384"/>
      <c r="MKP53" s="384"/>
      <c r="MKQ53" s="384"/>
      <c r="MKR53" s="384"/>
      <c r="MKS53" s="384"/>
      <c r="MKT53" s="384"/>
      <c r="MKU53" s="384"/>
      <c r="MKV53" s="384"/>
      <c r="MKW53" s="384"/>
      <c r="MKX53" s="384"/>
      <c r="MKY53" s="384"/>
      <c r="MKZ53" s="384"/>
      <c r="MLA53" s="384"/>
      <c r="MLB53" s="384"/>
      <c r="MLC53" s="384"/>
      <c r="MLD53" s="384"/>
      <c r="MLE53" s="384"/>
      <c r="MLF53" s="384"/>
      <c r="MLG53" s="384"/>
      <c r="MLH53" s="384"/>
      <c r="MLI53" s="384"/>
      <c r="MLJ53" s="384"/>
      <c r="MLK53" s="384"/>
      <c r="MLL53" s="384"/>
      <c r="MLM53" s="384"/>
      <c r="MLN53" s="384"/>
      <c r="MLO53" s="384"/>
      <c r="MLP53" s="384"/>
      <c r="MLQ53" s="384"/>
      <c r="MLR53" s="384"/>
      <c r="MLS53" s="384"/>
      <c r="MLT53" s="384"/>
      <c r="MLU53" s="384"/>
      <c r="MLV53" s="384"/>
      <c r="MLW53" s="384"/>
      <c r="MLX53" s="384"/>
      <c r="MLY53" s="384"/>
      <c r="MLZ53" s="384"/>
      <c r="MMA53" s="384"/>
      <c r="MMB53" s="384"/>
      <c r="MMC53" s="384"/>
      <c r="MMD53" s="384"/>
      <c r="MME53" s="384"/>
      <c r="MMF53" s="384"/>
      <c r="MMG53" s="384"/>
      <c r="MMH53" s="384"/>
      <c r="MMI53" s="384"/>
      <c r="MMJ53" s="384"/>
      <c r="MMK53" s="384"/>
      <c r="MML53" s="384"/>
      <c r="MMM53" s="384"/>
      <c r="MMN53" s="384"/>
      <c r="MMO53" s="384"/>
      <c r="MMP53" s="384"/>
      <c r="MMQ53" s="384"/>
      <c r="MMR53" s="384"/>
      <c r="MMS53" s="384"/>
      <c r="MMT53" s="384"/>
      <c r="MMU53" s="384"/>
      <c r="MMV53" s="384"/>
      <c r="MMW53" s="384"/>
      <c r="MMX53" s="384"/>
      <c r="MMY53" s="384"/>
      <c r="MMZ53" s="384"/>
      <c r="MNA53" s="384"/>
      <c r="MNB53" s="384"/>
      <c r="MNC53" s="384"/>
      <c r="MND53" s="384"/>
      <c r="MNE53" s="384"/>
      <c r="MNF53" s="384"/>
      <c r="MNG53" s="384"/>
      <c r="MNH53" s="384"/>
      <c r="MNI53" s="384"/>
      <c r="MNJ53" s="384"/>
      <c r="MNK53" s="384"/>
      <c r="MNL53" s="384"/>
      <c r="MNM53" s="384"/>
      <c r="MNN53" s="384"/>
      <c r="MNO53" s="384"/>
      <c r="MNP53" s="384"/>
      <c r="MNQ53" s="384"/>
      <c r="MNR53" s="384"/>
      <c r="MNS53" s="384"/>
      <c r="MNT53" s="384"/>
      <c r="MNU53" s="384"/>
      <c r="MNV53" s="384"/>
      <c r="MNW53" s="384"/>
      <c r="MNX53" s="384"/>
      <c r="MNY53" s="384"/>
      <c r="MNZ53" s="384"/>
      <c r="MOA53" s="384"/>
      <c r="MOB53" s="384"/>
      <c r="MOC53" s="384"/>
      <c r="MOD53" s="384"/>
      <c r="MOE53" s="384"/>
      <c r="MOF53" s="384"/>
      <c r="MOG53" s="384"/>
      <c r="MOH53" s="384"/>
      <c r="MOI53" s="384"/>
      <c r="MOJ53" s="384"/>
      <c r="MOK53" s="384"/>
      <c r="MOL53" s="384"/>
      <c r="MOM53" s="384"/>
      <c r="MON53" s="384"/>
      <c r="MOO53" s="384"/>
      <c r="MOP53" s="384"/>
      <c r="MOQ53" s="384"/>
      <c r="MOR53" s="384"/>
      <c r="MOS53" s="384"/>
      <c r="MOT53" s="384"/>
      <c r="MOU53" s="384"/>
      <c r="MOV53" s="384"/>
      <c r="MOW53" s="384"/>
      <c r="MOX53" s="384"/>
      <c r="MOY53" s="384"/>
      <c r="MOZ53" s="384"/>
      <c r="MPA53" s="384"/>
      <c r="MPB53" s="384"/>
      <c r="MPC53" s="384"/>
      <c r="MPD53" s="384"/>
      <c r="MPE53" s="384"/>
      <c r="MPF53" s="384"/>
      <c r="MPG53" s="384"/>
      <c r="MPH53" s="384"/>
      <c r="MPI53" s="384"/>
      <c r="MPJ53" s="384"/>
      <c r="MPK53" s="384"/>
      <c r="MPL53" s="384"/>
      <c r="MPM53" s="384"/>
      <c r="MPN53" s="384"/>
      <c r="MPO53" s="384"/>
      <c r="MPP53" s="384"/>
      <c r="MPQ53" s="384"/>
      <c r="MPR53" s="384"/>
      <c r="MPS53" s="384"/>
      <c r="MPT53" s="384"/>
      <c r="MPU53" s="384"/>
      <c r="MPV53" s="384"/>
      <c r="MPW53" s="384"/>
      <c r="MPX53" s="384"/>
      <c r="MPY53" s="384"/>
      <c r="MPZ53" s="384"/>
      <c r="MQA53" s="384"/>
      <c r="MQB53" s="384"/>
      <c r="MQC53" s="384"/>
      <c r="MQD53" s="384"/>
      <c r="MQE53" s="384"/>
      <c r="MQF53" s="384"/>
      <c r="MQG53" s="384"/>
      <c r="MQH53" s="384"/>
      <c r="MQI53" s="384"/>
      <c r="MQJ53" s="384"/>
      <c r="MQK53" s="384"/>
      <c r="MQL53" s="384"/>
      <c r="MQM53" s="384"/>
      <c r="MQN53" s="384"/>
      <c r="MQO53" s="384"/>
      <c r="MQP53" s="384"/>
      <c r="MQQ53" s="384"/>
      <c r="MQR53" s="384"/>
      <c r="MQS53" s="384"/>
      <c r="MQT53" s="384"/>
      <c r="MQU53" s="384"/>
      <c r="MQV53" s="384"/>
      <c r="MQW53" s="384"/>
      <c r="MQX53" s="384"/>
      <c r="MQY53" s="384"/>
      <c r="MQZ53" s="384"/>
      <c r="MRA53" s="384"/>
      <c r="MRB53" s="384"/>
      <c r="MRC53" s="384"/>
      <c r="MRD53" s="384"/>
      <c r="MRE53" s="384"/>
      <c r="MRF53" s="384"/>
      <c r="MRG53" s="384"/>
      <c r="MRH53" s="384"/>
      <c r="MRI53" s="384"/>
      <c r="MRJ53" s="384"/>
      <c r="MRK53" s="384"/>
      <c r="MRL53" s="384"/>
      <c r="MRM53" s="384"/>
      <c r="MRN53" s="384"/>
      <c r="MRO53" s="384"/>
      <c r="MRP53" s="384"/>
      <c r="MRQ53" s="384"/>
      <c r="MRR53" s="384"/>
      <c r="MRS53" s="384"/>
      <c r="MRT53" s="384"/>
      <c r="MRU53" s="384"/>
      <c r="MRV53" s="384"/>
      <c r="MRW53" s="384"/>
      <c r="MRX53" s="384"/>
      <c r="MRY53" s="384"/>
      <c r="MRZ53" s="384"/>
      <c r="MSA53" s="384"/>
      <c r="MSB53" s="384"/>
      <c r="MSC53" s="384"/>
      <c r="MSD53" s="384"/>
      <c r="MSE53" s="384"/>
      <c r="MSF53" s="384"/>
      <c r="MSG53" s="384"/>
      <c r="MSH53" s="384"/>
      <c r="MSI53" s="384"/>
      <c r="MSJ53" s="384"/>
      <c r="MSK53" s="384"/>
      <c r="MSL53" s="384"/>
      <c r="MSM53" s="384"/>
      <c r="MSN53" s="384"/>
      <c r="MSO53" s="384"/>
      <c r="MSP53" s="384"/>
      <c r="MSQ53" s="384"/>
      <c r="MSR53" s="384"/>
      <c r="MSS53" s="384"/>
      <c r="MST53" s="384"/>
      <c r="MSU53" s="384"/>
      <c r="MSV53" s="384"/>
      <c r="MSW53" s="384"/>
      <c r="MSX53" s="384"/>
      <c r="MSY53" s="384"/>
      <c r="MSZ53" s="384"/>
      <c r="MTA53" s="384"/>
      <c r="MTB53" s="384"/>
      <c r="MTC53" s="384"/>
      <c r="MTD53" s="384"/>
      <c r="MTE53" s="384"/>
      <c r="MTF53" s="384"/>
      <c r="MTG53" s="384"/>
      <c r="MTH53" s="384"/>
      <c r="MTI53" s="384"/>
      <c r="MTJ53" s="384"/>
      <c r="MTK53" s="384"/>
      <c r="MTL53" s="384"/>
      <c r="MTM53" s="384"/>
      <c r="MTN53" s="384"/>
      <c r="MTO53" s="384"/>
      <c r="MTP53" s="384"/>
      <c r="MTQ53" s="384"/>
      <c r="MTR53" s="384"/>
      <c r="MTS53" s="384"/>
      <c r="MTT53" s="384"/>
      <c r="MTU53" s="384"/>
      <c r="MTV53" s="384"/>
      <c r="MTW53" s="384"/>
      <c r="MTX53" s="384"/>
      <c r="MTY53" s="384"/>
      <c r="MTZ53" s="384"/>
      <c r="MUA53" s="384"/>
      <c r="MUB53" s="384"/>
      <c r="MUC53" s="384"/>
      <c r="MUD53" s="384"/>
      <c r="MUE53" s="384"/>
      <c r="MUF53" s="384"/>
      <c r="MUG53" s="384"/>
      <c r="MUH53" s="384"/>
      <c r="MUI53" s="384"/>
      <c r="MUJ53" s="384"/>
      <c r="MUK53" s="384"/>
      <c r="MUL53" s="384"/>
      <c r="MUM53" s="384"/>
      <c r="MUN53" s="384"/>
      <c r="MUO53" s="384"/>
      <c r="MUP53" s="384"/>
      <c r="MUQ53" s="384"/>
      <c r="MUR53" s="384"/>
      <c r="MUS53" s="384"/>
      <c r="MUT53" s="384"/>
      <c r="MUU53" s="384"/>
      <c r="MUV53" s="384"/>
      <c r="MUW53" s="384"/>
      <c r="MUX53" s="384"/>
      <c r="MUY53" s="384"/>
      <c r="MUZ53" s="384"/>
      <c r="MVA53" s="384"/>
      <c r="MVB53" s="384"/>
      <c r="MVC53" s="384"/>
      <c r="MVD53" s="384"/>
      <c r="MVE53" s="384"/>
      <c r="MVF53" s="384"/>
      <c r="MVG53" s="384"/>
      <c r="MVH53" s="384"/>
      <c r="MVI53" s="384"/>
      <c r="MVJ53" s="384"/>
      <c r="MVK53" s="384"/>
      <c r="MVL53" s="384"/>
      <c r="MVM53" s="384"/>
      <c r="MVN53" s="384"/>
      <c r="MVO53" s="384"/>
      <c r="MVP53" s="384"/>
      <c r="MVQ53" s="384"/>
      <c r="MVR53" s="384"/>
      <c r="MVS53" s="384"/>
      <c r="MVT53" s="384"/>
      <c r="MVU53" s="384"/>
      <c r="MVV53" s="384"/>
      <c r="MVW53" s="384"/>
      <c r="MVX53" s="384"/>
      <c r="MVY53" s="384"/>
      <c r="MVZ53" s="384"/>
      <c r="MWA53" s="384"/>
      <c r="MWB53" s="384"/>
      <c r="MWC53" s="384"/>
      <c r="MWD53" s="384"/>
      <c r="MWE53" s="384"/>
      <c r="MWF53" s="384"/>
      <c r="MWG53" s="384"/>
      <c r="MWH53" s="384"/>
      <c r="MWI53" s="384"/>
      <c r="MWJ53" s="384"/>
      <c r="MWK53" s="384"/>
      <c r="MWL53" s="384"/>
      <c r="MWM53" s="384"/>
      <c r="MWN53" s="384"/>
      <c r="MWO53" s="384"/>
      <c r="MWP53" s="384"/>
      <c r="MWQ53" s="384"/>
      <c r="MWR53" s="384"/>
      <c r="MWS53" s="384"/>
      <c r="MWT53" s="384"/>
      <c r="MWU53" s="384"/>
      <c r="MWV53" s="384"/>
      <c r="MWW53" s="384"/>
      <c r="MWX53" s="384"/>
      <c r="MWY53" s="384"/>
      <c r="MWZ53" s="384"/>
      <c r="MXA53" s="384"/>
      <c r="MXB53" s="384"/>
      <c r="MXC53" s="384"/>
      <c r="MXD53" s="384"/>
      <c r="MXE53" s="384"/>
      <c r="MXF53" s="384"/>
      <c r="MXG53" s="384"/>
      <c r="MXH53" s="384"/>
      <c r="MXI53" s="384"/>
      <c r="MXJ53" s="384"/>
      <c r="MXK53" s="384"/>
      <c r="MXL53" s="384"/>
      <c r="MXM53" s="384"/>
      <c r="MXN53" s="384"/>
      <c r="MXO53" s="384"/>
      <c r="MXP53" s="384"/>
      <c r="MXQ53" s="384"/>
      <c r="MXR53" s="384"/>
      <c r="MXS53" s="384"/>
      <c r="MXT53" s="384"/>
      <c r="MXU53" s="384"/>
      <c r="MXV53" s="384"/>
      <c r="MXW53" s="384"/>
      <c r="MXX53" s="384"/>
      <c r="MXY53" s="384"/>
      <c r="MXZ53" s="384"/>
      <c r="MYA53" s="384"/>
      <c r="MYB53" s="384"/>
      <c r="MYC53" s="384"/>
      <c r="MYD53" s="384"/>
      <c r="MYE53" s="384"/>
      <c r="MYF53" s="384"/>
      <c r="MYG53" s="384"/>
      <c r="MYH53" s="384"/>
      <c r="MYI53" s="384"/>
      <c r="MYJ53" s="384"/>
      <c r="MYK53" s="384"/>
      <c r="MYL53" s="384"/>
      <c r="MYM53" s="384"/>
      <c r="MYN53" s="384"/>
      <c r="MYO53" s="384"/>
      <c r="MYP53" s="384"/>
      <c r="MYQ53" s="384"/>
      <c r="MYR53" s="384"/>
      <c r="MYS53" s="384"/>
      <c r="MYT53" s="384"/>
      <c r="MYU53" s="384"/>
      <c r="MYV53" s="384"/>
      <c r="MYW53" s="384"/>
      <c r="MYX53" s="384"/>
      <c r="MYY53" s="384"/>
      <c r="MYZ53" s="384"/>
      <c r="MZA53" s="384"/>
      <c r="MZB53" s="384"/>
      <c r="MZC53" s="384"/>
      <c r="MZD53" s="384"/>
      <c r="MZE53" s="384"/>
      <c r="MZF53" s="384"/>
      <c r="MZG53" s="384"/>
      <c r="MZH53" s="384"/>
      <c r="MZI53" s="384"/>
      <c r="MZJ53" s="384"/>
      <c r="MZK53" s="384"/>
      <c r="MZL53" s="384"/>
      <c r="MZM53" s="384"/>
      <c r="MZN53" s="384"/>
      <c r="MZO53" s="384"/>
      <c r="MZP53" s="384"/>
      <c r="MZQ53" s="384"/>
      <c r="MZR53" s="384"/>
      <c r="MZS53" s="384"/>
      <c r="MZT53" s="384"/>
      <c r="MZU53" s="384"/>
      <c r="MZV53" s="384"/>
      <c r="MZW53" s="384"/>
      <c r="MZX53" s="384"/>
      <c r="MZY53" s="384"/>
      <c r="MZZ53" s="384"/>
      <c r="NAA53" s="384"/>
      <c r="NAB53" s="384"/>
      <c r="NAC53" s="384"/>
      <c r="NAD53" s="384"/>
      <c r="NAE53" s="384"/>
      <c r="NAF53" s="384"/>
      <c r="NAG53" s="384"/>
      <c r="NAH53" s="384"/>
      <c r="NAI53" s="384"/>
      <c r="NAJ53" s="384"/>
      <c r="NAK53" s="384"/>
      <c r="NAL53" s="384"/>
      <c r="NAM53" s="384"/>
      <c r="NAN53" s="384"/>
      <c r="NAO53" s="384"/>
      <c r="NAP53" s="384"/>
      <c r="NAQ53" s="384"/>
      <c r="NAR53" s="384"/>
      <c r="NAS53" s="384"/>
      <c r="NAT53" s="384"/>
      <c r="NAU53" s="384"/>
      <c r="NAV53" s="384"/>
      <c r="NAW53" s="384"/>
      <c r="NAX53" s="384"/>
      <c r="NAY53" s="384"/>
      <c r="NAZ53" s="384"/>
      <c r="NBA53" s="384"/>
      <c r="NBB53" s="384"/>
      <c r="NBC53" s="384"/>
      <c r="NBD53" s="384"/>
      <c r="NBE53" s="384"/>
      <c r="NBF53" s="384"/>
      <c r="NBG53" s="384"/>
      <c r="NBH53" s="384"/>
      <c r="NBI53" s="384"/>
      <c r="NBJ53" s="384"/>
      <c r="NBK53" s="384"/>
      <c r="NBL53" s="384"/>
      <c r="NBM53" s="384"/>
      <c r="NBN53" s="384"/>
      <c r="NBO53" s="384"/>
      <c r="NBP53" s="384"/>
      <c r="NBQ53" s="384"/>
      <c r="NBR53" s="384"/>
      <c r="NBS53" s="384"/>
      <c r="NBT53" s="384"/>
      <c r="NBU53" s="384"/>
      <c r="NBV53" s="384"/>
      <c r="NBW53" s="384"/>
      <c r="NBX53" s="384"/>
      <c r="NBY53" s="384"/>
      <c r="NBZ53" s="384"/>
      <c r="NCA53" s="384"/>
      <c r="NCB53" s="384"/>
      <c r="NCC53" s="384"/>
      <c r="NCD53" s="384"/>
      <c r="NCE53" s="384"/>
      <c r="NCF53" s="384"/>
      <c r="NCG53" s="384"/>
      <c r="NCH53" s="384"/>
      <c r="NCI53" s="384"/>
      <c r="NCJ53" s="384"/>
      <c r="NCK53" s="384"/>
      <c r="NCL53" s="384"/>
      <c r="NCM53" s="384"/>
      <c r="NCN53" s="384"/>
      <c r="NCO53" s="384"/>
      <c r="NCP53" s="384"/>
      <c r="NCQ53" s="384"/>
      <c r="NCR53" s="384"/>
      <c r="NCS53" s="384"/>
      <c r="NCT53" s="384"/>
      <c r="NCU53" s="384"/>
      <c r="NCV53" s="384"/>
      <c r="NCW53" s="384"/>
      <c r="NCX53" s="384"/>
      <c r="NCY53" s="384"/>
      <c r="NCZ53" s="384"/>
      <c r="NDA53" s="384"/>
      <c r="NDB53" s="384"/>
      <c r="NDC53" s="384"/>
      <c r="NDD53" s="384"/>
      <c r="NDE53" s="384"/>
      <c r="NDF53" s="384"/>
      <c r="NDG53" s="384"/>
      <c r="NDH53" s="384"/>
      <c r="NDI53" s="384"/>
      <c r="NDJ53" s="384"/>
      <c r="NDK53" s="384"/>
      <c r="NDL53" s="384"/>
      <c r="NDM53" s="384"/>
      <c r="NDN53" s="384"/>
      <c r="NDO53" s="384"/>
      <c r="NDP53" s="384"/>
      <c r="NDQ53" s="384"/>
      <c r="NDR53" s="384"/>
      <c r="NDS53" s="384"/>
      <c r="NDT53" s="384"/>
      <c r="NDU53" s="384"/>
      <c r="NDV53" s="384"/>
      <c r="NDW53" s="384"/>
      <c r="NDX53" s="384"/>
      <c r="NDY53" s="384"/>
      <c r="NDZ53" s="384"/>
      <c r="NEA53" s="384"/>
      <c r="NEB53" s="384"/>
      <c r="NEC53" s="384"/>
      <c r="NED53" s="384"/>
      <c r="NEE53" s="384"/>
      <c r="NEF53" s="384"/>
      <c r="NEG53" s="384"/>
      <c r="NEH53" s="384"/>
      <c r="NEI53" s="384"/>
      <c r="NEJ53" s="384"/>
      <c r="NEK53" s="384"/>
      <c r="NEL53" s="384"/>
      <c r="NEM53" s="384"/>
      <c r="NEN53" s="384"/>
      <c r="NEO53" s="384"/>
      <c r="NEP53" s="384"/>
      <c r="NEQ53" s="384"/>
      <c r="NER53" s="384"/>
      <c r="NES53" s="384"/>
      <c r="NET53" s="384"/>
      <c r="NEU53" s="384"/>
      <c r="NEV53" s="384"/>
      <c r="NEW53" s="384"/>
      <c r="NEX53" s="384"/>
      <c r="NEY53" s="384"/>
      <c r="NEZ53" s="384"/>
      <c r="NFA53" s="384"/>
      <c r="NFB53" s="384"/>
      <c r="NFC53" s="384"/>
      <c r="NFD53" s="384"/>
      <c r="NFE53" s="384"/>
      <c r="NFF53" s="384"/>
      <c r="NFG53" s="384"/>
      <c r="NFH53" s="384"/>
      <c r="NFI53" s="384"/>
      <c r="NFJ53" s="384"/>
      <c r="NFK53" s="384"/>
      <c r="NFL53" s="384"/>
      <c r="NFM53" s="384"/>
      <c r="NFN53" s="384"/>
      <c r="NFO53" s="384"/>
      <c r="NFP53" s="384"/>
      <c r="NFQ53" s="384"/>
      <c r="NFR53" s="384"/>
      <c r="NFS53" s="384"/>
      <c r="NFT53" s="384"/>
      <c r="NFU53" s="384"/>
      <c r="NFV53" s="384"/>
      <c r="NFW53" s="384"/>
      <c r="NFX53" s="384"/>
      <c r="NFY53" s="384"/>
      <c r="NFZ53" s="384"/>
      <c r="NGA53" s="384"/>
      <c r="NGB53" s="384"/>
      <c r="NGC53" s="384"/>
      <c r="NGD53" s="384"/>
      <c r="NGE53" s="384"/>
      <c r="NGF53" s="384"/>
      <c r="NGG53" s="384"/>
      <c r="NGH53" s="384"/>
      <c r="NGI53" s="384"/>
      <c r="NGJ53" s="384"/>
      <c r="NGK53" s="384"/>
      <c r="NGL53" s="384"/>
      <c r="NGM53" s="384"/>
      <c r="NGN53" s="384"/>
      <c r="NGO53" s="384"/>
      <c r="NGP53" s="384"/>
      <c r="NGQ53" s="384"/>
      <c r="NGR53" s="384"/>
      <c r="NGS53" s="384"/>
      <c r="NGT53" s="384"/>
      <c r="NGU53" s="384"/>
      <c r="NGV53" s="384"/>
      <c r="NGW53" s="384"/>
      <c r="NGX53" s="384"/>
      <c r="NGY53" s="384"/>
      <c r="NGZ53" s="384"/>
      <c r="NHA53" s="384"/>
      <c r="NHB53" s="384"/>
      <c r="NHC53" s="384"/>
      <c r="NHD53" s="384"/>
      <c r="NHE53" s="384"/>
      <c r="NHF53" s="384"/>
      <c r="NHG53" s="384"/>
      <c r="NHH53" s="384"/>
      <c r="NHI53" s="384"/>
      <c r="NHJ53" s="384"/>
      <c r="NHK53" s="384"/>
      <c r="NHL53" s="384"/>
      <c r="NHM53" s="384"/>
      <c r="NHN53" s="384"/>
      <c r="NHO53" s="384"/>
      <c r="NHP53" s="384"/>
      <c r="NHQ53" s="384"/>
      <c r="NHR53" s="384"/>
      <c r="NHS53" s="384"/>
      <c r="NHT53" s="384"/>
      <c r="NHU53" s="384"/>
      <c r="NHV53" s="384"/>
      <c r="NHW53" s="384"/>
      <c r="NHX53" s="384"/>
      <c r="NHY53" s="384"/>
      <c r="NHZ53" s="384"/>
      <c r="NIA53" s="384"/>
      <c r="NIB53" s="384"/>
      <c r="NIC53" s="384"/>
      <c r="NID53" s="384"/>
      <c r="NIE53" s="384"/>
      <c r="NIF53" s="384"/>
      <c r="NIG53" s="384"/>
      <c r="NIH53" s="384"/>
      <c r="NII53" s="384"/>
      <c r="NIJ53" s="384"/>
      <c r="NIK53" s="384"/>
      <c r="NIL53" s="384"/>
      <c r="NIM53" s="384"/>
      <c r="NIN53" s="384"/>
      <c r="NIO53" s="384"/>
      <c r="NIP53" s="384"/>
      <c r="NIQ53" s="384"/>
      <c r="NIR53" s="384"/>
      <c r="NIS53" s="384"/>
      <c r="NIT53" s="384"/>
      <c r="NIU53" s="384"/>
      <c r="NIV53" s="384"/>
      <c r="NIW53" s="384"/>
      <c r="NIX53" s="384"/>
      <c r="NIY53" s="384"/>
      <c r="NIZ53" s="384"/>
      <c r="NJA53" s="384"/>
      <c r="NJB53" s="384"/>
      <c r="NJC53" s="384"/>
      <c r="NJD53" s="384"/>
      <c r="NJE53" s="384"/>
      <c r="NJF53" s="384"/>
      <c r="NJG53" s="384"/>
      <c r="NJH53" s="384"/>
      <c r="NJI53" s="384"/>
      <c r="NJJ53" s="384"/>
      <c r="NJK53" s="384"/>
      <c r="NJL53" s="384"/>
      <c r="NJM53" s="384"/>
      <c r="NJN53" s="384"/>
      <c r="NJO53" s="384"/>
      <c r="NJP53" s="384"/>
      <c r="NJQ53" s="384"/>
      <c r="NJR53" s="384"/>
      <c r="NJS53" s="384"/>
      <c r="NJT53" s="384"/>
      <c r="NJU53" s="384"/>
      <c r="NJV53" s="384"/>
      <c r="NJW53" s="384"/>
      <c r="NJX53" s="384"/>
      <c r="NJY53" s="384"/>
      <c r="NJZ53" s="384"/>
      <c r="NKA53" s="384"/>
      <c r="NKB53" s="384"/>
      <c r="NKC53" s="384"/>
      <c r="NKD53" s="384"/>
      <c r="NKE53" s="384"/>
      <c r="NKF53" s="384"/>
      <c r="NKG53" s="384"/>
      <c r="NKH53" s="384"/>
      <c r="NKI53" s="384"/>
      <c r="NKJ53" s="384"/>
      <c r="NKK53" s="384"/>
      <c r="NKL53" s="384"/>
      <c r="NKM53" s="384"/>
      <c r="NKN53" s="384"/>
      <c r="NKO53" s="384"/>
      <c r="NKP53" s="384"/>
      <c r="NKQ53" s="384"/>
      <c r="NKR53" s="384"/>
      <c r="NKS53" s="384"/>
      <c r="NKT53" s="384"/>
      <c r="NKU53" s="384"/>
      <c r="NKV53" s="384"/>
      <c r="NKW53" s="384"/>
      <c r="NKX53" s="384"/>
      <c r="NKY53" s="384"/>
      <c r="NKZ53" s="384"/>
      <c r="NLA53" s="384"/>
      <c r="NLB53" s="384"/>
      <c r="NLC53" s="384"/>
      <c r="NLD53" s="384"/>
      <c r="NLE53" s="384"/>
      <c r="NLF53" s="384"/>
      <c r="NLG53" s="384"/>
      <c r="NLH53" s="384"/>
      <c r="NLI53" s="384"/>
      <c r="NLJ53" s="384"/>
      <c r="NLK53" s="384"/>
      <c r="NLL53" s="384"/>
      <c r="NLM53" s="384"/>
      <c r="NLN53" s="384"/>
      <c r="NLO53" s="384"/>
      <c r="NLP53" s="384"/>
      <c r="NLQ53" s="384"/>
      <c r="NLR53" s="384"/>
      <c r="NLS53" s="384"/>
      <c r="NLT53" s="384"/>
      <c r="NLU53" s="384"/>
      <c r="NLV53" s="384"/>
      <c r="NLW53" s="384"/>
      <c r="NLX53" s="384"/>
      <c r="NLY53" s="384"/>
      <c r="NLZ53" s="384"/>
      <c r="NMA53" s="384"/>
      <c r="NMB53" s="384"/>
      <c r="NMC53" s="384"/>
      <c r="NMD53" s="384"/>
      <c r="NME53" s="384"/>
      <c r="NMF53" s="384"/>
      <c r="NMG53" s="384"/>
      <c r="NMH53" s="384"/>
      <c r="NMI53" s="384"/>
      <c r="NMJ53" s="384"/>
      <c r="NMK53" s="384"/>
      <c r="NML53" s="384"/>
      <c r="NMM53" s="384"/>
      <c r="NMN53" s="384"/>
      <c r="NMO53" s="384"/>
      <c r="NMP53" s="384"/>
      <c r="NMQ53" s="384"/>
      <c r="NMR53" s="384"/>
      <c r="NMS53" s="384"/>
      <c r="NMT53" s="384"/>
      <c r="NMU53" s="384"/>
      <c r="NMV53" s="384"/>
      <c r="NMW53" s="384"/>
      <c r="NMX53" s="384"/>
      <c r="NMY53" s="384"/>
      <c r="NMZ53" s="384"/>
      <c r="NNA53" s="384"/>
      <c r="NNB53" s="384"/>
      <c r="NNC53" s="384"/>
      <c r="NND53" s="384"/>
      <c r="NNE53" s="384"/>
      <c r="NNF53" s="384"/>
      <c r="NNG53" s="384"/>
      <c r="NNH53" s="384"/>
      <c r="NNI53" s="384"/>
      <c r="NNJ53" s="384"/>
      <c r="NNK53" s="384"/>
      <c r="NNL53" s="384"/>
      <c r="NNM53" s="384"/>
      <c r="NNN53" s="384"/>
      <c r="NNO53" s="384"/>
      <c r="NNP53" s="384"/>
      <c r="NNQ53" s="384"/>
      <c r="NNR53" s="384"/>
      <c r="NNS53" s="384"/>
      <c r="NNT53" s="384"/>
      <c r="NNU53" s="384"/>
      <c r="NNV53" s="384"/>
      <c r="NNW53" s="384"/>
      <c r="NNX53" s="384"/>
      <c r="NNY53" s="384"/>
      <c r="NNZ53" s="384"/>
      <c r="NOA53" s="384"/>
      <c r="NOB53" s="384"/>
      <c r="NOC53" s="384"/>
      <c r="NOD53" s="384"/>
      <c r="NOE53" s="384"/>
      <c r="NOF53" s="384"/>
      <c r="NOG53" s="384"/>
      <c r="NOH53" s="384"/>
      <c r="NOI53" s="384"/>
      <c r="NOJ53" s="384"/>
      <c r="NOK53" s="384"/>
      <c r="NOL53" s="384"/>
      <c r="NOM53" s="384"/>
      <c r="NON53" s="384"/>
      <c r="NOO53" s="384"/>
      <c r="NOP53" s="384"/>
      <c r="NOQ53" s="384"/>
      <c r="NOR53" s="384"/>
      <c r="NOS53" s="384"/>
      <c r="NOT53" s="384"/>
      <c r="NOU53" s="384"/>
      <c r="NOV53" s="384"/>
      <c r="NOW53" s="384"/>
      <c r="NOX53" s="384"/>
      <c r="NOY53" s="384"/>
      <c r="NOZ53" s="384"/>
      <c r="NPA53" s="384"/>
      <c r="NPB53" s="384"/>
      <c r="NPC53" s="384"/>
      <c r="NPD53" s="384"/>
      <c r="NPE53" s="384"/>
      <c r="NPF53" s="384"/>
      <c r="NPG53" s="384"/>
      <c r="NPH53" s="384"/>
      <c r="NPI53" s="384"/>
      <c r="NPJ53" s="384"/>
      <c r="NPK53" s="384"/>
      <c r="NPL53" s="384"/>
      <c r="NPM53" s="384"/>
      <c r="NPN53" s="384"/>
      <c r="NPO53" s="384"/>
      <c r="NPP53" s="384"/>
      <c r="NPQ53" s="384"/>
      <c r="NPR53" s="384"/>
      <c r="NPS53" s="384"/>
      <c r="NPT53" s="384"/>
      <c r="NPU53" s="384"/>
      <c r="NPV53" s="384"/>
      <c r="NPW53" s="384"/>
      <c r="NPX53" s="384"/>
      <c r="NPY53" s="384"/>
      <c r="NPZ53" s="384"/>
      <c r="NQA53" s="384"/>
      <c r="NQB53" s="384"/>
      <c r="NQC53" s="384"/>
      <c r="NQD53" s="384"/>
      <c r="NQE53" s="384"/>
      <c r="NQF53" s="384"/>
      <c r="NQG53" s="384"/>
      <c r="NQH53" s="384"/>
      <c r="NQI53" s="384"/>
      <c r="NQJ53" s="384"/>
      <c r="NQK53" s="384"/>
      <c r="NQL53" s="384"/>
      <c r="NQM53" s="384"/>
      <c r="NQN53" s="384"/>
      <c r="NQO53" s="384"/>
      <c r="NQP53" s="384"/>
      <c r="NQQ53" s="384"/>
      <c r="NQR53" s="384"/>
      <c r="NQS53" s="384"/>
      <c r="NQT53" s="384"/>
      <c r="NQU53" s="384"/>
      <c r="NQV53" s="384"/>
      <c r="NQW53" s="384"/>
      <c r="NQX53" s="384"/>
      <c r="NQY53" s="384"/>
      <c r="NQZ53" s="384"/>
      <c r="NRA53" s="384"/>
      <c r="NRB53" s="384"/>
      <c r="NRC53" s="384"/>
      <c r="NRD53" s="384"/>
      <c r="NRE53" s="384"/>
      <c r="NRF53" s="384"/>
      <c r="NRG53" s="384"/>
      <c r="NRH53" s="384"/>
      <c r="NRI53" s="384"/>
      <c r="NRJ53" s="384"/>
      <c r="NRK53" s="384"/>
      <c r="NRL53" s="384"/>
      <c r="NRM53" s="384"/>
      <c r="NRN53" s="384"/>
      <c r="NRO53" s="384"/>
      <c r="NRP53" s="384"/>
      <c r="NRQ53" s="384"/>
      <c r="NRR53" s="384"/>
      <c r="NRS53" s="384"/>
      <c r="NRT53" s="384"/>
      <c r="NRU53" s="384"/>
      <c r="NRV53" s="384"/>
      <c r="NRW53" s="384"/>
      <c r="NRX53" s="384"/>
      <c r="NRY53" s="384"/>
      <c r="NRZ53" s="384"/>
      <c r="NSA53" s="384"/>
      <c r="NSB53" s="384"/>
      <c r="NSC53" s="384"/>
      <c r="NSD53" s="384"/>
      <c r="NSE53" s="384"/>
      <c r="NSF53" s="384"/>
      <c r="NSG53" s="384"/>
      <c r="NSH53" s="384"/>
      <c r="NSI53" s="384"/>
      <c r="NSJ53" s="384"/>
      <c r="NSK53" s="384"/>
      <c r="NSL53" s="384"/>
      <c r="NSM53" s="384"/>
      <c r="NSN53" s="384"/>
      <c r="NSO53" s="384"/>
      <c r="NSP53" s="384"/>
      <c r="NSQ53" s="384"/>
      <c r="NSR53" s="384"/>
      <c r="NSS53" s="384"/>
      <c r="NST53" s="384"/>
      <c r="NSU53" s="384"/>
      <c r="NSV53" s="384"/>
      <c r="NSW53" s="384"/>
      <c r="NSX53" s="384"/>
      <c r="NSY53" s="384"/>
      <c r="NSZ53" s="384"/>
      <c r="NTA53" s="384"/>
      <c r="NTB53" s="384"/>
      <c r="NTC53" s="384"/>
      <c r="NTD53" s="384"/>
      <c r="NTE53" s="384"/>
      <c r="NTF53" s="384"/>
      <c r="NTG53" s="384"/>
      <c r="NTH53" s="384"/>
      <c r="NTI53" s="384"/>
      <c r="NTJ53" s="384"/>
      <c r="NTK53" s="384"/>
      <c r="NTL53" s="384"/>
      <c r="NTM53" s="384"/>
      <c r="NTN53" s="384"/>
      <c r="NTO53" s="384"/>
      <c r="NTP53" s="384"/>
      <c r="NTQ53" s="384"/>
      <c r="NTR53" s="384"/>
      <c r="NTS53" s="384"/>
      <c r="NTT53" s="384"/>
      <c r="NTU53" s="384"/>
      <c r="NTV53" s="384"/>
      <c r="NTW53" s="384"/>
      <c r="NTX53" s="384"/>
      <c r="NTY53" s="384"/>
      <c r="NTZ53" s="384"/>
      <c r="NUA53" s="384"/>
      <c r="NUB53" s="384"/>
      <c r="NUC53" s="384"/>
      <c r="NUD53" s="384"/>
      <c r="NUE53" s="384"/>
      <c r="NUF53" s="384"/>
      <c r="NUG53" s="384"/>
      <c r="NUH53" s="384"/>
      <c r="NUI53" s="384"/>
      <c r="NUJ53" s="384"/>
      <c r="NUK53" s="384"/>
      <c r="NUL53" s="384"/>
      <c r="NUM53" s="384"/>
      <c r="NUN53" s="384"/>
      <c r="NUO53" s="384"/>
      <c r="NUP53" s="384"/>
      <c r="NUQ53" s="384"/>
      <c r="NUR53" s="384"/>
      <c r="NUS53" s="384"/>
      <c r="NUT53" s="384"/>
      <c r="NUU53" s="384"/>
      <c r="NUV53" s="384"/>
      <c r="NUW53" s="384"/>
      <c r="NUX53" s="384"/>
      <c r="NUY53" s="384"/>
      <c r="NUZ53" s="384"/>
      <c r="NVA53" s="384"/>
      <c r="NVB53" s="384"/>
      <c r="NVC53" s="384"/>
      <c r="NVD53" s="384"/>
      <c r="NVE53" s="384"/>
      <c r="NVF53" s="384"/>
      <c r="NVG53" s="384"/>
      <c r="NVH53" s="384"/>
      <c r="NVI53" s="384"/>
      <c r="NVJ53" s="384"/>
      <c r="NVK53" s="384"/>
      <c r="NVL53" s="384"/>
      <c r="NVM53" s="384"/>
      <c r="NVN53" s="384"/>
      <c r="NVO53" s="384"/>
      <c r="NVP53" s="384"/>
      <c r="NVQ53" s="384"/>
      <c r="NVR53" s="384"/>
      <c r="NVS53" s="384"/>
      <c r="NVT53" s="384"/>
      <c r="NVU53" s="384"/>
      <c r="NVV53" s="384"/>
      <c r="NVW53" s="384"/>
      <c r="NVX53" s="384"/>
      <c r="NVY53" s="384"/>
      <c r="NVZ53" s="384"/>
      <c r="NWA53" s="384"/>
      <c r="NWB53" s="384"/>
      <c r="NWC53" s="384"/>
      <c r="NWD53" s="384"/>
      <c r="NWE53" s="384"/>
      <c r="NWF53" s="384"/>
      <c r="NWG53" s="384"/>
      <c r="NWH53" s="384"/>
      <c r="NWI53" s="384"/>
      <c r="NWJ53" s="384"/>
      <c r="NWK53" s="384"/>
      <c r="NWL53" s="384"/>
      <c r="NWM53" s="384"/>
      <c r="NWN53" s="384"/>
      <c r="NWO53" s="384"/>
      <c r="NWP53" s="384"/>
      <c r="NWQ53" s="384"/>
      <c r="NWR53" s="384"/>
      <c r="NWS53" s="384"/>
      <c r="NWT53" s="384"/>
      <c r="NWU53" s="384"/>
      <c r="NWV53" s="384"/>
      <c r="NWW53" s="384"/>
      <c r="NWX53" s="384"/>
      <c r="NWY53" s="384"/>
      <c r="NWZ53" s="384"/>
      <c r="NXA53" s="384"/>
      <c r="NXB53" s="384"/>
      <c r="NXC53" s="384"/>
      <c r="NXD53" s="384"/>
      <c r="NXE53" s="384"/>
      <c r="NXF53" s="384"/>
      <c r="NXG53" s="384"/>
      <c r="NXH53" s="384"/>
      <c r="NXI53" s="384"/>
      <c r="NXJ53" s="384"/>
      <c r="NXK53" s="384"/>
      <c r="NXL53" s="384"/>
      <c r="NXM53" s="384"/>
      <c r="NXN53" s="384"/>
      <c r="NXO53" s="384"/>
      <c r="NXP53" s="384"/>
      <c r="NXQ53" s="384"/>
      <c r="NXR53" s="384"/>
      <c r="NXS53" s="384"/>
      <c r="NXT53" s="384"/>
      <c r="NXU53" s="384"/>
      <c r="NXV53" s="384"/>
      <c r="NXW53" s="384"/>
      <c r="NXX53" s="384"/>
      <c r="NXY53" s="384"/>
      <c r="NXZ53" s="384"/>
      <c r="NYA53" s="384"/>
      <c r="NYB53" s="384"/>
      <c r="NYC53" s="384"/>
      <c r="NYD53" s="384"/>
      <c r="NYE53" s="384"/>
      <c r="NYF53" s="384"/>
      <c r="NYG53" s="384"/>
      <c r="NYH53" s="384"/>
      <c r="NYI53" s="384"/>
      <c r="NYJ53" s="384"/>
      <c r="NYK53" s="384"/>
      <c r="NYL53" s="384"/>
      <c r="NYM53" s="384"/>
      <c r="NYN53" s="384"/>
      <c r="NYO53" s="384"/>
      <c r="NYP53" s="384"/>
      <c r="NYQ53" s="384"/>
      <c r="NYR53" s="384"/>
      <c r="NYS53" s="384"/>
      <c r="NYT53" s="384"/>
      <c r="NYU53" s="384"/>
      <c r="NYV53" s="384"/>
      <c r="NYW53" s="384"/>
      <c r="NYX53" s="384"/>
      <c r="NYY53" s="384"/>
      <c r="NYZ53" s="384"/>
      <c r="NZA53" s="384"/>
      <c r="NZB53" s="384"/>
      <c r="NZC53" s="384"/>
      <c r="NZD53" s="384"/>
      <c r="NZE53" s="384"/>
      <c r="NZF53" s="384"/>
      <c r="NZG53" s="384"/>
      <c r="NZH53" s="384"/>
      <c r="NZI53" s="384"/>
      <c r="NZJ53" s="384"/>
      <c r="NZK53" s="384"/>
      <c r="NZL53" s="384"/>
      <c r="NZM53" s="384"/>
      <c r="NZN53" s="384"/>
      <c r="NZO53" s="384"/>
      <c r="NZP53" s="384"/>
      <c r="NZQ53" s="384"/>
      <c r="NZR53" s="384"/>
      <c r="NZS53" s="384"/>
      <c r="NZT53" s="384"/>
      <c r="NZU53" s="384"/>
      <c r="NZV53" s="384"/>
      <c r="NZW53" s="384"/>
      <c r="NZX53" s="384"/>
      <c r="NZY53" s="384"/>
      <c r="NZZ53" s="384"/>
      <c r="OAA53" s="384"/>
      <c r="OAB53" s="384"/>
      <c r="OAC53" s="384"/>
      <c r="OAD53" s="384"/>
      <c r="OAE53" s="384"/>
      <c r="OAF53" s="384"/>
      <c r="OAG53" s="384"/>
      <c r="OAH53" s="384"/>
      <c r="OAI53" s="384"/>
      <c r="OAJ53" s="384"/>
      <c r="OAK53" s="384"/>
      <c r="OAL53" s="384"/>
      <c r="OAM53" s="384"/>
      <c r="OAN53" s="384"/>
      <c r="OAO53" s="384"/>
      <c r="OAP53" s="384"/>
      <c r="OAQ53" s="384"/>
      <c r="OAR53" s="384"/>
      <c r="OAS53" s="384"/>
      <c r="OAT53" s="384"/>
      <c r="OAU53" s="384"/>
      <c r="OAV53" s="384"/>
      <c r="OAW53" s="384"/>
      <c r="OAX53" s="384"/>
      <c r="OAY53" s="384"/>
      <c r="OAZ53" s="384"/>
      <c r="OBA53" s="384"/>
      <c r="OBB53" s="384"/>
      <c r="OBC53" s="384"/>
      <c r="OBD53" s="384"/>
      <c r="OBE53" s="384"/>
      <c r="OBF53" s="384"/>
      <c r="OBG53" s="384"/>
      <c r="OBH53" s="384"/>
      <c r="OBI53" s="384"/>
      <c r="OBJ53" s="384"/>
      <c r="OBK53" s="384"/>
      <c r="OBL53" s="384"/>
      <c r="OBM53" s="384"/>
      <c r="OBN53" s="384"/>
      <c r="OBO53" s="384"/>
      <c r="OBP53" s="384"/>
      <c r="OBQ53" s="384"/>
      <c r="OBR53" s="384"/>
      <c r="OBS53" s="384"/>
      <c r="OBT53" s="384"/>
      <c r="OBU53" s="384"/>
      <c r="OBV53" s="384"/>
      <c r="OBW53" s="384"/>
      <c r="OBX53" s="384"/>
      <c r="OBY53" s="384"/>
      <c r="OBZ53" s="384"/>
      <c r="OCA53" s="384"/>
      <c r="OCB53" s="384"/>
      <c r="OCC53" s="384"/>
      <c r="OCD53" s="384"/>
      <c r="OCE53" s="384"/>
      <c r="OCF53" s="384"/>
      <c r="OCG53" s="384"/>
      <c r="OCH53" s="384"/>
      <c r="OCI53" s="384"/>
      <c r="OCJ53" s="384"/>
      <c r="OCK53" s="384"/>
      <c r="OCL53" s="384"/>
      <c r="OCM53" s="384"/>
      <c r="OCN53" s="384"/>
      <c r="OCO53" s="384"/>
      <c r="OCP53" s="384"/>
      <c r="OCQ53" s="384"/>
      <c r="OCR53" s="384"/>
      <c r="OCS53" s="384"/>
      <c r="OCT53" s="384"/>
      <c r="OCU53" s="384"/>
      <c r="OCV53" s="384"/>
      <c r="OCW53" s="384"/>
      <c r="OCX53" s="384"/>
      <c r="OCY53" s="384"/>
      <c r="OCZ53" s="384"/>
      <c r="ODA53" s="384"/>
      <c r="ODB53" s="384"/>
      <c r="ODC53" s="384"/>
      <c r="ODD53" s="384"/>
      <c r="ODE53" s="384"/>
      <c r="ODF53" s="384"/>
      <c r="ODG53" s="384"/>
      <c r="ODH53" s="384"/>
      <c r="ODI53" s="384"/>
      <c r="ODJ53" s="384"/>
      <c r="ODK53" s="384"/>
      <c r="ODL53" s="384"/>
      <c r="ODM53" s="384"/>
      <c r="ODN53" s="384"/>
      <c r="ODO53" s="384"/>
      <c r="ODP53" s="384"/>
      <c r="ODQ53" s="384"/>
      <c r="ODR53" s="384"/>
      <c r="ODS53" s="384"/>
      <c r="ODT53" s="384"/>
      <c r="ODU53" s="384"/>
      <c r="ODV53" s="384"/>
      <c r="ODW53" s="384"/>
      <c r="ODX53" s="384"/>
      <c r="ODY53" s="384"/>
      <c r="ODZ53" s="384"/>
      <c r="OEA53" s="384"/>
      <c r="OEB53" s="384"/>
      <c r="OEC53" s="384"/>
      <c r="OED53" s="384"/>
      <c r="OEE53" s="384"/>
      <c r="OEF53" s="384"/>
      <c r="OEG53" s="384"/>
      <c r="OEH53" s="384"/>
      <c r="OEI53" s="384"/>
      <c r="OEJ53" s="384"/>
      <c r="OEK53" s="384"/>
      <c r="OEL53" s="384"/>
      <c r="OEM53" s="384"/>
      <c r="OEN53" s="384"/>
      <c r="OEO53" s="384"/>
      <c r="OEP53" s="384"/>
      <c r="OEQ53" s="384"/>
      <c r="OER53" s="384"/>
      <c r="OES53" s="384"/>
      <c r="OET53" s="384"/>
      <c r="OEU53" s="384"/>
      <c r="OEV53" s="384"/>
      <c r="OEW53" s="384"/>
      <c r="OEX53" s="384"/>
      <c r="OEY53" s="384"/>
      <c r="OEZ53" s="384"/>
      <c r="OFA53" s="384"/>
      <c r="OFB53" s="384"/>
      <c r="OFC53" s="384"/>
      <c r="OFD53" s="384"/>
      <c r="OFE53" s="384"/>
      <c r="OFF53" s="384"/>
      <c r="OFG53" s="384"/>
      <c r="OFH53" s="384"/>
      <c r="OFI53" s="384"/>
      <c r="OFJ53" s="384"/>
      <c r="OFK53" s="384"/>
      <c r="OFL53" s="384"/>
      <c r="OFM53" s="384"/>
      <c r="OFN53" s="384"/>
      <c r="OFO53" s="384"/>
      <c r="OFP53" s="384"/>
      <c r="OFQ53" s="384"/>
      <c r="OFR53" s="384"/>
      <c r="OFS53" s="384"/>
      <c r="OFT53" s="384"/>
      <c r="OFU53" s="384"/>
      <c r="OFV53" s="384"/>
      <c r="OFW53" s="384"/>
      <c r="OFX53" s="384"/>
      <c r="OFY53" s="384"/>
      <c r="OFZ53" s="384"/>
      <c r="OGA53" s="384"/>
      <c r="OGB53" s="384"/>
      <c r="OGC53" s="384"/>
      <c r="OGD53" s="384"/>
      <c r="OGE53" s="384"/>
      <c r="OGF53" s="384"/>
      <c r="OGG53" s="384"/>
      <c r="OGH53" s="384"/>
      <c r="OGI53" s="384"/>
      <c r="OGJ53" s="384"/>
      <c r="OGK53" s="384"/>
      <c r="OGL53" s="384"/>
      <c r="OGM53" s="384"/>
      <c r="OGN53" s="384"/>
      <c r="OGO53" s="384"/>
      <c r="OGP53" s="384"/>
      <c r="OGQ53" s="384"/>
      <c r="OGR53" s="384"/>
      <c r="OGS53" s="384"/>
      <c r="OGT53" s="384"/>
      <c r="OGU53" s="384"/>
      <c r="OGV53" s="384"/>
      <c r="OGW53" s="384"/>
      <c r="OGX53" s="384"/>
      <c r="OGY53" s="384"/>
      <c r="OGZ53" s="384"/>
      <c r="OHA53" s="384"/>
      <c r="OHB53" s="384"/>
      <c r="OHC53" s="384"/>
      <c r="OHD53" s="384"/>
      <c r="OHE53" s="384"/>
      <c r="OHF53" s="384"/>
      <c r="OHG53" s="384"/>
      <c r="OHH53" s="384"/>
      <c r="OHI53" s="384"/>
      <c r="OHJ53" s="384"/>
      <c r="OHK53" s="384"/>
      <c r="OHL53" s="384"/>
      <c r="OHM53" s="384"/>
      <c r="OHN53" s="384"/>
      <c r="OHO53" s="384"/>
      <c r="OHP53" s="384"/>
      <c r="OHQ53" s="384"/>
      <c r="OHR53" s="384"/>
      <c r="OHS53" s="384"/>
      <c r="OHT53" s="384"/>
      <c r="OHU53" s="384"/>
      <c r="OHV53" s="384"/>
      <c r="OHW53" s="384"/>
      <c r="OHX53" s="384"/>
      <c r="OHY53" s="384"/>
      <c r="OHZ53" s="384"/>
      <c r="OIA53" s="384"/>
      <c r="OIB53" s="384"/>
      <c r="OIC53" s="384"/>
      <c r="OID53" s="384"/>
      <c r="OIE53" s="384"/>
      <c r="OIF53" s="384"/>
      <c r="OIG53" s="384"/>
      <c r="OIH53" s="384"/>
      <c r="OII53" s="384"/>
      <c r="OIJ53" s="384"/>
      <c r="OIK53" s="384"/>
      <c r="OIL53" s="384"/>
      <c r="OIM53" s="384"/>
      <c r="OIN53" s="384"/>
      <c r="OIO53" s="384"/>
      <c r="OIP53" s="384"/>
      <c r="OIQ53" s="384"/>
      <c r="OIR53" s="384"/>
      <c r="OIS53" s="384"/>
      <c r="OIT53" s="384"/>
      <c r="OIU53" s="384"/>
      <c r="OIV53" s="384"/>
      <c r="OIW53" s="384"/>
      <c r="OIX53" s="384"/>
      <c r="OIY53" s="384"/>
      <c r="OIZ53" s="384"/>
      <c r="OJA53" s="384"/>
      <c r="OJB53" s="384"/>
      <c r="OJC53" s="384"/>
      <c r="OJD53" s="384"/>
      <c r="OJE53" s="384"/>
      <c r="OJF53" s="384"/>
      <c r="OJG53" s="384"/>
      <c r="OJH53" s="384"/>
      <c r="OJI53" s="384"/>
      <c r="OJJ53" s="384"/>
      <c r="OJK53" s="384"/>
      <c r="OJL53" s="384"/>
      <c r="OJM53" s="384"/>
      <c r="OJN53" s="384"/>
      <c r="OJO53" s="384"/>
      <c r="OJP53" s="384"/>
      <c r="OJQ53" s="384"/>
      <c r="OJR53" s="384"/>
      <c r="OJS53" s="384"/>
      <c r="OJT53" s="384"/>
      <c r="OJU53" s="384"/>
      <c r="OJV53" s="384"/>
      <c r="OJW53" s="384"/>
      <c r="OJX53" s="384"/>
      <c r="OJY53" s="384"/>
      <c r="OJZ53" s="384"/>
      <c r="OKA53" s="384"/>
      <c r="OKB53" s="384"/>
      <c r="OKC53" s="384"/>
      <c r="OKD53" s="384"/>
      <c r="OKE53" s="384"/>
      <c r="OKF53" s="384"/>
      <c r="OKG53" s="384"/>
      <c r="OKH53" s="384"/>
      <c r="OKI53" s="384"/>
      <c r="OKJ53" s="384"/>
      <c r="OKK53" s="384"/>
      <c r="OKL53" s="384"/>
      <c r="OKM53" s="384"/>
      <c r="OKN53" s="384"/>
      <c r="OKO53" s="384"/>
      <c r="OKP53" s="384"/>
      <c r="OKQ53" s="384"/>
      <c r="OKR53" s="384"/>
      <c r="OKS53" s="384"/>
      <c r="OKT53" s="384"/>
      <c r="OKU53" s="384"/>
      <c r="OKV53" s="384"/>
      <c r="OKW53" s="384"/>
      <c r="OKX53" s="384"/>
      <c r="OKY53" s="384"/>
      <c r="OKZ53" s="384"/>
      <c r="OLA53" s="384"/>
      <c r="OLB53" s="384"/>
      <c r="OLC53" s="384"/>
      <c r="OLD53" s="384"/>
      <c r="OLE53" s="384"/>
      <c r="OLF53" s="384"/>
      <c r="OLG53" s="384"/>
      <c r="OLH53" s="384"/>
      <c r="OLI53" s="384"/>
      <c r="OLJ53" s="384"/>
      <c r="OLK53" s="384"/>
      <c r="OLL53" s="384"/>
      <c r="OLM53" s="384"/>
      <c r="OLN53" s="384"/>
      <c r="OLO53" s="384"/>
      <c r="OLP53" s="384"/>
      <c r="OLQ53" s="384"/>
      <c r="OLR53" s="384"/>
      <c r="OLS53" s="384"/>
      <c r="OLT53" s="384"/>
      <c r="OLU53" s="384"/>
      <c r="OLV53" s="384"/>
      <c r="OLW53" s="384"/>
      <c r="OLX53" s="384"/>
      <c r="OLY53" s="384"/>
      <c r="OLZ53" s="384"/>
      <c r="OMA53" s="384"/>
      <c r="OMB53" s="384"/>
      <c r="OMC53" s="384"/>
      <c r="OMD53" s="384"/>
      <c r="OME53" s="384"/>
      <c r="OMF53" s="384"/>
      <c r="OMG53" s="384"/>
      <c r="OMH53" s="384"/>
      <c r="OMI53" s="384"/>
      <c r="OMJ53" s="384"/>
      <c r="OMK53" s="384"/>
      <c r="OML53" s="384"/>
      <c r="OMM53" s="384"/>
      <c r="OMN53" s="384"/>
      <c r="OMO53" s="384"/>
      <c r="OMP53" s="384"/>
      <c r="OMQ53" s="384"/>
      <c r="OMR53" s="384"/>
      <c r="OMS53" s="384"/>
      <c r="OMT53" s="384"/>
      <c r="OMU53" s="384"/>
      <c r="OMV53" s="384"/>
      <c r="OMW53" s="384"/>
      <c r="OMX53" s="384"/>
      <c r="OMY53" s="384"/>
      <c r="OMZ53" s="384"/>
      <c r="ONA53" s="384"/>
      <c r="ONB53" s="384"/>
      <c r="ONC53" s="384"/>
      <c r="OND53" s="384"/>
      <c r="ONE53" s="384"/>
      <c r="ONF53" s="384"/>
      <c r="ONG53" s="384"/>
      <c r="ONH53" s="384"/>
      <c r="ONI53" s="384"/>
      <c r="ONJ53" s="384"/>
      <c r="ONK53" s="384"/>
      <c r="ONL53" s="384"/>
      <c r="ONM53" s="384"/>
      <c r="ONN53" s="384"/>
      <c r="ONO53" s="384"/>
      <c r="ONP53" s="384"/>
      <c r="ONQ53" s="384"/>
      <c r="ONR53" s="384"/>
      <c r="ONS53" s="384"/>
      <c r="ONT53" s="384"/>
      <c r="ONU53" s="384"/>
      <c r="ONV53" s="384"/>
      <c r="ONW53" s="384"/>
      <c r="ONX53" s="384"/>
      <c r="ONY53" s="384"/>
      <c r="ONZ53" s="384"/>
      <c r="OOA53" s="384"/>
      <c r="OOB53" s="384"/>
      <c r="OOC53" s="384"/>
      <c r="OOD53" s="384"/>
      <c r="OOE53" s="384"/>
      <c r="OOF53" s="384"/>
      <c r="OOG53" s="384"/>
      <c r="OOH53" s="384"/>
      <c r="OOI53" s="384"/>
      <c r="OOJ53" s="384"/>
      <c r="OOK53" s="384"/>
      <c r="OOL53" s="384"/>
      <c r="OOM53" s="384"/>
      <c r="OON53" s="384"/>
      <c r="OOO53" s="384"/>
      <c r="OOP53" s="384"/>
      <c r="OOQ53" s="384"/>
      <c r="OOR53" s="384"/>
      <c r="OOS53" s="384"/>
      <c r="OOT53" s="384"/>
      <c r="OOU53" s="384"/>
      <c r="OOV53" s="384"/>
      <c r="OOW53" s="384"/>
      <c r="OOX53" s="384"/>
      <c r="OOY53" s="384"/>
      <c r="OOZ53" s="384"/>
      <c r="OPA53" s="384"/>
      <c r="OPB53" s="384"/>
      <c r="OPC53" s="384"/>
      <c r="OPD53" s="384"/>
      <c r="OPE53" s="384"/>
      <c r="OPF53" s="384"/>
      <c r="OPG53" s="384"/>
      <c r="OPH53" s="384"/>
      <c r="OPI53" s="384"/>
      <c r="OPJ53" s="384"/>
      <c r="OPK53" s="384"/>
      <c r="OPL53" s="384"/>
      <c r="OPM53" s="384"/>
      <c r="OPN53" s="384"/>
      <c r="OPO53" s="384"/>
      <c r="OPP53" s="384"/>
      <c r="OPQ53" s="384"/>
      <c r="OPR53" s="384"/>
      <c r="OPS53" s="384"/>
      <c r="OPT53" s="384"/>
      <c r="OPU53" s="384"/>
      <c r="OPV53" s="384"/>
      <c r="OPW53" s="384"/>
      <c r="OPX53" s="384"/>
      <c r="OPY53" s="384"/>
      <c r="OPZ53" s="384"/>
      <c r="OQA53" s="384"/>
      <c r="OQB53" s="384"/>
      <c r="OQC53" s="384"/>
      <c r="OQD53" s="384"/>
      <c r="OQE53" s="384"/>
      <c r="OQF53" s="384"/>
      <c r="OQG53" s="384"/>
      <c r="OQH53" s="384"/>
      <c r="OQI53" s="384"/>
      <c r="OQJ53" s="384"/>
      <c r="OQK53" s="384"/>
      <c r="OQL53" s="384"/>
      <c r="OQM53" s="384"/>
      <c r="OQN53" s="384"/>
      <c r="OQO53" s="384"/>
      <c r="OQP53" s="384"/>
      <c r="OQQ53" s="384"/>
      <c r="OQR53" s="384"/>
      <c r="OQS53" s="384"/>
      <c r="OQT53" s="384"/>
      <c r="OQU53" s="384"/>
      <c r="OQV53" s="384"/>
      <c r="OQW53" s="384"/>
      <c r="OQX53" s="384"/>
      <c r="OQY53" s="384"/>
      <c r="OQZ53" s="384"/>
      <c r="ORA53" s="384"/>
      <c r="ORB53" s="384"/>
      <c r="ORC53" s="384"/>
      <c r="ORD53" s="384"/>
      <c r="ORE53" s="384"/>
      <c r="ORF53" s="384"/>
      <c r="ORG53" s="384"/>
      <c r="ORH53" s="384"/>
      <c r="ORI53" s="384"/>
      <c r="ORJ53" s="384"/>
      <c r="ORK53" s="384"/>
      <c r="ORL53" s="384"/>
      <c r="ORM53" s="384"/>
      <c r="ORN53" s="384"/>
      <c r="ORO53" s="384"/>
      <c r="ORP53" s="384"/>
      <c r="ORQ53" s="384"/>
      <c r="ORR53" s="384"/>
      <c r="ORS53" s="384"/>
      <c r="ORT53" s="384"/>
      <c r="ORU53" s="384"/>
      <c r="ORV53" s="384"/>
      <c r="ORW53" s="384"/>
      <c r="ORX53" s="384"/>
      <c r="ORY53" s="384"/>
      <c r="ORZ53" s="384"/>
      <c r="OSA53" s="384"/>
      <c r="OSB53" s="384"/>
      <c r="OSC53" s="384"/>
      <c r="OSD53" s="384"/>
      <c r="OSE53" s="384"/>
      <c r="OSF53" s="384"/>
      <c r="OSG53" s="384"/>
      <c r="OSH53" s="384"/>
      <c r="OSI53" s="384"/>
      <c r="OSJ53" s="384"/>
      <c r="OSK53" s="384"/>
      <c r="OSL53" s="384"/>
      <c r="OSM53" s="384"/>
      <c r="OSN53" s="384"/>
      <c r="OSO53" s="384"/>
      <c r="OSP53" s="384"/>
      <c r="OSQ53" s="384"/>
      <c r="OSR53" s="384"/>
      <c r="OSS53" s="384"/>
      <c r="OST53" s="384"/>
      <c r="OSU53" s="384"/>
      <c r="OSV53" s="384"/>
      <c r="OSW53" s="384"/>
      <c r="OSX53" s="384"/>
      <c r="OSY53" s="384"/>
      <c r="OSZ53" s="384"/>
      <c r="OTA53" s="384"/>
      <c r="OTB53" s="384"/>
      <c r="OTC53" s="384"/>
      <c r="OTD53" s="384"/>
      <c r="OTE53" s="384"/>
      <c r="OTF53" s="384"/>
      <c r="OTG53" s="384"/>
      <c r="OTH53" s="384"/>
      <c r="OTI53" s="384"/>
      <c r="OTJ53" s="384"/>
      <c r="OTK53" s="384"/>
      <c r="OTL53" s="384"/>
      <c r="OTM53" s="384"/>
      <c r="OTN53" s="384"/>
      <c r="OTO53" s="384"/>
      <c r="OTP53" s="384"/>
      <c r="OTQ53" s="384"/>
      <c r="OTR53" s="384"/>
      <c r="OTS53" s="384"/>
      <c r="OTT53" s="384"/>
      <c r="OTU53" s="384"/>
      <c r="OTV53" s="384"/>
      <c r="OTW53" s="384"/>
      <c r="OTX53" s="384"/>
      <c r="OTY53" s="384"/>
      <c r="OTZ53" s="384"/>
      <c r="OUA53" s="384"/>
      <c r="OUB53" s="384"/>
      <c r="OUC53" s="384"/>
      <c r="OUD53" s="384"/>
      <c r="OUE53" s="384"/>
      <c r="OUF53" s="384"/>
      <c r="OUG53" s="384"/>
      <c r="OUH53" s="384"/>
      <c r="OUI53" s="384"/>
      <c r="OUJ53" s="384"/>
      <c r="OUK53" s="384"/>
      <c r="OUL53" s="384"/>
      <c r="OUM53" s="384"/>
      <c r="OUN53" s="384"/>
      <c r="OUO53" s="384"/>
      <c r="OUP53" s="384"/>
      <c r="OUQ53" s="384"/>
      <c r="OUR53" s="384"/>
      <c r="OUS53" s="384"/>
      <c r="OUT53" s="384"/>
      <c r="OUU53" s="384"/>
      <c r="OUV53" s="384"/>
      <c r="OUW53" s="384"/>
      <c r="OUX53" s="384"/>
      <c r="OUY53" s="384"/>
      <c r="OUZ53" s="384"/>
      <c r="OVA53" s="384"/>
      <c r="OVB53" s="384"/>
      <c r="OVC53" s="384"/>
      <c r="OVD53" s="384"/>
      <c r="OVE53" s="384"/>
      <c r="OVF53" s="384"/>
      <c r="OVG53" s="384"/>
      <c r="OVH53" s="384"/>
      <c r="OVI53" s="384"/>
      <c r="OVJ53" s="384"/>
      <c r="OVK53" s="384"/>
      <c r="OVL53" s="384"/>
      <c r="OVM53" s="384"/>
      <c r="OVN53" s="384"/>
      <c r="OVO53" s="384"/>
      <c r="OVP53" s="384"/>
      <c r="OVQ53" s="384"/>
      <c r="OVR53" s="384"/>
      <c r="OVS53" s="384"/>
      <c r="OVT53" s="384"/>
      <c r="OVU53" s="384"/>
      <c r="OVV53" s="384"/>
      <c r="OVW53" s="384"/>
      <c r="OVX53" s="384"/>
      <c r="OVY53" s="384"/>
      <c r="OVZ53" s="384"/>
      <c r="OWA53" s="384"/>
      <c r="OWB53" s="384"/>
      <c r="OWC53" s="384"/>
      <c r="OWD53" s="384"/>
      <c r="OWE53" s="384"/>
      <c r="OWF53" s="384"/>
      <c r="OWG53" s="384"/>
      <c r="OWH53" s="384"/>
      <c r="OWI53" s="384"/>
      <c r="OWJ53" s="384"/>
      <c r="OWK53" s="384"/>
      <c r="OWL53" s="384"/>
      <c r="OWM53" s="384"/>
      <c r="OWN53" s="384"/>
      <c r="OWO53" s="384"/>
      <c r="OWP53" s="384"/>
      <c r="OWQ53" s="384"/>
      <c r="OWR53" s="384"/>
      <c r="OWS53" s="384"/>
      <c r="OWT53" s="384"/>
      <c r="OWU53" s="384"/>
      <c r="OWV53" s="384"/>
      <c r="OWW53" s="384"/>
      <c r="OWX53" s="384"/>
      <c r="OWY53" s="384"/>
      <c r="OWZ53" s="384"/>
      <c r="OXA53" s="384"/>
      <c r="OXB53" s="384"/>
      <c r="OXC53" s="384"/>
      <c r="OXD53" s="384"/>
      <c r="OXE53" s="384"/>
      <c r="OXF53" s="384"/>
      <c r="OXG53" s="384"/>
      <c r="OXH53" s="384"/>
      <c r="OXI53" s="384"/>
      <c r="OXJ53" s="384"/>
      <c r="OXK53" s="384"/>
      <c r="OXL53" s="384"/>
      <c r="OXM53" s="384"/>
      <c r="OXN53" s="384"/>
      <c r="OXO53" s="384"/>
      <c r="OXP53" s="384"/>
      <c r="OXQ53" s="384"/>
      <c r="OXR53" s="384"/>
      <c r="OXS53" s="384"/>
      <c r="OXT53" s="384"/>
      <c r="OXU53" s="384"/>
      <c r="OXV53" s="384"/>
      <c r="OXW53" s="384"/>
      <c r="OXX53" s="384"/>
      <c r="OXY53" s="384"/>
      <c r="OXZ53" s="384"/>
      <c r="OYA53" s="384"/>
      <c r="OYB53" s="384"/>
      <c r="OYC53" s="384"/>
      <c r="OYD53" s="384"/>
      <c r="OYE53" s="384"/>
      <c r="OYF53" s="384"/>
      <c r="OYG53" s="384"/>
      <c r="OYH53" s="384"/>
      <c r="OYI53" s="384"/>
      <c r="OYJ53" s="384"/>
      <c r="OYK53" s="384"/>
      <c r="OYL53" s="384"/>
      <c r="OYM53" s="384"/>
      <c r="OYN53" s="384"/>
      <c r="OYO53" s="384"/>
      <c r="OYP53" s="384"/>
      <c r="OYQ53" s="384"/>
      <c r="OYR53" s="384"/>
      <c r="OYS53" s="384"/>
      <c r="OYT53" s="384"/>
      <c r="OYU53" s="384"/>
      <c r="OYV53" s="384"/>
      <c r="OYW53" s="384"/>
      <c r="OYX53" s="384"/>
      <c r="OYY53" s="384"/>
      <c r="OYZ53" s="384"/>
      <c r="OZA53" s="384"/>
      <c r="OZB53" s="384"/>
      <c r="OZC53" s="384"/>
      <c r="OZD53" s="384"/>
      <c r="OZE53" s="384"/>
      <c r="OZF53" s="384"/>
      <c r="OZG53" s="384"/>
      <c r="OZH53" s="384"/>
      <c r="OZI53" s="384"/>
      <c r="OZJ53" s="384"/>
      <c r="OZK53" s="384"/>
      <c r="OZL53" s="384"/>
      <c r="OZM53" s="384"/>
      <c r="OZN53" s="384"/>
      <c r="OZO53" s="384"/>
      <c r="OZP53" s="384"/>
      <c r="OZQ53" s="384"/>
      <c r="OZR53" s="384"/>
      <c r="OZS53" s="384"/>
      <c r="OZT53" s="384"/>
      <c r="OZU53" s="384"/>
      <c r="OZV53" s="384"/>
      <c r="OZW53" s="384"/>
      <c r="OZX53" s="384"/>
      <c r="OZY53" s="384"/>
      <c r="OZZ53" s="384"/>
      <c r="PAA53" s="384"/>
      <c r="PAB53" s="384"/>
      <c r="PAC53" s="384"/>
      <c r="PAD53" s="384"/>
      <c r="PAE53" s="384"/>
      <c r="PAF53" s="384"/>
      <c r="PAG53" s="384"/>
      <c r="PAH53" s="384"/>
      <c r="PAI53" s="384"/>
      <c r="PAJ53" s="384"/>
      <c r="PAK53" s="384"/>
      <c r="PAL53" s="384"/>
      <c r="PAM53" s="384"/>
      <c r="PAN53" s="384"/>
      <c r="PAO53" s="384"/>
      <c r="PAP53" s="384"/>
      <c r="PAQ53" s="384"/>
      <c r="PAR53" s="384"/>
      <c r="PAS53" s="384"/>
      <c r="PAT53" s="384"/>
      <c r="PAU53" s="384"/>
      <c r="PAV53" s="384"/>
      <c r="PAW53" s="384"/>
      <c r="PAX53" s="384"/>
      <c r="PAY53" s="384"/>
      <c r="PAZ53" s="384"/>
      <c r="PBA53" s="384"/>
      <c r="PBB53" s="384"/>
      <c r="PBC53" s="384"/>
      <c r="PBD53" s="384"/>
      <c r="PBE53" s="384"/>
      <c r="PBF53" s="384"/>
      <c r="PBG53" s="384"/>
      <c r="PBH53" s="384"/>
      <c r="PBI53" s="384"/>
      <c r="PBJ53" s="384"/>
      <c r="PBK53" s="384"/>
      <c r="PBL53" s="384"/>
      <c r="PBM53" s="384"/>
      <c r="PBN53" s="384"/>
      <c r="PBO53" s="384"/>
      <c r="PBP53" s="384"/>
      <c r="PBQ53" s="384"/>
      <c r="PBR53" s="384"/>
      <c r="PBS53" s="384"/>
      <c r="PBT53" s="384"/>
      <c r="PBU53" s="384"/>
      <c r="PBV53" s="384"/>
      <c r="PBW53" s="384"/>
      <c r="PBX53" s="384"/>
      <c r="PBY53" s="384"/>
      <c r="PBZ53" s="384"/>
      <c r="PCA53" s="384"/>
      <c r="PCB53" s="384"/>
      <c r="PCC53" s="384"/>
      <c r="PCD53" s="384"/>
      <c r="PCE53" s="384"/>
      <c r="PCF53" s="384"/>
      <c r="PCG53" s="384"/>
      <c r="PCH53" s="384"/>
      <c r="PCI53" s="384"/>
      <c r="PCJ53" s="384"/>
      <c r="PCK53" s="384"/>
      <c r="PCL53" s="384"/>
      <c r="PCM53" s="384"/>
      <c r="PCN53" s="384"/>
      <c r="PCO53" s="384"/>
      <c r="PCP53" s="384"/>
      <c r="PCQ53" s="384"/>
      <c r="PCR53" s="384"/>
      <c r="PCS53" s="384"/>
      <c r="PCT53" s="384"/>
      <c r="PCU53" s="384"/>
      <c r="PCV53" s="384"/>
      <c r="PCW53" s="384"/>
      <c r="PCX53" s="384"/>
      <c r="PCY53" s="384"/>
      <c r="PCZ53" s="384"/>
      <c r="PDA53" s="384"/>
      <c r="PDB53" s="384"/>
      <c r="PDC53" s="384"/>
      <c r="PDD53" s="384"/>
      <c r="PDE53" s="384"/>
      <c r="PDF53" s="384"/>
      <c r="PDG53" s="384"/>
      <c r="PDH53" s="384"/>
      <c r="PDI53" s="384"/>
      <c r="PDJ53" s="384"/>
      <c r="PDK53" s="384"/>
      <c r="PDL53" s="384"/>
      <c r="PDM53" s="384"/>
      <c r="PDN53" s="384"/>
      <c r="PDO53" s="384"/>
      <c r="PDP53" s="384"/>
      <c r="PDQ53" s="384"/>
      <c r="PDR53" s="384"/>
      <c r="PDS53" s="384"/>
      <c r="PDT53" s="384"/>
      <c r="PDU53" s="384"/>
      <c r="PDV53" s="384"/>
      <c r="PDW53" s="384"/>
      <c r="PDX53" s="384"/>
      <c r="PDY53" s="384"/>
      <c r="PDZ53" s="384"/>
      <c r="PEA53" s="384"/>
      <c r="PEB53" s="384"/>
      <c r="PEC53" s="384"/>
      <c r="PED53" s="384"/>
      <c r="PEE53" s="384"/>
      <c r="PEF53" s="384"/>
      <c r="PEG53" s="384"/>
      <c r="PEH53" s="384"/>
      <c r="PEI53" s="384"/>
      <c r="PEJ53" s="384"/>
      <c r="PEK53" s="384"/>
      <c r="PEL53" s="384"/>
      <c r="PEM53" s="384"/>
      <c r="PEN53" s="384"/>
      <c r="PEO53" s="384"/>
      <c r="PEP53" s="384"/>
      <c r="PEQ53" s="384"/>
      <c r="PER53" s="384"/>
      <c r="PES53" s="384"/>
      <c r="PET53" s="384"/>
      <c r="PEU53" s="384"/>
      <c r="PEV53" s="384"/>
      <c r="PEW53" s="384"/>
      <c r="PEX53" s="384"/>
      <c r="PEY53" s="384"/>
      <c r="PEZ53" s="384"/>
      <c r="PFA53" s="384"/>
      <c r="PFB53" s="384"/>
      <c r="PFC53" s="384"/>
      <c r="PFD53" s="384"/>
      <c r="PFE53" s="384"/>
      <c r="PFF53" s="384"/>
      <c r="PFG53" s="384"/>
      <c r="PFH53" s="384"/>
      <c r="PFI53" s="384"/>
      <c r="PFJ53" s="384"/>
      <c r="PFK53" s="384"/>
      <c r="PFL53" s="384"/>
      <c r="PFM53" s="384"/>
      <c r="PFN53" s="384"/>
      <c r="PFO53" s="384"/>
      <c r="PFP53" s="384"/>
      <c r="PFQ53" s="384"/>
      <c r="PFR53" s="384"/>
      <c r="PFS53" s="384"/>
      <c r="PFT53" s="384"/>
      <c r="PFU53" s="384"/>
      <c r="PFV53" s="384"/>
      <c r="PFW53" s="384"/>
      <c r="PFX53" s="384"/>
      <c r="PFY53" s="384"/>
      <c r="PFZ53" s="384"/>
      <c r="PGA53" s="384"/>
      <c r="PGB53" s="384"/>
      <c r="PGC53" s="384"/>
      <c r="PGD53" s="384"/>
      <c r="PGE53" s="384"/>
      <c r="PGF53" s="384"/>
      <c r="PGG53" s="384"/>
      <c r="PGH53" s="384"/>
      <c r="PGI53" s="384"/>
      <c r="PGJ53" s="384"/>
      <c r="PGK53" s="384"/>
      <c r="PGL53" s="384"/>
      <c r="PGM53" s="384"/>
      <c r="PGN53" s="384"/>
      <c r="PGO53" s="384"/>
      <c r="PGP53" s="384"/>
      <c r="PGQ53" s="384"/>
      <c r="PGR53" s="384"/>
      <c r="PGS53" s="384"/>
      <c r="PGT53" s="384"/>
      <c r="PGU53" s="384"/>
      <c r="PGV53" s="384"/>
      <c r="PGW53" s="384"/>
      <c r="PGX53" s="384"/>
      <c r="PGY53" s="384"/>
      <c r="PGZ53" s="384"/>
      <c r="PHA53" s="384"/>
      <c r="PHB53" s="384"/>
      <c r="PHC53" s="384"/>
      <c r="PHD53" s="384"/>
      <c r="PHE53" s="384"/>
      <c r="PHF53" s="384"/>
      <c r="PHG53" s="384"/>
      <c r="PHH53" s="384"/>
      <c r="PHI53" s="384"/>
      <c r="PHJ53" s="384"/>
      <c r="PHK53" s="384"/>
      <c r="PHL53" s="384"/>
      <c r="PHM53" s="384"/>
      <c r="PHN53" s="384"/>
      <c r="PHO53" s="384"/>
      <c r="PHP53" s="384"/>
      <c r="PHQ53" s="384"/>
      <c r="PHR53" s="384"/>
      <c r="PHS53" s="384"/>
      <c r="PHT53" s="384"/>
      <c r="PHU53" s="384"/>
      <c r="PHV53" s="384"/>
      <c r="PHW53" s="384"/>
      <c r="PHX53" s="384"/>
      <c r="PHY53" s="384"/>
      <c r="PHZ53" s="384"/>
      <c r="PIA53" s="384"/>
      <c r="PIB53" s="384"/>
      <c r="PIC53" s="384"/>
      <c r="PID53" s="384"/>
      <c r="PIE53" s="384"/>
      <c r="PIF53" s="384"/>
      <c r="PIG53" s="384"/>
      <c r="PIH53" s="384"/>
      <c r="PII53" s="384"/>
      <c r="PIJ53" s="384"/>
      <c r="PIK53" s="384"/>
      <c r="PIL53" s="384"/>
      <c r="PIM53" s="384"/>
      <c r="PIN53" s="384"/>
      <c r="PIO53" s="384"/>
      <c r="PIP53" s="384"/>
      <c r="PIQ53" s="384"/>
      <c r="PIR53" s="384"/>
      <c r="PIS53" s="384"/>
      <c r="PIT53" s="384"/>
      <c r="PIU53" s="384"/>
      <c r="PIV53" s="384"/>
      <c r="PIW53" s="384"/>
      <c r="PIX53" s="384"/>
      <c r="PIY53" s="384"/>
      <c r="PIZ53" s="384"/>
      <c r="PJA53" s="384"/>
      <c r="PJB53" s="384"/>
      <c r="PJC53" s="384"/>
      <c r="PJD53" s="384"/>
      <c r="PJE53" s="384"/>
      <c r="PJF53" s="384"/>
      <c r="PJG53" s="384"/>
      <c r="PJH53" s="384"/>
      <c r="PJI53" s="384"/>
      <c r="PJJ53" s="384"/>
      <c r="PJK53" s="384"/>
      <c r="PJL53" s="384"/>
      <c r="PJM53" s="384"/>
      <c r="PJN53" s="384"/>
      <c r="PJO53" s="384"/>
      <c r="PJP53" s="384"/>
      <c r="PJQ53" s="384"/>
      <c r="PJR53" s="384"/>
      <c r="PJS53" s="384"/>
      <c r="PJT53" s="384"/>
      <c r="PJU53" s="384"/>
      <c r="PJV53" s="384"/>
      <c r="PJW53" s="384"/>
      <c r="PJX53" s="384"/>
      <c r="PJY53" s="384"/>
      <c r="PJZ53" s="384"/>
      <c r="PKA53" s="384"/>
      <c r="PKB53" s="384"/>
      <c r="PKC53" s="384"/>
      <c r="PKD53" s="384"/>
      <c r="PKE53" s="384"/>
      <c r="PKF53" s="384"/>
      <c r="PKG53" s="384"/>
      <c r="PKH53" s="384"/>
      <c r="PKI53" s="384"/>
      <c r="PKJ53" s="384"/>
      <c r="PKK53" s="384"/>
      <c r="PKL53" s="384"/>
      <c r="PKM53" s="384"/>
      <c r="PKN53" s="384"/>
      <c r="PKO53" s="384"/>
      <c r="PKP53" s="384"/>
      <c r="PKQ53" s="384"/>
      <c r="PKR53" s="384"/>
      <c r="PKS53" s="384"/>
      <c r="PKT53" s="384"/>
      <c r="PKU53" s="384"/>
      <c r="PKV53" s="384"/>
      <c r="PKW53" s="384"/>
      <c r="PKX53" s="384"/>
      <c r="PKY53" s="384"/>
      <c r="PKZ53" s="384"/>
      <c r="PLA53" s="384"/>
      <c r="PLB53" s="384"/>
      <c r="PLC53" s="384"/>
      <c r="PLD53" s="384"/>
      <c r="PLE53" s="384"/>
      <c r="PLF53" s="384"/>
      <c r="PLG53" s="384"/>
      <c r="PLH53" s="384"/>
      <c r="PLI53" s="384"/>
      <c r="PLJ53" s="384"/>
      <c r="PLK53" s="384"/>
      <c r="PLL53" s="384"/>
      <c r="PLM53" s="384"/>
      <c r="PLN53" s="384"/>
      <c r="PLO53" s="384"/>
      <c r="PLP53" s="384"/>
      <c r="PLQ53" s="384"/>
      <c r="PLR53" s="384"/>
      <c r="PLS53" s="384"/>
      <c r="PLT53" s="384"/>
      <c r="PLU53" s="384"/>
      <c r="PLV53" s="384"/>
      <c r="PLW53" s="384"/>
      <c r="PLX53" s="384"/>
      <c r="PLY53" s="384"/>
      <c r="PLZ53" s="384"/>
      <c r="PMA53" s="384"/>
      <c r="PMB53" s="384"/>
      <c r="PMC53" s="384"/>
      <c r="PMD53" s="384"/>
      <c r="PME53" s="384"/>
      <c r="PMF53" s="384"/>
      <c r="PMG53" s="384"/>
      <c r="PMH53" s="384"/>
      <c r="PMI53" s="384"/>
      <c r="PMJ53" s="384"/>
      <c r="PMK53" s="384"/>
      <c r="PML53" s="384"/>
      <c r="PMM53" s="384"/>
      <c r="PMN53" s="384"/>
      <c r="PMO53" s="384"/>
      <c r="PMP53" s="384"/>
      <c r="PMQ53" s="384"/>
      <c r="PMR53" s="384"/>
      <c r="PMS53" s="384"/>
      <c r="PMT53" s="384"/>
      <c r="PMU53" s="384"/>
      <c r="PMV53" s="384"/>
      <c r="PMW53" s="384"/>
      <c r="PMX53" s="384"/>
      <c r="PMY53" s="384"/>
      <c r="PMZ53" s="384"/>
      <c r="PNA53" s="384"/>
      <c r="PNB53" s="384"/>
      <c r="PNC53" s="384"/>
      <c r="PND53" s="384"/>
      <c r="PNE53" s="384"/>
      <c r="PNF53" s="384"/>
      <c r="PNG53" s="384"/>
      <c r="PNH53" s="384"/>
      <c r="PNI53" s="384"/>
      <c r="PNJ53" s="384"/>
      <c r="PNK53" s="384"/>
      <c r="PNL53" s="384"/>
      <c r="PNM53" s="384"/>
      <c r="PNN53" s="384"/>
      <c r="PNO53" s="384"/>
      <c r="PNP53" s="384"/>
      <c r="PNQ53" s="384"/>
      <c r="PNR53" s="384"/>
      <c r="PNS53" s="384"/>
      <c r="PNT53" s="384"/>
      <c r="PNU53" s="384"/>
      <c r="PNV53" s="384"/>
      <c r="PNW53" s="384"/>
      <c r="PNX53" s="384"/>
      <c r="PNY53" s="384"/>
      <c r="PNZ53" s="384"/>
      <c r="POA53" s="384"/>
      <c r="POB53" s="384"/>
      <c r="POC53" s="384"/>
      <c r="POD53" s="384"/>
      <c r="POE53" s="384"/>
      <c r="POF53" s="384"/>
      <c r="POG53" s="384"/>
      <c r="POH53" s="384"/>
      <c r="POI53" s="384"/>
      <c r="POJ53" s="384"/>
      <c r="POK53" s="384"/>
      <c r="POL53" s="384"/>
      <c r="POM53" s="384"/>
      <c r="PON53" s="384"/>
      <c r="POO53" s="384"/>
      <c r="POP53" s="384"/>
      <c r="POQ53" s="384"/>
      <c r="POR53" s="384"/>
      <c r="POS53" s="384"/>
      <c r="POT53" s="384"/>
      <c r="POU53" s="384"/>
      <c r="POV53" s="384"/>
      <c r="POW53" s="384"/>
      <c r="POX53" s="384"/>
      <c r="POY53" s="384"/>
      <c r="POZ53" s="384"/>
      <c r="PPA53" s="384"/>
      <c r="PPB53" s="384"/>
      <c r="PPC53" s="384"/>
      <c r="PPD53" s="384"/>
      <c r="PPE53" s="384"/>
      <c r="PPF53" s="384"/>
      <c r="PPG53" s="384"/>
      <c r="PPH53" s="384"/>
      <c r="PPI53" s="384"/>
      <c r="PPJ53" s="384"/>
      <c r="PPK53" s="384"/>
      <c r="PPL53" s="384"/>
      <c r="PPM53" s="384"/>
      <c r="PPN53" s="384"/>
      <c r="PPO53" s="384"/>
      <c r="PPP53" s="384"/>
      <c r="PPQ53" s="384"/>
      <c r="PPR53" s="384"/>
      <c r="PPS53" s="384"/>
      <c r="PPT53" s="384"/>
      <c r="PPU53" s="384"/>
      <c r="PPV53" s="384"/>
      <c r="PPW53" s="384"/>
      <c r="PPX53" s="384"/>
      <c r="PPY53" s="384"/>
      <c r="PPZ53" s="384"/>
      <c r="PQA53" s="384"/>
      <c r="PQB53" s="384"/>
      <c r="PQC53" s="384"/>
      <c r="PQD53" s="384"/>
      <c r="PQE53" s="384"/>
      <c r="PQF53" s="384"/>
      <c r="PQG53" s="384"/>
      <c r="PQH53" s="384"/>
      <c r="PQI53" s="384"/>
      <c r="PQJ53" s="384"/>
      <c r="PQK53" s="384"/>
      <c r="PQL53" s="384"/>
      <c r="PQM53" s="384"/>
      <c r="PQN53" s="384"/>
      <c r="PQO53" s="384"/>
      <c r="PQP53" s="384"/>
      <c r="PQQ53" s="384"/>
      <c r="PQR53" s="384"/>
      <c r="PQS53" s="384"/>
      <c r="PQT53" s="384"/>
      <c r="PQU53" s="384"/>
      <c r="PQV53" s="384"/>
      <c r="PQW53" s="384"/>
      <c r="PQX53" s="384"/>
      <c r="PQY53" s="384"/>
      <c r="PQZ53" s="384"/>
      <c r="PRA53" s="384"/>
      <c r="PRB53" s="384"/>
      <c r="PRC53" s="384"/>
      <c r="PRD53" s="384"/>
      <c r="PRE53" s="384"/>
      <c r="PRF53" s="384"/>
      <c r="PRG53" s="384"/>
      <c r="PRH53" s="384"/>
      <c r="PRI53" s="384"/>
      <c r="PRJ53" s="384"/>
      <c r="PRK53" s="384"/>
      <c r="PRL53" s="384"/>
      <c r="PRM53" s="384"/>
      <c r="PRN53" s="384"/>
      <c r="PRO53" s="384"/>
      <c r="PRP53" s="384"/>
      <c r="PRQ53" s="384"/>
      <c r="PRR53" s="384"/>
      <c r="PRS53" s="384"/>
      <c r="PRT53" s="384"/>
      <c r="PRU53" s="384"/>
      <c r="PRV53" s="384"/>
      <c r="PRW53" s="384"/>
      <c r="PRX53" s="384"/>
      <c r="PRY53" s="384"/>
      <c r="PRZ53" s="384"/>
      <c r="PSA53" s="384"/>
      <c r="PSB53" s="384"/>
      <c r="PSC53" s="384"/>
      <c r="PSD53" s="384"/>
      <c r="PSE53" s="384"/>
      <c r="PSF53" s="384"/>
      <c r="PSG53" s="384"/>
      <c r="PSH53" s="384"/>
      <c r="PSI53" s="384"/>
      <c r="PSJ53" s="384"/>
      <c r="PSK53" s="384"/>
      <c r="PSL53" s="384"/>
      <c r="PSM53" s="384"/>
      <c r="PSN53" s="384"/>
      <c r="PSO53" s="384"/>
      <c r="PSP53" s="384"/>
      <c r="PSQ53" s="384"/>
      <c r="PSR53" s="384"/>
      <c r="PSS53" s="384"/>
      <c r="PST53" s="384"/>
      <c r="PSU53" s="384"/>
      <c r="PSV53" s="384"/>
      <c r="PSW53" s="384"/>
      <c r="PSX53" s="384"/>
      <c r="PSY53" s="384"/>
      <c r="PSZ53" s="384"/>
      <c r="PTA53" s="384"/>
      <c r="PTB53" s="384"/>
      <c r="PTC53" s="384"/>
      <c r="PTD53" s="384"/>
      <c r="PTE53" s="384"/>
      <c r="PTF53" s="384"/>
      <c r="PTG53" s="384"/>
      <c r="PTH53" s="384"/>
      <c r="PTI53" s="384"/>
      <c r="PTJ53" s="384"/>
      <c r="PTK53" s="384"/>
      <c r="PTL53" s="384"/>
      <c r="PTM53" s="384"/>
      <c r="PTN53" s="384"/>
      <c r="PTO53" s="384"/>
      <c r="PTP53" s="384"/>
      <c r="PTQ53" s="384"/>
      <c r="PTR53" s="384"/>
      <c r="PTS53" s="384"/>
      <c r="PTT53" s="384"/>
      <c r="PTU53" s="384"/>
      <c r="PTV53" s="384"/>
      <c r="PTW53" s="384"/>
      <c r="PTX53" s="384"/>
      <c r="PTY53" s="384"/>
      <c r="PTZ53" s="384"/>
      <c r="PUA53" s="384"/>
      <c r="PUB53" s="384"/>
      <c r="PUC53" s="384"/>
      <c r="PUD53" s="384"/>
      <c r="PUE53" s="384"/>
      <c r="PUF53" s="384"/>
      <c r="PUG53" s="384"/>
      <c r="PUH53" s="384"/>
      <c r="PUI53" s="384"/>
      <c r="PUJ53" s="384"/>
      <c r="PUK53" s="384"/>
      <c r="PUL53" s="384"/>
      <c r="PUM53" s="384"/>
      <c r="PUN53" s="384"/>
      <c r="PUO53" s="384"/>
      <c r="PUP53" s="384"/>
      <c r="PUQ53" s="384"/>
      <c r="PUR53" s="384"/>
      <c r="PUS53" s="384"/>
      <c r="PUT53" s="384"/>
      <c r="PUU53" s="384"/>
      <c r="PUV53" s="384"/>
      <c r="PUW53" s="384"/>
      <c r="PUX53" s="384"/>
      <c r="PUY53" s="384"/>
      <c r="PUZ53" s="384"/>
      <c r="PVA53" s="384"/>
      <c r="PVB53" s="384"/>
      <c r="PVC53" s="384"/>
      <c r="PVD53" s="384"/>
      <c r="PVE53" s="384"/>
      <c r="PVF53" s="384"/>
      <c r="PVG53" s="384"/>
      <c r="PVH53" s="384"/>
      <c r="PVI53" s="384"/>
      <c r="PVJ53" s="384"/>
      <c r="PVK53" s="384"/>
      <c r="PVL53" s="384"/>
      <c r="PVM53" s="384"/>
      <c r="PVN53" s="384"/>
      <c r="PVO53" s="384"/>
      <c r="PVP53" s="384"/>
      <c r="PVQ53" s="384"/>
      <c r="PVR53" s="384"/>
      <c r="PVS53" s="384"/>
      <c r="PVT53" s="384"/>
      <c r="PVU53" s="384"/>
      <c r="PVV53" s="384"/>
      <c r="PVW53" s="384"/>
      <c r="PVX53" s="384"/>
      <c r="PVY53" s="384"/>
      <c r="PVZ53" s="384"/>
      <c r="PWA53" s="384"/>
      <c r="PWB53" s="384"/>
      <c r="PWC53" s="384"/>
      <c r="PWD53" s="384"/>
      <c r="PWE53" s="384"/>
      <c r="PWF53" s="384"/>
      <c r="PWG53" s="384"/>
      <c r="PWH53" s="384"/>
      <c r="PWI53" s="384"/>
      <c r="PWJ53" s="384"/>
      <c r="PWK53" s="384"/>
      <c r="PWL53" s="384"/>
      <c r="PWM53" s="384"/>
      <c r="PWN53" s="384"/>
      <c r="PWO53" s="384"/>
      <c r="PWP53" s="384"/>
      <c r="PWQ53" s="384"/>
      <c r="PWR53" s="384"/>
      <c r="PWS53" s="384"/>
      <c r="PWT53" s="384"/>
      <c r="PWU53" s="384"/>
      <c r="PWV53" s="384"/>
      <c r="PWW53" s="384"/>
      <c r="PWX53" s="384"/>
      <c r="PWY53" s="384"/>
      <c r="PWZ53" s="384"/>
      <c r="PXA53" s="384"/>
      <c r="PXB53" s="384"/>
      <c r="PXC53" s="384"/>
      <c r="PXD53" s="384"/>
      <c r="PXE53" s="384"/>
      <c r="PXF53" s="384"/>
      <c r="PXG53" s="384"/>
      <c r="PXH53" s="384"/>
      <c r="PXI53" s="384"/>
      <c r="PXJ53" s="384"/>
      <c r="PXK53" s="384"/>
      <c r="PXL53" s="384"/>
      <c r="PXM53" s="384"/>
      <c r="PXN53" s="384"/>
      <c r="PXO53" s="384"/>
      <c r="PXP53" s="384"/>
      <c r="PXQ53" s="384"/>
      <c r="PXR53" s="384"/>
      <c r="PXS53" s="384"/>
      <c r="PXT53" s="384"/>
      <c r="PXU53" s="384"/>
      <c r="PXV53" s="384"/>
      <c r="PXW53" s="384"/>
      <c r="PXX53" s="384"/>
      <c r="PXY53" s="384"/>
      <c r="PXZ53" s="384"/>
      <c r="PYA53" s="384"/>
      <c r="PYB53" s="384"/>
      <c r="PYC53" s="384"/>
      <c r="PYD53" s="384"/>
      <c r="PYE53" s="384"/>
      <c r="PYF53" s="384"/>
      <c r="PYG53" s="384"/>
      <c r="PYH53" s="384"/>
      <c r="PYI53" s="384"/>
      <c r="PYJ53" s="384"/>
      <c r="PYK53" s="384"/>
      <c r="PYL53" s="384"/>
      <c r="PYM53" s="384"/>
      <c r="PYN53" s="384"/>
      <c r="PYO53" s="384"/>
      <c r="PYP53" s="384"/>
      <c r="PYQ53" s="384"/>
      <c r="PYR53" s="384"/>
      <c r="PYS53" s="384"/>
      <c r="PYT53" s="384"/>
      <c r="PYU53" s="384"/>
      <c r="PYV53" s="384"/>
      <c r="PYW53" s="384"/>
      <c r="PYX53" s="384"/>
      <c r="PYY53" s="384"/>
      <c r="PYZ53" s="384"/>
      <c r="PZA53" s="384"/>
      <c r="PZB53" s="384"/>
      <c r="PZC53" s="384"/>
      <c r="PZD53" s="384"/>
      <c r="PZE53" s="384"/>
      <c r="PZF53" s="384"/>
      <c r="PZG53" s="384"/>
      <c r="PZH53" s="384"/>
      <c r="PZI53" s="384"/>
      <c r="PZJ53" s="384"/>
      <c r="PZK53" s="384"/>
      <c r="PZL53" s="384"/>
      <c r="PZM53" s="384"/>
      <c r="PZN53" s="384"/>
      <c r="PZO53" s="384"/>
      <c r="PZP53" s="384"/>
      <c r="PZQ53" s="384"/>
      <c r="PZR53" s="384"/>
      <c r="PZS53" s="384"/>
      <c r="PZT53" s="384"/>
      <c r="PZU53" s="384"/>
      <c r="PZV53" s="384"/>
      <c r="PZW53" s="384"/>
      <c r="PZX53" s="384"/>
      <c r="PZY53" s="384"/>
      <c r="PZZ53" s="384"/>
      <c r="QAA53" s="384"/>
      <c r="QAB53" s="384"/>
      <c r="QAC53" s="384"/>
      <c r="QAD53" s="384"/>
      <c r="QAE53" s="384"/>
      <c r="QAF53" s="384"/>
      <c r="QAG53" s="384"/>
      <c r="QAH53" s="384"/>
      <c r="QAI53" s="384"/>
      <c r="QAJ53" s="384"/>
      <c r="QAK53" s="384"/>
      <c r="QAL53" s="384"/>
      <c r="QAM53" s="384"/>
      <c r="QAN53" s="384"/>
      <c r="QAO53" s="384"/>
      <c r="QAP53" s="384"/>
      <c r="QAQ53" s="384"/>
      <c r="QAR53" s="384"/>
      <c r="QAS53" s="384"/>
      <c r="QAT53" s="384"/>
      <c r="QAU53" s="384"/>
      <c r="QAV53" s="384"/>
      <c r="QAW53" s="384"/>
      <c r="QAX53" s="384"/>
      <c r="QAY53" s="384"/>
      <c r="QAZ53" s="384"/>
      <c r="QBA53" s="384"/>
      <c r="QBB53" s="384"/>
      <c r="QBC53" s="384"/>
      <c r="QBD53" s="384"/>
      <c r="QBE53" s="384"/>
      <c r="QBF53" s="384"/>
      <c r="QBG53" s="384"/>
      <c r="QBH53" s="384"/>
      <c r="QBI53" s="384"/>
      <c r="QBJ53" s="384"/>
      <c r="QBK53" s="384"/>
      <c r="QBL53" s="384"/>
      <c r="QBM53" s="384"/>
      <c r="QBN53" s="384"/>
      <c r="QBO53" s="384"/>
      <c r="QBP53" s="384"/>
      <c r="QBQ53" s="384"/>
      <c r="QBR53" s="384"/>
      <c r="QBS53" s="384"/>
      <c r="QBT53" s="384"/>
      <c r="QBU53" s="384"/>
      <c r="QBV53" s="384"/>
      <c r="QBW53" s="384"/>
      <c r="QBX53" s="384"/>
      <c r="QBY53" s="384"/>
      <c r="QBZ53" s="384"/>
      <c r="QCA53" s="384"/>
      <c r="QCB53" s="384"/>
      <c r="QCC53" s="384"/>
      <c r="QCD53" s="384"/>
      <c r="QCE53" s="384"/>
      <c r="QCF53" s="384"/>
      <c r="QCG53" s="384"/>
      <c r="QCH53" s="384"/>
      <c r="QCI53" s="384"/>
      <c r="QCJ53" s="384"/>
      <c r="QCK53" s="384"/>
      <c r="QCL53" s="384"/>
      <c r="QCM53" s="384"/>
      <c r="QCN53" s="384"/>
      <c r="QCO53" s="384"/>
      <c r="QCP53" s="384"/>
      <c r="QCQ53" s="384"/>
      <c r="QCR53" s="384"/>
      <c r="QCS53" s="384"/>
      <c r="QCT53" s="384"/>
      <c r="QCU53" s="384"/>
      <c r="QCV53" s="384"/>
      <c r="QCW53" s="384"/>
      <c r="QCX53" s="384"/>
      <c r="QCY53" s="384"/>
      <c r="QCZ53" s="384"/>
      <c r="QDA53" s="384"/>
      <c r="QDB53" s="384"/>
      <c r="QDC53" s="384"/>
      <c r="QDD53" s="384"/>
      <c r="QDE53" s="384"/>
      <c r="QDF53" s="384"/>
      <c r="QDG53" s="384"/>
      <c r="QDH53" s="384"/>
      <c r="QDI53" s="384"/>
      <c r="QDJ53" s="384"/>
      <c r="QDK53" s="384"/>
      <c r="QDL53" s="384"/>
      <c r="QDM53" s="384"/>
      <c r="QDN53" s="384"/>
      <c r="QDO53" s="384"/>
      <c r="QDP53" s="384"/>
      <c r="QDQ53" s="384"/>
      <c r="QDR53" s="384"/>
      <c r="QDS53" s="384"/>
      <c r="QDT53" s="384"/>
      <c r="QDU53" s="384"/>
      <c r="QDV53" s="384"/>
      <c r="QDW53" s="384"/>
      <c r="QDX53" s="384"/>
      <c r="QDY53" s="384"/>
      <c r="QDZ53" s="384"/>
      <c r="QEA53" s="384"/>
      <c r="QEB53" s="384"/>
      <c r="QEC53" s="384"/>
      <c r="QED53" s="384"/>
      <c r="QEE53" s="384"/>
      <c r="QEF53" s="384"/>
      <c r="QEG53" s="384"/>
      <c r="QEH53" s="384"/>
      <c r="QEI53" s="384"/>
      <c r="QEJ53" s="384"/>
      <c r="QEK53" s="384"/>
      <c r="QEL53" s="384"/>
      <c r="QEM53" s="384"/>
      <c r="QEN53" s="384"/>
      <c r="QEO53" s="384"/>
      <c r="QEP53" s="384"/>
      <c r="QEQ53" s="384"/>
      <c r="QER53" s="384"/>
      <c r="QES53" s="384"/>
      <c r="QET53" s="384"/>
      <c r="QEU53" s="384"/>
      <c r="QEV53" s="384"/>
      <c r="QEW53" s="384"/>
      <c r="QEX53" s="384"/>
      <c r="QEY53" s="384"/>
      <c r="QEZ53" s="384"/>
      <c r="QFA53" s="384"/>
      <c r="QFB53" s="384"/>
      <c r="QFC53" s="384"/>
      <c r="QFD53" s="384"/>
      <c r="QFE53" s="384"/>
      <c r="QFF53" s="384"/>
      <c r="QFG53" s="384"/>
      <c r="QFH53" s="384"/>
      <c r="QFI53" s="384"/>
      <c r="QFJ53" s="384"/>
      <c r="QFK53" s="384"/>
      <c r="QFL53" s="384"/>
      <c r="QFM53" s="384"/>
      <c r="QFN53" s="384"/>
      <c r="QFO53" s="384"/>
      <c r="QFP53" s="384"/>
      <c r="QFQ53" s="384"/>
      <c r="QFR53" s="384"/>
      <c r="QFS53" s="384"/>
      <c r="QFT53" s="384"/>
      <c r="QFU53" s="384"/>
      <c r="QFV53" s="384"/>
      <c r="QFW53" s="384"/>
      <c r="QFX53" s="384"/>
      <c r="QFY53" s="384"/>
      <c r="QFZ53" s="384"/>
      <c r="QGA53" s="384"/>
      <c r="QGB53" s="384"/>
      <c r="QGC53" s="384"/>
      <c r="QGD53" s="384"/>
      <c r="QGE53" s="384"/>
      <c r="QGF53" s="384"/>
      <c r="QGG53" s="384"/>
      <c r="QGH53" s="384"/>
      <c r="QGI53" s="384"/>
      <c r="QGJ53" s="384"/>
      <c r="QGK53" s="384"/>
      <c r="QGL53" s="384"/>
      <c r="QGM53" s="384"/>
      <c r="QGN53" s="384"/>
      <c r="QGO53" s="384"/>
      <c r="QGP53" s="384"/>
      <c r="QGQ53" s="384"/>
      <c r="QGR53" s="384"/>
      <c r="QGS53" s="384"/>
      <c r="QGT53" s="384"/>
      <c r="QGU53" s="384"/>
      <c r="QGV53" s="384"/>
      <c r="QGW53" s="384"/>
      <c r="QGX53" s="384"/>
      <c r="QGY53" s="384"/>
      <c r="QGZ53" s="384"/>
      <c r="QHA53" s="384"/>
      <c r="QHB53" s="384"/>
      <c r="QHC53" s="384"/>
      <c r="QHD53" s="384"/>
      <c r="QHE53" s="384"/>
      <c r="QHF53" s="384"/>
      <c r="QHG53" s="384"/>
      <c r="QHH53" s="384"/>
      <c r="QHI53" s="384"/>
      <c r="QHJ53" s="384"/>
      <c r="QHK53" s="384"/>
      <c r="QHL53" s="384"/>
      <c r="QHM53" s="384"/>
      <c r="QHN53" s="384"/>
      <c r="QHO53" s="384"/>
      <c r="QHP53" s="384"/>
      <c r="QHQ53" s="384"/>
      <c r="QHR53" s="384"/>
      <c r="QHS53" s="384"/>
      <c r="QHT53" s="384"/>
      <c r="QHU53" s="384"/>
      <c r="QHV53" s="384"/>
      <c r="QHW53" s="384"/>
      <c r="QHX53" s="384"/>
      <c r="QHY53" s="384"/>
      <c r="QHZ53" s="384"/>
      <c r="QIA53" s="384"/>
      <c r="QIB53" s="384"/>
      <c r="QIC53" s="384"/>
      <c r="QID53" s="384"/>
      <c r="QIE53" s="384"/>
      <c r="QIF53" s="384"/>
      <c r="QIG53" s="384"/>
      <c r="QIH53" s="384"/>
      <c r="QII53" s="384"/>
      <c r="QIJ53" s="384"/>
      <c r="QIK53" s="384"/>
      <c r="QIL53" s="384"/>
      <c r="QIM53" s="384"/>
      <c r="QIN53" s="384"/>
      <c r="QIO53" s="384"/>
      <c r="QIP53" s="384"/>
      <c r="QIQ53" s="384"/>
      <c r="QIR53" s="384"/>
      <c r="QIS53" s="384"/>
      <c r="QIT53" s="384"/>
      <c r="QIU53" s="384"/>
      <c r="QIV53" s="384"/>
      <c r="QIW53" s="384"/>
      <c r="QIX53" s="384"/>
      <c r="QIY53" s="384"/>
      <c r="QIZ53" s="384"/>
      <c r="QJA53" s="384"/>
      <c r="QJB53" s="384"/>
      <c r="QJC53" s="384"/>
      <c r="QJD53" s="384"/>
      <c r="QJE53" s="384"/>
      <c r="QJF53" s="384"/>
      <c r="QJG53" s="384"/>
      <c r="QJH53" s="384"/>
      <c r="QJI53" s="384"/>
      <c r="QJJ53" s="384"/>
      <c r="QJK53" s="384"/>
      <c r="QJL53" s="384"/>
      <c r="QJM53" s="384"/>
      <c r="QJN53" s="384"/>
      <c r="QJO53" s="384"/>
      <c r="QJP53" s="384"/>
      <c r="QJQ53" s="384"/>
      <c r="QJR53" s="384"/>
      <c r="QJS53" s="384"/>
      <c r="QJT53" s="384"/>
      <c r="QJU53" s="384"/>
      <c r="QJV53" s="384"/>
      <c r="QJW53" s="384"/>
      <c r="QJX53" s="384"/>
      <c r="QJY53" s="384"/>
      <c r="QJZ53" s="384"/>
      <c r="QKA53" s="384"/>
      <c r="QKB53" s="384"/>
      <c r="QKC53" s="384"/>
      <c r="QKD53" s="384"/>
      <c r="QKE53" s="384"/>
      <c r="QKF53" s="384"/>
      <c r="QKG53" s="384"/>
      <c r="QKH53" s="384"/>
      <c r="QKI53" s="384"/>
      <c r="QKJ53" s="384"/>
      <c r="QKK53" s="384"/>
      <c r="QKL53" s="384"/>
      <c r="QKM53" s="384"/>
      <c r="QKN53" s="384"/>
      <c r="QKO53" s="384"/>
      <c r="QKP53" s="384"/>
      <c r="QKQ53" s="384"/>
      <c r="QKR53" s="384"/>
      <c r="QKS53" s="384"/>
      <c r="QKT53" s="384"/>
      <c r="QKU53" s="384"/>
      <c r="QKV53" s="384"/>
      <c r="QKW53" s="384"/>
      <c r="QKX53" s="384"/>
      <c r="QKY53" s="384"/>
      <c r="QKZ53" s="384"/>
      <c r="QLA53" s="384"/>
      <c r="QLB53" s="384"/>
      <c r="QLC53" s="384"/>
      <c r="QLD53" s="384"/>
      <c r="QLE53" s="384"/>
      <c r="QLF53" s="384"/>
      <c r="QLG53" s="384"/>
      <c r="QLH53" s="384"/>
      <c r="QLI53" s="384"/>
      <c r="QLJ53" s="384"/>
      <c r="QLK53" s="384"/>
      <c r="QLL53" s="384"/>
      <c r="QLM53" s="384"/>
      <c r="QLN53" s="384"/>
      <c r="QLO53" s="384"/>
      <c r="QLP53" s="384"/>
      <c r="QLQ53" s="384"/>
      <c r="QLR53" s="384"/>
      <c r="QLS53" s="384"/>
      <c r="QLT53" s="384"/>
      <c r="QLU53" s="384"/>
      <c r="QLV53" s="384"/>
      <c r="QLW53" s="384"/>
      <c r="QLX53" s="384"/>
      <c r="QLY53" s="384"/>
      <c r="QLZ53" s="384"/>
      <c r="QMA53" s="384"/>
      <c r="QMB53" s="384"/>
      <c r="QMC53" s="384"/>
      <c r="QMD53" s="384"/>
      <c r="QME53" s="384"/>
      <c r="QMF53" s="384"/>
      <c r="QMG53" s="384"/>
      <c r="QMH53" s="384"/>
      <c r="QMI53" s="384"/>
      <c r="QMJ53" s="384"/>
      <c r="QMK53" s="384"/>
      <c r="QML53" s="384"/>
      <c r="QMM53" s="384"/>
      <c r="QMN53" s="384"/>
      <c r="QMO53" s="384"/>
      <c r="QMP53" s="384"/>
      <c r="QMQ53" s="384"/>
      <c r="QMR53" s="384"/>
      <c r="QMS53" s="384"/>
      <c r="QMT53" s="384"/>
      <c r="QMU53" s="384"/>
      <c r="QMV53" s="384"/>
      <c r="QMW53" s="384"/>
      <c r="QMX53" s="384"/>
      <c r="QMY53" s="384"/>
      <c r="QMZ53" s="384"/>
      <c r="QNA53" s="384"/>
      <c r="QNB53" s="384"/>
      <c r="QNC53" s="384"/>
      <c r="QND53" s="384"/>
      <c r="QNE53" s="384"/>
      <c r="QNF53" s="384"/>
      <c r="QNG53" s="384"/>
      <c r="QNH53" s="384"/>
      <c r="QNI53" s="384"/>
      <c r="QNJ53" s="384"/>
      <c r="QNK53" s="384"/>
      <c r="QNL53" s="384"/>
      <c r="QNM53" s="384"/>
      <c r="QNN53" s="384"/>
      <c r="QNO53" s="384"/>
      <c r="QNP53" s="384"/>
      <c r="QNQ53" s="384"/>
      <c r="QNR53" s="384"/>
      <c r="QNS53" s="384"/>
      <c r="QNT53" s="384"/>
      <c r="QNU53" s="384"/>
      <c r="QNV53" s="384"/>
      <c r="QNW53" s="384"/>
      <c r="QNX53" s="384"/>
      <c r="QNY53" s="384"/>
      <c r="QNZ53" s="384"/>
      <c r="QOA53" s="384"/>
      <c r="QOB53" s="384"/>
      <c r="QOC53" s="384"/>
      <c r="QOD53" s="384"/>
      <c r="QOE53" s="384"/>
      <c r="QOF53" s="384"/>
      <c r="QOG53" s="384"/>
      <c r="QOH53" s="384"/>
      <c r="QOI53" s="384"/>
      <c r="QOJ53" s="384"/>
      <c r="QOK53" s="384"/>
      <c r="QOL53" s="384"/>
      <c r="QOM53" s="384"/>
      <c r="QON53" s="384"/>
      <c r="QOO53" s="384"/>
      <c r="QOP53" s="384"/>
      <c r="QOQ53" s="384"/>
      <c r="QOR53" s="384"/>
      <c r="QOS53" s="384"/>
      <c r="QOT53" s="384"/>
      <c r="QOU53" s="384"/>
      <c r="QOV53" s="384"/>
      <c r="QOW53" s="384"/>
      <c r="QOX53" s="384"/>
      <c r="QOY53" s="384"/>
      <c r="QOZ53" s="384"/>
      <c r="QPA53" s="384"/>
      <c r="QPB53" s="384"/>
      <c r="QPC53" s="384"/>
      <c r="QPD53" s="384"/>
      <c r="QPE53" s="384"/>
      <c r="QPF53" s="384"/>
      <c r="QPG53" s="384"/>
      <c r="QPH53" s="384"/>
      <c r="QPI53" s="384"/>
      <c r="QPJ53" s="384"/>
      <c r="QPK53" s="384"/>
      <c r="QPL53" s="384"/>
      <c r="QPM53" s="384"/>
      <c r="QPN53" s="384"/>
      <c r="QPO53" s="384"/>
      <c r="QPP53" s="384"/>
      <c r="QPQ53" s="384"/>
      <c r="QPR53" s="384"/>
      <c r="QPS53" s="384"/>
      <c r="QPT53" s="384"/>
      <c r="QPU53" s="384"/>
      <c r="QPV53" s="384"/>
      <c r="QPW53" s="384"/>
      <c r="QPX53" s="384"/>
      <c r="QPY53" s="384"/>
      <c r="QPZ53" s="384"/>
      <c r="QQA53" s="384"/>
      <c r="QQB53" s="384"/>
      <c r="QQC53" s="384"/>
      <c r="QQD53" s="384"/>
      <c r="QQE53" s="384"/>
      <c r="QQF53" s="384"/>
      <c r="QQG53" s="384"/>
      <c r="QQH53" s="384"/>
      <c r="QQI53" s="384"/>
      <c r="QQJ53" s="384"/>
      <c r="QQK53" s="384"/>
      <c r="QQL53" s="384"/>
      <c r="QQM53" s="384"/>
      <c r="QQN53" s="384"/>
      <c r="QQO53" s="384"/>
      <c r="QQP53" s="384"/>
      <c r="QQQ53" s="384"/>
      <c r="QQR53" s="384"/>
      <c r="QQS53" s="384"/>
      <c r="QQT53" s="384"/>
      <c r="QQU53" s="384"/>
      <c r="QQV53" s="384"/>
      <c r="QQW53" s="384"/>
      <c r="QQX53" s="384"/>
      <c r="QQY53" s="384"/>
      <c r="QQZ53" s="384"/>
      <c r="QRA53" s="384"/>
      <c r="QRB53" s="384"/>
      <c r="QRC53" s="384"/>
      <c r="QRD53" s="384"/>
      <c r="QRE53" s="384"/>
      <c r="QRF53" s="384"/>
      <c r="QRG53" s="384"/>
      <c r="QRH53" s="384"/>
      <c r="QRI53" s="384"/>
      <c r="QRJ53" s="384"/>
      <c r="QRK53" s="384"/>
      <c r="QRL53" s="384"/>
      <c r="QRM53" s="384"/>
      <c r="QRN53" s="384"/>
      <c r="QRO53" s="384"/>
      <c r="QRP53" s="384"/>
      <c r="QRQ53" s="384"/>
      <c r="QRR53" s="384"/>
      <c r="QRS53" s="384"/>
      <c r="QRT53" s="384"/>
      <c r="QRU53" s="384"/>
      <c r="QRV53" s="384"/>
      <c r="QRW53" s="384"/>
      <c r="QRX53" s="384"/>
      <c r="QRY53" s="384"/>
      <c r="QRZ53" s="384"/>
      <c r="QSA53" s="384"/>
      <c r="QSB53" s="384"/>
      <c r="QSC53" s="384"/>
      <c r="QSD53" s="384"/>
      <c r="QSE53" s="384"/>
      <c r="QSF53" s="384"/>
      <c r="QSG53" s="384"/>
      <c r="QSH53" s="384"/>
      <c r="QSI53" s="384"/>
      <c r="QSJ53" s="384"/>
      <c r="QSK53" s="384"/>
      <c r="QSL53" s="384"/>
      <c r="QSM53" s="384"/>
      <c r="QSN53" s="384"/>
      <c r="QSO53" s="384"/>
      <c r="QSP53" s="384"/>
      <c r="QSQ53" s="384"/>
      <c r="QSR53" s="384"/>
      <c r="QSS53" s="384"/>
      <c r="QST53" s="384"/>
      <c r="QSU53" s="384"/>
      <c r="QSV53" s="384"/>
      <c r="QSW53" s="384"/>
      <c r="QSX53" s="384"/>
      <c r="QSY53" s="384"/>
      <c r="QSZ53" s="384"/>
      <c r="QTA53" s="384"/>
      <c r="QTB53" s="384"/>
      <c r="QTC53" s="384"/>
      <c r="QTD53" s="384"/>
      <c r="QTE53" s="384"/>
      <c r="QTF53" s="384"/>
      <c r="QTG53" s="384"/>
      <c r="QTH53" s="384"/>
      <c r="QTI53" s="384"/>
      <c r="QTJ53" s="384"/>
      <c r="QTK53" s="384"/>
      <c r="QTL53" s="384"/>
      <c r="QTM53" s="384"/>
      <c r="QTN53" s="384"/>
      <c r="QTO53" s="384"/>
      <c r="QTP53" s="384"/>
      <c r="QTQ53" s="384"/>
      <c r="QTR53" s="384"/>
      <c r="QTS53" s="384"/>
      <c r="QTT53" s="384"/>
      <c r="QTU53" s="384"/>
      <c r="QTV53" s="384"/>
      <c r="QTW53" s="384"/>
      <c r="QTX53" s="384"/>
      <c r="QTY53" s="384"/>
      <c r="QTZ53" s="384"/>
      <c r="QUA53" s="384"/>
      <c r="QUB53" s="384"/>
      <c r="QUC53" s="384"/>
      <c r="QUD53" s="384"/>
      <c r="QUE53" s="384"/>
      <c r="QUF53" s="384"/>
      <c r="QUG53" s="384"/>
      <c r="QUH53" s="384"/>
      <c r="QUI53" s="384"/>
      <c r="QUJ53" s="384"/>
      <c r="QUK53" s="384"/>
      <c r="QUL53" s="384"/>
      <c r="QUM53" s="384"/>
      <c r="QUN53" s="384"/>
      <c r="QUO53" s="384"/>
      <c r="QUP53" s="384"/>
      <c r="QUQ53" s="384"/>
      <c r="QUR53" s="384"/>
      <c r="QUS53" s="384"/>
      <c r="QUT53" s="384"/>
      <c r="QUU53" s="384"/>
      <c r="QUV53" s="384"/>
      <c r="QUW53" s="384"/>
      <c r="QUX53" s="384"/>
      <c r="QUY53" s="384"/>
      <c r="QUZ53" s="384"/>
      <c r="QVA53" s="384"/>
      <c r="QVB53" s="384"/>
      <c r="QVC53" s="384"/>
      <c r="QVD53" s="384"/>
      <c r="QVE53" s="384"/>
      <c r="QVF53" s="384"/>
      <c r="QVG53" s="384"/>
      <c r="QVH53" s="384"/>
      <c r="QVI53" s="384"/>
      <c r="QVJ53" s="384"/>
      <c r="QVK53" s="384"/>
      <c r="QVL53" s="384"/>
      <c r="QVM53" s="384"/>
      <c r="QVN53" s="384"/>
      <c r="QVO53" s="384"/>
      <c r="QVP53" s="384"/>
      <c r="QVQ53" s="384"/>
      <c r="QVR53" s="384"/>
      <c r="QVS53" s="384"/>
      <c r="QVT53" s="384"/>
      <c r="QVU53" s="384"/>
      <c r="QVV53" s="384"/>
      <c r="QVW53" s="384"/>
      <c r="QVX53" s="384"/>
      <c r="QVY53" s="384"/>
      <c r="QVZ53" s="384"/>
      <c r="QWA53" s="384"/>
      <c r="QWB53" s="384"/>
      <c r="QWC53" s="384"/>
      <c r="QWD53" s="384"/>
      <c r="QWE53" s="384"/>
      <c r="QWF53" s="384"/>
      <c r="QWG53" s="384"/>
      <c r="QWH53" s="384"/>
      <c r="QWI53" s="384"/>
      <c r="QWJ53" s="384"/>
      <c r="QWK53" s="384"/>
      <c r="QWL53" s="384"/>
      <c r="QWM53" s="384"/>
      <c r="QWN53" s="384"/>
      <c r="QWO53" s="384"/>
      <c r="QWP53" s="384"/>
      <c r="QWQ53" s="384"/>
      <c r="QWR53" s="384"/>
      <c r="QWS53" s="384"/>
      <c r="QWT53" s="384"/>
      <c r="QWU53" s="384"/>
      <c r="QWV53" s="384"/>
      <c r="QWW53" s="384"/>
      <c r="QWX53" s="384"/>
      <c r="QWY53" s="384"/>
      <c r="QWZ53" s="384"/>
      <c r="QXA53" s="384"/>
      <c r="QXB53" s="384"/>
      <c r="QXC53" s="384"/>
      <c r="QXD53" s="384"/>
      <c r="QXE53" s="384"/>
      <c r="QXF53" s="384"/>
      <c r="QXG53" s="384"/>
      <c r="QXH53" s="384"/>
      <c r="QXI53" s="384"/>
      <c r="QXJ53" s="384"/>
      <c r="QXK53" s="384"/>
      <c r="QXL53" s="384"/>
      <c r="QXM53" s="384"/>
      <c r="QXN53" s="384"/>
      <c r="QXO53" s="384"/>
      <c r="QXP53" s="384"/>
      <c r="QXQ53" s="384"/>
      <c r="QXR53" s="384"/>
      <c r="QXS53" s="384"/>
      <c r="QXT53" s="384"/>
      <c r="QXU53" s="384"/>
      <c r="QXV53" s="384"/>
      <c r="QXW53" s="384"/>
      <c r="QXX53" s="384"/>
      <c r="QXY53" s="384"/>
      <c r="QXZ53" s="384"/>
      <c r="QYA53" s="384"/>
      <c r="QYB53" s="384"/>
      <c r="QYC53" s="384"/>
      <c r="QYD53" s="384"/>
      <c r="QYE53" s="384"/>
      <c r="QYF53" s="384"/>
      <c r="QYG53" s="384"/>
      <c r="QYH53" s="384"/>
      <c r="QYI53" s="384"/>
      <c r="QYJ53" s="384"/>
      <c r="QYK53" s="384"/>
      <c r="QYL53" s="384"/>
      <c r="QYM53" s="384"/>
      <c r="QYN53" s="384"/>
      <c r="QYO53" s="384"/>
      <c r="QYP53" s="384"/>
      <c r="QYQ53" s="384"/>
      <c r="QYR53" s="384"/>
      <c r="QYS53" s="384"/>
      <c r="QYT53" s="384"/>
      <c r="QYU53" s="384"/>
      <c r="QYV53" s="384"/>
      <c r="QYW53" s="384"/>
      <c r="QYX53" s="384"/>
      <c r="QYY53" s="384"/>
      <c r="QYZ53" s="384"/>
      <c r="QZA53" s="384"/>
      <c r="QZB53" s="384"/>
      <c r="QZC53" s="384"/>
      <c r="QZD53" s="384"/>
      <c r="QZE53" s="384"/>
      <c r="QZF53" s="384"/>
      <c r="QZG53" s="384"/>
      <c r="QZH53" s="384"/>
      <c r="QZI53" s="384"/>
      <c r="QZJ53" s="384"/>
      <c r="QZK53" s="384"/>
      <c r="QZL53" s="384"/>
      <c r="QZM53" s="384"/>
      <c r="QZN53" s="384"/>
      <c r="QZO53" s="384"/>
      <c r="QZP53" s="384"/>
      <c r="QZQ53" s="384"/>
      <c r="QZR53" s="384"/>
      <c r="QZS53" s="384"/>
      <c r="QZT53" s="384"/>
      <c r="QZU53" s="384"/>
      <c r="QZV53" s="384"/>
      <c r="QZW53" s="384"/>
      <c r="QZX53" s="384"/>
      <c r="QZY53" s="384"/>
      <c r="QZZ53" s="384"/>
      <c r="RAA53" s="384"/>
      <c r="RAB53" s="384"/>
      <c r="RAC53" s="384"/>
      <c r="RAD53" s="384"/>
      <c r="RAE53" s="384"/>
      <c r="RAF53" s="384"/>
      <c r="RAG53" s="384"/>
      <c r="RAH53" s="384"/>
      <c r="RAI53" s="384"/>
      <c r="RAJ53" s="384"/>
      <c r="RAK53" s="384"/>
      <c r="RAL53" s="384"/>
      <c r="RAM53" s="384"/>
      <c r="RAN53" s="384"/>
      <c r="RAO53" s="384"/>
      <c r="RAP53" s="384"/>
      <c r="RAQ53" s="384"/>
      <c r="RAR53" s="384"/>
      <c r="RAS53" s="384"/>
      <c r="RAT53" s="384"/>
      <c r="RAU53" s="384"/>
      <c r="RAV53" s="384"/>
      <c r="RAW53" s="384"/>
      <c r="RAX53" s="384"/>
      <c r="RAY53" s="384"/>
      <c r="RAZ53" s="384"/>
      <c r="RBA53" s="384"/>
      <c r="RBB53" s="384"/>
      <c r="RBC53" s="384"/>
      <c r="RBD53" s="384"/>
      <c r="RBE53" s="384"/>
      <c r="RBF53" s="384"/>
      <c r="RBG53" s="384"/>
      <c r="RBH53" s="384"/>
      <c r="RBI53" s="384"/>
      <c r="RBJ53" s="384"/>
      <c r="RBK53" s="384"/>
      <c r="RBL53" s="384"/>
      <c r="RBM53" s="384"/>
      <c r="RBN53" s="384"/>
      <c r="RBO53" s="384"/>
      <c r="RBP53" s="384"/>
      <c r="RBQ53" s="384"/>
      <c r="RBR53" s="384"/>
      <c r="RBS53" s="384"/>
      <c r="RBT53" s="384"/>
      <c r="RBU53" s="384"/>
      <c r="RBV53" s="384"/>
      <c r="RBW53" s="384"/>
      <c r="RBX53" s="384"/>
      <c r="RBY53" s="384"/>
      <c r="RBZ53" s="384"/>
      <c r="RCA53" s="384"/>
      <c r="RCB53" s="384"/>
      <c r="RCC53" s="384"/>
      <c r="RCD53" s="384"/>
      <c r="RCE53" s="384"/>
      <c r="RCF53" s="384"/>
      <c r="RCG53" s="384"/>
      <c r="RCH53" s="384"/>
      <c r="RCI53" s="384"/>
      <c r="RCJ53" s="384"/>
      <c r="RCK53" s="384"/>
      <c r="RCL53" s="384"/>
      <c r="RCM53" s="384"/>
      <c r="RCN53" s="384"/>
      <c r="RCO53" s="384"/>
      <c r="RCP53" s="384"/>
      <c r="RCQ53" s="384"/>
      <c r="RCR53" s="384"/>
      <c r="RCS53" s="384"/>
      <c r="RCT53" s="384"/>
      <c r="RCU53" s="384"/>
      <c r="RCV53" s="384"/>
      <c r="RCW53" s="384"/>
      <c r="RCX53" s="384"/>
      <c r="RCY53" s="384"/>
      <c r="RCZ53" s="384"/>
      <c r="RDA53" s="384"/>
      <c r="RDB53" s="384"/>
      <c r="RDC53" s="384"/>
      <c r="RDD53" s="384"/>
      <c r="RDE53" s="384"/>
      <c r="RDF53" s="384"/>
      <c r="RDG53" s="384"/>
      <c r="RDH53" s="384"/>
      <c r="RDI53" s="384"/>
      <c r="RDJ53" s="384"/>
      <c r="RDK53" s="384"/>
      <c r="RDL53" s="384"/>
      <c r="RDM53" s="384"/>
      <c r="RDN53" s="384"/>
      <c r="RDO53" s="384"/>
      <c r="RDP53" s="384"/>
      <c r="RDQ53" s="384"/>
      <c r="RDR53" s="384"/>
      <c r="RDS53" s="384"/>
      <c r="RDT53" s="384"/>
      <c r="RDU53" s="384"/>
      <c r="RDV53" s="384"/>
      <c r="RDW53" s="384"/>
      <c r="RDX53" s="384"/>
      <c r="RDY53" s="384"/>
      <c r="RDZ53" s="384"/>
      <c r="REA53" s="384"/>
      <c r="REB53" s="384"/>
      <c r="REC53" s="384"/>
      <c r="RED53" s="384"/>
      <c r="REE53" s="384"/>
      <c r="REF53" s="384"/>
      <c r="REG53" s="384"/>
      <c r="REH53" s="384"/>
      <c r="REI53" s="384"/>
      <c r="REJ53" s="384"/>
      <c r="REK53" s="384"/>
      <c r="REL53" s="384"/>
      <c r="REM53" s="384"/>
      <c r="REN53" s="384"/>
      <c r="REO53" s="384"/>
      <c r="REP53" s="384"/>
      <c r="REQ53" s="384"/>
      <c r="RER53" s="384"/>
      <c r="RES53" s="384"/>
      <c r="RET53" s="384"/>
      <c r="REU53" s="384"/>
      <c r="REV53" s="384"/>
      <c r="REW53" s="384"/>
      <c r="REX53" s="384"/>
      <c r="REY53" s="384"/>
      <c r="REZ53" s="384"/>
      <c r="RFA53" s="384"/>
      <c r="RFB53" s="384"/>
      <c r="RFC53" s="384"/>
      <c r="RFD53" s="384"/>
      <c r="RFE53" s="384"/>
      <c r="RFF53" s="384"/>
      <c r="RFG53" s="384"/>
      <c r="RFH53" s="384"/>
      <c r="RFI53" s="384"/>
      <c r="RFJ53" s="384"/>
      <c r="RFK53" s="384"/>
      <c r="RFL53" s="384"/>
      <c r="RFM53" s="384"/>
      <c r="RFN53" s="384"/>
      <c r="RFO53" s="384"/>
      <c r="RFP53" s="384"/>
      <c r="RFQ53" s="384"/>
      <c r="RFR53" s="384"/>
      <c r="RFS53" s="384"/>
      <c r="RFT53" s="384"/>
      <c r="RFU53" s="384"/>
      <c r="RFV53" s="384"/>
      <c r="RFW53" s="384"/>
      <c r="RFX53" s="384"/>
      <c r="RFY53" s="384"/>
      <c r="RFZ53" s="384"/>
      <c r="RGA53" s="384"/>
      <c r="RGB53" s="384"/>
      <c r="RGC53" s="384"/>
      <c r="RGD53" s="384"/>
      <c r="RGE53" s="384"/>
      <c r="RGF53" s="384"/>
      <c r="RGG53" s="384"/>
      <c r="RGH53" s="384"/>
      <c r="RGI53" s="384"/>
      <c r="RGJ53" s="384"/>
      <c r="RGK53" s="384"/>
      <c r="RGL53" s="384"/>
      <c r="RGM53" s="384"/>
      <c r="RGN53" s="384"/>
      <c r="RGO53" s="384"/>
      <c r="RGP53" s="384"/>
      <c r="RGQ53" s="384"/>
      <c r="RGR53" s="384"/>
      <c r="RGS53" s="384"/>
      <c r="RGT53" s="384"/>
      <c r="RGU53" s="384"/>
      <c r="RGV53" s="384"/>
      <c r="RGW53" s="384"/>
      <c r="RGX53" s="384"/>
      <c r="RGY53" s="384"/>
      <c r="RGZ53" s="384"/>
      <c r="RHA53" s="384"/>
      <c r="RHB53" s="384"/>
      <c r="RHC53" s="384"/>
      <c r="RHD53" s="384"/>
      <c r="RHE53" s="384"/>
      <c r="RHF53" s="384"/>
      <c r="RHG53" s="384"/>
      <c r="RHH53" s="384"/>
      <c r="RHI53" s="384"/>
      <c r="RHJ53" s="384"/>
      <c r="RHK53" s="384"/>
      <c r="RHL53" s="384"/>
      <c r="RHM53" s="384"/>
      <c r="RHN53" s="384"/>
      <c r="RHO53" s="384"/>
      <c r="RHP53" s="384"/>
      <c r="RHQ53" s="384"/>
      <c r="RHR53" s="384"/>
      <c r="RHS53" s="384"/>
      <c r="RHT53" s="384"/>
      <c r="RHU53" s="384"/>
      <c r="RHV53" s="384"/>
      <c r="RHW53" s="384"/>
      <c r="RHX53" s="384"/>
      <c r="RHY53" s="384"/>
      <c r="RHZ53" s="384"/>
      <c r="RIA53" s="384"/>
      <c r="RIB53" s="384"/>
      <c r="RIC53" s="384"/>
      <c r="RID53" s="384"/>
      <c r="RIE53" s="384"/>
      <c r="RIF53" s="384"/>
      <c r="RIG53" s="384"/>
      <c r="RIH53" s="384"/>
      <c r="RII53" s="384"/>
      <c r="RIJ53" s="384"/>
      <c r="RIK53" s="384"/>
      <c r="RIL53" s="384"/>
      <c r="RIM53" s="384"/>
      <c r="RIN53" s="384"/>
      <c r="RIO53" s="384"/>
      <c r="RIP53" s="384"/>
      <c r="RIQ53" s="384"/>
      <c r="RIR53" s="384"/>
      <c r="RIS53" s="384"/>
      <c r="RIT53" s="384"/>
      <c r="RIU53" s="384"/>
      <c r="RIV53" s="384"/>
      <c r="RIW53" s="384"/>
      <c r="RIX53" s="384"/>
      <c r="RIY53" s="384"/>
      <c r="RIZ53" s="384"/>
      <c r="RJA53" s="384"/>
      <c r="RJB53" s="384"/>
      <c r="RJC53" s="384"/>
      <c r="RJD53" s="384"/>
      <c r="RJE53" s="384"/>
      <c r="RJF53" s="384"/>
      <c r="RJG53" s="384"/>
      <c r="RJH53" s="384"/>
      <c r="RJI53" s="384"/>
      <c r="RJJ53" s="384"/>
      <c r="RJK53" s="384"/>
      <c r="RJL53" s="384"/>
      <c r="RJM53" s="384"/>
      <c r="RJN53" s="384"/>
      <c r="RJO53" s="384"/>
      <c r="RJP53" s="384"/>
      <c r="RJQ53" s="384"/>
      <c r="RJR53" s="384"/>
      <c r="RJS53" s="384"/>
      <c r="RJT53" s="384"/>
      <c r="RJU53" s="384"/>
      <c r="RJV53" s="384"/>
      <c r="RJW53" s="384"/>
      <c r="RJX53" s="384"/>
      <c r="RJY53" s="384"/>
      <c r="RJZ53" s="384"/>
      <c r="RKA53" s="384"/>
      <c r="RKB53" s="384"/>
      <c r="RKC53" s="384"/>
      <c r="RKD53" s="384"/>
      <c r="RKE53" s="384"/>
      <c r="RKF53" s="384"/>
      <c r="RKG53" s="384"/>
      <c r="RKH53" s="384"/>
      <c r="RKI53" s="384"/>
      <c r="RKJ53" s="384"/>
      <c r="RKK53" s="384"/>
      <c r="RKL53" s="384"/>
      <c r="RKM53" s="384"/>
      <c r="RKN53" s="384"/>
      <c r="RKO53" s="384"/>
      <c r="RKP53" s="384"/>
      <c r="RKQ53" s="384"/>
      <c r="RKR53" s="384"/>
      <c r="RKS53" s="384"/>
      <c r="RKT53" s="384"/>
      <c r="RKU53" s="384"/>
      <c r="RKV53" s="384"/>
      <c r="RKW53" s="384"/>
      <c r="RKX53" s="384"/>
      <c r="RKY53" s="384"/>
      <c r="RKZ53" s="384"/>
      <c r="RLA53" s="384"/>
      <c r="RLB53" s="384"/>
      <c r="RLC53" s="384"/>
      <c r="RLD53" s="384"/>
      <c r="RLE53" s="384"/>
      <c r="RLF53" s="384"/>
      <c r="RLG53" s="384"/>
      <c r="RLH53" s="384"/>
      <c r="RLI53" s="384"/>
      <c r="RLJ53" s="384"/>
      <c r="RLK53" s="384"/>
      <c r="RLL53" s="384"/>
      <c r="RLM53" s="384"/>
      <c r="RLN53" s="384"/>
      <c r="RLO53" s="384"/>
      <c r="RLP53" s="384"/>
      <c r="RLQ53" s="384"/>
      <c r="RLR53" s="384"/>
      <c r="RLS53" s="384"/>
      <c r="RLT53" s="384"/>
      <c r="RLU53" s="384"/>
      <c r="RLV53" s="384"/>
      <c r="RLW53" s="384"/>
      <c r="RLX53" s="384"/>
      <c r="RLY53" s="384"/>
      <c r="RLZ53" s="384"/>
      <c r="RMA53" s="384"/>
      <c r="RMB53" s="384"/>
      <c r="RMC53" s="384"/>
      <c r="RMD53" s="384"/>
      <c r="RME53" s="384"/>
      <c r="RMF53" s="384"/>
      <c r="RMG53" s="384"/>
      <c r="RMH53" s="384"/>
      <c r="RMI53" s="384"/>
      <c r="RMJ53" s="384"/>
      <c r="RMK53" s="384"/>
      <c r="RML53" s="384"/>
      <c r="RMM53" s="384"/>
      <c r="RMN53" s="384"/>
      <c r="RMO53" s="384"/>
      <c r="RMP53" s="384"/>
      <c r="RMQ53" s="384"/>
      <c r="RMR53" s="384"/>
      <c r="RMS53" s="384"/>
      <c r="RMT53" s="384"/>
      <c r="RMU53" s="384"/>
      <c r="RMV53" s="384"/>
      <c r="RMW53" s="384"/>
      <c r="RMX53" s="384"/>
      <c r="RMY53" s="384"/>
      <c r="RMZ53" s="384"/>
      <c r="RNA53" s="384"/>
      <c r="RNB53" s="384"/>
      <c r="RNC53" s="384"/>
      <c r="RND53" s="384"/>
      <c r="RNE53" s="384"/>
      <c r="RNF53" s="384"/>
      <c r="RNG53" s="384"/>
      <c r="RNH53" s="384"/>
      <c r="RNI53" s="384"/>
      <c r="RNJ53" s="384"/>
      <c r="RNK53" s="384"/>
      <c r="RNL53" s="384"/>
      <c r="RNM53" s="384"/>
      <c r="RNN53" s="384"/>
      <c r="RNO53" s="384"/>
      <c r="RNP53" s="384"/>
      <c r="RNQ53" s="384"/>
      <c r="RNR53" s="384"/>
      <c r="RNS53" s="384"/>
      <c r="RNT53" s="384"/>
      <c r="RNU53" s="384"/>
      <c r="RNV53" s="384"/>
      <c r="RNW53" s="384"/>
      <c r="RNX53" s="384"/>
      <c r="RNY53" s="384"/>
      <c r="RNZ53" s="384"/>
      <c r="ROA53" s="384"/>
      <c r="ROB53" s="384"/>
      <c r="ROC53" s="384"/>
      <c r="ROD53" s="384"/>
      <c r="ROE53" s="384"/>
      <c r="ROF53" s="384"/>
      <c r="ROG53" s="384"/>
      <c r="ROH53" s="384"/>
      <c r="ROI53" s="384"/>
      <c r="ROJ53" s="384"/>
      <c r="ROK53" s="384"/>
      <c r="ROL53" s="384"/>
      <c r="ROM53" s="384"/>
      <c r="RON53" s="384"/>
      <c r="ROO53" s="384"/>
      <c r="ROP53" s="384"/>
      <c r="ROQ53" s="384"/>
      <c r="ROR53" s="384"/>
      <c r="ROS53" s="384"/>
      <c r="ROT53" s="384"/>
      <c r="ROU53" s="384"/>
      <c r="ROV53" s="384"/>
      <c r="ROW53" s="384"/>
      <c r="ROX53" s="384"/>
      <c r="ROY53" s="384"/>
      <c r="ROZ53" s="384"/>
      <c r="RPA53" s="384"/>
      <c r="RPB53" s="384"/>
      <c r="RPC53" s="384"/>
      <c r="RPD53" s="384"/>
      <c r="RPE53" s="384"/>
      <c r="RPF53" s="384"/>
      <c r="RPG53" s="384"/>
      <c r="RPH53" s="384"/>
      <c r="RPI53" s="384"/>
      <c r="RPJ53" s="384"/>
      <c r="RPK53" s="384"/>
      <c r="RPL53" s="384"/>
      <c r="RPM53" s="384"/>
      <c r="RPN53" s="384"/>
      <c r="RPO53" s="384"/>
      <c r="RPP53" s="384"/>
      <c r="RPQ53" s="384"/>
      <c r="RPR53" s="384"/>
      <c r="RPS53" s="384"/>
      <c r="RPT53" s="384"/>
      <c r="RPU53" s="384"/>
      <c r="RPV53" s="384"/>
      <c r="RPW53" s="384"/>
      <c r="RPX53" s="384"/>
      <c r="RPY53" s="384"/>
      <c r="RPZ53" s="384"/>
      <c r="RQA53" s="384"/>
      <c r="RQB53" s="384"/>
      <c r="RQC53" s="384"/>
      <c r="RQD53" s="384"/>
      <c r="RQE53" s="384"/>
      <c r="RQF53" s="384"/>
      <c r="RQG53" s="384"/>
      <c r="RQH53" s="384"/>
      <c r="RQI53" s="384"/>
      <c r="RQJ53" s="384"/>
      <c r="RQK53" s="384"/>
      <c r="RQL53" s="384"/>
      <c r="RQM53" s="384"/>
      <c r="RQN53" s="384"/>
      <c r="RQO53" s="384"/>
      <c r="RQP53" s="384"/>
      <c r="RQQ53" s="384"/>
      <c r="RQR53" s="384"/>
      <c r="RQS53" s="384"/>
      <c r="RQT53" s="384"/>
      <c r="RQU53" s="384"/>
      <c r="RQV53" s="384"/>
      <c r="RQW53" s="384"/>
      <c r="RQX53" s="384"/>
      <c r="RQY53" s="384"/>
      <c r="RQZ53" s="384"/>
      <c r="RRA53" s="384"/>
      <c r="RRB53" s="384"/>
      <c r="RRC53" s="384"/>
      <c r="RRD53" s="384"/>
      <c r="RRE53" s="384"/>
      <c r="RRF53" s="384"/>
      <c r="RRG53" s="384"/>
      <c r="RRH53" s="384"/>
      <c r="RRI53" s="384"/>
      <c r="RRJ53" s="384"/>
      <c r="RRK53" s="384"/>
      <c r="RRL53" s="384"/>
      <c r="RRM53" s="384"/>
      <c r="RRN53" s="384"/>
      <c r="RRO53" s="384"/>
      <c r="RRP53" s="384"/>
      <c r="RRQ53" s="384"/>
      <c r="RRR53" s="384"/>
      <c r="RRS53" s="384"/>
      <c r="RRT53" s="384"/>
      <c r="RRU53" s="384"/>
      <c r="RRV53" s="384"/>
      <c r="RRW53" s="384"/>
      <c r="RRX53" s="384"/>
      <c r="RRY53" s="384"/>
      <c r="RRZ53" s="384"/>
      <c r="RSA53" s="384"/>
      <c r="RSB53" s="384"/>
      <c r="RSC53" s="384"/>
      <c r="RSD53" s="384"/>
      <c r="RSE53" s="384"/>
      <c r="RSF53" s="384"/>
      <c r="RSG53" s="384"/>
      <c r="RSH53" s="384"/>
      <c r="RSI53" s="384"/>
      <c r="RSJ53" s="384"/>
      <c r="RSK53" s="384"/>
      <c r="RSL53" s="384"/>
      <c r="RSM53" s="384"/>
      <c r="RSN53" s="384"/>
      <c r="RSO53" s="384"/>
      <c r="RSP53" s="384"/>
      <c r="RSQ53" s="384"/>
      <c r="RSR53" s="384"/>
      <c r="RSS53" s="384"/>
      <c r="RST53" s="384"/>
      <c r="RSU53" s="384"/>
      <c r="RSV53" s="384"/>
      <c r="RSW53" s="384"/>
      <c r="RSX53" s="384"/>
      <c r="RSY53" s="384"/>
      <c r="RSZ53" s="384"/>
      <c r="RTA53" s="384"/>
      <c r="RTB53" s="384"/>
      <c r="RTC53" s="384"/>
      <c r="RTD53" s="384"/>
      <c r="RTE53" s="384"/>
      <c r="RTF53" s="384"/>
      <c r="RTG53" s="384"/>
      <c r="RTH53" s="384"/>
      <c r="RTI53" s="384"/>
      <c r="RTJ53" s="384"/>
      <c r="RTK53" s="384"/>
      <c r="RTL53" s="384"/>
      <c r="RTM53" s="384"/>
      <c r="RTN53" s="384"/>
      <c r="RTO53" s="384"/>
      <c r="RTP53" s="384"/>
      <c r="RTQ53" s="384"/>
      <c r="RTR53" s="384"/>
      <c r="RTS53" s="384"/>
      <c r="RTT53" s="384"/>
      <c r="RTU53" s="384"/>
      <c r="RTV53" s="384"/>
      <c r="RTW53" s="384"/>
      <c r="RTX53" s="384"/>
      <c r="RTY53" s="384"/>
      <c r="RTZ53" s="384"/>
      <c r="RUA53" s="384"/>
      <c r="RUB53" s="384"/>
      <c r="RUC53" s="384"/>
      <c r="RUD53" s="384"/>
      <c r="RUE53" s="384"/>
      <c r="RUF53" s="384"/>
      <c r="RUG53" s="384"/>
      <c r="RUH53" s="384"/>
      <c r="RUI53" s="384"/>
      <c r="RUJ53" s="384"/>
      <c r="RUK53" s="384"/>
      <c r="RUL53" s="384"/>
      <c r="RUM53" s="384"/>
      <c r="RUN53" s="384"/>
      <c r="RUO53" s="384"/>
      <c r="RUP53" s="384"/>
      <c r="RUQ53" s="384"/>
      <c r="RUR53" s="384"/>
      <c r="RUS53" s="384"/>
      <c r="RUT53" s="384"/>
      <c r="RUU53" s="384"/>
      <c r="RUV53" s="384"/>
      <c r="RUW53" s="384"/>
      <c r="RUX53" s="384"/>
      <c r="RUY53" s="384"/>
      <c r="RUZ53" s="384"/>
      <c r="RVA53" s="384"/>
      <c r="RVB53" s="384"/>
      <c r="RVC53" s="384"/>
      <c r="RVD53" s="384"/>
      <c r="RVE53" s="384"/>
      <c r="RVF53" s="384"/>
      <c r="RVG53" s="384"/>
      <c r="RVH53" s="384"/>
      <c r="RVI53" s="384"/>
      <c r="RVJ53" s="384"/>
      <c r="RVK53" s="384"/>
      <c r="RVL53" s="384"/>
      <c r="RVM53" s="384"/>
      <c r="RVN53" s="384"/>
      <c r="RVO53" s="384"/>
      <c r="RVP53" s="384"/>
      <c r="RVQ53" s="384"/>
      <c r="RVR53" s="384"/>
      <c r="RVS53" s="384"/>
      <c r="RVT53" s="384"/>
      <c r="RVU53" s="384"/>
      <c r="RVV53" s="384"/>
      <c r="RVW53" s="384"/>
      <c r="RVX53" s="384"/>
      <c r="RVY53" s="384"/>
      <c r="RVZ53" s="384"/>
      <c r="RWA53" s="384"/>
      <c r="RWB53" s="384"/>
      <c r="RWC53" s="384"/>
      <c r="RWD53" s="384"/>
      <c r="RWE53" s="384"/>
      <c r="RWF53" s="384"/>
      <c r="RWG53" s="384"/>
      <c r="RWH53" s="384"/>
      <c r="RWI53" s="384"/>
      <c r="RWJ53" s="384"/>
      <c r="RWK53" s="384"/>
      <c r="RWL53" s="384"/>
      <c r="RWM53" s="384"/>
      <c r="RWN53" s="384"/>
      <c r="RWO53" s="384"/>
      <c r="RWP53" s="384"/>
      <c r="RWQ53" s="384"/>
      <c r="RWR53" s="384"/>
      <c r="RWS53" s="384"/>
      <c r="RWT53" s="384"/>
      <c r="RWU53" s="384"/>
      <c r="RWV53" s="384"/>
      <c r="RWW53" s="384"/>
      <c r="RWX53" s="384"/>
      <c r="RWY53" s="384"/>
      <c r="RWZ53" s="384"/>
      <c r="RXA53" s="384"/>
      <c r="RXB53" s="384"/>
      <c r="RXC53" s="384"/>
      <c r="RXD53" s="384"/>
      <c r="RXE53" s="384"/>
      <c r="RXF53" s="384"/>
      <c r="RXG53" s="384"/>
      <c r="RXH53" s="384"/>
      <c r="RXI53" s="384"/>
      <c r="RXJ53" s="384"/>
      <c r="RXK53" s="384"/>
      <c r="RXL53" s="384"/>
      <c r="RXM53" s="384"/>
      <c r="RXN53" s="384"/>
      <c r="RXO53" s="384"/>
      <c r="RXP53" s="384"/>
      <c r="RXQ53" s="384"/>
      <c r="RXR53" s="384"/>
      <c r="RXS53" s="384"/>
      <c r="RXT53" s="384"/>
      <c r="RXU53" s="384"/>
      <c r="RXV53" s="384"/>
      <c r="RXW53" s="384"/>
      <c r="RXX53" s="384"/>
      <c r="RXY53" s="384"/>
      <c r="RXZ53" s="384"/>
      <c r="RYA53" s="384"/>
      <c r="RYB53" s="384"/>
      <c r="RYC53" s="384"/>
      <c r="RYD53" s="384"/>
      <c r="RYE53" s="384"/>
      <c r="RYF53" s="384"/>
      <c r="RYG53" s="384"/>
      <c r="RYH53" s="384"/>
      <c r="RYI53" s="384"/>
      <c r="RYJ53" s="384"/>
      <c r="RYK53" s="384"/>
      <c r="RYL53" s="384"/>
      <c r="RYM53" s="384"/>
      <c r="RYN53" s="384"/>
      <c r="RYO53" s="384"/>
      <c r="RYP53" s="384"/>
      <c r="RYQ53" s="384"/>
      <c r="RYR53" s="384"/>
      <c r="RYS53" s="384"/>
      <c r="RYT53" s="384"/>
      <c r="RYU53" s="384"/>
      <c r="RYV53" s="384"/>
      <c r="RYW53" s="384"/>
      <c r="RYX53" s="384"/>
      <c r="RYY53" s="384"/>
      <c r="RYZ53" s="384"/>
      <c r="RZA53" s="384"/>
      <c r="RZB53" s="384"/>
      <c r="RZC53" s="384"/>
      <c r="RZD53" s="384"/>
      <c r="RZE53" s="384"/>
      <c r="RZF53" s="384"/>
      <c r="RZG53" s="384"/>
      <c r="RZH53" s="384"/>
      <c r="RZI53" s="384"/>
      <c r="RZJ53" s="384"/>
      <c r="RZK53" s="384"/>
      <c r="RZL53" s="384"/>
      <c r="RZM53" s="384"/>
      <c r="RZN53" s="384"/>
      <c r="RZO53" s="384"/>
      <c r="RZP53" s="384"/>
      <c r="RZQ53" s="384"/>
      <c r="RZR53" s="384"/>
      <c r="RZS53" s="384"/>
      <c r="RZT53" s="384"/>
      <c r="RZU53" s="384"/>
      <c r="RZV53" s="384"/>
      <c r="RZW53" s="384"/>
      <c r="RZX53" s="384"/>
      <c r="RZY53" s="384"/>
      <c r="RZZ53" s="384"/>
      <c r="SAA53" s="384"/>
      <c r="SAB53" s="384"/>
      <c r="SAC53" s="384"/>
      <c r="SAD53" s="384"/>
      <c r="SAE53" s="384"/>
      <c r="SAF53" s="384"/>
      <c r="SAG53" s="384"/>
      <c r="SAH53" s="384"/>
      <c r="SAI53" s="384"/>
      <c r="SAJ53" s="384"/>
      <c r="SAK53" s="384"/>
      <c r="SAL53" s="384"/>
      <c r="SAM53" s="384"/>
      <c r="SAN53" s="384"/>
      <c r="SAO53" s="384"/>
      <c r="SAP53" s="384"/>
      <c r="SAQ53" s="384"/>
      <c r="SAR53" s="384"/>
      <c r="SAS53" s="384"/>
      <c r="SAT53" s="384"/>
      <c r="SAU53" s="384"/>
      <c r="SAV53" s="384"/>
      <c r="SAW53" s="384"/>
      <c r="SAX53" s="384"/>
      <c r="SAY53" s="384"/>
      <c r="SAZ53" s="384"/>
      <c r="SBA53" s="384"/>
      <c r="SBB53" s="384"/>
      <c r="SBC53" s="384"/>
      <c r="SBD53" s="384"/>
      <c r="SBE53" s="384"/>
      <c r="SBF53" s="384"/>
      <c r="SBG53" s="384"/>
      <c r="SBH53" s="384"/>
      <c r="SBI53" s="384"/>
      <c r="SBJ53" s="384"/>
      <c r="SBK53" s="384"/>
      <c r="SBL53" s="384"/>
      <c r="SBM53" s="384"/>
      <c r="SBN53" s="384"/>
      <c r="SBO53" s="384"/>
      <c r="SBP53" s="384"/>
      <c r="SBQ53" s="384"/>
      <c r="SBR53" s="384"/>
      <c r="SBS53" s="384"/>
      <c r="SBT53" s="384"/>
      <c r="SBU53" s="384"/>
      <c r="SBV53" s="384"/>
      <c r="SBW53" s="384"/>
      <c r="SBX53" s="384"/>
      <c r="SBY53" s="384"/>
      <c r="SBZ53" s="384"/>
      <c r="SCA53" s="384"/>
      <c r="SCB53" s="384"/>
      <c r="SCC53" s="384"/>
      <c r="SCD53" s="384"/>
      <c r="SCE53" s="384"/>
      <c r="SCF53" s="384"/>
      <c r="SCG53" s="384"/>
      <c r="SCH53" s="384"/>
      <c r="SCI53" s="384"/>
      <c r="SCJ53" s="384"/>
      <c r="SCK53" s="384"/>
      <c r="SCL53" s="384"/>
      <c r="SCM53" s="384"/>
      <c r="SCN53" s="384"/>
      <c r="SCO53" s="384"/>
      <c r="SCP53" s="384"/>
      <c r="SCQ53" s="384"/>
      <c r="SCR53" s="384"/>
      <c r="SCS53" s="384"/>
      <c r="SCT53" s="384"/>
      <c r="SCU53" s="384"/>
      <c r="SCV53" s="384"/>
      <c r="SCW53" s="384"/>
      <c r="SCX53" s="384"/>
      <c r="SCY53" s="384"/>
      <c r="SCZ53" s="384"/>
      <c r="SDA53" s="384"/>
      <c r="SDB53" s="384"/>
      <c r="SDC53" s="384"/>
      <c r="SDD53" s="384"/>
      <c r="SDE53" s="384"/>
      <c r="SDF53" s="384"/>
      <c r="SDG53" s="384"/>
      <c r="SDH53" s="384"/>
      <c r="SDI53" s="384"/>
      <c r="SDJ53" s="384"/>
      <c r="SDK53" s="384"/>
      <c r="SDL53" s="384"/>
      <c r="SDM53" s="384"/>
      <c r="SDN53" s="384"/>
      <c r="SDO53" s="384"/>
      <c r="SDP53" s="384"/>
      <c r="SDQ53" s="384"/>
      <c r="SDR53" s="384"/>
      <c r="SDS53" s="384"/>
      <c r="SDT53" s="384"/>
      <c r="SDU53" s="384"/>
      <c r="SDV53" s="384"/>
      <c r="SDW53" s="384"/>
      <c r="SDX53" s="384"/>
      <c r="SDY53" s="384"/>
      <c r="SDZ53" s="384"/>
      <c r="SEA53" s="384"/>
      <c r="SEB53" s="384"/>
      <c r="SEC53" s="384"/>
      <c r="SED53" s="384"/>
      <c r="SEE53" s="384"/>
      <c r="SEF53" s="384"/>
      <c r="SEG53" s="384"/>
      <c r="SEH53" s="384"/>
      <c r="SEI53" s="384"/>
      <c r="SEJ53" s="384"/>
      <c r="SEK53" s="384"/>
      <c r="SEL53" s="384"/>
      <c r="SEM53" s="384"/>
      <c r="SEN53" s="384"/>
      <c r="SEO53" s="384"/>
      <c r="SEP53" s="384"/>
      <c r="SEQ53" s="384"/>
      <c r="SER53" s="384"/>
      <c r="SES53" s="384"/>
      <c r="SET53" s="384"/>
      <c r="SEU53" s="384"/>
      <c r="SEV53" s="384"/>
      <c r="SEW53" s="384"/>
      <c r="SEX53" s="384"/>
      <c r="SEY53" s="384"/>
      <c r="SEZ53" s="384"/>
      <c r="SFA53" s="384"/>
      <c r="SFB53" s="384"/>
      <c r="SFC53" s="384"/>
      <c r="SFD53" s="384"/>
      <c r="SFE53" s="384"/>
      <c r="SFF53" s="384"/>
      <c r="SFG53" s="384"/>
      <c r="SFH53" s="384"/>
      <c r="SFI53" s="384"/>
      <c r="SFJ53" s="384"/>
      <c r="SFK53" s="384"/>
      <c r="SFL53" s="384"/>
      <c r="SFM53" s="384"/>
      <c r="SFN53" s="384"/>
      <c r="SFO53" s="384"/>
      <c r="SFP53" s="384"/>
      <c r="SFQ53" s="384"/>
      <c r="SFR53" s="384"/>
      <c r="SFS53" s="384"/>
      <c r="SFT53" s="384"/>
      <c r="SFU53" s="384"/>
      <c r="SFV53" s="384"/>
      <c r="SFW53" s="384"/>
      <c r="SFX53" s="384"/>
      <c r="SFY53" s="384"/>
      <c r="SFZ53" s="384"/>
      <c r="SGA53" s="384"/>
      <c r="SGB53" s="384"/>
      <c r="SGC53" s="384"/>
      <c r="SGD53" s="384"/>
      <c r="SGE53" s="384"/>
      <c r="SGF53" s="384"/>
      <c r="SGG53" s="384"/>
      <c r="SGH53" s="384"/>
      <c r="SGI53" s="384"/>
      <c r="SGJ53" s="384"/>
      <c r="SGK53" s="384"/>
      <c r="SGL53" s="384"/>
      <c r="SGM53" s="384"/>
      <c r="SGN53" s="384"/>
      <c r="SGO53" s="384"/>
      <c r="SGP53" s="384"/>
      <c r="SGQ53" s="384"/>
      <c r="SGR53" s="384"/>
      <c r="SGS53" s="384"/>
      <c r="SGT53" s="384"/>
      <c r="SGU53" s="384"/>
      <c r="SGV53" s="384"/>
      <c r="SGW53" s="384"/>
      <c r="SGX53" s="384"/>
      <c r="SGY53" s="384"/>
      <c r="SGZ53" s="384"/>
      <c r="SHA53" s="384"/>
      <c r="SHB53" s="384"/>
      <c r="SHC53" s="384"/>
      <c r="SHD53" s="384"/>
      <c r="SHE53" s="384"/>
      <c r="SHF53" s="384"/>
      <c r="SHG53" s="384"/>
      <c r="SHH53" s="384"/>
      <c r="SHI53" s="384"/>
      <c r="SHJ53" s="384"/>
      <c r="SHK53" s="384"/>
      <c r="SHL53" s="384"/>
      <c r="SHM53" s="384"/>
      <c r="SHN53" s="384"/>
      <c r="SHO53" s="384"/>
      <c r="SHP53" s="384"/>
      <c r="SHQ53" s="384"/>
      <c r="SHR53" s="384"/>
      <c r="SHS53" s="384"/>
      <c r="SHT53" s="384"/>
      <c r="SHU53" s="384"/>
      <c r="SHV53" s="384"/>
      <c r="SHW53" s="384"/>
      <c r="SHX53" s="384"/>
      <c r="SHY53" s="384"/>
      <c r="SHZ53" s="384"/>
      <c r="SIA53" s="384"/>
      <c r="SIB53" s="384"/>
      <c r="SIC53" s="384"/>
      <c r="SID53" s="384"/>
      <c r="SIE53" s="384"/>
      <c r="SIF53" s="384"/>
      <c r="SIG53" s="384"/>
      <c r="SIH53" s="384"/>
      <c r="SII53" s="384"/>
      <c r="SIJ53" s="384"/>
      <c r="SIK53" s="384"/>
      <c r="SIL53" s="384"/>
      <c r="SIM53" s="384"/>
      <c r="SIN53" s="384"/>
      <c r="SIO53" s="384"/>
      <c r="SIP53" s="384"/>
      <c r="SIQ53" s="384"/>
      <c r="SIR53" s="384"/>
      <c r="SIS53" s="384"/>
      <c r="SIT53" s="384"/>
      <c r="SIU53" s="384"/>
      <c r="SIV53" s="384"/>
      <c r="SIW53" s="384"/>
      <c r="SIX53" s="384"/>
      <c r="SIY53" s="384"/>
      <c r="SIZ53" s="384"/>
      <c r="SJA53" s="384"/>
      <c r="SJB53" s="384"/>
      <c r="SJC53" s="384"/>
      <c r="SJD53" s="384"/>
      <c r="SJE53" s="384"/>
      <c r="SJF53" s="384"/>
      <c r="SJG53" s="384"/>
      <c r="SJH53" s="384"/>
      <c r="SJI53" s="384"/>
      <c r="SJJ53" s="384"/>
      <c r="SJK53" s="384"/>
      <c r="SJL53" s="384"/>
      <c r="SJM53" s="384"/>
      <c r="SJN53" s="384"/>
      <c r="SJO53" s="384"/>
      <c r="SJP53" s="384"/>
      <c r="SJQ53" s="384"/>
      <c r="SJR53" s="384"/>
      <c r="SJS53" s="384"/>
      <c r="SJT53" s="384"/>
      <c r="SJU53" s="384"/>
      <c r="SJV53" s="384"/>
      <c r="SJW53" s="384"/>
      <c r="SJX53" s="384"/>
      <c r="SJY53" s="384"/>
      <c r="SJZ53" s="384"/>
      <c r="SKA53" s="384"/>
      <c r="SKB53" s="384"/>
      <c r="SKC53" s="384"/>
      <c r="SKD53" s="384"/>
      <c r="SKE53" s="384"/>
      <c r="SKF53" s="384"/>
      <c r="SKG53" s="384"/>
      <c r="SKH53" s="384"/>
      <c r="SKI53" s="384"/>
      <c r="SKJ53" s="384"/>
      <c r="SKK53" s="384"/>
      <c r="SKL53" s="384"/>
      <c r="SKM53" s="384"/>
      <c r="SKN53" s="384"/>
      <c r="SKO53" s="384"/>
      <c r="SKP53" s="384"/>
      <c r="SKQ53" s="384"/>
      <c r="SKR53" s="384"/>
      <c r="SKS53" s="384"/>
      <c r="SKT53" s="384"/>
      <c r="SKU53" s="384"/>
      <c r="SKV53" s="384"/>
      <c r="SKW53" s="384"/>
      <c r="SKX53" s="384"/>
      <c r="SKY53" s="384"/>
      <c r="SKZ53" s="384"/>
      <c r="SLA53" s="384"/>
      <c r="SLB53" s="384"/>
      <c r="SLC53" s="384"/>
      <c r="SLD53" s="384"/>
      <c r="SLE53" s="384"/>
      <c r="SLF53" s="384"/>
      <c r="SLG53" s="384"/>
      <c r="SLH53" s="384"/>
      <c r="SLI53" s="384"/>
      <c r="SLJ53" s="384"/>
      <c r="SLK53" s="384"/>
      <c r="SLL53" s="384"/>
      <c r="SLM53" s="384"/>
      <c r="SLN53" s="384"/>
      <c r="SLO53" s="384"/>
      <c r="SLP53" s="384"/>
      <c r="SLQ53" s="384"/>
      <c r="SLR53" s="384"/>
      <c r="SLS53" s="384"/>
      <c r="SLT53" s="384"/>
      <c r="SLU53" s="384"/>
      <c r="SLV53" s="384"/>
      <c r="SLW53" s="384"/>
      <c r="SLX53" s="384"/>
      <c r="SLY53" s="384"/>
      <c r="SLZ53" s="384"/>
      <c r="SMA53" s="384"/>
      <c r="SMB53" s="384"/>
      <c r="SMC53" s="384"/>
      <c r="SMD53" s="384"/>
      <c r="SME53" s="384"/>
      <c r="SMF53" s="384"/>
      <c r="SMG53" s="384"/>
      <c r="SMH53" s="384"/>
      <c r="SMI53" s="384"/>
      <c r="SMJ53" s="384"/>
      <c r="SMK53" s="384"/>
      <c r="SML53" s="384"/>
      <c r="SMM53" s="384"/>
      <c r="SMN53" s="384"/>
      <c r="SMO53" s="384"/>
      <c r="SMP53" s="384"/>
      <c r="SMQ53" s="384"/>
      <c r="SMR53" s="384"/>
      <c r="SMS53" s="384"/>
      <c r="SMT53" s="384"/>
      <c r="SMU53" s="384"/>
      <c r="SMV53" s="384"/>
      <c r="SMW53" s="384"/>
      <c r="SMX53" s="384"/>
      <c r="SMY53" s="384"/>
      <c r="SMZ53" s="384"/>
      <c r="SNA53" s="384"/>
      <c r="SNB53" s="384"/>
      <c r="SNC53" s="384"/>
      <c r="SND53" s="384"/>
      <c r="SNE53" s="384"/>
      <c r="SNF53" s="384"/>
      <c r="SNG53" s="384"/>
      <c r="SNH53" s="384"/>
      <c r="SNI53" s="384"/>
      <c r="SNJ53" s="384"/>
      <c r="SNK53" s="384"/>
      <c r="SNL53" s="384"/>
      <c r="SNM53" s="384"/>
      <c r="SNN53" s="384"/>
      <c r="SNO53" s="384"/>
      <c r="SNP53" s="384"/>
      <c r="SNQ53" s="384"/>
      <c r="SNR53" s="384"/>
      <c r="SNS53" s="384"/>
      <c r="SNT53" s="384"/>
      <c r="SNU53" s="384"/>
      <c r="SNV53" s="384"/>
      <c r="SNW53" s="384"/>
      <c r="SNX53" s="384"/>
      <c r="SNY53" s="384"/>
      <c r="SNZ53" s="384"/>
      <c r="SOA53" s="384"/>
      <c r="SOB53" s="384"/>
      <c r="SOC53" s="384"/>
      <c r="SOD53" s="384"/>
      <c r="SOE53" s="384"/>
      <c r="SOF53" s="384"/>
      <c r="SOG53" s="384"/>
      <c r="SOH53" s="384"/>
      <c r="SOI53" s="384"/>
      <c r="SOJ53" s="384"/>
      <c r="SOK53" s="384"/>
      <c r="SOL53" s="384"/>
      <c r="SOM53" s="384"/>
      <c r="SON53" s="384"/>
      <c r="SOO53" s="384"/>
      <c r="SOP53" s="384"/>
      <c r="SOQ53" s="384"/>
      <c r="SOR53" s="384"/>
      <c r="SOS53" s="384"/>
      <c r="SOT53" s="384"/>
      <c r="SOU53" s="384"/>
      <c r="SOV53" s="384"/>
      <c r="SOW53" s="384"/>
      <c r="SOX53" s="384"/>
      <c r="SOY53" s="384"/>
      <c r="SOZ53" s="384"/>
      <c r="SPA53" s="384"/>
      <c r="SPB53" s="384"/>
      <c r="SPC53" s="384"/>
      <c r="SPD53" s="384"/>
      <c r="SPE53" s="384"/>
      <c r="SPF53" s="384"/>
      <c r="SPG53" s="384"/>
      <c r="SPH53" s="384"/>
      <c r="SPI53" s="384"/>
      <c r="SPJ53" s="384"/>
      <c r="SPK53" s="384"/>
      <c r="SPL53" s="384"/>
      <c r="SPM53" s="384"/>
      <c r="SPN53" s="384"/>
      <c r="SPO53" s="384"/>
      <c r="SPP53" s="384"/>
      <c r="SPQ53" s="384"/>
      <c r="SPR53" s="384"/>
      <c r="SPS53" s="384"/>
      <c r="SPT53" s="384"/>
      <c r="SPU53" s="384"/>
      <c r="SPV53" s="384"/>
      <c r="SPW53" s="384"/>
      <c r="SPX53" s="384"/>
      <c r="SPY53" s="384"/>
      <c r="SPZ53" s="384"/>
      <c r="SQA53" s="384"/>
      <c r="SQB53" s="384"/>
      <c r="SQC53" s="384"/>
      <c r="SQD53" s="384"/>
      <c r="SQE53" s="384"/>
      <c r="SQF53" s="384"/>
      <c r="SQG53" s="384"/>
      <c r="SQH53" s="384"/>
      <c r="SQI53" s="384"/>
      <c r="SQJ53" s="384"/>
      <c r="SQK53" s="384"/>
      <c r="SQL53" s="384"/>
      <c r="SQM53" s="384"/>
      <c r="SQN53" s="384"/>
      <c r="SQO53" s="384"/>
      <c r="SQP53" s="384"/>
      <c r="SQQ53" s="384"/>
      <c r="SQR53" s="384"/>
      <c r="SQS53" s="384"/>
      <c r="SQT53" s="384"/>
      <c r="SQU53" s="384"/>
      <c r="SQV53" s="384"/>
      <c r="SQW53" s="384"/>
      <c r="SQX53" s="384"/>
      <c r="SQY53" s="384"/>
      <c r="SQZ53" s="384"/>
      <c r="SRA53" s="384"/>
      <c r="SRB53" s="384"/>
      <c r="SRC53" s="384"/>
      <c r="SRD53" s="384"/>
      <c r="SRE53" s="384"/>
      <c r="SRF53" s="384"/>
      <c r="SRG53" s="384"/>
      <c r="SRH53" s="384"/>
      <c r="SRI53" s="384"/>
      <c r="SRJ53" s="384"/>
      <c r="SRK53" s="384"/>
      <c r="SRL53" s="384"/>
      <c r="SRM53" s="384"/>
      <c r="SRN53" s="384"/>
      <c r="SRO53" s="384"/>
      <c r="SRP53" s="384"/>
      <c r="SRQ53" s="384"/>
      <c r="SRR53" s="384"/>
      <c r="SRS53" s="384"/>
      <c r="SRT53" s="384"/>
      <c r="SRU53" s="384"/>
      <c r="SRV53" s="384"/>
      <c r="SRW53" s="384"/>
      <c r="SRX53" s="384"/>
      <c r="SRY53" s="384"/>
      <c r="SRZ53" s="384"/>
      <c r="SSA53" s="384"/>
      <c r="SSB53" s="384"/>
      <c r="SSC53" s="384"/>
      <c r="SSD53" s="384"/>
      <c r="SSE53" s="384"/>
      <c r="SSF53" s="384"/>
      <c r="SSG53" s="384"/>
      <c r="SSH53" s="384"/>
      <c r="SSI53" s="384"/>
      <c r="SSJ53" s="384"/>
      <c r="SSK53" s="384"/>
      <c r="SSL53" s="384"/>
      <c r="SSM53" s="384"/>
      <c r="SSN53" s="384"/>
      <c r="SSO53" s="384"/>
      <c r="SSP53" s="384"/>
      <c r="SSQ53" s="384"/>
      <c r="SSR53" s="384"/>
      <c r="SSS53" s="384"/>
      <c r="SST53" s="384"/>
      <c r="SSU53" s="384"/>
      <c r="SSV53" s="384"/>
      <c r="SSW53" s="384"/>
      <c r="SSX53" s="384"/>
      <c r="SSY53" s="384"/>
      <c r="SSZ53" s="384"/>
      <c r="STA53" s="384"/>
      <c r="STB53" s="384"/>
      <c r="STC53" s="384"/>
      <c r="STD53" s="384"/>
      <c r="STE53" s="384"/>
      <c r="STF53" s="384"/>
      <c r="STG53" s="384"/>
      <c r="STH53" s="384"/>
      <c r="STI53" s="384"/>
      <c r="STJ53" s="384"/>
      <c r="STK53" s="384"/>
      <c r="STL53" s="384"/>
      <c r="STM53" s="384"/>
      <c r="STN53" s="384"/>
      <c r="STO53" s="384"/>
      <c r="STP53" s="384"/>
      <c r="STQ53" s="384"/>
      <c r="STR53" s="384"/>
      <c r="STS53" s="384"/>
      <c r="STT53" s="384"/>
      <c r="STU53" s="384"/>
      <c r="STV53" s="384"/>
      <c r="STW53" s="384"/>
      <c r="STX53" s="384"/>
      <c r="STY53" s="384"/>
      <c r="STZ53" s="384"/>
      <c r="SUA53" s="384"/>
      <c r="SUB53" s="384"/>
      <c r="SUC53" s="384"/>
      <c r="SUD53" s="384"/>
      <c r="SUE53" s="384"/>
      <c r="SUF53" s="384"/>
      <c r="SUG53" s="384"/>
      <c r="SUH53" s="384"/>
      <c r="SUI53" s="384"/>
      <c r="SUJ53" s="384"/>
      <c r="SUK53" s="384"/>
      <c r="SUL53" s="384"/>
      <c r="SUM53" s="384"/>
      <c r="SUN53" s="384"/>
      <c r="SUO53" s="384"/>
      <c r="SUP53" s="384"/>
      <c r="SUQ53" s="384"/>
      <c r="SUR53" s="384"/>
      <c r="SUS53" s="384"/>
      <c r="SUT53" s="384"/>
      <c r="SUU53" s="384"/>
      <c r="SUV53" s="384"/>
      <c r="SUW53" s="384"/>
      <c r="SUX53" s="384"/>
      <c r="SUY53" s="384"/>
      <c r="SUZ53" s="384"/>
      <c r="SVA53" s="384"/>
      <c r="SVB53" s="384"/>
      <c r="SVC53" s="384"/>
      <c r="SVD53" s="384"/>
      <c r="SVE53" s="384"/>
      <c r="SVF53" s="384"/>
      <c r="SVG53" s="384"/>
      <c r="SVH53" s="384"/>
      <c r="SVI53" s="384"/>
      <c r="SVJ53" s="384"/>
      <c r="SVK53" s="384"/>
      <c r="SVL53" s="384"/>
      <c r="SVM53" s="384"/>
      <c r="SVN53" s="384"/>
      <c r="SVO53" s="384"/>
      <c r="SVP53" s="384"/>
      <c r="SVQ53" s="384"/>
      <c r="SVR53" s="384"/>
      <c r="SVS53" s="384"/>
      <c r="SVT53" s="384"/>
      <c r="SVU53" s="384"/>
      <c r="SVV53" s="384"/>
      <c r="SVW53" s="384"/>
      <c r="SVX53" s="384"/>
      <c r="SVY53" s="384"/>
      <c r="SVZ53" s="384"/>
      <c r="SWA53" s="384"/>
      <c r="SWB53" s="384"/>
      <c r="SWC53" s="384"/>
      <c r="SWD53" s="384"/>
      <c r="SWE53" s="384"/>
      <c r="SWF53" s="384"/>
      <c r="SWG53" s="384"/>
      <c r="SWH53" s="384"/>
      <c r="SWI53" s="384"/>
      <c r="SWJ53" s="384"/>
      <c r="SWK53" s="384"/>
      <c r="SWL53" s="384"/>
      <c r="SWM53" s="384"/>
      <c r="SWN53" s="384"/>
      <c r="SWO53" s="384"/>
      <c r="SWP53" s="384"/>
      <c r="SWQ53" s="384"/>
      <c r="SWR53" s="384"/>
      <c r="SWS53" s="384"/>
      <c r="SWT53" s="384"/>
      <c r="SWU53" s="384"/>
      <c r="SWV53" s="384"/>
      <c r="SWW53" s="384"/>
      <c r="SWX53" s="384"/>
      <c r="SWY53" s="384"/>
      <c r="SWZ53" s="384"/>
      <c r="SXA53" s="384"/>
      <c r="SXB53" s="384"/>
      <c r="SXC53" s="384"/>
      <c r="SXD53" s="384"/>
      <c r="SXE53" s="384"/>
      <c r="SXF53" s="384"/>
      <c r="SXG53" s="384"/>
      <c r="SXH53" s="384"/>
      <c r="SXI53" s="384"/>
      <c r="SXJ53" s="384"/>
      <c r="SXK53" s="384"/>
      <c r="SXL53" s="384"/>
      <c r="SXM53" s="384"/>
      <c r="SXN53" s="384"/>
      <c r="SXO53" s="384"/>
      <c r="SXP53" s="384"/>
      <c r="SXQ53" s="384"/>
      <c r="SXR53" s="384"/>
      <c r="SXS53" s="384"/>
      <c r="SXT53" s="384"/>
      <c r="SXU53" s="384"/>
      <c r="SXV53" s="384"/>
      <c r="SXW53" s="384"/>
      <c r="SXX53" s="384"/>
      <c r="SXY53" s="384"/>
      <c r="SXZ53" s="384"/>
      <c r="SYA53" s="384"/>
      <c r="SYB53" s="384"/>
      <c r="SYC53" s="384"/>
      <c r="SYD53" s="384"/>
      <c r="SYE53" s="384"/>
      <c r="SYF53" s="384"/>
      <c r="SYG53" s="384"/>
      <c r="SYH53" s="384"/>
      <c r="SYI53" s="384"/>
      <c r="SYJ53" s="384"/>
      <c r="SYK53" s="384"/>
      <c r="SYL53" s="384"/>
      <c r="SYM53" s="384"/>
      <c r="SYN53" s="384"/>
      <c r="SYO53" s="384"/>
      <c r="SYP53" s="384"/>
      <c r="SYQ53" s="384"/>
      <c r="SYR53" s="384"/>
      <c r="SYS53" s="384"/>
      <c r="SYT53" s="384"/>
      <c r="SYU53" s="384"/>
      <c r="SYV53" s="384"/>
      <c r="SYW53" s="384"/>
      <c r="SYX53" s="384"/>
      <c r="SYY53" s="384"/>
      <c r="SYZ53" s="384"/>
      <c r="SZA53" s="384"/>
      <c r="SZB53" s="384"/>
      <c r="SZC53" s="384"/>
      <c r="SZD53" s="384"/>
      <c r="SZE53" s="384"/>
      <c r="SZF53" s="384"/>
      <c r="SZG53" s="384"/>
      <c r="SZH53" s="384"/>
      <c r="SZI53" s="384"/>
      <c r="SZJ53" s="384"/>
      <c r="SZK53" s="384"/>
      <c r="SZL53" s="384"/>
      <c r="SZM53" s="384"/>
      <c r="SZN53" s="384"/>
      <c r="SZO53" s="384"/>
      <c r="SZP53" s="384"/>
      <c r="SZQ53" s="384"/>
      <c r="SZR53" s="384"/>
      <c r="SZS53" s="384"/>
      <c r="SZT53" s="384"/>
      <c r="SZU53" s="384"/>
      <c r="SZV53" s="384"/>
      <c r="SZW53" s="384"/>
      <c r="SZX53" s="384"/>
      <c r="SZY53" s="384"/>
      <c r="SZZ53" s="384"/>
      <c r="TAA53" s="384"/>
      <c r="TAB53" s="384"/>
      <c r="TAC53" s="384"/>
      <c r="TAD53" s="384"/>
      <c r="TAE53" s="384"/>
      <c r="TAF53" s="384"/>
      <c r="TAG53" s="384"/>
      <c r="TAH53" s="384"/>
      <c r="TAI53" s="384"/>
      <c r="TAJ53" s="384"/>
      <c r="TAK53" s="384"/>
      <c r="TAL53" s="384"/>
      <c r="TAM53" s="384"/>
      <c r="TAN53" s="384"/>
      <c r="TAO53" s="384"/>
      <c r="TAP53" s="384"/>
      <c r="TAQ53" s="384"/>
      <c r="TAR53" s="384"/>
      <c r="TAS53" s="384"/>
      <c r="TAT53" s="384"/>
      <c r="TAU53" s="384"/>
      <c r="TAV53" s="384"/>
      <c r="TAW53" s="384"/>
      <c r="TAX53" s="384"/>
      <c r="TAY53" s="384"/>
      <c r="TAZ53" s="384"/>
      <c r="TBA53" s="384"/>
      <c r="TBB53" s="384"/>
      <c r="TBC53" s="384"/>
      <c r="TBD53" s="384"/>
      <c r="TBE53" s="384"/>
      <c r="TBF53" s="384"/>
      <c r="TBG53" s="384"/>
      <c r="TBH53" s="384"/>
      <c r="TBI53" s="384"/>
      <c r="TBJ53" s="384"/>
      <c r="TBK53" s="384"/>
      <c r="TBL53" s="384"/>
      <c r="TBM53" s="384"/>
      <c r="TBN53" s="384"/>
      <c r="TBO53" s="384"/>
      <c r="TBP53" s="384"/>
      <c r="TBQ53" s="384"/>
      <c r="TBR53" s="384"/>
      <c r="TBS53" s="384"/>
      <c r="TBT53" s="384"/>
      <c r="TBU53" s="384"/>
      <c r="TBV53" s="384"/>
      <c r="TBW53" s="384"/>
      <c r="TBX53" s="384"/>
      <c r="TBY53" s="384"/>
      <c r="TBZ53" s="384"/>
      <c r="TCA53" s="384"/>
      <c r="TCB53" s="384"/>
      <c r="TCC53" s="384"/>
      <c r="TCD53" s="384"/>
      <c r="TCE53" s="384"/>
      <c r="TCF53" s="384"/>
      <c r="TCG53" s="384"/>
      <c r="TCH53" s="384"/>
      <c r="TCI53" s="384"/>
      <c r="TCJ53" s="384"/>
      <c r="TCK53" s="384"/>
      <c r="TCL53" s="384"/>
      <c r="TCM53" s="384"/>
      <c r="TCN53" s="384"/>
      <c r="TCO53" s="384"/>
      <c r="TCP53" s="384"/>
      <c r="TCQ53" s="384"/>
      <c r="TCR53" s="384"/>
      <c r="TCS53" s="384"/>
      <c r="TCT53" s="384"/>
      <c r="TCU53" s="384"/>
      <c r="TCV53" s="384"/>
      <c r="TCW53" s="384"/>
      <c r="TCX53" s="384"/>
      <c r="TCY53" s="384"/>
      <c r="TCZ53" s="384"/>
      <c r="TDA53" s="384"/>
      <c r="TDB53" s="384"/>
      <c r="TDC53" s="384"/>
      <c r="TDD53" s="384"/>
      <c r="TDE53" s="384"/>
      <c r="TDF53" s="384"/>
      <c r="TDG53" s="384"/>
      <c r="TDH53" s="384"/>
      <c r="TDI53" s="384"/>
      <c r="TDJ53" s="384"/>
      <c r="TDK53" s="384"/>
      <c r="TDL53" s="384"/>
      <c r="TDM53" s="384"/>
      <c r="TDN53" s="384"/>
      <c r="TDO53" s="384"/>
      <c r="TDP53" s="384"/>
      <c r="TDQ53" s="384"/>
      <c r="TDR53" s="384"/>
      <c r="TDS53" s="384"/>
      <c r="TDT53" s="384"/>
      <c r="TDU53" s="384"/>
      <c r="TDV53" s="384"/>
      <c r="TDW53" s="384"/>
      <c r="TDX53" s="384"/>
      <c r="TDY53" s="384"/>
      <c r="TDZ53" s="384"/>
      <c r="TEA53" s="384"/>
      <c r="TEB53" s="384"/>
      <c r="TEC53" s="384"/>
      <c r="TED53" s="384"/>
      <c r="TEE53" s="384"/>
      <c r="TEF53" s="384"/>
      <c r="TEG53" s="384"/>
      <c r="TEH53" s="384"/>
      <c r="TEI53" s="384"/>
      <c r="TEJ53" s="384"/>
      <c r="TEK53" s="384"/>
      <c r="TEL53" s="384"/>
      <c r="TEM53" s="384"/>
      <c r="TEN53" s="384"/>
      <c r="TEO53" s="384"/>
      <c r="TEP53" s="384"/>
      <c r="TEQ53" s="384"/>
      <c r="TER53" s="384"/>
      <c r="TES53" s="384"/>
      <c r="TET53" s="384"/>
      <c r="TEU53" s="384"/>
      <c r="TEV53" s="384"/>
      <c r="TEW53" s="384"/>
      <c r="TEX53" s="384"/>
      <c r="TEY53" s="384"/>
      <c r="TEZ53" s="384"/>
      <c r="TFA53" s="384"/>
      <c r="TFB53" s="384"/>
      <c r="TFC53" s="384"/>
      <c r="TFD53" s="384"/>
      <c r="TFE53" s="384"/>
      <c r="TFF53" s="384"/>
      <c r="TFG53" s="384"/>
      <c r="TFH53" s="384"/>
      <c r="TFI53" s="384"/>
      <c r="TFJ53" s="384"/>
      <c r="TFK53" s="384"/>
      <c r="TFL53" s="384"/>
      <c r="TFM53" s="384"/>
      <c r="TFN53" s="384"/>
      <c r="TFO53" s="384"/>
      <c r="TFP53" s="384"/>
      <c r="TFQ53" s="384"/>
      <c r="TFR53" s="384"/>
      <c r="TFS53" s="384"/>
      <c r="TFT53" s="384"/>
      <c r="TFU53" s="384"/>
      <c r="TFV53" s="384"/>
      <c r="TFW53" s="384"/>
      <c r="TFX53" s="384"/>
      <c r="TFY53" s="384"/>
      <c r="TFZ53" s="384"/>
      <c r="TGA53" s="384"/>
      <c r="TGB53" s="384"/>
      <c r="TGC53" s="384"/>
      <c r="TGD53" s="384"/>
      <c r="TGE53" s="384"/>
      <c r="TGF53" s="384"/>
      <c r="TGG53" s="384"/>
      <c r="TGH53" s="384"/>
      <c r="TGI53" s="384"/>
      <c r="TGJ53" s="384"/>
      <c r="TGK53" s="384"/>
      <c r="TGL53" s="384"/>
      <c r="TGM53" s="384"/>
      <c r="TGN53" s="384"/>
      <c r="TGO53" s="384"/>
      <c r="TGP53" s="384"/>
      <c r="TGQ53" s="384"/>
      <c r="TGR53" s="384"/>
      <c r="TGS53" s="384"/>
      <c r="TGT53" s="384"/>
      <c r="TGU53" s="384"/>
      <c r="TGV53" s="384"/>
      <c r="TGW53" s="384"/>
      <c r="TGX53" s="384"/>
      <c r="TGY53" s="384"/>
      <c r="TGZ53" s="384"/>
      <c r="THA53" s="384"/>
      <c r="THB53" s="384"/>
      <c r="THC53" s="384"/>
      <c r="THD53" s="384"/>
      <c r="THE53" s="384"/>
      <c r="THF53" s="384"/>
      <c r="THG53" s="384"/>
      <c r="THH53" s="384"/>
      <c r="THI53" s="384"/>
      <c r="THJ53" s="384"/>
      <c r="THK53" s="384"/>
      <c r="THL53" s="384"/>
      <c r="THM53" s="384"/>
      <c r="THN53" s="384"/>
      <c r="THO53" s="384"/>
      <c r="THP53" s="384"/>
      <c r="THQ53" s="384"/>
      <c r="THR53" s="384"/>
      <c r="THS53" s="384"/>
      <c r="THT53" s="384"/>
      <c r="THU53" s="384"/>
      <c r="THV53" s="384"/>
      <c r="THW53" s="384"/>
      <c r="THX53" s="384"/>
      <c r="THY53" s="384"/>
      <c r="THZ53" s="384"/>
      <c r="TIA53" s="384"/>
      <c r="TIB53" s="384"/>
      <c r="TIC53" s="384"/>
      <c r="TID53" s="384"/>
      <c r="TIE53" s="384"/>
      <c r="TIF53" s="384"/>
      <c r="TIG53" s="384"/>
      <c r="TIH53" s="384"/>
      <c r="TII53" s="384"/>
      <c r="TIJ53" s="384"/>
      <c r="TIK53" s="384"/>
      <c r="TIL53" s="384"/>
      <c r="TIM53" s="384"/>
      <c r="TIN53" s="384"/>
      <c r="TIO53" s="384"/>
      <c r="TIP53" s="384"/>
      <c r="TIQ53" s="384"/>
      <c r="TIR53" s="384"/>
      <c r="TIS53" s="384"/>
      <c r="TIT53" s="384"/>
      <c r="TIU53" s="384"/>
      <c r="TIV53" s="384"/>
      <c r="TIW53" s="384"/>
      <c r="TIX53" s="384"/>
      <c r="TIY53" s="384"/>
      <c r="TIZ53" s="384"/>
      <c r="TJA53" s="384"/>
      <c r="TJB53" s="384"/>
      <c r="TJC53" s="384"/>
      <c r="TJD53" s="384"/>
      <c r="TJE53" s="384"/>
      <c r="TJF53" s="384"/>
      <c r="TJG53" s="384"/>
      <c r="TJH53" s="384"/>
      <c r="TJI53" s="384"/>
      <c r="TJJ53" s="384"/>
      <c r="TJK53" s="384"/>
      <c r="TJL53" s="384"/>
      <c r="TJM53" s="384"/>
      <c r="TJN53" s="384"/>
      <c r="TJO53" s="384"/>
      <c r="TJP53" s="384"/>
      <c r="TJQ53" s="384"/>
      <c r="TJR53" s="384"/>
      <c r="TJS53" s="384"/>
      <c r="TJT53" s="384"/>
      <c r="TJU53" s="384"/>
      <c r="TJV53" s="384"/>
      <c r="TJW53" s="384"/>
      <c r="TJX53" s="384"/>
      <c r="TJY53" s="384"/>
      <c r="TJZ53" s="384"/>
      <c r="TKA53" s="384"/>
      <c r="TKB53" s="384"/>
      <c r="TKC53" s="384"/>
      <c r="TKD53" s="384"/>
      <c r="TKE53" s="384"/>
      <c r="TKF53" s="384"/>
      <c r="TKG53" s="384"/>
      <c r="TKH53" s="384"/>
      <c r="TKI53" s="384"/>
      <c r="TKJ53" s="384"/>
      <c r="TKK53" s="384"/>
      <c r="TKL53" s="384"/>
      <c r="TKM53" s="384"/>
      <c r="TKN53" s="384"/>
      <c r="TKO53" s="384"/>
      <c r="TKP53" s="384"/>
      <c r="TKQ53" s="384"/>
      <c r="TKR53" s="384"/>
      <c r="TKS53" s="384"/>
      <c r="TKT53" s="384"/>
      <c r="TKU53" s="384"/>
      <c r="TKV53" s="384"/>
      <c r="TKW53" s="384"/>
      <c r="TKX53" s="384"/>
      <c r="TKY53" s="384"/>
      <c r="TKZ53" s="384"/>
      <c r="TLA53" s="384"/>
      <c r="TLB53" s="384"/>
      <c r="TLC53" s="384"/>
      <c r="TLD53" s="384"/>
      <c r="TLE53" s="384"/>
      <c r="TLF53" s="384"/>
      <c r="TLG53" s="384"/>
      <c r="TLH53" s="384"/>
      <c r="TLI53" s="384"/>
      <c r="TLJ53" s="384"/>
      <c r="TLK53" s="384"/>
      <c r="TLL53" s="384"/>
      <c r="TLM53" s="384"/>
      <c r="TLN53" s="384"/>
      <c r="TLO53" s="384"/>
      <c r="TLP53" s="384"/>
      <c r="TLQ53" s="384"/>
      <c r="TLR53" s="384"/>
      <c r="TLS53" s="384"/>
      <c r="TLT53" s="384"/>
      <c r="TLU53" s="384"/>
      <c r="TLV53" s="384"/>
      <c r="TLW53" s="384"/>
      <c r="TLX53" s="384"/>
      <c r="TLY53" s="384"/>
      <c r="TLZ53" s="384"/>
      <c r="TMA53" s="384"/>
      <c r="TMB53" s="384"/>
      <c r="TMC53" s="384"/>
      <c r="TMD53" s="384"/>
      <c r="TME53" s="384"/>
      <c r="TMF53" s="384"/>
      <c r="TMG53" s="384"/>
      <c r="TMH53" s="384"/>
      <c r="TMI53" s="384"/>
      <c r="TMJ53" s="384"/>
      <c r="TMK53" s="384"/>
      <c r="TML53" s="384"/>
      <c r="TMM53" s="384"/>
      <c r="TMN53" s="384"/>
      <c r="TMO53" s="384"/>
      <c r="TMP53" s="384"/>
      <c r="TMQ53" s="384"/>
      <c r="TMR53" s="384"/>
      <c r="TMS53" s="384"/>
      <c r="TMT53" s="384"/>
      <c r="TMU53" s="384"/>
      <c r="TMV53" s="384"/>
      <c r="TMW53" s="384"/>
      <c r="TMX53" s="384"/>
      <c r="TMY53" s="384"/>
      <c r="TMZ53" s="384"/>
      <c r="TNA53" s="384"/>
      <c r="TNB53" s="384"/>
      <c r="TNC53" s="384"/>
      <c r="TND53" s="384"/>
      <c r="TNE53" s="384"/>
      <c r="TNF53" s="384"/>
      <c r="TNG53" s="384"/>
      <c r="TNH53" s="384"/>
      <c r="TNI53" s="384"/>
      <c r="TNJ53" s="384"/>
      <c r="TNK53" s="384"/>
      <c r="TNL53" s="384"/>
      <c r="TNM53" s="384"/>
      <c r="TNN53" s="384"/>
      <c r="TNO53" s="384"/>
      <c r="TNP53" s="384"/>
      <c r="TNQ53" s="384"/>
      <c r="TNR53" s="384"/>
      <c r="TNS53" s="384"/>
      <c r="TNT53" s="384"/>
      <c r="TNU53" s="384"/>
      <c r="TNV53" s="384"/>
      <c r="TNW53" s="384"/>
      <c r="TNX53" s="384"/>
      <c r="TNY53" s="384"/>
      <c r="TNZ53" s="384"/>
      <c r="TOA53" s="384"/>
      <c r="TOB53" s="384"/>
      <c r="TOC53" s="384"/>
      <c r="TOD53" s="384"/>
      <c r="TOE53" s="384"/>
      <c r="TOF53" s="384"/>
      <c r="TOG53" s="384"/>
      <c r="TOH53" s="384"/>
      <c r="TOI53" s="384"/>
      <c r="TOJ53" s="384"/>
      <c r="TOK53" s="384"/>
      <c r="TOL53" s="384"/>
      <c r="TOM53" s="384"/>
      <c r="TON53" s="384"/>
      <c r="TOO53" s="384"/>
      <c r="TOP53" s="384"/>
      <c r="TOQ53" s="384"/>
      <c r="TOR53" s="384"/>
      <c r="TOS53" s="384"/>
      <c r="TOT53" s="384"/>
      <c r="TOU53" s="384"/>
      <c r="TOV53" s="384"/>
      <c r="TOW53" s="384"/>
      <c r="TOX53" s="384"/>
      <c r="TOY53" s="384"/>
      <c r="TOZ53" s="384"/>
      <c r="TPA53" s="384"/>
      <c r="TPB53" s="384"/>
      <c r="TPC53" s="384"/>
      <c r="TPD53" s="384"/>
      <c r="TPE53" s="384"/>
      <c r="TPF53" s="384"/>
      <c r="TPG53" s="384"/>
      <c r="TPH53" s="384"/>
      <c r="TPI53" s="384"/>
      <c r="TPJ53" s="384"/>
      <c r="TPK53" s="384"/>
      <c r="TPL53" s="384"/>
      <c r="TPM53" s="384"/>
      <c r="TPN53" s="384"/>
      <c r="TPO53" s="384"/>
      <c r="TPP53" s="384"/>
      <c r="TPQ53" s="384"/>
      <c r="TPR53" s="384"/>
      <c r="TPS53" s="384"/>
      <c r="TPT53" s="384"/>
      <c r="TPU53" s="384"/>
      <c r="TPV53" s="384"/>
      <c r="TPW53" s="384"/>
      <c r="TPX53" s="384"/>
      <c r="TPY53" s="384"/>
      <c r="TPZ53" s="384"/>
      <c r="TQA53" s="384"/>
      <c r="TQB53" s="384"/>
      <c r="TQC53" s="384"/>
      <c r="TQD53" s="384"/>
      <c r="TQE53" s="384"/>
      <c r="TQF53" s="384"/>
      <c r="TQG53" s="384"/>
      <c r="TQH53" s="384"/>
      <c r="TQI53" s="384"/>
      <c r="TQJ53" s="384"/>
      <c r="TQK53" s="384"/>
      <c r="TQL53" s="384"/>
      <c r="TQM53" s="384"/>
      <c r="TQN53" s="384"/>
      <c r="TQO53" s="384"/>
      <c r="TQP53" s="384"/>
      <c r="TQQ53" s="384"/>
      <c r="TQR53" s="384"/>
      <c r="TQS53" s="384"/>
      <c r="TQT53" s="384"/>
      <c r="TQU53" s="384"/>
      <c r="TQV53" s="384"/>
      <c r="TQW53" s="384"/>
      <c r="TQX53" s="384"/>
      <c r="TQY53" s="384"/>
      <c r="TQZ53" s="384"/>
      <c r="TRA53" s="384"/>
      <c r="TRB53" s="384"/>
      <c r="TRC53" s="384"/>
      <c r="TRD53" s="384"/>
      <c r="TRE53" s="384"/>
      <c r="TRF53" s="384"/>
      <c r="TRG53" s="384"/>
      <c r="TRH53" s="384"/>
      <c r="TRI53" s="384"/>
      <c r="TRJ53" s="384"/>
      <c r="TRK53" s="384"/>
      <c r="TRL53" s="384"/>
      <c r="TRM53" s="384"/>
      <c r="TRN53" s="384"/>
      <c r="TRO53" s="384"/>
      <c r="TRP53" s="384"/>
      <c r="TRQ53" s="384"/>
      <c r="TRR53" s="384"/>
      <c r="TRS53" s="384"/>
      <c r="TRT53" s="384"/>
      <c r="TRU53" s="384"/>
      <c r="TRV53" s="384"/>
      <c r="TRW53" s="384"/>
      <c r="TRX53" s="384"/>
      <c r="TRY53" s="384"/>
      <c r="TRZ53" s="384"/>
      <c r="TSA53" s="384"/>
      <c r="TSB53" s="384"/>
      <c r="TSC53" s="384"/>
      <c r="TSD53" s="384"/>
      <c r="TSE53" s="384"/>
      <c r="TSF53" s="384"/>
      <c r="TSG53" s="384"/>
      <c r="TSH53" s="384"/>
      <c r="TSI53" s="384"/>
      <c r="TSJ53" s="384"/>
      <c r="TSK53" s="384"/>
      <c r="TSL53" s="384"/>
      <c r="TSM53" s="384"/>
      <c r="TSN53" s="384"/>
      <c r="TSO53" s="384"/>
      <c r="TSP53" s="384"/>
      <c r="TSQ53" s="384"/>
      <c r="TSR53" s="384"/>
      <c r="TSS53" s="384"/>
      <c r="TST53" s="384"/>
      <c r="TSU53" s="384"/>
      <c r="TSV53" s="384"/>
      <c r="TSW53" s="384"/>
      <c r="TSX53" s="384"/>
      <c r="TSY53" s="384"/>
      <c r="TSZ53" s="384"/>
      <c r="TTA53" s="384"/>
      <c r="TTB53" s="384"/>
      <c r="TTC53" s="384"/>
      <c r="TTD53" s="384"/>
      <c r="TTE53" s="384"/>
      <c r="TTF53" s="384"/>
      <c r="TTG53" s="384"/>
      <c r="TTH53" s="384"/>
      <c r="TTI53" s="384"/>
      <c r="TTJ53" s="384"/>
      <c r="TTK53" s="384"/>
      <c r="TTL53" s="384"/>
      <c r="TTM53" s="384"/>
      <c r="TTN53" s="384"/>
      <c r="TTO53" s="384"/>
      <c r="TTP53" s="384"/>
      <c r="TTQ53" s="384"/>
      <c r="TTR53" s="384"/>
      <c r="TTS53" s="384"/>
      <c r="TTT53" s="384"/>
      <c r="TTU53" s="384"/>
      <c r="TTV53" s="384"/>
      <c r="TTW53" s="384"/>
      <c r="TTX53" s="384"/>
      <c r="TTY53" s="384"/>
      <c r="TTZ53" s="384"/>
      <c r="TUA53" s="384"/>
      <c r="TUB53" s="384"/>
      <c r="TUC53" s="384"/>
      <c r="TUD53" s="384"/>
      <c r="TUE53" s="384"/>
      <c r="TUF53" s="384"/>
      <c r="TUG53" s="384"/>
      <c r="TUH53" s="384"/>
      <c r="TUI53" s="384"/>
      <c r="TUJ53" s="384"/>
      <c r="TUK53" s="384"/>
      <c r="TUL53" s="384"/>
      <c r="TUM53" s="384"/>
      <c r="TUN53" s="384"/>
      <c r="TUO53" s="384"/>
      <c r="TUP53" s="384"/>
      <c r="TUQ53" s="384"/>
      <c r="TUR53" s="384"/>
      <c r="TUS53" s="384"/>
      <c r="TUT53" s="384"/>
      <c r="TUU53" s="384"/>
      <c r="TUV53" s="384"/>
      <c r="TUW53" s="384"/>
      <c r="TUX53" s="384"/>
      <c r="TUY53" s="384"/>
      <c r="TUZ53" s="384"/>
      <c r="TVA53" s="384"/>
      <c r="TVB53" s="384"/>
      <c r="TVC53" s="384"/>
      <c r="TVD53" s="384"/>
      <c r="TVE53" s="384"/>
      <c r="TVF53" s="384"/>
      <c r="TVG53" s="384"/>
      <c r="TVH53" s="384"/>
      <c r="TVI53" s="384"/>
      <c r="TVJ53" s="384"/>
      <c r="TVK53" s="384"/>
      <c r="TVL53" s="384"/>
      <c r="TVM53" s="384"/>
      <c r="TVN53" s="384"/>
      <c r="TVO53" s="384"/>
      <c r="TVP53" s="384"/>
      <c r="TVQ53" s="384"/>
      <c r="TVR53" s="384"/>
      <c r="TVS53" s="384"/>
      <c r="TVT53" s="384"/>
      <c r="TVU53" s="384"/>
      <c r="TVV53" s="384"/>
      <c r="TVW53" s="384"/>
      <c r="TVX53" s="384"/>
      <c r="TVY53" s="384"/>
      <c r="TVZ53" s="384"/>
      <c r="TWA53" s="384"/>
      <c r="TWB53" s="384"/>
      <c r="TWC53" s="384"/>
      <c r="TWD53" s="384"/>
      <c r="TWE53" s="384"/>
      <c r="TWF53" s="384"/>
      <c r="TWG53" s="384"/>
      <c r="TWH53" s="384"/>
      <c r="TWI53" s="384"/>
      <c r="TWJ53" s="384"/>
      <c r="TWK53" s="384"/>
      <c r="TWL53" s="384"/>
      <c r="TWM53" s="384"/>
      <c r="TWN53" s="384"/>
      <c r="TWO53" s="384"/>
      <c r="TWP53" s="384"/>
      <c r="TWQ53" s="384"/>
      <c r="TWR53" s="384"/>
      <c r="TWS53" s="384"/>
      <c r="TWT53" s="384"/>
      <c r="TWU53" s="384"/>
      <c r="TWV53" s="384"/>
      <c r="TWW53" s="384"/>
      <c r="TWX53" s="384"/>
      <c r="TWY53" s="384"/>
      <c r="TWZ53" s="384"/>
      <c r="TXA53" s="384"/>
      <c r="TXB53" s="384"/>
      <c r="TXC53" s="384"/>
      <c r="TXD53" s="384"/>
      <c r="TXE53" s="384"/>
      <c r="TXF53" s="384"/>
      <c r="TXG53" s="384"/>
      <c r="TXH53" s="384"/>
      <c r="TXI53" s="384"/>
      <c r="TXJ53" s="384"/>
      <c r="TXK53" s="384"/>
      <c r="TXL53" s="384"/>
      <c r="TXM53" s="384"/>
      <c r="TXN53" s="384"/>
      <c r="TXO53" s="384"/>
      <c r="TXP53" s="384"/>
      <c r="TXQ53" s="384"/>
      <c r="TXR53" s="384"/>
      <c r="TXS53" s="384"/>
      <c r="TXT53" s="384"/>
      <c r="TXU53" s="384"/>
      <c r="TXV53" s="384"/>
      <c r="TXW53" s="384"/>
      <c r="TXX53" s="384"/>
      <c r="TXY53" s="384"/>
      <c r="TXZ53" s="384"/>
      <c r="TYA53" s="384"/>
      <c r="TYB53" s="384"/>
      <c r="TYC53" s="384"/>
      <c r="TYD53" s="384"/>
      <c r="TYE53" s="384"/>
      <c r="TYF53" s="384"/>
      <c r="TYG53" s="384"/>
      <c r="TYH53" s="384"/>
      <c r="TYI53" s="384"/>
      <c r="TYJ53" s="384"/>
      <c r="TYK53" s="384"/>
      <c r="TYL53" s="384"/>
      <c r="TYM53" s="384"/>
      <c r="TYN53" s="384"/>
      <c r="TYO53" s="384"/>
      <c r="TYP53" s="384"/>
      <c r="TYQ53" s="384"/>
      <c r="TYR53" s="384"/>
      <c r="TYS53" s="384"/>
      <c r="TYT53" s="384"/>
      <c r="TYU53" s="384"/>
      <c r="TYV53" s="384"/>
      <c r="TYW53" s="384"/>
      <c r="TYX53" s="384"/>
      <c r="TYY53" s="384"/>
      <c r="TYZ53" s="384"/>
      <c r="TZA53" s="384"/>
      <c r="TZB53" s="384"/>
      <c r="TZC53" s="384"/>
      <c r="TZD53" s="384"/>
      <c r="TZE53" s="384"/>
      <c r="TZF53" s="384"/>
      <c r="TZG53" s="384"/>
      <c r="TZH53" s="384"/>
      <c r="TZI53" s="384"/>
      <c r="TZJ53" s="384"/>
      <c r="TZK53" s="384"/>
      <c r="TZL53" s="384"/>
      <c r="TZM53" s="384"/>
      <c r="TZN53" s="384"/>
      <c r="TZO53" s="384"/>
      <c r="TZP53" s="384"/>
      <c r="TZQ53" s="384"/>
      <c r="TZR53" s="384"/>
      <c r="TZS53" s="384"/>
      <c r="TZT53" s="384"/>
      <c r="TZU53" s="384"/>
      <c r="TZV53" s="384"/>
      <c r="TZW53" s="384"/>
      <c r="TZX53" s="384"/>
      <c r="TZY53" s="384"/>
      <c r="TZZ53" s="384"/>
      <c r="UAA53" s="384"/>
      <c r="UAB53" s="384"/>
      <c r="UAC53" s="384"/>
      <c r="UAD53" s="384"/>
      <c r="UAE53" s="384"/>
      <c r="UAF53" s="384"/>
      <c r="UAG53" s="384"/>
      <c r="UAH53" s="384"/>
      <c r="UAI53" s="384"/>
      <c r="UAJ53" s="384"/>
      <c r="UAK53" s="384"/>
      <c r="UAL53" s="384"/>
      <c r="UAM53" s="384"/>
      <c r="UAN53" s="384"/>
      <c r="UAO53" s="384"/>
      <c r="UAP53" s="384"/>
      <c r="UAQ53" s="384"/>
      <c r="UAR53" s="384"/>
      <c r="UAS53" s="384"/>
      <c r="UAT53" s="384"/>
      <c r="UAU53" s="384"/>
      <c r="UAV53" s="384"/>
      <c r="UAW53" s="384"/>
      <c r="UAX53" s="384"/>
      <c r="UAY53" s="384"/>
      <c r="UAZ53" s="384"/>
      <c r="UBA53" s="384"/>
      <c r="UBB53" s="384"/>
      <c r="UBC53" s="384"/>
      <c r="UBD53" s="384"/>
      <c r="UBE53" s="384"/>
      <c r="UBF53" s="384"/>
      <c r="UBG53" s="384"/>
      <c r="UBH53" s="384"/>
      <c r="UBI53" s="384"/>
      <c r="UBJ53" s="384"/>
      <c r="UBK53" s="384"/>
      <c r="UBL53" s="384"/>
      <c r="UBM53" s="384"/>
      <c r="UBN53" s="384"/>
      <c r="UBO53" s="384"/>
      <c r="UBP53" s="384"/>
      <c r="UBQ53" s="384"/>
      <c r="UBR53" s="384"/>
      <c r="UBS53" s="384"/>
      <c r="UBT53" s="384"/>
      <c r="UBU53" s="384"/>
      <c r="UBV53" s="384"/>
      <c r="UBW53" s="384"/>
      <c r="UBX53" s="384"/>
      <c r="UBY53" s="384"/>
      <c r="UBZ53" s="384"/>
      <c r="UCA53" s="384"/>
      <c r="UCB53" s="384"/>
      <c r="UCC53" s="384"/>
      <c r="UCD53" s="384"/>
      <c r="UCE53" s="384"/>
      <c r="UCF53" s="384"/>
      <c r="UCG53" s="384"/>
      <c r="UCH53" s="384"/>
      <c r="UCI53" s="384"/>
      <c r="UCJ53" s="384"/>
      <c r="UCK53" s="384"/>
      <c r="UCL53" s="384"/>
      <c r="UCM53" s="384"/>
      <c r="UCN53" s="384"/>
      <c r="UCO53" s="384"/>
      <c r="UCP53" s="384"/>
      <c r="UCQ53" s="384"/>
      <c r="UCR53" s="384"/>
      <c r="UCS53" s="384"/>
      <c r="UCT53" s="384"/>
      <c r="UCU53" s="384"/>
      <c r="UCV53" s="384"/>
      <c r="UCW53" s="384"/>
      <c r="UCX53" s="384"/>
      <c r="UCY53" s="384"/>
      <c r="UCZ53" s="384"/>
      <c r="UDA53" s="384"/>
      <c r="UDB53" s="384"/>
      <c r="UDC53" s="384"/>
      <c r="UDD53" s="384"/>
      <c r="UDE53" s="384"/>
      <c r="UDF53" s="384"/>
      <c r="UDG53" s="384"/>
      <c r="UDH53" s="384"/>
      <c r="UDI53" s="384"/>
      <c r="UDJ53" s="384"/>
      <c r="UDK53" s="384"/>
      <c r="UDL53" s="384"/>
      <c r="UDM53" s="384"/>
      <c r="UDN53" s="384"/>
      <c r="UDO53" s="384"/>
      <c r="UDP53" s="384"/>
      <c r="UDQ53" s="384"/>
      <c r="UDR53" s="384"/>
      <c r="UDS53" s="384"/>
      <c r="UDT53" s="384"/>
      <c r="UDU53" s="384"/>
      <c r="UDV53" s="384"/>
      <c r="UDW53" s="384"/>
      <c r="UDX53" s="384"/>
      <c r="UDY53" s="384"/>
      <c r="UDZ53" s="384"/>
      <c r="UEA53" s="384"/>
      <c r="UEB53" s="384"/>
      <c r="UEC53" s="384"/>
      <c r="UED53" s="384"/>
      <c r="UEE53" s="384"/>
      <c r="UEF53" s="384"/>
      <c r="UEG53" s="384"/>
      <c r="UEH53" s="384"/>
      <c r="UEI53" s="384"/>
      <c r="UEJ53" s="384"/>
      <c r="UEK53" s="384"/>
      <c r="UEL53" s="384"/>
      <c r="UEM53" s="384"/>
      <c r="UEN53" s="384"/>
      <c r="UEO53" s="384"/>
      <c r="UEP53" s="384"/>
      <c r="UEQ53" s="384"/>
      <c r="UER53" s="384"/>
      <c r="UES53" s="384"/>
      <c r="UET53" s="384"/>
      <c r="UEU53" s="384"/>
      <c r="UEV53" s="384"/>
      <c r="UEW53" s="384"/>
      <c r="UEX53" s="384"/>
      <c r="UEY53" s="384"/>
      <c r="UEZ53" s="384"/>
      <c r="UFA53" s="384"/>
      <c r="UFB53" s="384"/>
      <c r="UFC53" s="384"/>
      <c r="UFD53" s="384"/>
      <c r="UFE53" s="384"/>
      <c r="UFF53" s="384"/>
      <c r="UFG53" s="384"/>
      <c r="UFH53" s="384"/>
      <c r="UFI53" s="384"/>
      <c r="UFJ53" s="384"/>
      <c r="UFK53" s="384"/>
      <c r="UFL53" s="384"/>
      <c r="UFM53" s="384"/>
      <c r="UFN53" s="384"/>
      <c r="UFO53" s="384"/>
      <c r="UFP53" s="384"/>
      <c r="UFQ53" s="384"/>
      <c r="UFR53" s="384"/>
      <c r="UFS53" s="384"/>
      <c r="UFT53" s="384"/>
      <c r="UFU53" s="384"/>
      <c r="UFV53" s="384"/>
      <c r="UFW53" s="384"/>
      <c r="UFX53" s="384"/>
      <c r="UFY53" s="384"/>
      <c r="UFZ53" s="384"/>
      <c r="UGA53" s="384"/>
      <c r="UGB53" s="384"/>
      <c r="UGC53" s="384"/>
      <c r="UGD53" s="384"/>
      <c r="UGE53" s="384"/>
      <c r="UGF53" s="384"/>
      <c r="UGG53" s="384"/>
      <c r="UGH53" s="384"/>
      <c r="UGI53" s="384"/>
      <c r="UGJ53" s="384"/>
      <c r="UGK53" s="384"/>
      <c r="UGL53" s="384"/>
      <c r="UGM53" s="384"/>
      <c r="UGN53" s="384"/>
      <c r="UGO53" s="384"/>
      <c r="UGP53" s="384"/>
      <c r="UGQ53" s="384"/>
      <c r="UGR53" s="384"/>
      <c r="UGS53" s="384"/>
      <c r="UGT53" s="384"/>
      <c r="UGU53" s="384"/>
      <c r="UGV53" s="384"/>
      <c r="UGW53" s="384"/>
      <c r="UGX53" s="384"/>
      <c r="UGY53" s="384"/>
      <c r="UGZ53" s="384"/>
      <c r="UHA53" s="384"/>
      <c r="UHB53" s="384"/>
      <c r="UHC53" s="384"/>
      <c r="UHD53" s="384"/>
      <c r="UHE53" s="384"/>
      <c r="UHF53" s="384"/>
      <c r="UHG53" s="384"/>
      <c r="UHH53" s="384"/>
      <c r="UHI53" s="384"/>
      <c r="UHJ53" s="384"/>
      <c r="UHK53" s="384"/>
      <c r="UHL53" s="384"/>
      <c r="UHM53" s="384"/>
      <c r="UHN53" s="384"/>
      <c r="UHO53" s="384"/>
      <c r="UHP53" s="384"/>
      <c r="UHQ53" s="384"/>
      <c r="UHR53" s="384"/>
      <c r="UHS53" s="384"/>
      <c r="UHT53" s="384"/>
      <c r="UHU53" s="384"/>
      <c r="UHV53" s="384"/>
      <c r="UHW53" s="384"/>
      <c r="UHX53" s="384"/>
      <c r="UHY53" s="384"/>
      <c r="UHZ53" s="384"/>
      <c r="UIA53" s="384"/>
      <c r="UIB53" s="384"/>
      <c r="UIC53" s="384"/>
      <c r="UID53" s="384"/>
      <c r="UIE53" s="384"/>
      <c r="UIF53" s="384"/>
      <c r="UIG53" s="384"/>
      <c r="UIH53" s="384"/>
      <c r="UII53" s="384"/>
      <c r="UIJ53" s="384"/>
      <c r="UIK53" s="384"/>
      <c r="UIL53" s="384"/>
      <c r="UIM53" s="384"/>
      <c r="UIN53" s="384"/>
      <c r="UIO53" s="384"/>
      <c r="UIP53" s="384"/>
      <c r="UIQ53" s="384"/>
      <c r="UIR53" s="384"/>
      <c r="UIS53" s="384"/>
      <c r="UIT53" s="384"/>
      <c r="UIU53" s="384"/>
      <c r="UIV53" s="384"/>
      <c r="UIW53" s="384"/>
      <c r="UIX53" s="384"/>
      <c r="UIY53" s="384"/>
      <c r="UIZ53" s="384"/>
      <c r="UJA53" s="384"/>
      <c r="UJB53" s="384"/>
      <c r="UJC53" s="384"/>
      <c r="UJD53" s="384"/>
      <c r="UJE53" s="384"/>
      <c r="UJF53" s="384"/>
      <c r="UJG53" s="384"/>
      <c r="UJH53" s="384"/>
      <c r="UJI53" s="384"/>
      <c r="UJJ53" s="384"/>
      <c r="UJK53" s="384"/>
      <c r="UJL53" s="384"/>
      <c r="UJM53" s="384"/>
      <c r="UJN53" s="384"/>
      <c r="UJO53" s="384"/>
      <c r="UJP53" s="384"/>
      <c r="UJQ53" s="384"/>
      <c r="UJR53" s="384"/>
      <c r="UJS53" s="384"/>
      <c r="UJT53" s="384"/>
      <c r="UJU53" s="384"/>
      <c r="UJV53" s="384"/>
      <c r="UJW53" s="384"/>
      <c r="UJX53" s="384"/>
      <c r="UJY53" s="384"/>
      <c r="UJZ53" s="384"/>
      <c r="UKA53" s="384"/>
      <c r="UKB53" s="384"/>
      <c r="UKC53" s="384"/>
      <c r="UKD53" s="384"/>
      <c r="UKE53" s="384"/>
      <c r="UKF53" s="384"/>
      <c r="UKG53" s="384"/>
      <c r="UKH53" s="384"/>
      <c r="UKI53" s="384"/>
      <c r="UKJ53" s="384"/>
      <c r="UKK53" s="384"/>
      <c r="UKL53" s="384"/>
      <c r="UKM53" s="384"/>
      <c r="UKN53" s="384"/>
      <c r="UKO53" s="384"/>
      <c r="UKP53" s="384"/>
      <c r="UKQ53" s="384"/>
      <c r="UKR53" s="384"/>
      <c r="UKS53" s="384"/>
      <c r="UKT53" s="384"/>
      <c r="UKU53" s="384"/>
      <c r="UKV53" s="384"/>
      <c r="UKW53" s="384"/>
      <c r="UKX53" s="384"/>
      <c r="UKY53" s="384"/>
      <c r="UKZ53" s="384"/>
      <c r="ULA53" s="384"/>
      <c r="ULB53" s="384"/>
      <c r="ULC53" s="384"/>
      <c r="ULD53" s="384"/>
      <c r="ULE53" s="384"/>
      <c r="ULF53" s="384"/>
      <c r="ULG53" s="384"/>
      <c r="ULH53" s="384"/>
      <c r="ULI53" s="384"/>
      <c r="ULJ53" s="384"/>
      <c r="ULK53" s="384"/>
      <c r="ULL53" s="384"/>
      <c r="ULM53" s="384"/>
      <c r="ULN53" s="384"/>
      <c r="ULO53" s="384"/>
      <c r="ULP53" s="384"/>
      <c r="ULQ53" s="384"/>
      <c r="ULR53" s="384"/>
      <c r="ULS53" s="384"/>
      <c r="ULT53" s="384"/>
      <c r="ULU53" s="384"/>
      <c r="ULV53" s="384"/>
      <c r="ULW53" s="384"/>
      <c r="ULX53" s="384"/>
      <c r="ULY53" s="384"/>
      <c r="ULZ53" s="384"/>
      <c r="UMA53" s="384"/>
      <c r="UMB53" s="384"/>
      <c r="UMC53" s="384"/>
      <c r="UMD53" s="384"/>
      <c r="UME53" s="384"/>
      <c r="UMF53" s="384"/>
      <c r="UMG53" s="384"/>
      <c r="UMH53" s="384"/>
      <c r="UMI53" s="384"/>
      <c r="UMJ53" s="384"/>
      <c r="UMK53" s="384"/>
      <c r="UML53" s="384"/>
      <c r="UMM53" s="384"/>
      <c r="UMN53" s="384"/>
      <c r="UMO53" s="384"/>
      <c r="UMP53" s="384"/>
      <c r="UMQ53" s="384"/>
      <c r="UMR53" s="384"/>
      <c r="UMS53" s="384"/>
      <c r="UMT53" s="384"/>
      <c r="UMU53" s="384"/>
      <c r="UMV53" s="384"/>
      <c r="UMW53" s="384"/>
      <c r="UMX53" s="384"/>
      <c r="UMY53" s="384"/>
      <c r="UMZ53" s="384"/>
      <c r="UNA53" s="384"/>
      <c r="UNB53" s="384"/>
      <c r="UNC53" s="384"/>
      <c r="UND53" s="384"/>
      <c r="UNE53" s="384"/>
      <c r="UNF53" s="384"/>
      <c r="UNG53" s="384"/>
      <c r="UNH53" s="384"/>
      <c r="UNI53" s="384"/>
      <c r="UNJ53" s="384"/>
      <c r="UNK53" s="384"/>
      <c r="UNL53" s="384"/>
      <c r="UNM53" s="384"/>
      <c r="UNN53" s="384"/>
      <c r="UNO53" s="384"/>
      <c r="UNP53" s="384"/>
      <c r="UNQ53" s="384"/>
      <c r="UNR53" s="384"/>
      <c r="UNS53" s="384"/>
      <c r="UNT53" s="384"/>
      <c r="UNU53" s="384"/>
      <c r="UNV53" s="384"/>
      <c r="UNW53" s="384"/>
      <c r="UNX53" s="384"/>
      <c r="UNY53" s="384"/>
      <c r="UNZ53" s="384"/>
      <c r="UOA53" s="384"/>
      <c r="UOB53" s="384"/>
      <c r="UOC53" s="384"/>
      <c r="UOD53" s="384"/>
      <c r="UOE53" s="384"/>
      <c r="UOF53" s="384"/>
      <c r="UOG53" s="384"/>
      <c r="UOH53" s="384"/>
      <c r="UOI53" s="384"/>
      <c r="UOJ53" s="384"/>
      <c r="UOK53" s="384"/>
      <c r="UOL53" s="384"/>
      <c r="UOM53" s="384"/>
      <c r="UON53" s="384"/>
      <c r="UOO53" s="384"/>
      <c r="UOP53" s="384"/>
      <c r="UOQ53" s="384"/>
      <c r="UOR53" s="384"/>
      <c r="UOS53" s="384"/>
      <c r="UOT53" s="384"/>
      <c r="UOU53" s="384"/>
      <c r="UOV53" s="384"/>
      <c r="UOW53" s="384"/>
      <c r="UOX53" s="384"/>
      <c r="UOY53" s="384"/>
      <c r="UOZ53" s="384"/>
      <c r="UPA53" s="384"/>
      <c r="UPB53" s="384"/>
      <c r="UPC53" s="384"/>
      <c r="UPD53" s="384"/>
      <c r="UPE53" s="384"/>
      <c r="UPF53" s="384"/>
      <c r="UPG53" s="384"/>
      <c r="UPH53" s="384"/>
      <c r="UPI53" s="384"/>
      <c r="UPJ53" s="384"/>
      <c r="UPK53" s="384"/>
      <c r="UPL53" s="384"/>
      <c r="UPM53" s="384"/>
      <c r="UPN53" s="384"/>
      <c r="UPO53" s="384"/>
      <c r="UPP53" s="384"/>
      <c r="UPQ53" s="384"/>
      <c r="UPR53" s="384"/>
      <c r="UPS53" s="384"/>
      <c r="UPT53" s="384"/>
      <c r="UPU53" s="384"/>
      <c r="UPV53" s="384"/>
      <c r="UPW53" s="384"/>
      <c r="UPX53" s="384"/>
      <c r="UPY53" s="384"/>
      <c r="UPZ53" s="384"/>
      <c r="UQA53" s="384"/>
      <c r="UQB53" s="384"/>
      <c r="UQC53" s="384"/>
      <c r="UQD53" s="384"/>
      <c r="UQE53" s="384"/>
      <c r="UQF53" s="384"/>
      <c r="UQG53" s="384"/>
      <c r="UQH53" s="384"/>
      <c r="UQI53" s="384"/>
      <c r="UQJ53" s="384"/>
      <c r="UQK53" s="384"/>
      <c r="UQL53" s="384"/>
      <c r="UQM53" s="384"/>
      <c r="UQN53" s="384"/>
      <c r="UQO53" s="384"/>
      <c r="UQP53" s="384"/>
      <c r="UQQ53" s="384"/>
      <c r="UQR53" s="384"/>
      <c r="UQS53" s="384"/>
      <c r="UQT53" s="384"/>
      <c r="UQU53" s="384"/>
      <c r="UQV53" s="384"/>
      <c r="UQW53" s="384"/>
      <c r="UQX53" s="384"/>
      <c r="UQY53" s="384"/>
      <c r="UQZ53" s="384"/>
      <c r="URA53" s="384"/>
      <c r="URB53" s="384"/>
      <c r="URC53" s="384"/>
      <c r="URD53" s="384"/>
      <c r="URE53" s="384"/>
      <c r="URF53" s="384"/>
      <c r="URG53" s="384"/>
      <c r="URH53" s="384"/>
      <c r="URI53" s="384"/>
      <c r="URJ53" s="384"/>
      <c r="URK53" s="384"/>
      <c r="URL53" s="384"/>
      <c r="URM53" s="384"/>
      <c r="URN53" s="384"/>
      <c r="URO53" s="384"/>
      <c r="URP53" s="384"/>
      <c r="URQ53" s="384"/>
      <c r="URR53" s="384"/>
      <c r="URS53" s="384"/>
      <c r="URT53" s="384"/>
      <c r="URU53" s="384"/>
      <c r="URV53" s="384"/>
      <c r="URW53" s="384"/>
      <c r="URX53" s="384"/>
      <c r="URY53" s="384"/>
      <c r="URZ53" s="384"/>
      <c r="USA53" s="384"/>
      <c r="USB53" s="384"/>
      <c r="USC53" s="384"/>
      <c r="USD53" s="384"/>
      <c r="USE53" s="384"/>
      <c r="USF53" s="384"/>
      <c r="USG53" s="384"/>
      <c r="USH53" s="384"/>
      <c r="USI53" s="384"/>
      <c r="USJ53" s="384"/>
      <c r="USK53" s="384"/>
      <c r="USL53" s="384"/>
      <c r="USM53" s="384"/>
      <c r="USN53" s="384"/>
      <c r="USO53" s="384"/>
      <c r="USP53" s="384"/>
      <c r="USQ53" s="384"/>
      <c r="USR53" s="384"/>
      <c r="USS53" s="384"/>
      <c r="UST53" s="384"/>
      <c r="USU53" s="384"/>
      <c r="USV53" s="384"/>
      <c r="USW53" s="384"/>
      <c r="USX53" s="384"/>
      <c r="USY53" s="384"/>
      <c r="USZ53" s="384"/>
      <c r="UTA53" s="384"/>
      <c r="UTB53" s="384"/>
      <c r="UTC53" s="384"/>
      <c r="UTD53" s="384"/>
      <c r="UTE53" s="384"/>
      <c r="UTF53" s="384"/>
      <c r="UTG53" s="384"/>
      <c r="UTH53" s="384"/>
      <c r="UTI53" s="384"/>
      <c r="UTJ53" s="384"/>
      <c r="UTK53" s="384"/>
      <c r="UTL53" s="384"/>
      <c r="UTM53" s="384"/>
      <c r="UTN53" s="384"/>
      <c r="UTO53" s="384"/>
      <c r="UTP53" s="384"/>
      <c r="UTQ53" s="384"/>
      <c r="UTR53" s="384"/>
      <c r="UTS53" s="384"/>
      <c r="UTT53" s="384"/>
      <c r="UTU53" s="384"/>
      <c r="UTV53" s="384"/>
      <c r="UTW53" s="384"/>
      <c r="UTX53" s="384"/>
      <c r="UTY53" s="384"/>
      <c r="UTZ53" s="384"/>
      <c r="UUA53" s="384"/>
      <c r="UUB53" s="384"/>
      <c r="UUC53" s="384"/>
      <c r="UUD53" s="384"/>
      <c r="UUE53" s="384"/>
      <c r="UUF53" s="384"/>
      <c r="UUG53" s="384"/>
      <c r="UUH53" s="384"/>
      <c r="UUI53" s="384"/>
      <c r="UUJ53" s="384"/>
      <c r="UUK53" s="384"/>
      <c r="UUL53" s="384"/>
      <c r="UUM53" s="384"/>
      <c r="UUN53" s="384"/>
      <c r="UUO53" s="384"/>
      <c r="UUP53" s="384"/>
      <c r="UUQ53" s="384"/>
      <c r="UUR53" s="384"/>
      <c r="UUS53" s="384"/>
      <c r="UUT53" s="384"/>
      <c r="UUU53" s="384"/>
      <c r="UUV53" s="384"/>
      <c r="UUW53" s="384"/>
      <c r="UUX53" s="384"/>
      <c r="UUY53" s="384"/>
      <c r="UUZ53" s="384"/>
      <c r="UVA53" s="384"/>
      <c r="UVB53" s="384"/>
      <c r="UVC53" s="384"/>
      <c r="UVD53" s="384"/>
      <c r="UVE53" s="384"/>
      <c r="UVF53" s="384"/>
      <c r="UVG53" s="384"/>
      <c r="UVH53" s="384"/>
      <c r="UVI53" s="384"/>
      <c r="UVJ53" s="384"/>
      <c r="UVK53" s="384"/>
      <c r="UVL53" s="384"/>
      <c r="UVM53" s="384"/>
      <c r="UVN53" s="384"/>
      <c r="UVO53" s="384"/>
      <c r="UVP53" s="384"/>
      <c r="UVQ53" s="384"/>
      <c r="UVR53" s="384"/>
      <c r="UVS53" s="384"/>
      <c r="UVT53" s="384"/>
      <c r="UVU53" s="384"/>
      <c r="UVV53" s="384"/>
      <c r="UVW53" s="384"/>
      <c r="UVX53" s="384"/>
      <c r="UVY53" s="384"/>
      <c r="UVZ53" s="384"/>
      <c r="UWA53" s="384"/>
      <c r="UWB53" s="384"/>
      <c r="UWC53" s="384"/>
      <c r="UWD53" s="384"/>
      <c r="UWE53" s="384"/>
      <c r="UWF53" s="384"/>
      <c r="UWG53" s="384"/>
      <c r="UWH53" s="384"/>
      <c r="UWI53" s="384"/>
      <c r="UWJ53" s="384"/>
      <c r="UWK53" s="384"/>
      <c r="UWL53" s="384"/>
      <c r="UWM53" s="384"/>
      <c r="UWN53" s="384"/>
      <c r="UWO53" s="384"/>
      <c r="UWP53" s="384"/>
      <c r="UWQ53" s="384"/>
      <c r="UWR53" s="384"/>
      <c r="UWS53" s="384"/>
      <c r="UWT53" s="384"/>
      <c r="UWU53" s="384"/>
      <c r="UWV53" s="384"/>
      <c r="UWW53" s="384"/>
      <c r="UWX53" s="384"/>
      <c r="UWY53" s="384"/>
      <c r="UWZ53" s="384"/>
      <c r="UXA53" s="384"/>
      <c r="UXB53" s="384"/>
      <c r="UXC53" s="384"/>
      <c r="UXD53" s="384"/>
      <c r="UXE53" s="384"/>
      <c r="UXF53" s="384"/>
      <c r="UXG53" s="384"/>
      <c r="UXH53" s="384"/>
      <c r="UXI53" s="384"/>
      <c r="UXJ53" s="384"/>
      <c r="UXK53" s="384"/>
      <c r="UXL53" s="384"/>
      <c r="UXM53" s="384"/>
      <c r="UXN53" s="384"/>
      <c r="UXO53" s="384"/>
      <c r="UXP53" s="384"/>
      <c r="UXQ53" s="384"/>
      <c r="UXR53" s="384"/>
      <c r="UXS53" s="384"/>
      <c r="UXT53" s="384"/>
      <c r="UXU53" s="384"/>
      <c r="UXV53" s="384"/>
      <c r="UXW53" s="384"/>
      <c r="UXX53" s="384"/>
      <c r="UXY53" s="384"/>
      <c r="UXZ53" s="384"/>
      <c r="UYA53" s="384"/>
      <c r="UYB53" s="384"/>
      <c r="UYC53" s="384"/>
      <c r="UYD53" s="384"/>
      <c r="UYE53" s="384"/>
      <c r="UYF53" s="384"/>
      <c r="UYG53" s="384"/>
      <c r="UYH53" s="384"/>
      <c r="UYI53" s="384"/>
      <c r="UYJ53" s="384"/>
      <c r="UYK53" s="384"/>
      <c r="UYL53" s="384"/>
      <c r="UYM53" s="384"/>
      <c r="UYN53" s="384"/>
      <c r="UYO53" s="384"/>
      <c r="UYP53" s="384"/>
      <c r="UYQ53" s="384"/>
      <c r="UYR53" s="384"/>
      <c r="UYS53" s="384"/>
      <c r="UYT53" s="384"/>
      <c r="UYU53" s="384"/>
      <c r="UYV53" s="384"/>
      <c r="UYW53" s="384"/>
      <c r="UYX53" s="384"/>
      <c r="UYY53" s="384"/>
      <c r="UYZ53" s="384"/>
      <c r="UZA53" s="384"/>
      <c r="UZB53" s="384"/>
      <c r="UZC53" s="384"/>
      <c r="UZD53" s="384"/>
      <c r="UZE53" s="384"/>
      <c r="UZF53" s="384"/>
      <c r="UZG53" s="384"/>
      <c r="UZH53" s="384"/>
      <c r="UZI53" s="384"/>
      <c r="UZJ53" s="384"/>
      <c r="UZK53" s="384"/>
      <c r="UZL53" s="384"/>
      <c r="UZM53" s="384"/>
      <c r="UZN53" s="384"/>
      <c r="UZO53" s="384"/>
      <c r="UZP53" s="384"/>
      <c r="UZQ53" s="384"/>
      <c r="UZR53" s="384"/>
      <c r="UZS53" s="384"/>
      <c r="UZT53" s="384"/>
      <c r="UZU53" s="384"/>
      <c r="UZV53" s="384"/>
      <c r="UZW53" s="384"/>
      <c r="UZX53" s="384"/>
      <c r="UZY53" s="384"/>
      <c r="UZZ53" s="384"/>
      <c r="VAA53" s="384"/>
      <c r="VAB53" s="384"/>
      <c r="VAC53" s="384"/>
      <c r="VAD53" s="384"/>
      <c r="VAE53" s="384"/>
      <c r="VAF53" s="384"/>
      <c r="VAG53" s="384"/>
      <c r="VAH53" s="384"/>
      <c r="VAI53" s="384"/>
      <c r="VAJ53" s="384"/>
      <c r="VAK53" s="384"/>
      <c r="VAL53" s="384"/>
      <c r="VAM53" s="384"/>
      <c r="VAN53" s="384"/>
      <c r="VAO53" s="384"/>
      <c r="VAP53" s="384"/>
      <c r="VAQ53" s="384"/>
      <c r="VAR53" s="384"/>
      <c r="VAS53" s="384"/>
      <c r="VAT53" s="384"/>
      <c r="VAU53" s="384"/>
      <c r="VAV53" s="384"/>
      <c r="VAW53" s="384"/>
      <c r="VAX53" s="384"/>
      <c r="VAY53" s="384"/>
      <c r="VAZ53" s="384"/>
      <c r="VBA53" s="384"/>
      <c r="VBB53" s="384"/>
      <c r="VBC53" s="384"/>
      <c r="VBD53" s="384"/>
      <c r="VBE53" s="384"/>
      <c r="VBF53" s="384"/>
      <c r="VBG53" s="384"/>
      <c r="VBH53" s="384"/>
      <c r="VBI53" s="384"/>
      <c r="VBJ53" s="384"/>
      <c r="VBK53" s="384"/>
      <c r="VBL53" s="384"/>
      <c r="VBM53" s="384"/>
      <c r="VBN53" s="384"/>
      <c r="VBO53" s="384"/>
      <c r="VBP53" s="384"/>
      <c r="VBQ53" s="384"/>
      <c r="VBR53" s="384"/>
      <c r="VBS53" s="384"/>
      <c r="VBT53" s="384"/>
      <c r="VBU53" s="384"/>
      <c r="VBV53" s="384"/>
      <c r="VBW53" s="384"/>
      <c r="VBX53" s="384"/>
      <c r="VBY53" s="384"/>
      <c r="VBZ53" s="384"/>
      <c r="VCA53" s="384"/>
      <c r="VCB53" s="384"/>
      <c r="VCC53" s="384"/>
      <c r="VCD53" s="384"/>
      <c r="VCE53" s="384"/>
      <c r="VCF53" s="384"/>
      <c r="VCG53" s="384"/>
      <c r="VCH53" s="384"/>
      <c r="VCI53" s="384"/>
      <c r="VCJ53" s="384"/>
      <c r="VCK53" s="384"/>
      <c r="VCL53" s="384"/>
      <c r="VCM53" s="384"/>
      <c r="VCN53" s="384"/>
      <c r="VCO53" s="384"/>
      <c r="VCP53" s="384"/>
      <c r="VCQ53" s="384"/>
      <c r="VCR53" s="384"/>
      <c r="VCS53" s="384"/>
      <c r="VCT53" s="384"/>
      <c r="VCU53" s="384"/>
      <c r="VCV53" s="384"/>
      <c r="VCW53" s="384"/>
      <c r="VCX53" s="384"/>
      <c r="VCY53" s="384"/>
      <c r="VCZ53" s="384"/>
      <c r="VDA53" s="384"/>
      <c r="VDB53" s="384"/>
      <c r="VDC53" s="384"/>
      <c r="VDD53" s="384"/>
      <c r="VDE53" s="384"/>
      <c r="VDF53" s="384"/>
      <c r="VDG53" s="384"/>
      <c r="VDH53" s="384"/>
      <c r="VDI53" s="384"/>
      <c r="VDJ53" s="384"/>
      <c r="VDK53" s="384"/>
      <c r="VDL53" s="384"/>
      <c r="VDM53" s="384"/>
      <c r="VDN53" s="384"/>
      <c r="VDO53" s="384"/>
      <c r="VDP53" s="384"/>
      <c r="VDQ53" s="384"/>
      <c r="VDR53" s="384"/>
      <c r="VDS53" s="384"/>
      <c r="VDT53" s="384"/>
      <c r="VDU53" s="384"/>
      <c r="VDV53" s="384"/>
      <c r="VDW53" s="384"/>
      <c r="VDX53" s="384"/>
      <c r="VDY53" s="384"/>
      <c r="VDZ53" s="384"/>
      <c r="VEA53" s="384"/>
      <c r="VEB53" s="384"/>
      <c r="VEC53" s="384"/>
      <c r="VED53" s="384"/>
      <c r="VEE53" s="384"/>
      <c r="VEF53" s="384"/>
      <c r="VEG53" s="384"/>
      <c r="VEH53" s="384"/>
      <c r="VEI53" s="384"/>
      <c r="VEJ53" s="384"/>
      <c r="VEK53" s="384"/>
      <c r="VEL53" s="384"/>
      <c r="VEM53" s="384"/>
      <c r="VEN53" s="384"/>
      <c r="VEO53" s="384"/>
      <c r="VEP53" s="384"/>
      <c r="VEQ53" s="384"/>
      <c r="VER53" s="384"/>
      <c r="VES53" s="384"/>
      <c r="VET53" s="384"/>
      <c r="VEU53" s="384"/>
      <c r="VEV53" s="384"/>
      <c r="VEW53" s="384"/>
      <c r="VEX53" s="384"/>
      <c r="VEY53" s="384"/>
      <c r="VEZ53" s="384"/>
      <c r="VFA53" s="384"/>
      <c r="VFB53" s="384"/>
      <c r="VFC53" s="384"/>
      <c r="VFD53" s="384"/>
      <c r="VFE53" s="384"/>
      <c r="VFF53" s="384"/>
      <c r="VFG53" s="384"/>
      <c r="VFH53" s="384"/>
      <c r="VFI53" s="384"/>
      <c r="VFJ53" s="384"/>
      <c r="VFK53" s="384"/>
      <c r="VFL53" s="384"/>
      <c r="VFM53" s="384"/>
      <c r="VFN53" s="384"/>
      <c r="VFO53" s="384"/>
      <c r="VFP53" s="384"/>
      <c r="VFQ53" s="384"/>
      <c r="VFR53" s="384"/>
      <c r="VFS53" s="384"/>
      <c r="VFT53" s="384"/>
      <c r="VFU53" s="384"/>
      <c r="VFV53" s="384"/>
      <c r="VFW53" s="384"/>
      <c r="VFX53" s="384"/>
      <c r="VFY53" s="384"/>
      <c r="VFZ53" s="384"/>
      <c r="VGA53" s="384"/>
      <c r="VGB53" s="384"/>
      <c r="VGC53" s="384"/>
      <c r="VGD53" s="384"/>
      <c r="VGE53" s="384"/>
      <c r="VGF53" s="384"/>
      <c r="VGG53" s="384"/>
      <c r="VGH53" s="384"/>
      <c r="VGI53" s="384"/>
      <c r="VGJ53" s="384"/>
      <c r="VGK53" s="384"/>
      <c r="VGL53" s="384"/>
      <c r="VGM53" s="384"/>
      <c r="VGN53" s="384"/>
      <c r="VGO53" s="384"/>
      <c r="VGP53" s="384"/>
      <c r="VGQ53" s="384"/>
      <c r="VGR53" s="384"/>
      <c r="VGS53" s="384"/>
      <c r="VGT53" s="384"/>
      <c r="VGU53" s="384"/>
      <c r="VGV53" s="384"/>
      <c r="VGW53" s="384"/>
      <c r="VGX53" s="384"/>
      <c r="VGY53" s="384"/>
      <c r="VGZ53" s="384"/>
      <c r="VHA53" s="384"/>
      <c r="VHB53" s="384"/>
      <c r="VHC53" s="384"/>
      <c r="VHD53" s="384"/>
      <c r="VHE53" s="384"/>
      <c r="VHF53" s="384"/>
      <c r="VHG53" s="384"/>
      <c r="VHH53" s="384"/>
      <c r="VHI53" s="384"/>
      <c r="VHJ53" s="384"/>
      <c r="VHK53" s="384"/>
      <c r="VHL53" s="384"/>
      <c r="VHM53" s="384"/>
      <c r="VHN53" s="384"/>
      <c r="VHO53" s="384"/>
      <c r="VHP53" s="384"/>
      <c r="VHQ53" s="384"/>
      <c r="VHR53" s="384"/>
      <c r="VHS53" s="384"/>
      <c r="VHT53" s="384"/>
      <c r="VHU53" s="384"/>
      <c r="VHV53" s="384"/>
      <c r="VHW53" s="384"/>
      <c r="VHX53" s="384"/>
      <c r="VHY53" s="384"/>
      <c r="VHZ53" s="384"/>
      <c r="VIA53" s="384"/>
      <c r="VIB53" s="384"/>
      <c r="VIC53" s="384"/>
      <c r="VID53" s="384"/>
      <c r="VIE53" s="384"/>
      <c r="VIF53" s="384"/>
      <c r="VIG53" s="384"/>
      <c r="VIH53" s="384"/>
      <c r="VII53" s="384"/>
      <c r="VIJ53" s="384"/>
      <c r="VIK53" s="384"/>
      <c r="VIL53" s="384"/>
      <c r="VIM53" s="384"/>
      <c r="VIN53" s="384"/>
      <c r="VIO53" s="384"/>
      <c r="VIP53" s="384"/>
      <c r="VIQ53" s="384"/>
      <c r="VIR53" s="384"/>
      <c r="VIS53" s="384"/>
      <c r="VIT53" s="384"/>
      <c r="VIU53" s="384"/>
      <c r="VIV53" s="384"/>
      <c r="VIW53" s="384"/>
      <c r="VIX53" s="384"/>
      <c r="VIY53" s="384"/>
      <c r="VIZ53" s="384"/>
      <c r="VJA53" s="384"/>
      <c r="VJB53" s="384"/>
      <c r="VJC53" s="384"/>
      <c r="VJD53" s="384"/>
      <c r="VJE53" s="384"/>
      <c r="VJF53" s="384"/>
      <c r="VJG53" s="384"/>
      <c r="VJH53" s="384"/>
      <c r="VJI53" s="384"/>
      <c r="VJJ53" s="384"/>
      <c r="VJK53" s="384"/>
      <c r="VJL53" s="384"/>
      <c r="VJM53" s="384"/>
      <c r="VJN53" s="384"/>
      <c r="VJO53" s="384"/>
      <c r="VJP53" s="384"/>
      <c r="VJQ53" s="384"/>
      <c r="VJR53" s="384"/>
      <c r="VJS53" s="384"/>
      <c r="VJT53" s="384"/>
      <c r="VJU53" s="384"/>
      <c r="VJV53" s="384"/>
      <c r="VJW53" s="384"/>
      <c r="VJX53" s="384"/>
      <c r="VJY53" s="384"/>
      <c r="VJZ53" s="384"/>
      <c r="VKA53" s="384"/>
      <c r="VKB53" s="384"/>
      <c r="VKC53" s="384"/>
      <c r="VKD53" s="384"/>
      <c r="VKE53" s="384"/>
      <c r="VKF53" s="384"/>
      <c r="VKG53" s="384"/>
      <c r="VKH53" s="384"/>
      <c r="VKI53" s="384"/>
      <c r="VKJ53" s="384"/>
      <c r="VKK53" s="384"/>
      <c r="VKL53" s="384"/>
      <c r="VKM53" s="384"/>
      <c r="VKN53" s="384"/>
      <c r="VKO53" s="384"/>
      <c r="VKP53" s="384"/>
      <c r="VKQ53" s="384"/>
      <c r="VKR53" s="384"/>
      <c r="VKS53" s="384"/>
      <c r="VKT53" s="384"/>
      <c r="VKU53" s="384"/>
      <c r="VKV53" s="384"/>
      <c r="VKW53" s="384"/>
      <c r="VKX53" s="384"/>
      <c r="VKY53" s="384"/>
      <c r="VKZ53" s="384"/>
      <c r="VLA53" s="384"/>
      <c r="VLB53" s="384"/>
      <c r="VLC53" s="384"/>
      <c r="VLD53" s="384"/>
      <c r="VLE53" s="384"/>
      <c r="VLF53" s="384"/>
      <c r="VLG53" s="384"/>
      <c r="VLH53" s="384"/>
      <c r="VLI53" s="384"/>
      <c r="VLJ53" s="384"/>
      <c r="VLK53" s="384"/>
      <c r="VLL53" s="384"/>
      <c r="VLM53" s="384"/>
      <c r="VLN53" s="384"/>
      <c r="VLO53" s="384"/>
      <c r="VLP53" s="384"/>
      <c r="VLQ53" s="384"/>
      <c r="VLR53" s="384"/>
      <c r="VLS53" s="384"/>
      <c r="VLT53" s="384"/>
      <c r="VLU53" s="384"/>
      <c r="VLV53" s="384"/>
      <c r="VLW53" s="384"/>
      <c r="VLX53" s="384"/>
      <c r="VLY53" s="384"/>
      <c r="VLZ53" s="384"/>
      <c r="VMA53" s="384"/>
      <c r="VMB53" s="384"/>
      <c r="VMC53" s="384"/>
      <c r="VMD53" s="384"/>
      <c r="VME53" s="384"/>
      <c r="VMF53" s="384"/>
      <c r="VMG53" s="384"/>
      <c r="VMH53" s="384"/>
      <c r="VMI53" s="384"/>
      <c r="VMJ53" s="384"/>
      <c r="VMK53" s="384"/>
      <c r="VML53" s="384"/>
      <c r="VMM53" s="384"/>
      <c r="VMN53" s="384"/>
      <c r="VMO53" s="384"/>
      <c r="VMP53" s="384"/>
      <c r="VMQ53" s="384"/>
      <c r="VMR53" s="384"/>
      <c r="VMS53" s="384"/>
      <c r="VMT53" s="384"/>
      <c r="VMU53" s="384"/>
      <c r="VMV53" s="384"/>
      <c r="VMW53" s="384"/>
      <c r="VMX53" s="384"/>
      <c r="VMY53" s="384"/>
      <c r="VMZ53" s="384"/>
      <c r="VNA53" s="384"/>
      <c r="VNB53" s="384"/>
      <c r="VNC53" s="384"/>
      <c r="VND53" s="384"/>
      <c r="VNE53" s="384"/>
      <c r="VNF53" s="384"/>
      <c r="VNG53" s="384"/>
      <c r="VNH53" s="384"/>
      <c r="VNI53" s="384"/>
      <c r="VNJ53" s="384"/>
      <c r="VNK53" s="384"/>
      <c r="VNL53" s="384"/>
      <c r="VNM53" s="384"/>
      <c r="VNN53" s="384"/>
      <c r="VNO53" s="384"/>
      <c r="VNP53" s="384"/>
      <c r="VNQ53" s="384"/>
      <c r="VNR53" s="384"/>
      <c r="VNS53" s="384"/>
      <c r="VNT53" s="384"/>
      <c r="VNU53" s="384"/>
      <c r="VNV53" s="384"/>
      <c r="VNW53" s="384"/>
      <c r="VNX53" s="384"/>
      <c r="VNY53" s="384"/>
      <c r="VNZ53" s="384"/>
      <c r="VOA53" s="384"/>
      <c r="VOB53" s="384"/>
      <c r="VOC53" s="384"/>
      <c r="VOD53" s="384"/>
      <c r="VOE53" s="384"/>
      <c r="VOF53" s="384"/>
      <c r="VOG53" s="384"/>
      <c r="VOH53" s="384"/>
      <c r="VOI53" s="384"/>
      <c r="VOJ53" s="384"/>
      <c r="VOK53" s="384"/>
      <c r="VOL53" s="384"/>
      <c r="VOM53" s="384"/>
      <c r="VON53" s="384"/>
      <c r="VOO53" s="384"/>
      <c r="VOP53" s="384"/>
      <c r="VOQ53" s="384"/>
      <c r="VOR53" s="384"/>
      <c r="VOS53" s="384"/>
      <c r="VOT53" s="384"/>
      <c r="VOU53" s="384"/>
      <c r="VOV53" s="384"/>
      <c r="VOW53" s="384"/>
      <c r="VOX53" s="384"/>
      <c r="VOY53" s="384"/>
      <c r="VOZ53" s="384"/>
      <c r="VPA53" s="384"/>
      <c r="VPB53" s="384"/>
      <c r="VPC53" s="384"/>
      <c r="VPD53" s="384"/>
      <c r="VPE53" s="384"/>
      <c r="VPF53" s="384"/>
      <c r="VPG53" s="384"/>
      <c r="VPH53" s="384"/>
      <c r="VPI53" s="384"/>
      <c r="VPJ53" s="384"/>
      <c r="VPK53" s="384"/>
      <c r="VPL53" s="384"/>
      <c r="VPM53" s="384"/>
      <c r="VPN53" s="384"/>
      <c r="VPO53" s="384"/>
      <c r="VPP53" s="384"/>
      <c r="VPQ53" s="384"/>
      <c r="VPR53" s="384"/>
      <c r="VPS53" s="384"/>
      <c r="VPT53" s="384"/>
      <c r="VPU53" s="384"/>
      <c r="VPV53" s="384"/>
      <c r="VPW53" s="384"/>
      <c r="VPX53" s="384"/>
      <c r="VPY53" s="384"/>
      <c r="VPZ53" s="384"/>
      <c r="VQA53" s="384"/>
      <c r="VQB53" s="384"/>
      <c r="VQC53" s="384"/>
      <c r="VQD53" s="384"/>
      <c r="VQE53" s="384"/>
      <c r="VQF53" s="384"/>
      <c r="VQG53" s="384"/>
      <c r="VQH53" s="384"/>
      <c r="VQI53" s="384"/>
      <c r="VQJ53" s="384"/>
      <c r="VQK53" s="384"/>
      <c r="VQL53" s="384"/>
      <c r="VQM53" s="384"/>
      <c r="VQN53" s="384"/>
      <c r="VQO53" s="384"/>
      <c r="VQP53" s="384"/>
      <c r="VQQ53" s="384"/>
      <c r="VQR53" s="384"/>
      <c r="VQS53" s="384"/>
      <c r="VQT53" s="384"/>
      <c r="VQU53" s="384"/>
      <c r="VQV53" s="384"/>
      <c r="VQW53" s="384"/>
      <c r="VQX53" s="384"/>
      <c r="VQY53" s="384"/>
      <c r="VQZ53" s="384"/>
      <c r="VRA53" s="384"/>
      <c r="VRB53" s="384"/>
      <c r="VRC53" s="384"/>
      <c r="VRD53" s="384"/>
      <c r="VRE53" s="384"/>
      <c r="VRF53" s="384"/>
      <c r="VRG53" s="384"/>
      <c r="VRH53" s="384"/>
      <c r="VRI53" s="384"/>
      <c r="VRJ53" s="384"/>
      <c r="VRK53" s="384"/>
      <c r="VRL53" s="384"/>
      <c r="VRM53" s="384"/>
      <c r="VRN53" s="384"/>
      <c r="VRO53" s="384"/>
      <c r="VRP53" s="384"/>
      <c r="VRQ53" s="384"/>
      <c r="VRR53" s="384"/>
      <c r="VRS53" s="384"/>
      <c r="VRT53" s="384"/>
      <c r="VRU53" s="384"/>
      <c r="VRV53" s="384"/>
      <c r="VRW53" s="384"/>
      <c r="VRX53" s="384"/>
      <c r="VRY53" s="384"/>
      <c r="VRZ53" s="384"/>
      <c r="VSA53" s="384"/>
      <c r="VSB53" s="384"/>
      <c r="VSC53" s="384"/>
      <c r="VSD53" s="384"/>
      <c r="VSE53" s="384"/>
      <c r="VSF53" s="384"/>
      <c r="VSG53" s="384"/>
      <c r="VSH53" s="384"/>
      <c r="VSI53" s="384"/>
      <c r="VSJ53" s="384"/>
      <c r="VSK53" s="384"/>
      <c r="VSL53" s="384"/>
      <c r="VSM53" s="384"/>
      <c r="VSN53" s="384"/>
      <c r="VSO53" s="384"/>
      <c r="VSP53" s="384"/>
      <c r="VSQ53" s="384"/>
      <c r="VSR53" s="384"/>
      <c r="VSS53" s="384"/>
      <c r="VST53" s="384"/>
      <c r="VSU53" s="384"/>
      <c r="VSV53" s="384"/>
      <c r="VSW53" s="384"/>
      <c r="VSX53" s="384"/>
      <c r="VSY53" s="384"/>
      <c r="VSZ53" s="384"/>
      <c r="VTA53" s="384"/>
      <c r="VTB53" s="384"/>
      <c r="VTC53" s="384"/>
      <c r="VTD53" s="384"/>
      <c r="VTE53" s="384"/>
      <c r="VTF53" s="384"/>
      <c r="VTG53" s="384"/>
      <c r="VTH53" s="384"/>
      <c r="VTI53" s="384"/>
      <c r="VTJ53" s="384"/>
      <c r="VTK53" s="384"/>
      <c r="VTL53" s="384"/>
      <c r="VTM53" s="384"/>
      <c r="VTN53" s="384"/>
      <c r="VTO53" s="384"/>
      <c r="VTP53" s="384"/>
      <c r="VTQ53" s="384"/>
      <c r="VTR53" s="384"/>
      <c r="VTS53" s="384"/>
      <c r="VTT53" s="384"/>
      <c r="VTU53" s="384"/>
      <c r="VTV53" s="384"/>
      <c r="VTW53" s="384"/>
      <c r="VTX53" s="384"/>
      <c r="VTY53" s="384"/>
      <c r="VTZ53" s="384"/>
      <c r="VUA53" s="384"/>
      <c r="VUB53" s="384"/>
      <c r="VUC53" s="384"/>
      <c r="VUD53" s="384"/>
      <c r="VUE53" s="384"/>
      <c r="VUF53" s="384"/>
      <c r="VUG53" s="384"/>
      <c r="VUH53" s="384"/>
      <c r="VUI53" s="384"/>
      <c r="VUJ53" s="384"/>
      <c r="VUK53" s="384"/>
      <c r="VUL53" s="384"/>
      <c r="VUM53" s="384"/>
      <c r="VUN53" s="384"/>
      <c r="VUO53" s="384"/>
      <c r="VUP53" s="384"/>
      <c r="VUQ53" s="384"/>
      <c r="VUR53" s="384"/>
      <c r="VUS53" s="384"/>
      <c r="VUT53" s="384"/>
      <c r="VUU53" s="384"/>
      <c r="VUV53" s="384"/>
      <c r="VUW53" s="384"/>
      <c r="VUX53" s="384"/>
      <c r="VUY53" s="384"/>
      <c r="VUZ53" s="384"/>
      <c r="VVA53" s="384"/>
      <c r="VVB53" s="384"/>
      <c r="VVC53" s="384"/>
      <c r="VVD53" s="384"/>
      <c r="VVE53" s="384"/>
      <c r="VVF53" s="384"/>
      <c r="VVG53" s="384"/>
      <c r="VVH53" s="384"/>
      <c r="VVI53" s="384"/>
      <c r="VVJ53" s="384"/>
      <c r="VVK53" s="384"/>
      <c r="VVL53" s="384"/>
      <c r="VVM53" s="384"/>
      <c r="VVN53" s="384"/>
      <c r="VVO53" s="384"/>
      <c r="VVP53" s="384"/>
      <c r="VVQ53" s="384"/>
      <c r="VVR53" s="384"/>
      <c r="VVS53" s="384"/>
      <c r="VVT53" s="384"/>
      <c r="VVU53" s="384"/>
      <c r="VVV53" s="384"/>
      <c r="VVW53" s="384"/>
      <c r="VVX53" s="384"/>
      <c r="VVY53" s="384"/>
      <c r="VVZ53" s="384"/>
      <c r="VWA53" s="384"/>
      <c r="VWB53" s="384"/>
      <c r="VWC53" s="384"/>
      <c r="VWD53" s="384"/>
      <c r="VWE53" s="384"/>
      <c r="VWF53" s="384"/>
      <c r="VWG53" s="384"/>
      <c r="VWH53" s="384"/>
      <c r="VWI53" s="384"/>
      <c r="VWJ53" s="384"/>
      <c r="VWK53" s="384"/>
      <c r="VWL53" s="384"/>
      <c r="VWM53" s="384"/>
      <c r="VWN53" s="384"/>
      <c r="VWO53" s="384"/>
      <c r="VWP53" s="384"/>
      <c r="VWQ53" s="384"/>
      <c r="VWR53" s="384"/>
      <c r="VWS53" s="384"/>
      <c r="VWT53" s="384"/>
      <c r="VWU53" s="384"/>
      <c r="VWV53" s="384"/>
      <c r="VWW53" s="384"/>
      <c r="VWX53" s="384"/>
      <c r="VWY53" s="384"/>
      <c r="VWZ53" s="384"/>
      <c r="VXA53" s="384"/>
      <c r="VXB53" s="384"/>
      <c r="VXC53" s="384"/>
      <c r="VXD53" s="384"/>
      <c r="VXE53" s="384"/>
      <c r="VXF53" s="384"/>
      <c r="VXG53" s="384"/>
      <c r="VXH53" s="384"/>
      <c r="VXI53" s="384"/>
      <c r="VXJ53" s="384"/>
      <c r="VXK53" s="384"/>
      <c r="VXL53" s="384"/>
      <c r="VXM53" s="384"/>
      <c r="VXN53" s="384"/>
      <c r="VXO53" s="384"/>
      <c r="VXP53" s="384"/>
      <c r="VXQ53" s="384"/>
      <c r="VXR53" s="384"/>
      <c r="VXS53" s="384"/>
      <c r="VXT53" s="384"/>
      <c r="VXU53" s="384"/>
      <c r="VXV53" s="384"/>
      <c r="VXW53" s="384"/>
      <c r="VXX53" s="384"/>
      <c r="VXY53" s="384"/>
      <c r="VXZ53" s="384"/>
      <c r="VYA53" s="384"/>
      <c r="VYB53" s="384"/>
      <c r="VYC53" s="384"/>
      <c r="VYD53" s="384"/>
      <c r="VYE53" s="384"/>
      <c r="VYF53" s="384"/>
      <c r="VYG53" s="384"/>
      <c r="VYH53" s="384"/>
      <c r="VYI53" s="384"/>
      <c r="VYJ53" s="384"/>
      <c r="VYK53" s="384"/>
      <c r="VYL53" s="384"/>
      <c r="VYM53" s="384"/>
      <c r="VYN53" s="384"/>
      <c r="VYO53" s="384"/>
      <c r="VYP53" s="384"/>
      <c r="VYQ53" s="384"/>
      <c r="VYR53" s="384"/>
      <c r="VYS53" s="384"/>
      <c r="VYT53" s="384"/>
      <c r="VYU53" s="384"/>
      <c r="VYV53" s="384"/>
      <c r="VYW53" s="384"/>
      <c r="VYX53" s="384"/>
      <c r="VYY53" s="384"/>
      <c r="VYZ53" s="384"/>
      <c r="VZA53" s="384"/>
      <c r="VZB53" s="384"/>
      <c r="VZC53" s="384"/>
      <c r="VZD53" s="384"/>
      <c r="VZE53" s="384"/>
      <c r="VZF53" s="384"/>
      <c r="VZG53" s="384"/>
      <c r="VZH53" s="384"/>
      <c r="VZI53" s="384"/>
      <c r="VZJ53" s="384"/>
      <c r="VZK53" s="384"/>
      <c r="VZL53" s="384"/>
      <c r="VZM53" s="384"/>
      <c r="VZN53" s="384"/>
      <c r="VZO53" s="384"/>
      <c r="VZP53" s="384"/>
      <c r="VZQ53" s="384"/>
      <c r="VZR53" s="384"/>
      <c r="VZS53" s="384"/>
      <c r="VZT53" s="384"/>
      <c r="VZU53" s="384"/>
      <c r="VZV53" s="384"/>
      <c r="VZW53" s="384"/>
      <c r="VZX53" s="384"/>
      <c r="VZY53" s="384"/>
      <c r="VZZ53" s="384"/>
      <c r="WAA53" s="384"/>
      <c r="WAB53" s="384"/>
      <c r="WAC53" s="384"/>
      <c r="WAD53" s="384"/>
      <c r="WAE53" s="384"/>
      <c r="WAF53" s="384"/>
      <c r="WAG53" s="384"/>
      <c r="WAH53" s="384"/>
      <c r="WAI53" s="384"/>
      <c r="WAJ53" s="384"/>
      <c r="WAK53" s="384"/>
      <c r="WAL53" s="384"/>
      <c r="WAM53" s="384"/>
      <c r="WAN53" s="384"/>
      <c r="WAO53" s="384"/>
      <c r="WAP53" s="384"/>
      <c r="WAQ53" s="384"/>
      <c r="WAR53" s="384"/>
      <c r="WAS53" s="384"/>
      <c r="WAT53" s="384"/>
      <c r="WAU53" s="384"/>
      <c r="WAV53" s="384"/>
      <c r="WAW53" s="384"/>
      <c r="WAX53" s="384"/>
      <c r="WAY53" s="384"/>
      <c r="WAZ53" s="384"/>
      <c r="WBA53" s="384"/>
      <c r="WBB53" s="384"/>
      <c r="WBC53" s="384"/>
      <c r="WBD53" s="384"/>
      <c r="WBE53" s="384"/>
      <c r="WBF53" s="384"/>
      <c r="WBG53" s="384"/>
      <c r="WBH53" s="384"/>
      <c r="WBI53" s="384"/>
      <c r="WBJ53" s="384"/>
      <c r="WBK53" s="384"/>
      <c r="WBL53" s="384"/>
      <c r="WBM53" s="384"/>
      <c r="WBN53" s="384"/>
      <c r="WBO53" s="384"/>
      <c r="WBP53" s="384"/>
      <c r="WBQ53" s="384"/>
      <c r="WBR53" s="384"/>
      <c r="WBS53" s="384"/>
      <c r="WBT53" s="384"/>
      <c r="WBU53" s="384"/>
      <c r="WBV53" s="384"/>
      <c r="WBW53" s="384"/>
      <c r="WBX53" s="384"/>
      <c r="WBY53" s="384"/>
      <c r="WBZ53" s="384"/>
      <c r="WCA53" s="384"/>
      <c r="WCB53" s="384"/>
      <c r="WCC53" s="384"/>
      <c r="WCD53" s="384"/>
      <c r="WCE53" s="384"/>
      <c r="WCF53" s="384"/>
      <c r="WCG53" s="384"/>
      <c r="WCH53" s="384"/>
      <c r="WCI53" s="384"/>
      <c r="WCJ53" s="384"/>
      <c r="WCK53" s="384"/>
      <c r="WCL53" s="384"/>
      <c r="WCM53" s="384"/>
      <c r="WCN53" s="384"/>
      <c r="WCO53" s="384"/>
      <c r="WCP53" s="384"/>
      <c r="WCQ53" s="384"/>
      <c r="WCR53" s="384"/>
      <c r="WCS53" s="384"/>
      <c r="WCT53" s="384"/>
      <c r="WCU53" s="384"/>
      <c r="WCV53" s="384"/>
      <c r="WCW53" s="384"/>
      <c r="WCX53" s="384"/>
      <c r="WCY53" s="384"/>
      <c r="WCZ53" s="384"/>
      <c r="WDA53" s="384"/>
      <c r="WDB53" s="384"/>
      <c r="WDC53" s="384"/>
      <c r="WDD53" s="384"/>
      <c r="WDE53" s="384"/>
      <c r="WDF53" s="384"/>
      <c r="WDG53" s="384"/>
      <c r="WDH53" s="384"/>
      <c r="WDI53" s="384"/>
      <c r="WDJ53" s="384"/>
      <c r="WDK53" s="384"/>
      <c r="WDL53" s="384"/>
      <c r="WDM53" s="384"/>
      <c r="WDN53" s="384"/>
      <c r="WDO53" s="384"/>
      <c r="WDP53" s="384"/>
      <c r="WDQ53" s="384"/>
      <c r="WDR53" s="384"/>
      <c r="WDS53" s="384"/>
      <c r="WDT53" s="384"/>
      <c r="WDU53" s="384"/>
      <c r="WDV53" s="384"/>
      <c r="WDW53" s="384"/>
      <c r="WDX53" s="384"/>
      <c r="WDY53" s="384"/>
      <c r="WDZ53" s="384"/>
      <c r="WEA53" s="384"/>
      <c r="WEB53" s="384"/>
      <c r="WEC53" s="384"/>
      <c r="WED53" s="384"/>
      <c r="WEE53" s="384"/>
      <c r="WEF53" s="384"/>
      <c r="WEG53" s="384"/>
      <c r="WEH53" s="384"/>
      <c r="WEI53" s="384"/>
      <c r="WEJ53" s="384"/>
      <c r="WEK53" s="384"/>
      <c r="WEL53" s="384"/>
      <c r="WEM53" s="384"/>
      <c r="WEN53" s="384"/>
      <c r="WEO53" s="384"/>
      <c r="WEP53" s="384"/>
      <c r="WEQ53" s="384"/>
      <c r="WER53" s="384"/>
      <c r="WES53" s="384"/>
      <c r="WET53" s="384"/>
      <c r="WEU53" s="384"/>
      <c r="WEV53" s="384"/>
      <c r="WEW53" s="384"/>
      <c r="WEX53" s="384"/>
      <c r="WEY53" s="384"/>
      <c r="WEZ53" s="384"/>
      <c r="WFA53" s="384"/>
      <c r="WFB53" s="384"/>
      <c r="WFC53" s="384"/>
      <c r="WFD53" s="384"/>
      <c r="WFE53" s="384"/>
      <c r="WFF53" s="384"/>
      <c r="WFG53" s="384"/>
      <c r="WFH53" s="384"/>
      <c r="WFI53" s="384"/>
      <c r="WFJ53" s="384"/>
      <c r="WFK53" s="384"/>
      <c r="WFL53" s="384"/>
      <c r="WFM53" s="384"/>
      <c r="WFN53" s="384"/>
      <c r="WFO53" s="384"/>
      <c r="WFP53" s="384"/>
      <c r="WFQ53" s="384"/>
      <c r="WFR53" s="384"/>
      <c r="WFS53" s="384"/>
      <c r="WFT53" s="384"/>
      <c r="WFU53" s="384"/>
      <c r="WFV53" s="384"/>
      <c r="WFW53" s="384"/>
      <c r="WFX53" s="384"/>
      <c r="WFY53" s="384"/>
      <c r="WFZ53" s="384"/>
      <c r="WGA53" s="384"/>
      <c r="WGB53" s="384"/>
      <c r="WGC53" s="384"/>
      <c r="WGD53" s="384"/>
      <c r="WGE53" s="384"/>
      <c r="WGF53" s="384"/>
      <c r="WGG53" s="384"/>
      <c r="WGH53" s="384"/>
      <c r="WGI53" s="384"/>
      <c r="WGJ53" s="384"/>
      <c r="WGK53" s="384"/>
      <c r="WGL53" s="384"/>
      <c r="WGM53" s="384"/>
      <c r="WGN53" s="384"/>
      <c r="WGO53" s="384"/>
      <c r="WGP53" s="384"/>
      <c r="WGQ53" s="384"/>
      <c r="WGR53" s="384"/>
      <c r="WGS53" s="384"/>
      <c r="WGT53" s="384"/>
      <c r="WGU53" s="384"/>
      <c r="WGV53" s="384"/>
      <c r="WGW53" s="384"/>
      <c r="WGX53" s="384"/>
      <c r="WGY53" s="384"/>
      <c r="WGZ53" s="384"/>
      <c r="WHA53" s="384"/>
      <c r="WHB53" s="384"/>
      <c r="WHC53" s="384"/>
      <c r="WHD53" s="384"/>
      <c r="WHE53" s="384"/>
      <c r="WHF53" s="384"/>
      <c r="WHG53" s="384"/>
      <c r="WHH53" s="384"/>
      <c r="WHI53" s="384"/>
      <c r="WHJ53" s="384"/>
      <c r="WHK53" s="384"/>
      <c r="WHL53" s="384"/>
      <c r="WHM53" s="384"/>
      <c r="WHN53" s="384"/>
      <c r="WHO53" s="384"/>
      <c r="WHP53" s="384"/>
      <c r="WHQ53" s="384"/>
      <c r="WHR53" s="384"/>
      <c r="WHS53" s="384"/>
      <c r="WHT53" s="384"/>
      <c r="WHU53" s="384"/>
      <c r="WHV53" s="384"/>
      <c r="WHW53" s="384"/>
      <c r="WHX53" s="384"/>
      <c r="WHY53" s="384"/>
      <c r="WHZ53" s="384"/>
      <c r="WIA53" s="384"/>
      <c r="WIB53" s="384"/>
      <c r="WIC53" s="384"/>
      <c r="WID53" s="384"/>
      <c r="WIE53" s="384"/>
      <c r="WIF53" s="384"/>
      <c r="WIG53" s="384"/>
      <c r="WIH53" s="384"/>
      <c r="WII53" s="384"/>
      <c r="WIJ53" s="384"/>
      <c r="WIK53" s="384"/>
      <c r="WIL53" s="384"/>
      <c r="WIM53" s="384"/>
      <c r="WIN53" s="384"/>
      <c r="WIO53" s="384"/>
      <c r="WIP53" s="384"/>
      <c r="WIQ53" s="384"/>
      <c r="WIR53" s="384"/>
      <c r="WIS53" s="384"/>
      <c r="WIT53" s="384"/>
      <c r="WIU53" s="384"/>
      <c r="WIV53" s="384"/>
      <c r="WIW53" s="384"/>
      <c r="WIX53" s="384"/>
      <c r="WIY53" s="384"/>
      <c r="WIZ53" s="384"/>
      <c r="WJA53" s="384"/>
      <c r="WJB53" s="384"/>
      <c r="WJC53" s="384"/>
      <c r="WJD53" s="384"/>
      <c r="WJE53" s="384"/>
      <c r="WJF53" s="384"/>
      <c r="WJG53" s="384"/>
      <c r="WJH53" s="384"/>
      <c r="WJI53" s="384"/>
      <c r="WJJ53" s="384"/>
      <c r="WJK53" s="384"/>
      <c r="WJL53" s="384"/>
      <c r="WJM53" s="384"/>
      <c r="WJN53" s="384"/>
      <c r="WJO53" s="384"/>
      <c r="WJP53" s="384"/>
      <c r="WJQ53" s="384"/>
      <c r="WJR53" s="384"/>
      <c r="WJS53" s="384"/>
      <c r="WJT53" s="384"/>
      <c r="WJU53" s="384"/>
      <c r="WJV53" s="384"/>
      <c r="WJW53" s="384"/>
      <c r="WJX53" s="384"/>
      <c r="WJY53" s="384"/>
      <c r="WJZ53" s="384"/>
      <c r="WKA53" s="384"/>
      <c r="WKB53" s="384"/>
      <c r="WKC53" s="384"/>
      <c r="WKD53" s="384"/>
      <c r="WKE53" s="384"/>
      <c r="WKF53" s="384"/>
      <c r="WKG53" s="384"/>
      <c r="WKH53" s="384"/>
      <c r="WKI53" s="384"/>
      <c r="WKJ53" s="384"/>
      <c r="WKK53" s="384"/>
      <c r="WKL53" s="384"/>
      <c r="WKM53" s="384"/>
      <c r="WKN53" s="384"/>
      <c r="WKO53" s="384"/>
      <c r="WKP53" s="384"/>
      <c r="WKQ53" s="384"/>
      <c r="WKR53" s="384"/>
      <c r="WKS53" s="384"/>
      <c r="WKT53" s="384"/>
      <c r="WKU53" s="384"/>
      <c r="WKV53" s="384"/>
      <c r="WKW53" s="384"/>
      <c r="WKX53" s="384"/>
      <c r="WKY53" s="384"/>
      <c r="WKZ53" s="384"/>
      <c r="WLA53" s="384"/>
      <c r="WLB53" s="384"/>
      <c r="WLC53" s="384"/>
      <c r="WLD53" s="384"/>
      <c r="WLE53" s="384"/>
      <c r="WLF53" s="384"/>
      <c r="WLG53" s="384"/>
      <c r="WLH53" s="384"/>
      <c r="WLI53" s="384"/>
      <c r="WLJ53" s="384"/>
      <c r="WLK53" s="384"/>
      <c r="WLL53" s="384"/>
      <c r="WLM53" s="384"/>
      <c r="WLN53" s="384"/>
      <c r="WLO53" s="384"/>
      <c r="WLP53" s="384"/>
      <c r="WLQ53" s="384"/>
      <c r="WLR53" s="384"/>
      <c r="WLS53" s="384"/>
      <c r="WLT53" s="384"/>
      <c r="WLU53" s="384"/>
      <c r="WLV53" s="384"/>
      <c r="WLW53" s="384"/>
      <c r="WLX53" s="384"/>
      <c r="WLY53" s="384"/>
      <c r="WLZ53" s="384"/>
      <c r="WMA53" s="384"/>
      <c r="WMB53" s="384"/>
      <c r="WMC53" s="384"/>
      <c r="WMD53" s="384"/>
      <c r="WME53" s="384"/>
      <c r="WMF53" s="384"/>
      <c r="WMG53" s="384"/>
      <c r="WMH53" s="384"/>
      <c r="WMI53" s="384"/>
      <c r="WMJ53" s="384"/>
      <c r="WMK53" s="384"/>
      <c r="WML53" s="384"/>
      <c r="WMM53" s="384"/>
      <c r="WMN53" s="384"/>
      <c r="WMO53" s="384"/>
      <c r="WMP53" s="384"/>
      <c r="WMQ53" s="384"/>
      <c r="WMR53" s="384"/>
      <c r="WMS53" s="384"/>
      <c r="WMT53" s="384"/>
      <c r="WMU53" s="384"/>
      <c r="WMV53" s="384"/>
      <c r="WMW53" s="384"/>
      <c r="WMX53" s="384"/>
      <c r="WMY53" s="384"/>
      <c r="WMZ53" s="384"/>
      <c r="WNA53" s="384"/>
      <c r="WNB53" s="384"/>
      <c r="WNC53" s="384"/>
      <c r="WND53" s="384"/>
      <c r="WNE53" s="384"/>
      <c r="WNF53" s="384"/>
      <c r="WNG53" s="384"/>
      <c r="WNH53" s="384"/>
      <c r="WNI53" s="384"/>
      <c r="WNJ53" s="384"/>
      <c r="WNK53" s="384"/>
      <c r="WNL53" s="384"/>
      <c r="WNM53" s="384"/>
      <c r="WNN53" s="384"/>
      <c r="WNO53" s="384"/>
      <c r="WNP53" s="384"/>
      <c r="WNQ53" s="384"/>
      <c r="WNR53" s="384"/>
      <c r="WNS53" s="384"/>
      <c r="WNT53" s="384"/>
      <c r="WNU53" s="384"/>
      <c r="WNV53" s="384"/>
      <c r="WNW53" s="384"/>
      <c r="WNX53" s="384"/>
      <c r="WNY53" s="384"/>
      <c r="WNZ53" s="384"/>
      <c r="WOA53" s="384"/>
      <c r="WOB53" s="384"/>
      <c r="WOC53" s="384"/>
      <c r="WOD53" s="384"/>
      <c r="WOE53" s="384"/>
      <c r="WOF53" s="384"/>
      <c r="WOG53" s="384"/>
      <c r="WOH53" s="384"/>
      <c r="WOI53" s="384"/>
      <c r="WOJ53" s="384"/>
      <c r="WOK53" s="384"/>
      <c r="WOL53" s="384"/>
      <c r="WOM53" s="384"/>
      <c r="WON53" s="384"/>
      <c r="WOO53" s="384"/>
      <c r="WOP53" s="384"/>
      <c r="WOQ53" s="384"/>
      <c r="WOR53" s="384"/>
      <c r="WOS53" s="384"/>
      <c r="WOT53" s="384"/>
      <c r="WOU53" s="384"/>
      <c r="WOV53" s="384"/>
      <c r="WOW53" s="384"/>
      <c r="WOX53" s="384"/>
      <c r="WOY53" s="384"/>
      <c r="WOZ53" s="384"/>
      <c r="WPA53" s="384"/>
      <c r="WPB53" s="384"/>
      <c r="WPC53" s="384"/>
      <c r="WPD53" s="384"/>
      <c r="WPE53" s="384"/>
      <c r="WPF53" s="384"/>
      <c r="WPG53" s="384"/>
      <c r="WPH53" s="384"/>
      <c r="WPI53" s="384"/>
      <c r="WPJ53" s="384"/>
      <c r="WPK53" s="384"/>
      <c r="WPL53" s="384"/>
      <c r="WPM53" s="384"/>
      <c r="WPN53" s="384"/>
      <c r="WPO53" s="384"/>
      <c r="WPP53" s="384"/>
      <c r="WPQ53" s="384"/>
      <c r="WPR53" s="384"/>
      <c r="WPS53" s="384"/>
      <c r="WPT53" s="384"/>
      <c r="WPU53" s="384"/>
      <c r="WPV53" s="384"/>
      <c r="WPW53" s="384"/>
      <c r="WPX53" s="384"/>
      <c r="WPY53" s="384"/>
      <c r="WPZ53" s="384"/>
      <c r="WQA53" s="384"/>
      <c r="WQB53" s="384"/>
      <c r="WQC53" s="384"/>
      <c r="WQD53" s="384"/>
      <c r="WQE53" s="384"/>
      <c r="WQF53" s="384"/>
      <c r="WQG53" s="384"/>
      <c r="WQH53" s="384"/>
      <c r="WQI53" s="384"/>
      <c r="WQJ53" s="384"/>
      <c r="WQK53" s="384"/>
      <c r="WQL53" s="384"/>
      <c r="WQM53" s="384"/>
      <c r="WQN53" s="384"/>
      <c r="WQO53" s="384"/>
      <c r="WQP53" s="384"/>
      <c r="WQQ53" s="384"/>
      <c r="WQR53" s="384"/>
      <c r="WQS53" s="384"/>
      <c r="WQT53" s="384"/>
      <c r="WQU53" s="384"/>
      <c r="WQV53" s="384"/>
      <c r="WQW53" s="384"/>
      <c r="WQX53" s="384"/>
      <c r="WQY53" s="384"/>
      <c r="WQZ53" s="384"/>
      <c r="WRA53" s="384"/>
      <c r="WRB53" s="384"/>
      <c r="WRC53" s="384"/>
      <c r="WRD53" s="384"/>
      <c r="WRE53" s="384"/>
      <c r="WRF53" s="384"/>
      <c r="WRG53" s="384"/>
      <c r="WRH53" s="384"/>
      <c r="WRI53" s="384"/>
      <c r="WRJ53" s="384"/>
      <c r="WRK53" s="384"/>
      <c r="WRL53" s="384"/>
      <c r="WRM53" s="384"/>
      <c r="WRN53" s="384"/>
      <c r="WRO53" s="384"/>
      <c r="WRP53" s="384"/>
      <c r="WRQ53" s="384"/>
      <c r="WRR53" s="384"/>
      <c r="WRS53" s="384"/>
      <c r="WRT53" s="384"/>
      <c r="WRU53" s="384"/>
      <c r="WRV53" s="384"/>
      <c r="WRW53" s="384"/>
      <c r="WRX53" s="384"/>
      <c r="WRY53" s="384"/>
      <c r="WRZ53" s="384"/>
      <c r="WSA53" s="384"/>
      <c r="WSB53" s="384"/>
      <c r="WSC53" s="384"/>
      <c r="WSD53" s="384"/>
      <c r="WSE53" s="384"/>
      <c r="WSF53" s="384"/>
      <c r="WSG53" s="384"/>
      <c r="WSH53" s="384"/>
      <c r="WSI53" s="384"/>
      <c r="WSJ53" s="384"/>
      <c r="WSK53" s="384"/>
      <c r="WSL53" s="384"/>
      <c r="WSM53" s="384"/>
      <c r="WSN53" s="384"/>
      <c r="WSO53" s="384"/>
      <c r="WSP53" s="384"/>
      <c r="WSQ53" s="384"/>
      <c r="WSR53" s="384"/>
      <c r="WSS53" s="384"/>
      <c r="WST53" s="384"/>
      <c r="WSU53" s="384"/>
      <c r="WSV53" s="384"/>
      <c r="WSW53" s="384"/>
      <c r="WSX53" s="384"/>
      <c r="WSY53" s="384"/>
      <c r="WSZ53" s="384"/>
      <c r="WTA53" s="384"/>
      <c r="WTB53" s="384"/>
      <c r="WTC53" s="384"/>
      <c r="WTD53" s="384"/>
      <c r="WTE53" s="384"/>
      <c r="WTF53" s="384"/>
      <c r="WTG53" s="384"/>
      <c r="WTH53" s="384"/>
      <c r="WTI53" s="384"/>
      <c r="WTJ53" s="384"/>
      <c r="WTK53" s="384"/>
      <c r="WTL53" s="384"/>
      <c r="WTM53" s="384"/>
      <c r="WTN53" s="384"/>
      <c r="WTO53" s="384"/>
      <c r="WTP53" s="384"/>
      <c r="WTQ53" s="384"/>
      <c r="WTR53" s="384"/>
      <c r="WTS53" s="384"/>
      <c r="WTT53" s="384"/>
      <c r="WTU53" s="384"/>
      <c r="WTV53" s="384"/>
      <c r="WTW53" s="384"/>
      <c r="WTX53" s="384"/>
      <c r="WTY53" s="384"/>
      <c r="WTZ53" s="384"/>
      <c r="WUA53" s="384"/>
      <c r="WUB53" s="384"/>
      <c r="WUC53" s="384"/>
      <c r="WUD53" s="384"/>
      <c r="WUE53" s="384"/>
      <c r="WUF53" s="384"/>
      <c r="WUG53" s="384"/>
      <c r="WUH53" s="384"/>
      <c r="WUI53" s="384"/>
      <c r="WUJ53" s="384"/>
      <c r="WUK53" s="384"/>
      <c r="WUL53" s="384"/>
      <c r="WUM53" s="384"/>
      <c r="WUN53" s="384"/>
      <c r="WUO53" s="384"/>
      <c r="WUP53" s="384"/>
      <c r="WUQ53" s="384"/>
      <c r="WUR53" s="384"/>
      <c r="WUS53" s="384"/>
      <c r="WUT53" s="384"/>
      <c r="WUU53" s="384"/>
      <c r="WUV53" s="384"/>
      <c r="WUW53" s="384"/>
      <c r="WUX53" s="384"/>
      <c r="WUY53" s="384"/>
      <c r="WUZ53" s="384"/>
      <c r="WVA53" s="384"/>
      <c r="WVB53" s="384"/>
      <c r="WVC53" s="384"/>
      <c r="WVD53" s="384"/>
      <c r="WVE53" s="384"/>
      <c r="WVF53" s="384"/>
      <c r="WVG53" s="384"/>
      <c r="WVH53" s="384"/>
      <c r="WVI53" s="384"/>
      <c r="WVJ53" s="384"/>
      <c r="WVK53" s="384"/>
      <c r="WVL53" s="384"/>
      <c r="WVM53" s="384"/>
      <c r="WVN53" s="384"/>
      <c r="WVO53" s="384"/>
      <c r="WVP53" s="384"/>
      <c r="WVQ53" s="384"/>
      <c r="WVR53" s="384"/>
      <c r="WVS53" s="384"/>
      <c r="WVT53" s="384"/>
      <c r="WVU53" s="384"/>
      <c r="WVV53" s="384"/>
      <c r="WVW53" s="384"/>
      <c r="WVX53" s="384"/>
      <c r="WVY53" s="384"/>
      <c r="WVZ53" s="384"/>
      <c r="WWA53" s="384"/>
      <c r="WWB53" s="384"/>
      <c r="WWC53" s="384"/>
      <c r="WWD53" s="384"/>
      <c r="WWE53" s="384"/>
      <c r="WWF53" s="384"/>
      <c r="WWG53" s="384"/>
      <c r="WWH53" s="384"/>
      <c r="WWI53" s="384"/>
      <c r="WWJ53" s="384"/>
      <c r="WWK53" s="384"/>
      <c r="WWL53" s="384"/>
      <c r="WWM53" s="384"/>
      <c r="WWN53" s="384"/>
      <c r="WWO53" s="384"/>
      <c r="WWP53" s="384"/>
      <c r="WWQ53" s="384"/>
      <c r="WWR53" s="384"/>
      <c r="WWS53" s="384"/>
      <c r="WWT53" s="384"/>
      <c r="WWU53" s="384"/>
      <c r="WWV53" s="384"/>
      <c r="WWW53" s="384"/>
      <c r="WWX53" s="384"/>
      <c r="WWY53" s="384"/>
      <c r="WWZ53" s="384"/>
      <c r="WXA53" s="384"/>
      <c r="WXB53" s="384"/>
      <c r="WXC53" s="384"/>
      <c r="WXD53" s="384"/>
      <c r="WXE53" s="384"/>
      <c r="WXF53" s="384"/>
      <c r="WXG53" s="384"/>
      <c r="WXH53" s="384"/>
      <c r="WXI53" s="384"/>
      <c r="WXJ53" s="384"/>
      <c r="WXK53" s="384"/>
      <c r="WXL53" s="384"/>
      <c r="WXM53" s="384"/>
      <c r="WXN53" s="384"/>
      <c r="WXO53" s="384"/>
      <c r="WXP53" s="384"/>
      <c r="WXQ53" s="384"/>
      <c r="WXR53" s="384"/>
      <c r="WXS53" s="384"/>
      <c r="WXT53" s="384"/>
      <c r="WXU53" s="384"/>
      <c r="WXV53" s="384"/>
      <c r="WXW53" s="384"/>
      <c r="WXX53" s="384"/>
      <c r="WXY53" s="384"/>
      <c r="WXZ53" s="384"/>
      <c r="WYA53" s="384"/>
      <c r="WYB53" s="384"/>
      <c r="WYC53" s="384"/>
      <c r="WYD53" s="384"/>
      <c r="WYE53" s="384"/>
      <c r="WYF53" s="384"/>
      <c r="WYG53" s="384"/>
      <c r="WYH53" s="384"/>
      <c r="WYI53" s="384"/>
      <c r="WYJ53" s="384"/>
      <c r="WYK53" s="384"/>
      <c r="WYL53" s="384"/>
      <c r="WYM53" s="384"/>
      <c r="WYN53" s="384"/>
      <c r="WYO53" s="384"/>
      <c r="WYP53" s="384"/>
      <c r="WYQ53" s="384"/>
      <c r="WYR53" s="384"/>
      <c r="WYS53" s="384"/>
      <c r="WYT53" s="384"/>
      <c r="WYU53" s="384"/>
      <c r="WYV53" s="384"/>
      <c r="WYW53" s="384"/>
      <c r="WYX53" s="384"/>
      <c r="WYY53" s="384"/>
      <c r="WYZ53" s="384"/>
      <c r="WZA53" s="384"/>
      <c r="WZB53" s="384"/>
      <c r="WZC53" s="384"/>
      <c r="WZD53" s="384"/>
      <c r="WZE53" s="384"/>
      <c r="WZF53" s="384"/>
      <c r="WZG53" s="384"/>
      <c r="WZH53" s="384"/>
      <c r="WZI53" s="384"/>
      <c r="WZJ53" s="384"/>
      <c r="WZK53" s="384"/>
      <c r="WZL53" s="384"/>
      <c r="WZM53" s="384"/>
      <c r="WZN53" s="384"/>
      <c r="WZO53" s="384"/>
      <c r="WZP53" s="384"/>
      <c r="WZQ53" s="384"/>
      <c r="WZR53" s="384"/>
      <c r="WZS53" s="384"/>
      <c r="WZT53" s="384"/>
      <c r="WZU53" s="384"/>
      <c r="WZV53" s="384"/>
      <c r="WZW53" s="384"/>
      <c r="WZX53" s="384"/>
      <c r="WZY53" s="384"/>
      <c r="WZZ53" s="384"/>
      <c r="XAA53" s="384"/>
      <c r="XAB53" s="384"/>
      <c r="XAC53" s="384"/>
      <c r="XAD53" s="384"/>
      <c r="XAE53" s="384"/>
      <c r="XAF53" s="384"/>
      <c r="XAG53" s="384"/>
      <c r="XAH53" s="384"/>
      <c r="XAI53" s="384"/>
      <c r="XAJ53" s="384"/>
      <c r="XAK53" s="384"/>
      <c r="XAL53" s="384"/>
      <c r="XAM53" s="384"/>
      <c r="XAN53" s="384"/>
      <c r="XAO53" s="384"/>
      <c r="XAP53" s="384"/>
      <c r="XAQ53" s="384"/>
      <c r="XAR53" s="384"/>
      <c r="XAS53" s="384"/>
      <c r="XAT53" s="384"/>
      <c r="XAU53" s="384"/>
      <c r="XAV53" s="384"/>
      <c r="XAW53" s="384"/>
      <c r="XAX53" s="384"/>
      <c r="XAY53" s="384"/>
      <c r="XAZ53" s="384"/>
      <c r="XBA53" s="384"/>
      <c r="XBB53" s="384"/>
      <c r="XBC53" s="384"/>
      <c r="XBD53" s="384"/>
      <c r="XBE53" s="384"/>
      <c r="XBF53" s="384"/>
      <c r="XBG53" s="384"/>
      <c r="XBH53" s="384"/>
      <c r="XBI53" s="384"/>
      <c r="XBJ53" s="384"/>
      <c r="XBK53" s="384"/>
      <c r="XBL53" s="384"/>
      <c r="XBM53" s="384"/>
      <c r="XBN53" s="384"/>
      <c r="XBO53" s="384"/>
      <c r="XBP53" s="384"/>
      <c r="XBQ53" s="384"/>
      <c r="XBR53" s="384"/>
      <c r="XBS53" s="384"/>
      <c r="XBT53" s="384"/>
      <c r="XBU53" s="384"/>
      <c r="XBV53" s="384"/>
      <c r="XBW53" s="384"/>
      <c r="XBX53" s="384"/>
      <c r="XBY53" s="384"/>
      <c r="XBZ53" s="384"/>
      <c r="XCA53" s="384"/>
      <c r="XCB53" s="384"/>
      <c r="XCC53" s="384"/>
      <c r="XCD53" s="384"/>
      <c r="XCE53" s="384"/>
      <c r="XCF53" s="384"/>
      <c r="XCG53" s="384"/>
      <c r="XCH53" s="384"/>
      <c r="XCI53" s="384"/>
      <c r="XCJ53" s="384"/>
      <c r="XCK53" s="384"/>
      <c r="XCL53" s="384"/>
      <c r="XCM53" s="384"/>
      <c r="XCN53" s="384"/>
      <c r="XCO53" s="384"/>
      <c r="XCP53" s="384"/>
      <c r="XCQ53" s="384"/>
      <c r="XCR53" s="384"/>
      <c r="XCS53" s="384"/>
      <c r="XCT53" s="384"/>
      <c r="XCU53" s="384"/>
      <c r="XCV53" s="384"/>
      <c r="XCW53" s="384"/>
      <c r="XCX53" s="384"/>
      <c r="XCY53" s="384"/>
      <c r="XCZ53" s="384"/>
      <c r="XDA53" s="384"/>
      <c r="XDB53" s="384"/>
      <c r="XDC53" s="384"/>
      <c r="XDD53" s="384"/>
      <c r="XDE53" s="384"/>
      <c r="XDF53" s="384"/>
      <c r="XDG53" s="384"/>
      <c r="XDH53" s="384"/>
      <c r="XDI53" s="384"/>
      <c r="XDJ53" s="384"/>
      <c r="XDK53" s="384"/>
      <c r="XDL53" s="384"/>
      <c r="XDM53" s="384"/>
      <c r="XDN53" s="384"/>
      <c r="XDO53" s="384"/>
      <c r="XDP53" s="384"/>
      <c r="XDQ53" s="384"/>
      <c r="XDR53" s="384"/>
      <c r="XDS53" s="384"/>
      <c r="XDT53" s="384"/>
      <c r="XDU53" s="384"/>
      <c r="XDV53" s="384"/>
      <c r="XDW53" s="384"/>
      <c r="XDX53" s="384"/>
      <c r="XDY53" s="384"/>
      <c r="XDZ53" s="384"/>
      <c r="XEA53" s="384"/>
      <c r="XEB53" s="384"/>
      <c r="XEC53" s="384"/>
      <c r="XED53" s="384"/>
      <c r="XEE53" s="384"/>
      <c r="XEF53" s="384"/>
      <c r="XEG53" s="384"/>
      <c r="XEH53" s="384"/>
      <c r="XEI53" s="384"/>
      <c r="XEJ53" s="384"/>
      <c r="XEK53" s="384"/>
      <c r="XEL53" s="384"/>
      <c r="XEM53" s="384"/>
      <c r="XEN53" s="384"/>
      <c r="XEO53" s="384"/>
      <c r="XEP53" s="384"/>
      <c r="XEQ53" s="384"/>
      <c r="XER53" s="384"/>
      <c r="XES53" s="384"/>
      <c r="XET53" s="384"/>
      <c r="XEU53" s="384"/>
      <c r="XEV53" s="384"/>
      <c r="XEW53" s="384"/>
      <c r="XEX53" s="384"/>
      <c r="XEY53" s="384"/>
      <c r="XEZ53" s="384"/>
      <c r="XFA53" s="384"/>
    </row>
    <row r="54" s="339" customFormat="1" ht="29.25" customHeight="1" spans="1:1024 1025:16381">
      <c r="A54" s="384"/>
      <c r="B54" s="385">
        <v>43</v>
      </c>
      <c r="C54" s="386">
        <f>_xlfn.XLOOKUP(D54,商品汇总表!$B:$B,商品汇总表!$A:$A,"")</f>
        <v>0</v>
      </c>
      <c r="D54" s="387"/>
      <c r="E54" s="388">
        <f>_xlfn.XLOOKUP(D54,商品汇总表!$B:$B,商品汇总表!$D:$D,"")</f>
        <v>0</v>
      </c>
      <c r="F54" s="389">
        <f>SUMIFS('5.21出货明细'!$K:$K,'5.21出货明细'!$E:$E,$D54,'5.21出货明细'!$AR:$AR,$D$56)</f>
        <v>0</v>
      </c>
      <c r="G54" s="390">
        <f>_xlfn.XLOOKUP(_xlfn.XLOOKUP($D54,'5.21出货明细'!$E:$E,'5.21出货明细'!$J:$J,""),单位对照!$A:$A,单位对照!$B:$B,"未匹配")</f>
        <v>0</v>
      </c>
      <c r="H54" s="391">
        <f>SUMIFS('5.21出货明细'!$AO:$AO,'5.21出货明细'!$E:$E,$D54,'5.21出货明细'!$AR:$AR,$D$56)</f>
        <v>0</v>
      </c>
      <c r="I54" s="392">
        <f>SUMIFS('5.21出货明细'!$AA:$AA,'5.21出货明细'!$E:$E,$D54,'5.21出货明细'!$AR:$AR,$D$56)</f>
        <v>0</v>
      </c>
      <c r="J54" s="393">
        <f>SUMIFS('5.21出货明细'!$P:$P,'5.21出货明细'!$E:$E,$D54,'5.21出货明细'!$AR:$AR,$D$56)</f>
        <v>0</v>
      </c>
      <c r="K54" s="394">
        <f>SUMIFS('5.21出货明细'!$Q:$Q,'5.21出货明细'!$E:$E,$D54,'5.21出货明细'!$AR:$AR,$D$56)</f>
        <v>0</v>
      </c>
      <c r="L54" s="395">
        <f>SUMIFS('5.21出货明细'!$AT:$AT,'5.21出货明细'!$E:$E,$D54,'5.21出货明细'!$AR:$AR,$D$56)</f>
        <v>0</v>
      </c>
      <c r="M54" s="390" t="s">
        <v>2953</v>
      </c>
      <c r="N54" s="396"/>
      <c r="O54" s="396"/>
      <c r="P54" s="397"/>
      <c r="Q54" s="398"/>
      <c r="R54" s="398"/>
      <c r="S54" s="398"/>
      <c r="T54" s="398"/>
      <c r="U54" s="384"/>
      <c r="V54" s="384"/>
      <c r="W54" s="384"/>
      <c r="X54" s="384"/>
      <c r="Y54" s="384"/>
      <c r="Z54" s="384"/>
      <c r="AA54" s="384"/>
      <c r="AB54" s="384"/>
      <c r="AC54" s="384"/>
      <c r="AD54" s="384"/>
      <c r="AE54" s="384"/>
      <c r="AF54" s="384"/>
      <c r="AG54" s="384"/>
      <c r="AH54" s="384"/>
      <c r="AI54" s="384"/>
      <c r="AJ54" s="384"/>
      <c r="AK54" s="384"/>
      <c r="AL54" s="384"/>
      <c r="AM54" s="384"/>
      <c r="AN54" s="384"/>
      <c r="AO54" s="384"/>
      <c r="AP54" s="384"/>
      <c r="AQ54" s="384"/>
      <c r="AR54" s="384"/>
      <c r="AS54" s="384"/>
      <c r="AT54" s="384"/>
      <c r="AU54" s="384"/>
      <c r="AV54" s="384"/>
      <c r="AW54" s="384"/>
      <c r="AX54" s="384"/>
      <c r="AY54" s="384"/>
      <c r="AZ54" s="384"/>
      <c r="BA54" s="384"/>
      <c r="BB54" s="384"/>
      <c r="BC54" s="384"/>
      <c r="BD54" s="384"/>
      <c r="BE54" s="384"/>
      <c r="BF54" s="384"/>
      <c r="BG54" s="384"/>
      <c r="BH54" s="384"/>
      <c r="BI54" s="384"/>
      <c r="BJ54" s="384"/>
      <c r="BK54" s="384"/>
      <c r="BL54" s="384"/>
      <c r="BM54" s="384"/>
      <c r="BN54" s="384"/>
      <c r="BO54" s="384"/>
      <c r="BP54" s="384"/>
      <c r="BQ54" s="384"/>
      <c r="BR54" s="384"/>
      <c r="BS54" s="384"/>
      <c r="BT54" s="384"/>
      <c r="BU54" s="384"/>
      <c r="BV54" s="384"/>
      <c r="BW54" s="384"/>
      <c r="BX54" s="384"/>
      <c r="BY54" s="384"/>
      <c r="BZ54" s="384"/>
      <c r="CA54" s="384"/>
      <c r="CB54" s="384"/>
      <c r="CC54" s="384"/>
      <c r="CD54" s="384"/>
      <c r="CE54" s="384"/>
      <c r="CF54" s="384"/>
      <c r="CG54" s="384"/>
      <c r="CH54" s="384"/>
      <c r="CI54" s="384"/>
      <c r="CJ54" s="384"/>
      <c r="CK54" s="384"/>
      <c r="CL54" s="384"/>
      <c r="CM54" s="384"/>
      <c r="CN54" s="384"/>
      <c r="CO54" s="384"/>
      <c r="CP54" s="384"/>
      <c r="CQ54" s="384"/>
      <c r="CR54" s="384"/>
      <c r="CS54" s="384"/>
      <c r="CT54" s="384"/>
      <c r="CU54" s="384"/>
      <c r="CV54" s="384"/>
      <c r="CW54" s="384"/>
      <c r="CX54" s="384"/>
      <c r="CY54" s="384"/>
      <c r="CZ54" s="384"/>
      <c r="DA54" s="384"/>
      <c r="DB54" s="384"/>
      <c r="DC54" s="384"/>
      <c r="DD54" s="384"/>
      <c r="DE54" s="384"/>
      <c r="DF54" s="384"/>
      <c r="DG54" s="384"/>
      <c r="DH54" s="384"/>
      <c r="DI54" s="384"/>
      <c r="DJ54" s="384"/>
      <c r="DK54" s="384"/>
      <c r="DL54" s="384"/>
      <c r="DM54" s="384"/>
      <c r="DN54" s="384"/>
      <c r="DO54" s="384"/>
      <c r="DP54" s="384"/>
      <c r="DQ54" s="384"/>
      <c r="DR54" s="384"/>
      <c r="DS54" s="384"/>
      <c r="DT54" s="384"/>
      <c r="DU54" s="384"/>
      <c r="DV54" s="384"/>
      <c r="DW54" s="384"/>
      <c r="DX54" s="384"/>
      <c r="DY54" s="384"/>
      <c r="DZ54" s="384"/>
      <c r="EA54" s="384"/>
      <c r="EB54" s="384"/>
      <c r="EC54" s="384"/>
      <c r="ED54" s="384"/>
      <c r="EE54" s="384"/>
      <c r="EF54" s="384"/>
      <c r="EG54" s="384"/>
      <c r="EH54" s="384"/>
      <c r="EI54" s="384"/>
      <c r="EJ54" s="384"/>
      <c r="EK54" s="384"/>
      <c r="EL54" s="384"/>
      <c r="EM54" s="384"/>
      <c r="EN54" s="384"/>
      <c r="EO54" s="384"/>
      <c r="EP54" s="384"/>
      <c r="EQ54" s="384"/>
      <c r="ER54" s="384"/>
      <c r="ES54" s="384"/>
      <c r="ET54" s="384"/>
      <c r="EU54" s="384"/>
      <c r="EV54" s="384"/>
      <c r="EW54" s="384"/>
      <c r="EX54" s="384"/>
      <c r="EY54" s="384"/>
      <c r="EZ54" s="384"/>
      <c r="FA54" s="384"/>
      <c r="FB54" s="384"/>
      <c r="FC54" s="384"/>
      <c r="FD54" s="384"/>
      <c r="FE54" s="384"/>
      <c r="FF54" s="384"/>
      <c r="FG54" s="384"/>
      <c r="FH54" s="384"/>
      <c r="FI54" s="384"/>
      <c r="FJ54" s="384"/>
      <c r="FK54" s="384"/>
      <c r="FL54" s="384"/>
      <c r="FM54" s="384"/>
      <c r="FN54" s="384"/>
      <c r="FO54" s="384"/>
      <c r="FP54" s="384"/>
      <c r="FQ54" s="384"/>
      <c r="FR54" s="384"/>
      <c r="FS54" s="384"/>
      <c r="FT54" s="384"/>
      <c r="FU54" s="384"/>
      <c r="FV54" s="384"/>
      <c r="FW54" s="384"/>
      <c r="FX54" s="384"/>
      <c r="FY54" s="384"/>
      <c r="FZ54" s="384"/>
      <c r="GA54" s="384"/>
      <c r="GB54" s="384"/>
      <c r="GC54" s="384"/>
      <c r="GD54" s="384"/>
      <c r="GE54" s="384"/>
      <c r="GF54" s="384"/>
      <c r="GG54" s="384"/>
      <c r="GH54" s="384"/>
      <c r="GI54" s="384"/>
      <c r="GJ54" s="384"/>
      <c r="GK54" s="384"/>
      <c r="GL54" s="384"/>
      <c r="GM54" s="384"/>
      <c r="GN54" s="384"/>
      <c r="GO54" s="384"/>
      <c r="GP54" s="384"/>
      <c r="GQ54" s="384"/>
      <c r="GR54" s="384"/>
      <c r="GS54" s="384"/>
      <c r="GT54" s="384"/>
      <c r="GU54" s="384"/>
      <c r="GV54" s="384"/>
      <c r="GW54" s="384"/>
      <c r="GX54" s="384"/>
      <c r="GY54" s="384"/>
      <c r="GZ54" s="384"/>
      <c r="HA54" s="384"/>
      <c r="HB54" s="384"/>
      <c r="HC54" s="384"/>
      <c r="HD54" s="384"/>
      <c r="HE54" s="384"/>
      <c r="HF54" s="384"/>
      <c r="HG54" s="384"/>
      <c r="HH54" s="384"/>
      <c r="HI54" s="384"/>
      <c r="HJ54" s="384"/>
      <c r="HK54" s="384"/>
      <c r="HL54" s="384"/>
      <c r="HM54" s="384"/>
      <c r="HN54" s="384"/>
      <c r="HO54" s="384"/>
      <c r="HP54" s="384"/>
      <c r="HQ54" s="384"/>
      <c r="HR54" s="384"/>
      <c r="HS54" s="384"/>
      <c r="HT54" s="384"/>
      <c r="HU54" s="384"/>
      <c r="HV54" s="384"/>
      <c r="HW54" s="384"/>
      <c r="HX54" s="384"/>
      <c r="HY54" s="384"/>
      <c r="HZ54" s="384"/>
      <c r="IA54" s="384"/>
      <c r="IB54" s="384"/>
      <c r="IC54" s="384"/>
      <c r="ID54" s="384"/>
      <c r="IE54" s="384"/>
      <c r="IF54" s="384"/>
      <c r="IG54" s="384"/>
      <c r="IH54" s="384"/>
      <c r="II54" s="384"/>
      <c r="IJ54" s="384"/>
      <c r="IK54" s="384"/>
      <c r="IL54" s="384"/>
      <c r="IM54" s="384"/>
      <c r="IN54" s="384"/>
      <c r="IO54" s="384"/>
      <c r="IP54" s="384"/>
      <c r="IQ54" s="384"/>
      <c r="IR54" s="384"/>
      <c r="IS54" s="384"/>
      <c r="IT54" s="384"/>
      <c r="IU54" s="384"/>
      <c r="IV54" s="384"/>
      <c r="IW54" s="384"/>
      <c r="IX54" s="384"/>
      <c r="IY54" s="384"/>
      <c r="IZ54" s="384"/>
      <c r="JA54" s="384"/>
      <c r="JB54" s="384"/>
      <c r="JC54" s="384"/>
      <c r="JD54" s="384"/>
      <c r="JE54" s="384"/>
      <c r="JF54" s="384"/>
      <c r="JG54" s="384"/>
      <c r="JH54" s="384"/>
      <c r="JI54" s="384"/>
      <c r="JJ54" s="384"/>
      <c r="JK54" s="384"/>
      <c r="JL54" s="384"/>
      <c r="JM54" s="384"/>
      <c r="JN54" s="384"/>
      <c r="JO54" s="384"/>
      <c r="JP54" s="384"/>
      <c r="JQ54" s="384"/>
      <c r="JR54" s="384"/>
      <c r="JS54" s="384"/>
      <c r="JT54" s="384"/>
      <c r="JU54" s="384"/>
      <c r="JV54" s="384"/>
      <c r="JW54" s="384"/>
      <c r="JX54" s="384"/>
      <c r="JY54" s="384"/>
      <c r="JZ54" s="384"/>
      <c r="KA54" s="384"/>
      <c r="KB54" s="384"/>
      <c r="KC54" s="384"/>
      <c r="KD54" s="384"/>
      <c r="KE54" s="384"/>
      <c r="KF54" s="384"/>
      <c r="KG54" s="384"/>
      <c r="KH54" s="384"/>
      <c r="KI54" s="384"/>
      <c r="KJ54" s="384"/>
      <c r="KK54" s="384"/>
      <c r="KL54" s="384"/>
      <c r="KM54" s="384"/>
      <c r="KN54" s="384"/>
      <c r="KO54" s="384"/>
      <c r="KP54" s="384"/>
      <c r="KQ54" s="384"/>
      <c r="KR54" s="384"/>
      <c r="KS54" s="384"/>
      <c r="KT54" s="384"/>
      <c r="KU54" s="384"/>
      <c r="KV54" s="384"/>
      <c r="KW54" s="384"/>
      <c r="KX54" s="384"/>
      <c r="KY54" s="384"/>
      <c r="KZ54" s="384"/>
      <c r="LA54" s="384"/>
      <c r="LB54" s="384"/>
      <c r="LC54" s="384"/>
      <c r="LD54" s="384"/>
      <c r="LE54" s="384"/>
      <c r="LF54" s="384"/>
      <c r="LG54" s="384"/>
      <c r="LH54" s="384"/>
      <c r="LI54" s="384"/>
      <c r="LJ54" s="384"/>
      <c r="LK54" s="384"/>
      <c r="LL54" s="384"/>
      <c r="LM54" s="384"/>
      <c r="LN54" s="384"/>
      <c r="LO54" s="384"/>
      <c r="LP54" s="384"/>
      <c r="LQ54" s="384"/>
      <c r="LR54" s="384"/>
      <c r="LS54" s="384"/>
      <c r="LT54" s="384"/>
      <c r="LU54" s="384"/>
      <c r="LV54" s="384"/>
      <c r="LW54" s="384"/>
      <c r="LX54" s="384"/>
      <c r="LY54" s="384"/>
      <c r="LZ54" s="384"/>
      <c r="MA54" s="384"/>
      <c r="MB54" s="384"/>
      <c r="MC54" s="384"/>
      <c r="MD54" s="384"/>
      <c r="ME54" s="384"/>
      <c r="MF54" s="384"/>
      <c r="MG54" s="384"/>
      <c r="MH54" s="384"/>
      <c r="MI54" s="384"/>
      <c r="MJ54" s="384"/>
      <c r="MK54" s="384"/>
      <c r="ML54" s="384"/>
      <c r="MM54" s="384"/>
      <c r="MN54" s="384"/>
      <c r="MO54" s="384"/>
      <c r="MP54" s="384"/>
      <c r="MQ54" s="384"/>
      <c r="MR54" s="384"/>
      <c r="MS54" s="384"/>
      <c r="MT54" s="384"/>
      <c r="MU54" s="384"/>
      <c r="MV54" s="384"/>
      <c r="MW54" s="384"/>
      <c r="MX54" s="384"/>
      <c r="MY54" s="384"/>
      <c r="MZ54" s="384"/>
      <c r="NA54" s="384"/>
      <c r="NB54" s="384"/>
      <c r="NC54" s="384"/>
      <c r="ND54" s="384"/>
      <c r="NE54" s="384"/>
      <c r="NF54" s="384"/>
      <c r="NG54" s="384"/>
      <c r="NH54" s="384"/>
      <c r="NI54" s="384"/>
      <c r="NJ54" s="384"/>
      <c r="NK54" s="384"/>
      <c r="NL54" s="384"/>
      <c r="NM54" s="384"/>
      <c r="NN54" s="384"/>
      <c r="NO54" s="384"/>
      <c r="NP54" s="384"/>
      <c r="NQ54" s="384"/>
      <c r="NR54" s="384"/>
      <c r="NS54" s="384"/>
      <c r="NT54" s="384"/>
      <c r="NU54" s="384"/>
      <c r="NV54" s="384"/>
      <c r="NW54" s="384"/>
      <c r="NX54" s="384"/>
      <c r="NY54" s="384"/>
      <c r="NZ54" s="384"/>
      <c r="OA54" s="384"/>
      <c r="OB54" s="384"/>
      <c r="OC54" s="384"/>
      <c r="OD54" s="384"/>
      <c r="OE54" s="384"/>
      <c r="OF54" s="384"/>
      <c r="OG54" s="384"/>
      <c r="OH54" s="384"/>
      <c r="OI54" s="384"/>
      <c r="OJ54" s="384"/>
      <c r="OK54" s="384"/>
      <c r="OL54" s="384"/>
      <c r="OM54" s="384"/>
      <c r="ON54" s="384"/>
      <c r="OO54" s="384"/>
      <c r="OP54" s="384"/>
      <c r="OQ54" s="384"/>
      <c r="OR54" s="384"/>
      <c r="OS54" s="384"/>
      <c r="OT54" s="384"/>
      <c r="OU54" s="384"/>
      <c r="OV54" s="384"/>
      <c r="OW54" s="384"/>
      <c r="OX54" s="384"/>
      <c r="OY54" s="384"/>
      <c r="OZ54" s="384"/>
      <c r="PA54" s="384"/>
      <c r="PB54" s="384"/>
      <c r="PC54" s="384"/>
      <c r="PD54" s="384"/>
      <c r="PE54" s="384"/>
      <c r="PF54" s="384"/>
      <c r="PG54" s="384"/>
      <c r="PH54" s="384"/>
      <c r="PI54" s="384"/>
      <c r="PJ54" s="384"/>
      <c r="PK54" s="384"/>
      <c r="PL54" s="384"/>
      <c r="PM54" s="384"/>
      <c r="PN54" s="384"/>
      <c r="PO54" s="384"/>
      <c r="PP54" s="384"/>
      <c r="PQ54" s="384"/>
      <c r="PR54" s="384"/>
      <c r="PS54" s="384"/>
      <c r="PT54" s="384"/>
      <c r="PU54" s="384"/>
      <c r="PV54" s="384"/>
      <c r="PW54" s="384"/>
      <c r="PX54" s="384"/>
      <c r="PY54" s="384"/>
      <c r="PZ54" s="384"/>
      <c r="QA54" s="384"/>
      <c r="QB54" s="384"/>
      <c r="QC54" s="384"/>
      <c r="QD54" s="384"/>
      <c r="QE54" s="384"/>
      <c r="QF54" s="384"/>
      <c r="QG54" s="384"/>
      <c r="QH54" s="384"/>
      <c r="QI54" s="384"/>
      <c r="QJ54" s="384"/>
      <c r="QK54" s="384"/>
      <c r="QL54" s="384"/>
      <c r="QM54" s="384"/>
      <c r="QN54" s="384"/>
      <c r="QO54" s="384"/>
      <c r="QP54" s="384"/>
      <c r="QQ54" s="384"/>
      <c r="QR54" s="384"/>
      <c r="QS54" s="384"/>
      <c r="QT54" s="384"/>
      <c r="QU54" s="384"/>
      <c r="QV54" s="384"/>
      <c r="QW54" s="384"/>
      <c r="QX54" s="384"/>
      <c r="QY54" s="384"/>
      <c r="QZ54" s="384"/>
      <c r="RA54" s="384"/>
      <c r="RB54" s="384"/>
      <c r="RC54" s="384"/>
      <c r="RD54" s="384"/>
      <c r="RE54" s="384"/>
      <c r="RF54" s="384"/>
      <c r="RG54" s="384"/>
      <c r="RH54" s="384"/>
      <c r="RI54" s="384"/>
      <c r="RJ54" s="384"/>
      <c r="RK54" s="384"/>
      <c r="RL54" s="384"/>
      <c r="RM54" s="384"/>
      <c r="RN54" s="384"/>
      <c r="RO54" s="384"/>
      <c r="RP54" s="384"/>
      <c r="RQ54" s="384"/>
      <c r="RR54" s="384"/>
      <c r="RS54" s="384"/>
      <c r="RT54" s="384"/>
      <c r="RU54" s="384"/>
      <c r="RV54" s="384"/>
      <c r="RW54" s="384"/>
      <c r="RX54" s="384"/>
      <c r="RY54" s="384"/>
      <c r="RZ54" s="384"/>
      <c r="SA54" s="384"/>
      <c r="SB54" s="384"/>
      <c r="SC54" s="384"/>
      <c r="SD54" s="384"/>
      <c r="SE54" s="384"/>
      <c r="SF54" s="384"/>
      <c r="SG54" s="384"/>
      <c r="SH54" s="384"/>
      <c r="SI54" s="384"/>
      <c r="SJ54" s="384"/>
      <c r="SK54" s="384"/>
      <c r="SL54" s="384"/>
      <c r="SM54" s="384"/>
      <c r="SN54" s="384"/>
      <c r="SO54" s="384"/>
      <c r="SP54" s="384"/>
      <c r="SQ54" s="384"/>
      <c r="SR54" s="384"/>
      <c r="SS54" s="384"/>
      <c r="ST54" s="384"/>
      <c r="SU54" s="384"/>
      <c r="SV54" s="384"/>
      <c r="SW54" s="384"/>
      <c r="SX54" s="384"/>
      <c r="SY54" s="384"/>
      <c r="SZ54" s="384"/>
      <c r="TA54" s="384"/>
      <c r="TB54" s="384"/>
      <c r="TC54" s="384"/>
      <c r="TD54" s="384"/>
      <c r="TE54" s="384"/>
      <c r="TF54" s="384"/>
      <c r="TG54" s="384"/>
      <c r="TH54" s="384"/>
      <c r="TI54" s="384"/>
      <c r="TJ54" s="384"/>
      <c r="TK54" s="384"/>
      <c r="TL54" s="384"/>
      <c r="TM54" s="384"/>
      <c r="TN54" s="384"/>
      <c r="TO54" s="384"/>
      <c r="TP54" s="384"/>
      <c r="TQ54" s="384"/>
      <c r="TR54" s="384"/>
      <c r="TS54" s="384"/>
      <c r="TT54" s="384"/>
      <c r="TU54" s="384"/>
      <c r="TV54" s="384"/>
      <c r="TW54" s="384"/>
      <c r="TX54" s="384"/>
      <c r="TY54" s="384"/>
      <c r="TZ54" s="384"/>
      <c r="UA54" s="384"/>
      <c r="UB54" s="384"/>
      <c r="UC54" s="384"/>
      <c r="UD54" s="384"/>
      <c r="UE54" s="384"/>
      <c r="UF54" s="384"/>
      <c r="UG54" s="384"/>
      <c r="UH54" s="384"/>
      <c r="UI54" s="384"/>
      <c r="UJ54" s="384"/>
      <c r="UK54" s="384"/>
      <c r="UL54" s="384"/>
      <c r="UM54" s="384"/>
      <c r="UN54" s="384"/>
      <c r="UO54" s="384"/>
      <c r="UP54" s="384"/>
      <c r="UQ54" s="384"/>
      <c r="UR54" s="384"/>
      <c r="US54" s="384"/>
      <c r="UT54" s="384"/>
      <c r="UU54" s="384"/>
      <c r="UV54" s="384"/>
      <c r="UW54" s="384"/>
      <c r="UX54" s="384"/>
      <c r="UY54" s="384"/>
      <c r="UZ54" s="384"/>
      <c r="VA54" s="384"/>
      <c r="VB54" s="384"/>
      <c r="VC54" s="384"/>
      <c r="VD54" s="384"/>
      <c r="VE54" s="384"/>
      <c r="VF54" s="384"/>
      <c r="VG54" s="384"/>
      <c r="VH54" s="384"/>
      <c r="VI54" s="384"/>
      <c r="VJ54" s="384"/>
      <c r="VK54" s="384"/>
      <c r="VL54" s="384"/>
      <c r="VM54" s="384"/>
      <c r="VN54" s="384"/>
      <c r="VO54" s="384"/>
      <c r="VP54" s="384"/>
      <c r="VQ54" s="384"/>
      <c r="VR54" s="384"/>
      <c r="VS54" s="384"/>
      <c r="VT54" s="384"/>
      <c r="VU54" s="384"/>
      <c r="VV54" s="384"/>
      <c r="VW54" s="384"/>
      <c r="VX54" s="384"/>
      <c r="VY54" s="384"/>
      <c r="VZ54" s="384"/>
      <c r="WA54" s="384"/>
      <c r="WB54" s="384"/>
      <c r="WC54" s="384"/>
      <c r="WD54" s="384"/>
      <c r="WE54" s="384"/>
      <c r="WF54" s="384"/>
      <c r="WG54" s="384"/>
      <c r="WH54" s="384"/>
      <c r="WI54" s="384"/>
      <c r="WJ54" s="384"/>
      <c r="WK54" s="384"/>
      <c r="WL54" s="384"/>
      <c r="WM54" s="384"/>
      <c r="WN54" s="384"/>
      <c r="WO54" s="384"/>
      <c r="WP54" s="384"/>
      <c r="WQ54" s="384"/>
      <c r="WR54" s="384"/>
      <c r="WS54" s="384"/>
      <c r="WT54" s="384"/>
      <c r="WU54" s="384"/>
      <c r="WV54" s="384"/>
      <c r="WW54" s="384"/>
      <c r="WX54" s="384"/>
      <c r="WY54" s="384"/>
      <c r="WZ54" s="384"/>
      <c r="XA54" s="384"/>
      <c r="XB54" s="384"/>
      <c r="XC54" s="384"/>
      <c r="XD54" s="384"/>
      <c r="XE54" s="384"/>
      <c r="XF54" s="384"/>
      <c r="XG54" s="384"/>
      <c r="XH54" s="384"/>
      <c r="XI54" s="384"/>
      <c r="XJ54" s="384"/>
      <c r="XK54" s="384"/>
      <c r="XL54" s="384"/>
      <c r="XM54" s="384"/>
      <c r="XN54" s="384"/>
      <c r="XO54" s="384"/>
      <c r="XP54" s="384"/>
      <c r="XQ54" s="384"/>
      <c r="XR54" s="384"/>
      <c r="XS54" s="384"/>
      <c r="XT54" s="384"/>
      <c r="XU54" s="384"/>
      <c r="XV54" s="384"/>
      <c r="XW54" s="384"/>
      <c r="XX54" s="384"/>
      <c r="XY54" s="384"/>
      <c r="XZ54" s="384"/>
      <c r="YA54" s="384"/>
      <c r="YB54" s="384"/>
      <c r="YC54" s="384"/>
      <c r="YD54" s="384"/>
      <c r="YE54" s="384"/>
      <c r="YF54" s="384"/>
      <c r="YG54" s="384"/>
      <c r="YH54" s="384"/>
      <c r="YI54" s="384"/>
      <c r="YJ54" s="384"/>
      <c r="YK54" s="384"/>
      <c r="YL54" s="384"/>
      <c r="YM54" s="384"/>
      <c r="YN54" s="384"/>
      <c r="YO54" s="384"/>
      <c r="YP54" s="384"/>
      <c r="YQ54" s="384"/>
      <c r="YR54" s="384"/>
      <c r="YS54" s="384"/>
      <c r="YT54" s="384"/>
      <c r="YU54" s="384"/>
      <c r="YV54" s="384"/>
      <c r="YW54" s="384"/>
      <c r="YX54" s="384"/>
      <c r="YY54" s="384"/>
      <c r="YZ54" s="384"/>
      <c r="ZA54" s="384"/>
      <c r="ZB54" s="384"/>
      <c r="ZC54" s="384"/>
      <c r="ZD54" s="384"/>
      <c r="ZE54" s="384"/>
      <c r="ZF54" s="384"/>
      <c r="ZG54" s="384"/>
      <c r="ZH54" s="384"/>
      <c r="ZI54" s="384"/>
      <c r="ZJ54" s="384"/>
      <c r="ZK54" s="384"/>
      <c r="ZL54" s="384"/>
      <c r="ZM54" s="384"/>
      <c r="ZN54" s="384"/>
      <c r="ZO54" s="384"/>
      <c r="ZP54" s="384"/>
      <c r="ZQ54" s="384"/>
      <c r="ZR54" s="384"/>
      <c r="ZS54" s="384"/>
      <c r="ZT54" s="384"/>
      <c r="ZU54" s="384"/>
      <c r="ZV54" s="384"/>
      <c r="ZW54" s="384"/>
      <c r="ZX54" s="384"/>
      <c r="ZY54" s="384"/>
      <c r="ZZ54" s="384"/>
      <c r="AAA54" s="384"/>
      <c r="AAB54" s="384"/>
      <c r="AAC54" s="384"/>
      <c r="AAD54" s="384"/>
      <c r="AAE54" s="384"/>
      <c r="AAF54" s="384"/>
      <c r="AAG54" s="384"/>
      <c r="AAH54" s="384"/>
      <c r="AAI54" s="384"/>
      <c r="AAJ54" s="384"/>
      <c r="AAK54" s="384"/>
      <c r="AAL54" s="384"/>
      <c r="AAM54" s="384"/>
      <c r="AAN54" s="384"/>
      <c r="AAO54" s="384"/>
      <c r="AAP54" s="384"/>
      <c r="AAQ54" s="384"/>
      <c r="AAR54" s="384"/>
      <c r="AAS54" s="384"/>
      <c r="AAT54" s="384"/>
      <c r="AAU54" s="384"/>
      <c r="AAV54" s="384"/>
      <c r="AAW54" s="384"/>
      <c r="AAX54" s="384"/>
      <c r="AAY54" s="384"/>
      <c r="AAZ54" s="384"/>
      <c r="ABA54" s="384"/>
      <c r="ABB54" s="384"/>
      <c r="ABC54" s="384"/>
      <c r="ABD54" s="384"/>
      <c r="ABE54" s="384"/>
      <c r="ABF54" s="384"/>
      <c r="ABG54" s="384"/>
      <c r="ABH54" s="384"/>
      <c r="ABI54" s="384"/>
      <c r="ABJ54" s="384"/>
      <c r="ABK54" s="384"/>
      <c r="ABL54" s="384"/>
      <c r="ABM54" s="384"/>
      <c r="ABN54" s="384"/>
      <c r="ABO54" s="384"/>
      <c r="ABP54" s="384"/>
      <c r="ABQ54" s="384"/>
      <c r="ABR54" s="384"/>
      <c r="ABS54" s="384"/>
      <c r="ABT54" s="384"/>
      <c r="ABU54" s="384"/>
      <c r="ABV54" s="384"/>
      <c r="ABW54" s="384"/>
      <c r="ABX54" s="384"/>
      <c r="ABY54" s="384"/>
      <c r="ABZ54" s="384"/>
      <c r="ACA54" s="384"/>
      <c r="ACB54" s="384"/>
      <c r="ACC54" s="384"/>
      <c r="ACD54" s="384"/>
      <c r="ACE54" s="384"/>
      <c r="ACF54" s="384"/>
      <c r="ACG54" s="384"/>
      <c r="ACH54" s="384"/>
      <c r="ACI54" s="384"/>
      <c r="ACJ54" s="384"/>
      <c r="ACK54" s="384"/>
      <c r="ACL54" s="384"/>
      <c r="ACM54" s="384"/>
      <c r="ACN54" s="384"/>
      <c r="ACO54" s="384"/>
      <c r="ACP54" s="384"/>
      <c r="ACQ54" s="384"/>
      <c r="ACR54" s="384"/>
      <c r="ACS54" s="384"/>
      <c r="ACT54" s="384"/>
      <c r="ACU54" s="384"/>
      <c r="ACV54" s="384"/>
      <c r="ACW54" s="384"/>
      <c r="ACX54" s="384"/>
      <c r="ACY54" s="384"/>
      <c r="ACZ54" s="384"/>
      <c r="ADA54" s="384"/>
      <c r="ADB54" s="384"/>
      <c r="ADC54" s="384"/>
      <c r="ADD54" s="384"/>
      <c r="ADE54" s="384"/>
      <c r="ADF54" s="384"/>
      <c r="ADG54" s="384"/>
      <c r="ADH54" s="384"/>
      <c r="ADI54" s="384"/>
      <c r="ADJ54" s="384"/>
      <c r="ADK54" s="384"/>
      <c r="ADL54" s="384"/>
      <c r="ADM54" s="384"/>
      <c r="ADN54" s="384"/>
      <c r="ADO54" s="384"/>
      <c r="ADP54" s="384"/>
      <c r="ADQ54" s="384"/>
      <c r="ADR54" s="384"/>
      <c r="ADS54" s="384"/>
      <c r="ADT54" s="384"/>
      <c r="ADU54" s="384"/>
      <c r="ADV54" s="384"/>
      <c r="ADW54" s="384"/>
      <c r="ADX54" s="384"/>
      <c r="ADY54" s="384"/>
      <c r="ADZ54" s="384"/>
      <c r="AEA54" s="384"/>
      <c r="AEB54" s="384"/>
      <c r="AEC54" s="384"/>
      <c r="AED54" s="384"/>
      <c r="AEE54" s="384"/>
      <c r="AEF54" s="384"/>
      <c r="AEG54" s="384"/>
      <c r="AEH54" s="384"/>
      <c r="AEI54" s="384"/>
      <c r="AEJ54" s="384"/>
      <c r="AEK54" s="384"/>
      <c r="AEL54" s="384"/>
      <c r="AEM54" s="384"/>
      <c r="AEN54" s="384"/>
      <c r="AEO54" s="384"/>
      <c r="AEP54" s="384"/>
      <c r="AEQ54" s="384"/>
      <c r="AER54" s="384"/>
      <c r="AES54" s="384"/>
      <c r="AET54" s="384"/>
      <c r="AEU54" s="384"/>
      <c r="AEV54" s="384"/>
      <c r="AEW54" s="384"/>
      <c r="AEX54" s="384"/>
      <c r="AEY54" s="384"/>
      <c r="AEZ54" s="384"/>
      <c r="AFA54" s="384"/>
      <c r="AFB54" s="384"/>
      <c r="AFC54" s="384"/>
      <c r="AFD54" s="384"/>
      <c r="AFE54" s="384"/>
      <c r="AFF54" s="384"/>
      <c r="AFG54" s="384"/>
      <c r="AFH54" s="384"/>
      <c r="AFI54" s="384"/>
      <c r="AFJ54" s="384"/>
      <c r="AFK54" s="384"/>
      <c r="AFL54" s="384"/>
      <c r="AFM54" s="384"/>
      <c r="AFN54" s="384"/>
      <c r="AFO54" s="384"/>
      <c r="AFP54" s="384"/>
      <c r="AFQ54" s="384"/>
      <c r="AFR54" s="384"/>
      <c r="AFS54" s="384"/>
      <c r="AFT54" s="384"/>
      <c r="AFU54" s="384"/>
      <c r="AFV54" s="384"/>
      <c r="AFW54" s="384"/>
      <c r="AFX54" s="384"/>
      <c r="AFY54" s="384"/>
      <c r="AFZ54" s="384"/>
      <c r="AGA54" s="384"/>
      <c r="AGB54" s="384"/>
      <c r="AGC54" s="384"/>
      <c r="AGD54" s="384"/>
      <c r="AGE54" s="384"/>
      <c r="AGF54" s="384"/>
      <c r="AGG54" s="384"/>
      <c r="AGH54" s="384"/>
      <c r="AGI54" s="384"/>
      <c r="AGJ54" s="384"/>
      <c r="AGK54" s="384"/>
      <c r="AGL54" s="384"/>
      <c r="AGM54" s="384"/>
      <c r="AGN54" s="384"/>
      <c r="AGO54" s="384"/>
      <c r="AGP54" s="384"/>
      <c r="AGQ54" s="384"/>
      <c r="AGR54" s="384"/>
      <c r="AGS54" s="384"/>
      <c r="AGT54" s="384"/>
      <c r="AGU54" s="384"/>
      <c r="AGV54" s="384"/>
      <c r="AGW54" s="384"/>
      <c r="AGX54" s="384"/>
      <c r="AGY54" s="384"/>
      <c r="AGZ54" s="384"/>
      <c r="AHA54" s="384"/>
      <c r="AHB54" s="384"/>
      <c r="AHC54" s="384"/>
      <c r="AHD54" s="384"/>
      <c r="AHE54" s="384"/>
      <c r="AHF54" s="384"/>
      <c r="AHG54" s="384"/>
      <c r="AHH54" s="384"/>
      <c r="AHI54" s="384"/>
      <c r="AHJ54" s="384"/>
      <c r="AHK54" s="384"/>
      <c r="AHL54" s="384"/>
      <c r="AHM54" s="384"/>
      <c r="AHN54" s="384"/>
      <c r="AHO54" s="384"/>
      <c r="AHP54" s="384"/>
      <c r="AHQ54" s="384"/>
      <c r="AHR54" s="384"/>
      <c r="AHS54" s="384"/>
      <c r="AHT54" s="384"/>
      <c r="AHU54" s="384"/>
      <c r="AHV54" s="384"/>
      <c r="AHW54" s="384"/>
      <c r="AHX54" s="384"/>
      <c r="AHY54" s="384"/>
      <c r="AHZ54" s="384"/>
      <c r="AIA54" s="384"/>
      <c r="AIB54" s="384"/>
      <c r="AIC54" s="384"/>
      <c r="AID54" s="384"/>
      <c r="AIE54" s="384"/>
      <c r="AIF54" s="384"/>
      <c r="AIG54" s="384"/>
      <c r="AIH54" s="384"/>
      <c r="AII54" s="384"/>
      <c r="AIJ54" s="384"/>
      <c r="AIK54" s="384"/>
      <c r="AIL54" s="384"/>
      <c r="AIM54" s="384"/>
      <c r="AIN54" s="384"/>
      <c r="AIO54" s="384"/>
      <c r="AIP54" s="384"/>
      <c r="AIQ54" s="384"/>
      <c r="AIR54" s="384"/>
      <c r="AIS54" s="384"/>
      <c r="AIT54" s="384"/>
      <c r="AIU54" s="384"/>
      <c r="AIV54" s="384"/>
      <c r="AIW54" s="384"/>
      <c r="AIX54" s="384"/>
      <c r="AIY54" s="384"/>
      <c r="AIZ54" s="384"/>
      <c r="AJA54" s="384"/>
      <c r="AJB54" s="384"/>
      <c r="AJC54" s="384"/>
      <c r="AJD54" s="384"/>
      <c r="AJE54" s="384"/>
      <c r="AJF54" s="384"/>
      <c r="AJG54" s="384"/>
      <c r="AJH54" s="384"/>
      <c r="AJI54" s="384"/>
      <c r="AJJ54" s="384"/>
      <c r="AJK54" s="384"/>
      <c r="AJL54" s="384"/>
      <c r="AJM54" s="384"/>
      <c r="AJN54" s="384"/>
      <c r="AJO54" s="384"/>
      <c r="AJP54" s="384"/>
      <c r="AJQ54" s="384"/>
      <c r="AJR54" s="384"/>
      <c r="AJS54" s="384"/>
      <c r="AJT54" s="384"/>
      <c r="AJU54" s="384"/>
      <c r="AJV54" s="384"/>
      <c r="AJW54" s="384"/>
      <c r="AJX54" s="384"/>
      <c r="AJY54" s="384"/>
      <c r="AJZ54" s="384"/>
      <c r="AKA54" s="384"/>
      <c r="AKB54" s="384"/>
      <c r="AKC54" s="384"/>
      <c r="AKD54" s="384"/>
      <c r="AKE54" s="384"/>
      <c r="AKF54" s="384"/>
      <c r="AKG54" s="384"/>
      <c r="AKH54" s="384"/>
      <c r="AKI54" s="384"/>
      <c r="AKJ54" s="384"/>
      <c r="AKK54" s="384"/>
      <c r="AKL54" s="384"/>
      <c r="AKM54" s="384"/>
      <c r="AKN54" s="384"/>
      <c r="AKO54" s="384"/>
      <c r="AKP54" s="384"/>
      <c r="AKQ54" s="384"/>
      <c r="AKR54" s="384"/>
      <c r="AKS54" s="384"/>
      <c r="AKT54" s="384"/>
      <c r="AKU54" s="384"/>
      <c r="AKV54" s="384"/>
      <c r="AKW54" s="384"/>
      <c r="AKX54" s="384"/>
      <c r="AKY54" s="384"/>
      <c r="AKZ54" s="384"/>
      <c r="ALA54" s="384"/>
      <c r="ALB54" s="384"/>
      <c r="ALC54" s="384"/>
      <c r="ALD54" s="384"/>
      <c r="ALE54" s="384"/>
      <c r="ALF54" s="384"/>
      <c r="ALG54" s="384"/>
      <c r="ALH54" s="384"/>
      <c r="ALI54" s="384"/>
      <c r="ALJ54" s="384"/>
      <c r="ALK54" s="384"/>
      <c r="ALL54" s="384"/>
      <c r="ALM54" s="384"/>
      <c r="ALN54" s="384"/>
      <c r="ALO54" s="384"/>
      <c r="ALP54" s="384"/>
      <c r="ALQ54" s="384"/>
      <c r="ALR54" s="384"/>
      <c r="ALS54" s="384"/>
      <c r="ALT54" s="384"/>
      <c r="ALU54" s="384"/>
      <c r="ALV54" s="384"/>
      <c r="ALW54" s="384"/>
      <c r="ALX54" s="384"/>
      <c r="ALY54" s="384"/>
      <c r="ALZ54" s="384"/>
      <c r="AMA54" s="384"/>
      <c r="AMB54" s="384"/>
      <c r="AMC54" s="384"/>
      <c r="AMD54" s="384"/>
      <c r="AME54" s="384"/>
      <c r="AMF54" s="384"/>
      <c r="AMG54" s="384"/>
      <c r="AMH54" s="384"/>
      <c r="AMI54" s="384"/>
      <c r="AMJ54" s="384"/>
      <c r="AMK54" s="384"/>
      <c r="AML54" s="384"/>
      <c r="AMM54" s="384"/>
      <c r="AMN54" s="384"/>
      <c r="AMO54" s="384"/>
      <c r="AMP54" s="384"/>
      <c r="AMQ54" s="384"/>
      <c r="AMR54" s="384"/>
      <c r="AMS54" s="384"/>
      <c r="AMT54" s="384"/>
      <c r="AMU54" s="384"/>
      <c r="AMV54" s="384"/>
      <c r="AMW54" s="384"/>
      <c r="AMX54" s="384"/>
      <c r="AMY54" s="384"/>
      <c r="AMZ54" s="384"/>
      <c r="ANA54" s="384"/>
      <c r="ANB54" s="384"/>
      <c r="ANC54" s="384"/>
      <c r="AND54" s="384"/>
      <c r="ANE54" s="384"/>
      <c r="ANF54" s="384"/>
      <c r="ANG54" s="384"/>
      <c r="ANH54" s="384"/>
      <c r="ANI54" s="384"/>
      <c r="ANJ54" s="384"/>
      <c r="ANK54" s="384"/>
      <c r="ANL54" s="384"/>
      <c r="ANM54" s="384"/>
      <c r="ANN54" s="384"/>
      <c r="ANO54" s="384"/>
      <c r="ANP54" s="384"/>
      <c r="ANQ54" s="384"/>
      <c r="ANR54" s="384"/>
      <c r="ANS54" s="384"/>
      <c r="ANT54" s="384"/>
      <c r="ANU54" s="384"/>
      <c r="ANV54" s="384"/>
      <c r="ANW54" s="384"/>
      <c r="ANX54" s="384"/>
      <c r="ANY54" s="384"/>
      <c r="ANZ54" s="384"/>
      <c r="AOA54" s="384"/>
      <c r="AOB54" s="384"/>
      <c r="AOC54" s="384"/>
      <c r="AOD54" s="384"/>
      <c r="AOE54" s="384"/>
      <c r="AOF54" s="384"/>
      <c r="AOG54" s="384"/>
      <c r="AOH54" s="384"/>
      <c r="AOI54" s="384"/>
      <c r="AOJ54" s="384"/>
      <c r="AOK54" s="384"/>
      <c r="AOL54" s="384"/>
      <c r="AOM54" s="384"/>
      <c r="AON54" s="384"/>
      <c r="AOO54" s="384"/>
      <c r="AOP54" s="384"/>
      <c r="AOQ54" s="384"/>
      <c r="AOR54" s="384"/>
      <c r="AOS54" s="384"/>
      <c r="AOT54" s="384"/>
      <c r="AOU54" s="384"/>
      <c r="AOV54" s="384"/>
      <c r="AOW54" s="384"/>
      <c r="AOX54" s="384"/>
      <c r="AOY54" s="384"/>
      <c r="AOZ54" s="384"/>
      <c r="APA54" s="384"/>
      <c r="APB54" s="384"/>
      <c r="APC54" s="384"/>
      <c r="APD54" s="384"/>
      <c r="APE54" s="384"/>
      <c r="APF54" s="384"/>
      <c r="APG54" s="384"/>
      <c r="APH54" s="384"/>
      <c r="API54" s="384"/>
      <c r="APJ54" s="384"/>
      <c r="APK54" s="384"/>
      <c r="APL54" s="384"/>
      <c r="APM54" s="384"/>
      <c r="APN54" s="384"/>
      <c r="APO54" s="384"/>
      <c r="APP54" s="384"/>
      <c r="APQ54" s="384"/>
      <c r="APR54" s="384"/>
      <c r="APS54" s="384"/>
      <c r="APT54" s="384"/>
      <c r="APU54" s="384"/>
      <c r="APV54" s="384"/>
      <c r="APW54" s="384"/>
      <c r="APX54" s="384"/>
      <c r="APY54" s="384"/>
      <c r="APZ54" s="384"/>
      <c r="AQA54" s="384"/>
      <c r="AQB54" s="384"/>
      <c r="AQC54" s="384"/>
      <c r="AQD54" s="384"/>
      <c r="AQE54" s="384"/>
      <c r="AQF54" s="384"/>
      <c r="AQG54" s="384"/>
      <c r="AQH54" s="384"/>
      <c r="AQI54" s="384"/>
      <c r="AQJ54" s="384"/>
      <c r="AQK54" s="384"/>
      <c r="AQL54" s="384"/>
      <c r="AQM54" s="384"/>
      <c r="AQN54" s="384"/>
      <c r="AQO54" s="384"/>
      <c r="AQP54" s="384"/>
      <c r="AQQ54" s="384"/>
      <c r="AQR54" s="384"/>
      <c r="AQS54" s="384"/>
      <c r="AQT54" s="384"/>
      <c r="AQU54" s="384"/>
      <c r="AQV54" s="384"/>
      <c r="AQW54" s="384"/>
      <c r="AQX54" s="384"/>
      <c r="AQY54" s="384"/>
      <c r="AQZ54" s="384"/>
      <c r="ARA54" s="384"/>
      <c r="ARB54" s="384"/>
      <c r="ARC54" s="384"/>
      <c r="ARD54" s="384"/>
      <c r="ARE54" s="384"/>
      <c r="ARF54" s="384"/>
      <c r="ARG54" s="384"/>
      <c r="ARH54" s="384"/>
      <c r="ARI54" s="384"/>
      <c r="ARJ54" s="384"/>
      <c r="ARK54" s="384"/>
      <c r="ARL54" s="384"/>
      <c r="ARM54" s="384"/>
      <c r="ARN54" s="384"/>
      <c r="ARO54" s="384"/>
      <c r="ARP54" s="384"/>
      <c r="ARQ54" s="384"/>
      <c r="ARR54" s="384"/>
      <c r="ARS54" s="384"/>
      <c r="ART54" s="384"/>
      <c r="ARU54" s="384"/>
      <c r="ARV54" s="384"/>
      <c r="ARW54" s="384"/>
      <c r="ARX54" s="384"/>
      <c r="ARY54" s="384"/>
      <c r="ARZ54" s="384"/>
      <c r="ASA54" s="384"/>
      <c r="ASB54" s="384"/>
      <c r="ASC54" s="384"/>
      <c r="ASD54" s="384"/>
      <c r="ASE54" s="384"/>
      <c r="ASF54" s="384"/>
      <c r="ASG54" s="384"/>
      <c r="ASH54" s="384"/>
      <c r="ASI54" s="384"/>
      <c r="ASJ54" s="384"/>
      <c r="ASK54" s="384"/>
      <c r="ASL54" s="384"/>
      <c r="ASM54" s="384"/>
      <c r="ASN54" s="384"/>
      <c r="ASO54" s="384"/>
      <c r="ASP54" s="384"/>
      <c r="ASQ54" s="384"/>
      <c r="ASR54" s="384"/>
      <c r="ASS54" s="384"/>
      <c r="AST54" s="384"/>
      <c r="ASU54" s="384"/>
      <c r="ASV54" s="384"/>
      <c r="ASW54" s="384"/>
      <c r="ASX54" s="384"/>
      <c r="ASY54" s="384"/>
      <c r="ASZ54" s="384"/>
      <c r="ATA54" s="384"/>
      <c r="ATB54" s="384"/>
      <c r="ATC54" s="384"/>
      <c r="ATD54" s="384"/>
      <c r="ATE54" s="384"/>
      <c r="ATF54" s="384"/>
      <c r="ATG54" s="384"/>
      <c r="ATH54" s="384"/>
      <c r="ATI54" s="384"/>
      <c r="ATJ54" s="384"/>
      <c r="ATK54" s="384"/>
      <c r="ATL54" s="384"/>
      <c r="ATM54" s="384"/>
      <c r="ATN54" s="384"/>
      <c r="ATO54" s="384"/>
      <c r="ATP54" s="384"/>
      <c r="ATQ54" s="384"/>
      <c r="ATR54" s="384"/>
      <c r="ATS54" s="384"/>
      <c r="ATT54" s="384"/>
      <c r="ATU54" s="384"/>
      <c r="ATV54" s="384"/>
      <c r="ATW54" s="384"/>
      <c r="ATX54" s="384"/>
      <c r="ATY54" s="384"/>
      <c r="ATZ54" s="384"/>
      <c r="AUA54" s="384"/>
      <c r="AUB54" s="384"/>
      <c r="AUC54" s="384"/>
      <c r="AUD54" s="384"/>
      <c r="AUE54" s="384"/>
      <c r="AUF54" s="384"/>
      <c r="AUG54" s="384"/>
      <c r="AUH54" s="384"/>
      <c r="AUI54" s="384"/>
      <c r="AUJ54" s="384"/>
      <c r="AUK54" s="384"/>
      <c r="AUL54" s="384"/>
      <c r="AUM54" s="384"/>
      <c r="AUN54" s="384"/>
      <c r="AUO54" s="384"/>
      <c r="AUP54" s="384"/>
      <c r="AUQ54" s="384"/>
      <c r="AUR54" s="384"/>
      <c r="AUS54" s="384"/>
      <c r="AUT54" s="384"/>
      <c r="AUU54" s="384"/>
      <c r="AUV54" s="384"/>
      <c r="AUW54" s="384"/>
      <c r="AUX54" s="384"/>
      <c r="AUY54" s="384"/>
      <c r="AUZ54" s="384"/>
      <c r="AVA54" s="384"/>
      <c r="AVB54" s="384"/>
      <c r="AVC54" s="384"/>
      <c r="AVD54" s="384"/>
      <c r="AVE54" s="384"/>
      <c r="AVF54" s="384"/>
      <c r="AVG54" s="384"/>
      <c r="AVH54" s="384"/>
      <c r="AVI54" s="384"/>
      <c r="AVJ54" s="384"/>
      <c r="AVK54" s="384"/>
      <c r="AVL54" s="384"/>
      <c r="AVM54" s="384"/>
      <c r="AVN54" s="384"/>
      <c r="AVO54" s="384"/>
      <c r="AVP54" s="384"/>
      <c r="AVQ54" s="384"/>
      <c r="AVR54" s="384"/>
      <c r="AVS54" s="384"/>
      <c r="AVT54" s="384"/>
      <c r="AVU54" s="384"/>
      <c r="AVV54" s="384"/>
      <c r="AVW54" s="384"/>
      <c r="AVX54" s="384"/>
      <c r="AVY54" s="384"/>
      <c r="AVZ54" s="384"/>
      <c r="AWA54" s="384"/>
      <c r="AWB54" s="384"/>
      <c r="AWC54" s="384"/>
      <c r="AWD54" s="384"/>
      <c r="AWE54" s="384"/>
      <c r="AWF54" s="384"/>
      <c r="AWG54" s="384"/>
      <c r="AWH54" s="384"/>
      <c r="AWI54" s="384"/>
      <c r="AWJ54" s="384"/>
      <c r="AWK54" s="384"/>
      <c r="AWL54" s="384"/>
      <c r="AWM54" s="384"/>
      <c r="AWN54" s="384"/>
      <c r="AWO54" s="384"/>
      <c r="AWP54" s="384"/>
      <c r="AWQ54" s="384"/>
      <c r="AWR54" s="384"/>
      <c r="AWS54" s="384"/>
      <c r="AWT54" s="384"/>
      <c r="AWU54" s="384"/>
      <c r="AWV54" s="384"/>
      <c r="AWW54" s="384"/>
      <c r="AWX54" s="384"/>
      <c r="AWY54" s="384"/>
      <c r="AWZ54" s="384"/>
      <c r="AXA54" s="384"/>
      <c r="AXB54" s="384"/>
      <c r="AXC54" s="384"/>
      <c r="AXD54" s="384"/>
      <c r="AXE54" s="384"/>
      <c r="AXF54" s="384"/>
      <c r="AXG54" s="384"/>
      <c r="AXH54" s="384"/>
      <c r="AXI54" s="384"/>
      <c r="AXJ54" s="384"/>
      <c r="AXK54" s="384"/>
      <c r="AXL54" s="384"/>
      <c r="AXM54" s="384"/>
      <c r="AXN54" s="384"/>
      <c r="AXO54" s="384"/>
      <c r="AXP54" s="384"/>
      <c r="AXQ54" s="384"/>
      <c r="AXR54" s="384"/>
      <c r="AXS54" s="384"/>
      <c r="AXT54" s="384"/>
      <c r="AXU54" s="384"/>
      <c r="AXV54" s="384"/>
      <c r="AXW54" s="384"/>
      <c r="AXX54" s="384"/>
      <c r="AXY54" s="384"/>
      <c r="AXZ54" s="384"/>
      <c r="AYA54" s="384"/>
      <c r="AYB54" s="384"/>
      <c r="AYC54" s="384"/>
      <c r="AYD54" s="384"/>
      <c r="AYE54" s="384"/>
      <c r="AYF54" s="384"/>
      <c r="AYG54" s="384"/>
      <c r="AYH54" s="384"/>
      <c r="AYI54" s="384"/>
      <c r="AYJ54" s="384"/>
      <c r="AYK54" s="384"/>
      <c r="AYL54" s="384"/>
      <c r="AYM54" s="384"/>
      <c r="AYN54" s="384"/>
      <c r="AYO54" s="384"/>
      <c r="AYP54" s="384"/>
      <c r="AYQ54" s="384"/>
      <c r="AYR54" s="384"/>
      <c r="AYS54" s="384"/>
      <c r="AYT54" s="384"/>
      <c r="AYU54" s="384"/>
      <c r="AYV54" s="384"/>
      <c r="AYW54" s="384"/>
      <c r="AYX54" s="384"/>
      <c r="AYY54" s="384"/>
      <c r="AYZ54" s="384"/>
      <c r="AZA54" s="384"/>
      <c r="AZB54" s="384"/>
      <c r="AZC54" s="384"/>
      <c r="AZD54" s="384"/>
      <c r="AZE54" s="384"/>
      <c r="AZF54" s="384"/>
      <c r="AZG54" s="384"/>
      <c r="AZH54" s="384"/>
      <c r="AZI54" s="384"/>
      <c r="AZJ54" s="384"/>
      <c r="AZK54" s="384"/>
      <c r="AZL54" s="384"/>
      <c r="AZM54" s="384"/>
      <c r="AZN54" s="384"/>
      <c r="AZO54" s="384"/>
      <c r="AZP54" s="384"/>
      <c r="AZQ54" s="384"/>
      <c r="AZR54" s="384"/>
      <c r="AZS54" s="384"/>
      <c r="AZT54" s="384"/>
      <c r="AZU54" s="384"/>
      <c r="AZV54" s="384"/>
      <c r="AZW54" s="384"/>
      <c r="AZX54" s="384"/>
      <c r="AZY54" s="384"/>
      <c r="AZZ54" s="384"/>
      <c r="BAA54" s="384"/>
      <c r="BAB54" s="384"/>
      <c r="BAC54" s="384"/>
      <c r="BAD54" s="384"/>
      <c r="BAE54" s="384"/>
      <c r="BAF54" s="384"/>
      <c r="BAG54" s="384"/>
      <c r="BAH54" s="384"/>
      <c r="BAI54" s="384"/>
      <c r="BAJ54" s="384"/>
      <c r="BAK54" s="384"/>
      <c r="BAL54" s="384"/>
      <c r="BAM54" s="384"/>
      <c r="BAN54" s="384"/>
      <c r="BAO54" s="384"/>
      <c r="BAP54" s="384"/>
      <c r="BAQ54" s="384"/>
      <c r="BAR54" s="384"/>
      <c r="BAS54" s="384"/>
      <c r="BAT54" s="384"/>
      <c r="BAU54" s="384"/>
      <c r="BAV54" s="384"/>
      <c r="BAW54" s="384"/>
      <c r="BAX54" s="384"/>
      <c r="BAY54" s="384"/>
      <c r="BAZ54" s="384"/>
      <c r="BBA54" s="384"/>
      <c r="BBB54" s="384"/>
      <c r="BBC54" s="384"/>
      <c r="BBD54" s="384"/>
      <c r="BBE54" s="384"/>
      <c r="BBF54" s="384"/>
      <c r="BBG54" s="384"/>
      <c r="BBH54" s="384"/>
      <c r="BBI54" s="384"/>
      <c r="BBJ54" s="384"/>
      <c r="BBK54" s="384"/>
      <c r="BBL54" s="384"/>
      <c r="BBM54" s="384"/>
      <c r="BBN54" s="384"/>
      <c r="BBO54" s="384"/>
      <c r="BBP54" s="384"/>
      <c r="BBQ54" s="384"/>
      <c r="BBR54" s="384"/>
      <c r="BBS54" s="384"/>
      <c r="BBT54" s="384"/>
      <c r="BBU54" s="384"/>
      <c r="BBV54" s="384"/>
      <c r="BBW54" s="384"/>
      <c r="BBX54" s="384"/>
      <c r="BBY54" s="384"/>
      <c r="BBZ54" s="384"/>
      <c r="BCA54" s="384"/>
      <c r="BCB54" s="384"/>
      <c r="BCC54" s="384"/>
      <c r="BCD54" s="384"/>
      <c r="BCE54" s="384"/>
      <c r="BCF54" s="384"/>
      <c r="BCG54" s="384"/>
      <c r="BCH54" s="384"/>
      <c r="BCI54" s="384"/>
      <c r="BCJ54" s="384"/>
      <c r="BCK54" s="384"/>
      <c r="BCL54" s="384"/>
      <c r="BCM54" s="384"/>
      <c r="BCN54" s="384"/>
      <c r="BCO54" s="384"/>
      <c r="BCP54" s="384"/>
      <c r="BCQ54" s="384"/>
      <c r="BCR54" s="384"/>
      <c r="BCS54" s="384"/>
      <c r="BCT54" s="384"/>
      <c r="BCU54" s="384"/>
      <c r="BCV54" s="384"/>
      <c r="BCW54" s="384"/>
      <c r="BCX54" s="384"/>
      <c r="BCY54" s="384"/>
      <c r="BCZ54" s="384"/>
      <c r="BDA54" s="384"/>
      <c r="BDB54" s="384"/>
      <c r="BDC54" s="384"/>
      <c r="BDD54" s="384"/>
      <c r="BDE54" s="384"/>
      <c r="BDF54" s="384"/>
      <c r="BDG54" s="384"/>
      <c r="BDH54" s="384"/>
      <c r="BDI54" s="384"/>
      <c r="BDJ54" s="384"/>
      <c r="BDK54" s="384"/>
      <c r="BDL54" s="384"/>
      <c r="BDM54" s="384"/>
      <c r="BDN54" s="384"/>
      <c r="BDO54" s="384"/>
      <c r="BDP54" s="384"/>
      <c r="BDQ54" s="384"/>
      <c r="BDR54" s="384"/>
      <c r="BDS54" s="384"/>
      <c r="BDT54" s="384"/>
      <c r="BDU54" s="384"/>
      <c r="BDV54" s="384"/>
      <c r="BDW54" s="384"/>
      <c r="BDX54" s="384"/>
      <c r="BDY54" s="384"/>
      <c r="BDZ54" s="384"/>
      <c r="BEA54" s="384"/>
      <c r="BEB54" s="384"/>
      <c r="BEC54" s="384"/>
      <c r="BED54" s="384"/>
      <c r="BEE54" s="384"/>
      <c r="BEF54" s="384"/>
      <c r="BEG54" s="384"/>
      <c r="BEH54" s="384"/>
      <c r="BEI54" s="384"/>
      <c r="BEJ54" s="384"/>
      <c r="BEK54" s="384"/>
      <c r="BEL54" s="384"/>
      <c r="BEM54" s="384"/>
      <c r="BEN54" s="384"/>
      <c r="BEO54" s="384"/>
      <c r="BEP54" s="384"/>
      <c r="BEQ54" s="384"/>
      <c r="BER54" s="384"/>
      <c r="BES54" s="384"/>
      <c r="BET54" s="384"/>
      <c r="BEU54" s="384"/>
      <c r="BEV54" s="384"/>
      <c r="BEW54" s="384"/>
      <c r="BEX54" s="384"/>
      <c r="BEY54" s="384"/>
      <c r="BEZ54" s="384"/>
      <c r="BFA54" s="384"/>
      <c r="BFB54" s="384"/>
      <c r="BFC54" s="384"/>
      <c r="BFD54" s="384"/>
      <c r="BFE54" s="384"/>
      <c r="BFF54" s="384"/>
      <c r="BFG54" s="384"/>
      <c r="BFH54" s="384"/>
      <c r="BFI54" s="384"/>
      <c r="BFJ54" s="384"/>
      <c r="BFK54" s="384"/>
      <c r="BFL54" s="384"/>
      <c r="BFM54" s="384"/>
      <c r="BFN54" s="384"/>
      <c r="BFO54" s="384"/>
      <c r="BFP54" s="384"/>
      <c r="BFQ54" s="384"/>
      <c r="BFR54" s="384"/>
      <c r="BFS54" s="384"/>
      <c r="BFT54" s="384"/>
      <c r="BFU54" s="384"/>
      <c r="BFV54" s="384"/>
      <c r="BFW54" s="384"/>
      <c r="BFX54" s="384"/>
      <c r="BFY54" s="384"/>
      <c r="BFZ54" s="384"/>
      <c r="BGA54" s="384"/>
      <c r="BGB54" s="384"/>
      <c r="BGC54" s="384"/>
      <c r="BGD54" s="384"/>
      <c r="BGE54" s="384"/>
      <c r="BGF54" s="384"/>
      <c r="BGG54" s="384"/>
      <c r="BGH54" s="384"/>
      <c r="BGI54" s="384"/>
      <c r="BGJ54" s="384"/>
      <c r="BGK54" s="384"/>
      <c r="BGL54" s="384"/>
      <c r="BGM54" s="384"/>
      <c r="BGN54" s="384"/>
      <c r="BGO54" s="384"/>
      <c r="BGP54" s="384"/>
      <c r="BGQ54" s="384"/>
      <c r="BGR54" s="384"/>
      <c r="BGS54" s="384"/>
      <c r="BGT54" s="384"/>
      <c r="BGU54" s="384"/>
      <c r="BGV54" s="384"/>
      <c r="BGW54" s="384"/>
      <c r="BGX54" s="384"/>
      <c r="BGY54" s="384"/>
      <c r="BGZ54" s="384"/>
      <c r="BHA54" s="384"/>
      <c r="BHB54" s="384"/>
      <c r="BHC54" s="384"/>
      <c r="BHD54" s="384"/>
      <c r="BHE54" s="384"/>
      <c r="BHF54" s="384"/>
      <c r="BHG54" s="384"/>
      <c r="BHH54" s="384"/>
      <c r="BHI54" s="384"/>
      <c r="BHJ54" s="384"/>
      <c r="BHK54" s="384"/>
      <c r="BHL54" s="384"/>
      <c r="BHM54" s="384"/>
      <c r="BHN54" s="384"/>
      <c r="BHO54" s="384"/>
      <c r="BHP54" s="384"/>
      <c r="BHQ54" s="384"/>
      <c r="BHR54" s="384"/>
      <c r="BHS54" s="384"/>
      <c r="BHT54" s="384"/>
      <c r="BHU54" s="384"/>
      <c r="BHV54" s="384"/>
      <c r="BHW54" s="384"/>
      <c r="BHX54" s="384"/>
      <c r="BHY54" s="384"/>
      <c r="BHZ54" s="384"/>
      <c r="BIA54" s="384"/>
      <c r="BIB54" s="384"/>
      <c r="BIC54" s="384"/>
      <c r="BID54" s="384"/>
      <c r="BIE54" s="384"/>
      <c r="BIF54" s="384"/>
      <c r="BIG54" s="384"/>
      <c r="BIH54" s="384"/>
      <c r="BII54" s="384"/>
      <c r="BIJ54" s="384"/>
      <c r="BIK54" s="384"/>
      <c r="BIL54" s="384"/>
      <c r="BIM54" s="384"/>
      <c r="BIN54" s="384"/>
      <c r="BIO54" s="384"/>
      <c r="BIP54" s="384"/>
      <c r="BIQ54" s="384"/>
      <c r="BIR54" s="384"/>
      <c r="BIS54" s="384"/>
      <c r="BIT54" s="384"/>
      <c r="BIU54" s="384"/>
      <c r="BIV54" s="384"/>
      <c r="BIW54" s="384"/>
      <c r="BIX54" s="384"/>
      <c r="BIY54" s="384"/>
      <c r="BIZ54" s="384"/>
      <c r="BJA54" s="384"/>
      <c r="BJB54" s="384"/>
      <c r="BJC54" s="384"/>
      <c r="BJD54" s="384"/>
      <c r="BJE54" s="384"/>
      <c r="BJF54" s="384"/>
      <c r="BJG54" s="384"/>
      <c r="BJH54" s="384"/>
      <c r="BJI54" s="384"/>
      <c r="BJJ54" s="384"/>
      <c r="BJK54" s="384"/>
      <c r="BJL54" s="384"/>
      <c r="BJM54" s="384"/>
      <c r="BJN54" s="384"/>
      <c r="BJO54" s="384"/>
      <c r="BJP54" s="384"/>
      <c r="BJQ54" s="384"/>
      <c r="BJR54" s="384"/>
      <c r="BJS54" s="384"/>
      <c r="BJT54" s="384"/>
      <c r="BJU54" s="384"/>
      <c r="BJV54" s="384"/>
      <c r="BJW54" s="384"/>
      <c r="BJX54" s="384"/>
      <c r="BJY54" s="384"/>
      <c r="BJZ54" s="384"/>
      <c r="BKA54" s="384"/>
      <c r="BKB54" s="384"/>
      <c r="BKC54" s="384"/>
      <c r="BKD54" s="384"/>
      <c r="BKE54" s="384"/>
      <c r="BKF54" s="384"/>
      <c r="BKG54" s="384"/>
      <c r="BKH54" s="384"/>
      <c r="BKI54" s="384"/>
      <c r="BKJ54" s="384"/>
      <c r="BKK54" s="384"/>
      <c r="BKL54" s="384"/>
      <c r="BKM54" s="384"/>
      <c r="BKN54" s="384"/>
      <c r="BKO54" s="384"/>
      <c r="BKP54" s="384"/>
      <c r="BKQ54" s="384"/>
      <c r="BKR54" s="384"/>
      <c r="BKS54" s="384"/>
      <c r="BKT54" s="384"/>
      <c r="BKU54" s="384"/>
      <c r="BKV54" s="384"/>
      <c r="BKW54" s="384"/>
      <c r="BKX54" s="384"/>
      <c r="BKY54" s="384"/>
      <c r="BKZ54" s="384"/>
      <c r="BLA54" s="384"/>
      <c r="BLB54" s="384"/>
      <c r="BLC54" s="384"/>
      <c r="BLD54" s="384"/>
      <c r="BLE54" s="384"/>
      <c r="BLF54" s="384"/>
      <c r="BLG54" s="384"/>
      <c r="BLH54" s="384"/>
      <c r="BLI54" s="384"/>
      <c r="BLJ54" s="384"/>
      <c r="BLK54" s="384"/>
      <c r="BLL54" s="384"/>
      <c r="BLM54" s="384"/>
      <c r="BLN54" s="384"/>
      <c r="BLO54" s="384"/>
      <c r="BLP54" s="384"/>
      <c r="BLQ54" s="384"/>
      <c r="BLR54" s="384"/>
      <c r="BLS54" s="384"/>
      <c r="BLT54" s="384"/>
      <c r="BLU54" s="384"/>
      <c r="BLV54" s="384"/>
      <c r="BLW54" s="384"/>
      <c r="BLX54" s="384"/>
      <c r="BLY54" s="384"/>
      <c r="BLZ54" s="384"/>
      <c r="BMA54" s="384"/>
      <c r="BMB54" s="384"/>
      <c r="BMC54" s="384"/>
      <c r="BMD54" s="384"/>
      <c r="BME54" s="384"/>
      <c r="BMF54" s="384"/>
      <c r="BMG54" s="384"/>
      <c r="BMH54" s="384"/>
      <c r="BMI54" s="384"/>
      <c r="BMJ54" s="384"/>
      <c r="BMK54" s="384"/>
      <c r="BML54" s="384"/>
      <c r="BMM54" s="384"/>
      <c r="BMN54" s="384"/>
      <c r="BMO54" s="384"/>
      <c r="BMP54" s="384"/>
      <c r="BMQ54" s="384"/>
      <c r="BMR54" s="384"/>
      <c r="BMS54" s="384"/>
      <c r="BMT54" s="384"/>
      <c r="BMU54" s="384"/>
      <c r="BMV54" s="384"/>
      <c r="BMW54" s="384"/>
      <c r="BMX54" s="384"/>
      <c r="BMY54" s="384"/>
      <c r="BMZ54" s="384"/>
      <c r="BNA54" s="384"/>
      <c r="BNB54" s="384"/>
      <c r="BNC54" s="384"/>
      <c r="BND54" s="384"/>
      <c r="BNE54" s="384"/>
      <c r="BNF54" s="384"/>
      <c r="BNG54" s="384"/>
      <c r="BNH54" s="384"/>
      <c r="BNI54" s="384"/>
      <c r="BNJ54" s="384"/>
      <c r="BNK54" s="384"/>
      <c r="BNL54" s="384"/>
      <c r="BNM54" s="384"/>
      <c r="BNN54" s="384"/>
      <c r="BNO54" s="384"/>
      <c r="BNP54" s="384"/>
      <c r="BNQ54" s="384"/>
      <c r="BNR54" s="384"/>
      <c r="BNS54" s="384"/>
      <c r="BNT54" s="384"/>
      <c r="BNU54" s="384"/>
      <c r="BNV54" s="384"/>
      <c r="BNW54" s="384"/>
      <c r="BNX54" s="384"/>
      <c r="BNY54" s="384"/>
      <c r="BNZ54" s="384"/>
      <c r="BOA54" s="384"/>
      <c r="BOB54" s="384"/>
      <c r="BOC54" s="384"/>
      <c r="BOD54" s="384"/>
      <c r="BOE54" s="384"/>
      <c r="BOF54" s="384"/>
      <c r="BOG54" s="384"/>
      <c r="BOH54" s="384"/>
      <c r="BOI54" s="384"/>
      <c r="BOJ54" s="384"/>
      <c r="BOK54" s="384"/>
      <c r="BOL54" s="384"/>
      <c r="BOM54" s="384"/>
      <c r="BON54" s="384"/>
      <c r="BOO54" s="384"/>
      <c r="BOP54" s="384"/>
      <c r="BOQ54" s="384"/>
      <c r="BOR54" s="384"/>
      <c r="BOS54" s="384"/>
      <c r="BOT54" s="384"/>
      <c r="BOU54" s="384"/>
      <c r="BOV54" s="384"/>
      <c r="BOW54" s="384"/>
      <c r="BOX54" s="384"/>
      <c r="BOY54" s="384"/>
      <c r="BOZ54" s="384"/>
      <c r="BPA54" s="384"/>
      <c r="BPB54" s="384"/>
      <c r="BPC54" s="384"/>
      <c r="BPD54" s="384"/>
      <c r="BPE54" s="384"/>
      <c r="BPF54" s="384"/>
      <c r="BPG54" s="384"/>
      <c r="BPH54" s="384"/>
      <c r="BPI54" s="384"/>
      <c r="BPJ54" s="384"/>
      <c r="BPK54" s="384"/>
      <c r="BPL54" s="384"/>
      <c r="BPM54" s="384"/>
      <c r="BPN54" s="384"/>
      <c r="BPO54" s="384"/>
      <c r="BPP54" s="384"/>
      <c r="BPQ54" s="384"/>
      <c r="BPR54" s="384"/>
      <c r="BPS54" s="384"/>
      <c r="BPT54" s="384"/>
      <c r="BPU54" s="384"/>
      <c r="BPV54" s="384"/>
      <c r="BPW54" s="384"/>
      <c r="BPX54" s="384"/>
      <c r="BPY54" s="384"/>
      <c r="BPZ54" s="384"/>
      <c r="BQA54" s="384"/>
      <c r="BQB54" s="384"/>
      <c r="BQC54" s="384"/>
      <c r="BQD54" s="384"/>
      <c r="BQE54" s="384"/>
      <c r="BQF54" s="384"/>
      <c r="BQG54" s="384"/>
      <c r="BQH54" s="384"/>
      <c r="BQI54" s="384"/>
      <c r="BQJ54" s="384"/>
      <c r="BQK54" s="384"/>
      <c r="BQL54" s="384"/>
      <c r="BQM54" s="384"/>
      <c r="BQN54" s="384"/>
      <c r="BQO54" s="384"/>
      <c r="BQP54" s="384"/>
      <c r="BQQ54" s="384"/>
      <c r="BQR54" s="384"/>
      <c r="BQS54" s="384"/>
      <c r="BQT54" s="384"/>
      <c r="BQU54" s="384"/>
      <c r="BQV54" s="384"/>
      <c r="BQW54" s="384"/>
      <c r="BQX54" s="384"/>
      <c r="BQY54" s="384"/>
      <c r="BQZ54" s="384"/>
      <c r="BRA54" s="384"/>
      <c r="BRB54" s="384"/>
      <c r="BRC54" s="384"/>
      <c r="BRD54" s="384"/>
      <c r="BRE54" s="384"/>
      <c r="BRF54" s="384"/>
      <c r="BRG54" s="384"/>
      <c r="BRH54" s="384"/>
      <c r="BRI54" s="384"/>
      <c r="BRJ54" s="384"/>
      <c r="BRK54" s="384"/>
      <c r="BRL54" s="384"/>
      <c r="BRM54" s="384"/>
      <c r="BRN54" s="384"/>
      <c r="BRO54" s="384"/>
      <c r="BRP54" s="384"/>
      <c r="BRQ54" s="384"/>
      <c r="BRR54" s="384"/>
      <c r="BRS54" s="384"/>
      <c r="BRT54" s="384"/>
      <c r="BRU54" s="384"/>
      <c r="BRV54" s="384"/>
      <c r="BRW54" s="384"/>
      <c r="BRX54" s="384"/>
      <c r="BRY54" s="384"/>
      <c r="BRZ54" s="384"/>
      <c r="BSA54" s="384"/>
      <c r="BSB54" s="384"/>
      <c r="BSC54" s="384"/>
      <c r="BSD54" s="384"/>
      <c r="BSE54" s="384"/>
      <c r="BSF54" s="384"/>
      <c r="BSG54" s="384"/>
      <c r="BSH54" s="384"/>
      <c r="BSI54" s="384"/>
      <c r="BSJ54" s="384"/>
      <c r="BSK54" s="384"/>
      <c r="BSL54" s="384"/>
      <c r="BSM54" s="384"/>
      <c r="BSN54" s="384"/>
      <c r="BSO54" s="384"/>
      <c r="BSP54" s="384"/>
      <c r="BSQ54" s="384"/>
      <c r="BSR54" s="384"/>
      <c r="BSS54" s="384"/>
      <c r="BST54" s="384"/>
      <c r="BSU54" s="384"/>
      <c r="BSV54" s="384"/>
      <c r="BSW54" s="384"/>
      <c r="BSX54" s="384"/>
      <c r="BSY54" s="384"/>
      <c r="BSZ54" s="384"/>
      <c r="BTA54" s="384"/>
      <c r="BTB54" s="384"/>
      <c r="BTC54" s="384"/>
      <c r="BTD54" s="384"/>
      <c r="BTE54" s="384"/>
      <c r="BTF54" s="384"/>
      <c r="BTG54" s="384"/>
      <c r="BTH54" s="384"/>
      <c r="BTI54" s="384"/>
      <c r="BTJ54" s="384"/>
      <c r="BTK54" s="384"/>
      <c r="BTL54" s="384"/>
      <c r="BTM54" s="384"/>
      <c r="BTN54" s="384"/>
      <c r="BTO54" s="384"/>
      <c r="BTP54" s="384"/>
      <c r="BTQ54" s="384"/>
      <c r="BTR54" s="384"/>
      <c r="BTS54" s="384"/>
      <c r="BTT54" s="384"/>
      <c r="BTU54" s="384"/>
      <c r="BTV54" s="384"/>
      <c r="BTW54" s="384"/>
      <c r="BTX54" s="384"/>
      <c r="BTY54" s="384"/>
      <c r="BTZ54" s="384"/>
      <c r="BUA54" s="384"/>
      <c r="BUB54" s="384"/>
      <c r="BUC54" s="384"/>
      <c r="BUD54" s="384"/>
      <c r="BUE54" s="384"/>
      <c r="BUF54" s="384"/>
      <c r="BUG54" s="384"/>
      <c r="BUH54" s="384"/>
      <c r="BUI54" s="384"/>
      <c r="BUJ54" s="384"/>
      <c r="BUK54" s="384"/>
      <c r="BUL54" s="384"/>
      <c r="BUM54" s="384"/>
      <c r="BUN54" s="384"/>
      <c r="BUO54" s="384"/>
      <c r="BUP54" s="384"/>
      <c r="BUQ54" s="384"/>
      <c r="BUR54" s="384"/>
      <c r="BUS54" s="384"/>
      <c r="BUT54" s="384"/>
      <c r="BUU54" s="384"/>
      <c r="BUV54" s="384"/>
      <c r="BUW54" s="384"/>
      <c r="BUX54" s="384"/>
      <c r="BUY54" s="384"/>
      <c r="BUZ54" s="384"/>
      <c r="BVA54" s="384"/>
      <c r="BVB54" s="384"/>
      <c r="BVC54" s="384"/>
      <c r="BVD54" s="384"/>
      <c r="BVE54" s="384"/>
      <c r="BVF54" s="384"/>
      <c r="BVG54" s="384"/>
      <c r="BVH54" s="384"/>
      <c r="BVI54" s="384"/>
      <c r="BVJ54" s="384"/>
      <c r="BVK54" s="384"/>
      <c r="BVL54" s="384"/>
      <c r="BVM54" s="384"/>
      <c r="BVN54" s="384"/>
      <c r="BVO54" s="384"/>
      <c r="BVP54" s="384"/>
      <c r="BVQ54" s="384"/>
      <c r="BVR54" s="384"/>
      <c r="BVS54" s="384"/>
      <c r="BVT54" s="384"/>
      <c r="BVU54" s="384"/>
      <c r="BVV54" s="384"/>
      <c r="BVW54" s="384"/>
      <c r="BVX54" s="384"/>
      <c r="BVY54" s="384"/>
      <c r="BVZ54" s="384"/>
      <c r="BWA54" s="384"/>
      <c r="BWB54" s="384"/>
      <c r="BWC54" s="384"/>
      <c r="BWD54" s="384"/>
      <c r="BWE54" s="384"/>
      <c r="BWF54" s="384"/>
      <c r="BWG54" s="384"/>
      <c r="BWH54" s="384"/>
      <c r="BWI54" s="384"/>
      <c r="BWJ54" s="384"/>
      <c r="BWK54" s="384"/>
      <c r="BWL54" s="384"/>
      <c r="BWM54" s="384"/>
      <c r="BWN54" s="384"/>
      <c r="BWO54" s="384"/>
      <c r="BWP54" s="384"/>
      <c r="BWQ54" s="384"/>
      <c r="BWR54" s="384"/>
      <c r="BWS54" s="384"/>
      <c r="BWT54" s="384"/>
      <c r="BWU54" s="384"/>
      <c r="BWV54" s="384"/>
      <c r="BWW54" s="384"/>
      <c r="BWX54" s="384"/>
      <c r="BWY54" s="384"/>
      <c r="BWZ54" s="384"/>
      <c r="BXA54" s="384"/>
      <c r="BXB54" s="384"/>
      <c r="BXC54" s="384"/>
      <c r="BXD54" s="384"/>
      <c r="BXE54" s="384"/>
      <c r="BXF54" s="384"/>
      <c r="BXG54" s="384"/>
      <c r="BXH54" s="384"/>
      <c r="BXI54" s="384"/>
      <c r="BXJ54" s="384"/>
      <c r="BXK54" s="384"/>
      <c r="BXL54" s="384"/>
      <c r="BXM54" s="384"/>
      <c r="BXN54" s="384"/>
      <c r="BXO54" s="384"/>
      <c r="BXP54" s="384"/>
      <c r="BXQ54" s="384"/>
      <c r="BXR54" s="384"/>
      <c r="BXS54" s="384"/>
      <c r="BXT54" s="384"/>
      <c r="BXU54" s="384"/>
      <c r="BXV54" s="384"/>
      <c r="BXW54" s="384"/>
      <c r="BXX54" s="384"/>
      <c r="BXY54" s="384"/>
      <c r="BXZ54" s="384"/>
      <c r="BYA54" s="384"/>
      <c r="BYB54" s="384"/>
      <c r="BYC54" s="384"/>
      <c r="BYD54" s="384"/>
      <c r="BYE54" s="384"/>
      <c r="BYF54" s="384"/>
      <c r="BYG54" s="384"/>
      <c r="BYH54" s="384"/>
      <c r="BYI54" s="384"/>
      <c r="BYJ54" s="384"/>
      <c r="BYK54" s="384"/>
      <c r="BYL54" s="384"/>
      <c r="BYM54" s="384"/>
      <c r="BYN54" s="384"/>
      <c r="BYO54" s="384"/>
      <c r="BYP54" s="384"/>
      <c r="BYQ54" s="384"/>
      <c r="BYR54" s="384"/>
      <c r="BYS54" s="384"/>
      <c r="BYT54" s="384"/>
      <c r="BYU54" s="384"/>
      <c r="BYV54" s="384"/>
      <c r="BYW54" s="384"/>
      <c r="BYX54" s="384"/>
      <c r="BYY54" s="384"/>
      <c r="BYZ54" s="384"/>
      <c r="BZA54" s="384"/>
      <c r="BZB54" s="384"/>
      <c r="BZC54" s="384"/>
      <c r="BZD54" s="384"/>
      <c r="BZE54" s="384"/>
      <c r="BZF54" s="384"/>
      <c r="BZG54" s="384"/>
      <c r="BZH54" s="384"/>
      <c r="BZI54" s="384"/>
      <c r="BZJ54" s="384"/>
      <c r="BZK54" s="384"/>
      <c r="BZL54" s="384"/>
      <c r="BZM54" s="384"/>
      <c r="BZN54" s="384"/>
      <c r="BZO54" s="384"/>
      <c r="BZP54" s="384"/>
      <c r="BZQ54" s="384"/>
      <c r="BZR54" s="384"/>
      <c r="BZS54" s="384"/>
      <c r="BZT54" s="384"/>
      <c r="BZU54" s="384"/>
      <c r="BZV54" s="384"/>
      <c r="BZW54" s="384"/>
      <c r="BZX54" s="384"/>
      <c r="BZY54" s="384"/>
      <c r="BZZ54" s="384"/>
      <c r="CAA54" s="384"/>
      <c r="CAB54" s="384"/>
      <c r="CAC54" s="384"/>
      <c r="CAD54" s="384"/>
      <c r="CAE54" s="384"/>
      <c r="CAF54" s="384"/>
      <c r="CAG54" s="384"/>
      <c r="CAH54" s="384"/>
      <c r="CAI54" s="384"/>
      <c r="CAJ54" s="384"/>
      <c r="CAK54" s="384"/>
      <c r="CAL54" s="384"/>
      <c r="CAM54" s="384"/>
      <c r="CAN54" s="384"/>
      <c r="CAO54" s="384"/>
      <c r="CAP54" s="384"/>
      <c r="CAQ54" s="384"/>
      <c r="CAR54" s="384"/>
      <c r="CAS54" s="384"/>
      <c r="CAT54" s="384"/>
      <c r="CAU54" s="384"/>
      <c r="CAV54" s="384"/>
      <c r="CAW54" s="384"/>
      <c r="CAX54" s="384"/>
      <c r="CAY54" s="384"/>
      <c r="CAZ54" s="384"/>
      <c r="CBA54" s="384"/>
      <c r="CBB54" s="384"/>
      <c r="CBC54" s="384"/>
      <c r="CBD54" s="384"/>
      <c r="CBE54" s="384"/>
      <c r="CBF54" s="384"/>
      <c r="CBG54" s="384"/>
      <c r="CBH54" s="384"/>
      <c r="CBI54" s="384"/>
      <c r="CBJ54" s="384"/>
      <c r="CBK54" s="384"/>
      <c r="CBL54" s="384"/>
      <c r="CBM54" s="384"/>
      <c r="CBN54" s="384"/>
      <c r="CBO54" s="384"/>
      <c r="CBP54" s="384"/>
      <c r="CBQ54" s="384"/>
      <c r="CBR54" s="384"/>
      <c r="CBS54" s="384"/>
      <c r="CBT54" s="384"/>
      <c r="CBU54" s="384"/>
      <c r="CBV54" s="384"/>
      <c r="CBW54" s="384"/>
      <c r="CBX54" s="384"/>
      <c r="CBY54" s="384"/>
      <c r="CBZ54" s="384"/>
      <c r="CCA54" s="384"/>
      <c r="CCB54" s="384"/>
      <c r="CCC54" s="384"/>
      <c r="CCD54" s="384"/>
      <c r="CCE54" s="384"/>
      <c r="CCF54" s="384"/>
      <c r="CCG54" s="384"/>
      <c r="CCH54" s="384"/>
      <c r="CCI54" s="384"/>
      <c r="CCJ54" s="384"/>
      <c r="CCK54" s="384"/>
      <c r="CCL54" s="384"/>
      <c r="CCM54" s="384"/>
      <c r="CCN54" s="384"/>
      <c r="CCO54" s="384"/>
      <c r="CCP54" s="384"/>
      <c r="CCQ54" s="384"/>
      <c r="CCR54" s="384"/>
      <c r="CCS54" s="384"/>
      <c r="CCT54" s="384"/>
      <c r="CCU54" s="384"/>
      <c r="CCV54" s="384"/>
      <c r="CCW54" s="384"/>
      <c r="CCX54" s="384"/>
      <c r="CCY54" s="384"/>
      <c r="CCZ54" s="384"/>
      <c r="CDA54" s="384"/>
      <c r="CDB54" s="384"/>
      <c r="CDC54" s="384"/>
      <c r="CDD54" s="384"/>
      <c r="CDE54" s="384"/>
      <c r="CDF54" s="384"/>
      <c r="CDG54" s="384"/>
      <c r="CDH54" s="384"/>
      <c r="CDI54" s="384"/>
      <c r="CDJ54" s="384"/>
      <c r="CDK54" s="384"/>
      <c r="CDL54" s="384"/>
      <c r="CDM54" s="384"/>
      <c r="CDN54" s="384"/>
      <c r="CDO54" s="384"/>
      <c r="CDP54" s="384"/>
      <c r="CDQ54" s="384"/>
      <c r="CDR54" s="384"/>
      <c r="CDS54" s="384"/>
      <c r="CDT54" s="384"/>
      <c r="CDU54" s="384"/>
      <c r="CDV54" s="384"/>
      <c r="CDW54" s="384"/>
      <c r="CDX54" s="384"/>
      <c r="CDY54" s="384"/>
      <c r="CDZ54" s="384"/>
      <c r="CEA54" s="384"/>
      <c r="CEB54" s="384"/>
      <c r="CEC54" s="384"/>
      <c r="CED54" s="384"/>
      <c r="CEE54" s="384"/>
      <c r="CEF54" s="384"/>
      <c r="CEG54" s="384"/>
      <c r="CEH54" s="384"/>
      <c r="CEI54" s="384"/>
      <c r="CEJ54" s="384"/>
      <c r="CEK54" s="384"/>
      <c r="CEL54" s="384"/>
      <c r="CEM54" s="384"/>
      <c r="CEN54" s="384"/>
      <c r="CEO54" s="384"/>
      <c r="CEP54" s="384"/>
      <c r="CEQ54" s="384"/>
      <c r="CER54" s="384"/>
      <c r="CES54" s="384"/>
      <c r="CET54" s="384"/>
      <c r="CEU54" s="384"/>
      <c r="CEV54" s="384"/>
      <c r="CEW54" s="384"/>
      <c r="CEX54" s="384"/>
      <c r="CEY54" s="384"/>
      <c r="CEZ54" s="384"/>
      <c r="CFA54" s="384"/>
      <c r="CFB54" s="384"/>
      <c r="CFC54" s="384"/>
      <c r="CFD54" s="384"/>
      <c r="CFE54" s="384"/>
      <c r="CFF54" s="384"/>
      <c r="CFG54" s="384"/>
      <c r="CFH54" s="384"/>
      <c r="CFI54" s="384"/>
      <c r="CFJ54" s="384"/>
      <c r="CFK54" s="384"/>
      <c r="CFL54" s="384"/>
      <c r="CFM54" s="384"/>
      <c r="CFN54" s="384"/>
      <c r="CFO54" s="384"/>
      <c r="CFP54" s="384"/>
      <c r="CFQ54" s="384"/>
      <c r="CFR54" s="384"/>
      <c r="CFS54" s="384"/>
      <c r="CFT54" s="384"/>
      <c r="CFU54" s="384"/>
      <c r="CFV54" s="384"/>
      <c r="CFW54" s="384"/>
      <c r="CFX54" s="384"/>
      <c r="CFY54" s="384"/>
      <c r="CFZ54" s="384"/>
      <c r="CGA54" s="384"/>
      <c r="CGB54" s="384"/>
      <c r="CGC54" s="384"/>
      <c r="CGD54" s="384"/>
      <c r="CGE54" s="384"/>
      <c r="CGF54" s="384"/>
      <c r="CGG54" s="384"/>
      <c r="CGH54" s="384"/>
      <c r="CGI54" s="384"/>
      <c r="CGJ54" s="384"/>
      <c r="CGK54" s="384"/>
      <c r="CGL54" s="384"/>
      <c r="CGM54" s="384"/>
      <c r="CGN54" s="384"/>
      <c r="CGO54" s="384"/>
      <c r="CGP54" s="384"/>
      <c r="CGQ54" s="384"/>
      <c r="CGR54" s="384"/>
      <c r="CGS54" s="384"/>
      <c r="CGT54" s="384"/>
      <c r="CGU54" s="384"/>
      <c r="CGV54" s="384"/>
      <c r="CGW54" s="384"/>
      <c r="CGX54" s="384"/>
      <c r="CGY54" s="384"/>
      <c r="CGZ54" s="384"/>
      <c r="CHA54" s="384"/>
      <c r="CHB54" s="384"/>
      <c r="CHC54" s="384"/>
      <c r="CHD54" s="384"/>
      <c r="CHE54" s="384"/>
      <c r="CHF54" s="384"/>
      <c r="CHG54" s="384"/>
      <c r="CHH54" s="384"/>
      <c r="CHI54" s="384"/>
      <c r="CHJ54" s="384"/>
      <c r="CHK54" s="384"/>
      <c r="CHL54" s="384"/>
      <c r="CHM54" s="384"/>
      <c r="CHN54" s="384"/>
      <c r="CHO54" s="384"/>
      <c r="CHP54" s="384"/>
      <c r="CHQ54" s="384"/>
      <c r="CHR54" s="384"/>
      <c r="CHS54" s="384"/>
      <c r="CHT54" s="384"/>
      <c r="CHU54" s="384"/>
      <c r="CHV54" s="384"/>
      <c r="CHW54" s="384"/>
      <c r="CHX54" s="384"/>
      <c r="CHY54" s="384"/>
      <c r="CHZ54" s="384"/>
      <c r="CIA54" s="384"/>
      <c r="CIB54" s="384"/>
      <c r="CIC54" s="384"/>
      <c r="CID54" s="384"/>
      <c r="CIE54" s="384"/>
      <c r="CIF54" s="384"/>
      <c r="CIG54" s="384"/>
      <c r="CIH54" s="384"/>
      <c r="CII54" s="384"/>
      <c r="CIJ54" s="384"/>
      <c r="CIK54" s="384"/>
      <c r="CIL54" s="384"/>
      <c r="CIM54" s="384"/>
      <c r="CIN54" s="384"/>
      <c r="CIO54" s="384"/>
      <c r="CIP54" s="384"/>
      <c r="CIQ54" s="384"/>
      <c r="CIR54" s="384"/>
      <c r="CIS54" s="384"/>
      <c r="CIT54" s="384"/>
      <c r="CIU54" s="384"/>
      <c r="CIV54" s="384"/>
      <c r="CIW54" s="384"/>
      <c r="CIX54" s="384"/>
      <c r="CIY54" s="384"/>
      <c r="CIZ54" s="384"/>
      <c r="CJA54" s="384"/>
      <c r="CJB54" s="384"/>
      <c r="CJC54" s="384"/>
      <c r="CJD54" s="384"/>
      <c r="CJE54" s="384"/>
      <c r="CJF54" s="384"/>
      <c r="CJG54" s="384"/>
      <c r="CJH54" s="384"/>
      <c r="CJI54" s="384"/>
      <c r="CJJ54" s="384"/>
      <c r="CJK54" s="384"/>
      <c r="CJL54" s="384"/>
      <c r="CJM54" s="384"/>
      <c r="CJN54" s="384"/>
      <c r="CJO54" s="384"/>
      <c r="CJP54" s="384"/>
      <c r="CJQ54" s="384"/>
      <c r="CJR54" s="384"/>
      <c r="CJS54" s="384"/>
      <c r="CJT54" s="384"/>
      <c r="CJU54" s="384"/>
      <c r="CJV54" s="384"/>
      <c r="CJW54" s="384"/>
      <c r="CJX54" s="384"/>
      <c r="CJY54" s="384"/>
      <c r="CJZ54" s="384"/>
      <c r="CKA54" s="384"/>
      <c r="CKB54" s="384"/>
      <c r="CKC54" s="384"/>
      <c r="CKD54" s="384"/>
      <c r="CKE54" s="384"/>
      <c r="CKF54" s="384"/>
      <c r="CKG54" s="384"/>
      <c r="CKH54" s="384"/>
      <c r="CKI54" s="384"/>
      <c r="CKJ54" s="384"/>
      <c r="CKK54" s="384"/>
      <c r="CKL54" s="384"/>
      <c r="CKM54" s="384"/>
      <c r="CKN54" s="384"/>
      <c r="CKO54" s="384"/>
      <c r="CKP54" s="384"/>
      <c r="CKQ54" s="384"/>
      <c r="CKR54" s="384"/>
      <c r="CKS54" s="384"/>
      <c r="CKT54" s="384"/>
      <c r="CKU54" s="384"/>
      <c r="CKV54" s="384"/>
      <c r="CKW54" s="384"/>
      <c r="CKX54" s="384"/>
      <c r="CKY54" s="384"/>
      <c r="CKZ54" s="384"/>
      <c r="CLA54" s="384"/>
      <c r="CLB54" s="384"/>
      <c r="CLC54" s="384"/>
      <c r="CLD54" s="384"/>
      <c r="CLE54" s="384"/>
      <c r="CLF54" s="384"/>
      <c r="CLG54" s="384"/>
      <c r="CLH54" s="384"/>
      <c r="CLI54" s="384"/>
      <c r="CLJ54" s="384"/>
      <c r="CLK54" s="384"/>
      <c r="CLL54" s="384"/>
      <c r="CLM54" s="384"/>
      <c r="CLN54" s="384"/>
      <c r="CLO54" s="384"/>
      <c r="CLP54" s="384"/>
      <c r="CLQ54" s="384"/>
      <c r="CLR54" s="384"/>
      <c r="CLS54" s="384"/>
      <c r="CLT54" s="384"/>
      <c r="CLU54" s="384"/>
      <c r="CLV54" s="384"/>
      <c r="CLW54" s="384"/>
      <c r="CLX54" s="384"/>
      <c r="CLY54" s="384"/>
      <c r="CLZ54" s="384"/>
      <c r="CMA54" s="384"/>
      <c r="CMB54" s="384"/>
      <c r="CMC54" s="384"/>
      <c r="CMD54" s="384"/>
      <c r="CME54" s="384"/>
      <c r="CMF54" s="384"/>
      <c r="CMG54" s="384"/>
      <c r="CMH54" s="384"/>
      <c r="CMI54" s="384"/>
      <c r="CMJ54" s="384"/>
      <c r="CMK54" s="384"/>
      <c r="CML54" s="384"/>
      <c r="CMM54" s="384"/>
      <c r="CMN54" s="384"/>
      <c r="CMO54" s="384"/>
      <c r="CMP54" s="384"/>
      <c r="CMQ54" s="384"/>
      <c r="CMR54" s="384"/>
      <c r="CMS54" s="384"/>
      <c r="CMT54" s="384"/>
      <c r="CMU54" s="384"/>
      <c r="CMV54" s="384"/>
      <c r="CMW54" s="384"/>
      <c r="CMX54" s="384"/>
      <c r="CMY54" s="384"/>
      <c r="CMZ54" s="384"/>
      <c r="CNA54" s="384"/>
      <c r="CNB54" s="384"/>
      <c r="CNC54" s="384"/>
      <c r="CND54" s="384"/>
      <c r="CNE54" s="384"/>
      <c r="CNF54" s="384"/>
      <c r="CNG54" s="384"/>
      <c r="CNH54" s="384"/>
      <c r="CNI54" s="384"/>
      <c r="CNJ54" s="384"/>
      <c r="CNK54" s="384"/>
      <c r="CNL54" s="384"/>
      <c r="CNM54" s="384"/>
      <c r="CNN54" s="384"/>
      <c r="CNO54" s="384"/>
      <c r="CNP54" s="384"/>
      <c r="CNQ54" s="384"/>
      <c r="CNR54" s="384"/>
      <c r="CNS54" s="384"/>
      <c r="CNT54" s="384"/>
      <c r="CNU54" s="384"/>
      <c r="CNV54" s="384"/>
      <c r="CNW54" s="384"/>
      <c r="CNX54" s="384"/>
      <c r="CNY54" s="384"/>
      <c r="CNZ54" s="384"/>
      <c r="COA54" s="384"/>
      <c r="COB54" s="384"/>
      <c r="COC54" s="384"/>
      <c r="COD54" s="384"/>
      <c r="COE54" s="384"/>
      <c r="COF54" s="384"/>
      <c r="COG54" s="384"/>
      <c r="COH54" s="384"/>
      <c r="COI54" s="384"/>
      <c r="COJ54" s="384"/>
      <c r="COK54" s="384"/>
      <c r="COL54" s="384"/>
      <c r="COM54" s="384"/>
      <c r="CON54" s="384"/>
      <c r="COO54" s="384"/>
      <c r="COP54" s="384"/>
      <c r="COQ54" s="384"/>
      <c r="COR54" s="384"/>
      <c r="COS54" s="384"/>
      <c r="COT54" s="384"/>
      <c r="COU54" s="384"/>
      <c r="COV54" s="384"/>
      <c r="COW54" s="384"/>
      <c r="COX54" s="384"/>
      <c r="COY54" s="384"/>
      <c r="COZ54" s="384"/>
      <c r="CPA54" s="384"/>
      <c r="CPB54" s="384"/>
      <c r="CPC54" s="384"/>
      <c r="CPD54" s="384"/>
      <c r="CPE54" s="384"/>
      <c r="CPF54" s="384"/>
      <c r="CPG54" s="384"/>
      <c r="CPH54" s="384"/>
      <c r="CPI54" s="384"/>
      <c r="CPJ54" s="384"/>
      <c r="CPK54" s="384"/>
      <c r="CPL54" s="384"/>
      <c r="CPM54" s="384"/>
      <c r="CPN54" s="384"/>
      <c r="CPO54" s="384"/>
      <c r="CPP54" s="384"/>
      <c r="CPQ54" s="384"/>
      <c r="CPR54" s="384"/>
      <c r="CPS54" s="384"/>
      <c r="CPT54" s="384"/>
      <c r="CPU54" s="384"/>
      <c r="CPV54" s="384"/>
      <c r="CPW54" s="384"/>
      <c r="CPX54" s="384"/>
      <c r="CPY54" s="384"/>
      <c r="CPZ54" s="384"/>
      <c r="CQA54" s="384"/>
      <c r="CQB54" s="384"/>
      <c r="CQC54" s="384"/>
      <c r="CQD54" s="384"/>
      <c r="CQE54" s="384"/>
      <c r="CQF54" s="384"/>
      <c r="CQG54" s="384"/>
      <c r="CQH54" s="384"/>
      <c r="CQI54" s="384"/>
      <c r="CQJ54" s="384"/>
      <c r="CQK54" s="384"/>
      <c r="CQL54" s="384"/>
      <c r="CQM54" s="384"/>
      <c r="CQN54" s="384"/>
      <c r="CQO54" s="384"/>
      <c r="CQP54" s="384"/>
      <c r="CQQ54" s="384"/>
      <c r="CQR54" s="384"/>
      <c r="CQS54" s="384"/>
      <c r="CQT54" s="384"/>
      <c r="CQU54" s="384"/>
      <c r="CQV54" s="384"/>
      <c r="CQW54" s="384"/>
      <c r="CQX54" s="384"/>
      <c r="CQY54" s="384"/>
      <c r="CQZ54" s="384"/>
      <c r="CRA54" s="384"/>
      <c r="CRB54" s="384"/>
      <c r="CRC54" s="384"/>
      <c r="CRD54" s="384"/>
      <c r="CRE54" s="384"/>
      <c r="CRF54" s="384"/>
      <c r="CRG54" s="384"/>
      <c r="CRH54" s="384"/>
      <c r="CRI54" s="384"/>
      <c r="CRJ54" s="384"/>
      <c r="CRK54" s="384"/>
      <c r="CRL54" s="384"/>
      <c r="CRM54" s="384"/>
      <c r="CRN54" s="384"/>
      <c r="CRO54" s="384"/>
      <c r="CRP54" s="384"/>
      <c r="CRQ54" s="384"/>
      <c r="CRR54" s="384"/>
      <c r="CRS54" s="384"/>
      <c r="CRT54" s="384"/>
      <c r="CRU54" s="384"/>
      <c r="CRV54" s="384"/>
      <c r="CRW54" s="384"/>
      <c r="CRX54" s="384"/>
      <c r="CRY54" s="384"/>
      <c r="CRZ54" s="384"/>
      <c r="CSA54" s="384"/>
      <c r="CSB54" s="384"/>
      <c r="CSC54" s="384"/>
      <c r="CSD54" s="384"/>
      <c r="CSE54" s="384"/>
      <c r="CSF54" s="384"/>
      <c r="CSG54" s="384"/>
      <c r="CSH54" s="384"/>
      <c r="CSI54" s="384"/>
      <c r="CSJ54" s="384"/>
      <c r="CSK54" s="384"/>
      <c r="CSL54" s="384"/>
      <c r="CSM54" s="384"/>
      <c r="CSN54" s="384"/>
      <c r="CSO54" s="384"/>
      <c r="CSP54" s="384"/>
      <c r="CSQ54" s="384"/>
      <c r="CSR54" s="384"/>
      <c r="CSS54" s="384"/>
      <c r="CST54" s="384"/>
      <c r="CSU54" s="384"/>
      <c r="CSV54" s="384"/>
      <c r="CSW54" s="384"/>
      <c r="CSX54" s="384"/>
      <c r="CSY54" s="384"/>
      <c r="CSZ54" s="384"/>
      <c r="CTA54" s="384"/>
      <c r="CTB54" s="384"/>
      <c r="CTC54" s="384"/>
      <c r="CTD54" s="384"/>
      <c r="CTE54" s="384"/>
      <c r="CTF54" s="384"/>
      <c r="CTG54" s="384"/>
      <c r="CTH54" s="384"/>
      <c r="CTI54" s="384"/>
      <c r="CTJ54" s="384"/>
      <c r="CTK54" s="384"/>
      <c r="CTL54" s="384"/>
      <c r="CTM54" s="384"/>
      <c r="CTN54" s="384"/>
      <c r="CTO54" s="384"/>
      <c r="CTP54" s="384"/>
      <c r="CTQ54" s="384"/>
      <c r="CTR54" s="384"/>
      <c r="CTS54" s="384"/>
      <c r="CTT54" s="384"/>
      <c r="CTU54" s="384"/>
      <c r="CTV54" s="384"/>
      <c r="CTW54" s="384"/>
      <c r="CTX54" s="384"/>
      <c r="CTY54" s="384"/>
      <c r="CTZ54" s="384"/>
      <c r="CUA54" s="384"/>
      <c r="CUB54" s="384"/>
      <c r="CUC54" s="384"/>
      <c r="CUD54" s="384"/>
      <c r="CUE54" s="384"/>
      <c r="CUF54" s="384"/>
      <c r="CUG54" s="384"/>
      <c r="CUH54" s="384"/>
      <c r="CUI54" s="384"/>
      <c r="CUJ54" s="384"/>
      <c r="CUK54" s="384"/>
      <c r="CUL54" s="384"/>
      <c r="CUM54" s="384"/>
      <c r="CUN54" s="384"/>
      <c r="CUO54" s="384"/>
      <c r="CUP54" s="384"/>
      <c r="CUQ54" s="384"/>
      <c r="CUR54" s="384"/>
      <c r="CUS54" s="384"/>
      <c r="CUT54" s="384"/>
      <c r="CUU54" s="384"/>
      <c r="CUV54" s="384"/>
      <c r="CUW54" s="384"/>
      <c r="CUX54" s="384"/>
      <c r="CUY54" s="384"/>
      <c r="CUZ54" s="384"/>
      <c r="CVA54" s="384"/>
      <c r="CVB54" s="384"/>
      <c r="CVC54" s="384"/>
      <c r="CVD54" s="384"/>
      <c r="CVE54" s="384"/>
      <c r="CVF54" s="384"/>
      <c r="CVG54" s="384"/>
      <c r="CVH54" s="384"/>
      <c r="CVI54" s="384"/>
      <c r="CVJ54" s="384"/>
      <c r="CVK54" s="384"/>
      <c r="CVL54" s="384"/>
      <c r="CVM54" s="384"/>
      <c r="CVN54" s="384"/>
      <c r="CVO54" s="384"/>
      <c r="CVP54" s="384"/>
      <c r="CVQ54" s="384"/>
      <c r="CVR54" s="384"/>
      <c r="CVS54" s="384"/>
      <c r="CVT54" s="384"/>
      <c r="CVU54" s="384"/>
      <c r="CVV54" s="384"/>
      <c r="CVW54" s="384"/>
      <c r="CVX54" s="384"/>
      <c r="CVY54" s="384"/>
      <c r="CVZ54" s="384"/>
      <c r="CWA54" s="384"/>
      <c r="CWB54" s="384"/>
      <c r="CWC54" s="384"/>
      <c r="CWD54" s="384"/>
      <c r="CWE54" s="384"/>
      <c r="CWF54" s="384"/>
      <c r="CWG54" s="384"/>
      <c r="CWH54" s="384"/>
      <c r="CWI54" s="384"/>
      <c r="CWJ54" s="384"/>
      <c r="CWK54" s="384"/>
      <c r="CWL54" s="384"/>
      <c r="CWM54" s="384"/>
      <c r="CWN54" s="384"/>
      <c r="CWO54" s="384"/>
      <c r="CWP54" s="384"/>
      <c r="CWQ54" s="384"/>
      <c r="CWR54" s="384"/>
      <c r="CWS54" s="384"/>
      <c r="CWT54" s="384"/>
      <c r="CWU54" s="384"/>
      <c r="CWV54" s="384"/>
      <c r="CWW54" s="384"/>
      <c r="CWX54" s="384"/>
      <c r="CWY54" s="384"/>
      <c r="CWZ54" s="384"/>
      <c r="CXA54" s="384"/>
      <c r="CXB54" s="384"/>
      <c r="CXC54" s="384"/>
      <c r="CXD54" s="384"/>
      <c r="CXE54" s="384"/>
      <c r="CXF54" s="384"/>
      <c r="CXG54" s="384"/>
      <c r="CXH54" s="384"/>
      <c r="CXI54" s="384"/>
      <c r="CXJ54" s="384"/>
      <c r="CXK54" s="384"/>
      <c r="CXL54" s="384"/>
      <c r="CXM54" s="384"/>
      <c r="CXN54" s="384"/>
      <c r="CXO54" s="384"/>
      <c r="CXP54" s="384"/>
      <c r="CXQ54" s="384"/>
      <c r="CXR54" s="384"/>
      <c r="CXS54" s="384"/>
      <c r="CXT54" s="384"/>
      <c r="CXU54" s="384"/>
      <c r="CXV54" s="384"/>
      <c r="CXW54" s="384"/>
      <c r="CXX54" s="384"/>
      <c r="CXY54" s="384"/>
      <c r="CXZ54" s="384"/>
      <c r="CYA54" s="384"/>
      <c r="CYB54" s="384"/>
      <c r="CYC54" s="384"/>
      <c r="CYD54" s="384"/>
      <c r="CYE54" s="384"/>
      <c r="CYF54" s="384"/>
      <c r="CYG54" s="384"/>
      <c r="CYH54" s="384"/>
      <c r="CYI54" s="384"/>
      <c r="CYJ54" s="384"/>
      <c r="CYK54" s="384"/>
      <c r="CYL54" s="384"/>
      <c r="CYM54" s="384"/>
      <c r="CYN54" s="384"/>
      <c r="CYO54" s="384"/>
      <c r="CYP54" s="384"/>
      <c r="CYQ54" s="384"/>
      <c r="CYR54" s="384"/>
      <c r="CYS54" s="384"/>
      <c r="CYT54" s="384"/>
      <c r="CYU54" s="384"/>
      <c r="CYV54" s="384"/>
      <c r="CYW54" s="384"/>
      <c r="CYX54" s="384"/>
      <c r="CYY54" s="384"/>
      <c r="CYZ54" s="384"/>
      <c r="CZA54" s="384"/>
      <c r="CZB54" s="384"/>
      <c r="CZC54" s="384"/>
      <c r="CZD54" s="384"/>
      <c r="CZE54" s="384"/>
      <c r="CZF54" s="384"/>
      <c r="CZG54" s="384"/>
      <c r="CZH54" s="384"/>
      <c r="CZI54" s="384"/>
      <c r="CZJ54" s="384"/>
      <c r="CZK54" s="384"/>
      <c r="CZL54" s="384"/>
      <c r="CZM54" s="384"/>
      <c r="CZN54" s="384"/>
      <c r="CZO54" s="384"/>
      <c r="CZP54" s="384"/>
      <c r="CZQ54" s="384"/>
      <c r="CZR54" s="384"/>
      <c r="CZS54" s="384"/>
      <c r="CZT54" s="384"/>
      <c r="CZU54" s="384"/>
      <c r="CZV54" s="384"/>
      <c r="CZW54" s="384"/>
      <c r="CZX54" s="384"/>
      <c r="CZY54" s="384"/>
      <c r="CZZ54" s="384"/>
      <c r="DAA54" s="384"/>
      <c r="DAB54" s="384"/>
      <c r="DAC54" s="384"/>
      <c r="DAD54" s="384"/>
      <c r="DAE54" s="384"/>
      <c r="DAF54" s="384"/>
      <c r="DAG54" s="384"/>
      <c r="DAH54" s="384"/>
      <c r="DAI54" s="384"/>
      <c r="DAJ54" s="384"/>
      <c r="DAK54" s="384"/>
      <c r="DAL54" s="384"/>
      <c r="DAM54" s="384"/>
      <c r="DAN54" s="384"/>
      <c r="DAO54" s="384"/>
      <c r="DAP54" s="384"/>
      <c r="DAQ54" s="384"/>
      <c r="DAR54" s="384"/>
      <c r="DAS54" s="384"/>
      <c r="DAT54" s="384"/>
      <c r="DAU54" s="384"/>
      <c r="DAV54" s="384"/>
      <c r="DAW54" s="384"/>
      <c r="DAX54" s="384"/>
      <c r="DAY54" s="384"/>
      <c r="DAZ54" s="384"/>
      <c r="DBA54" s="384"/>
      <c r="DBB54" s="384"/>
      <c r="DBC54" s="384"/>
      <c r="DBD54" s="384"/>
      <c r="DBE54" s="384"/>
      <c r="DBF54" s="384"/>
      <c r="DBG54" s="384"/>
      <c r="DBH54" s="384"/>
      <c r="DBI54" s="384"/>
      <c r="DBJ54" s="384"/>
      <c r="DBK54" s="384"/>
      <c r="DBL54" s="384"/>
      <c r="DBM54" s="384"/>
      <c r="DBN54" s="384"/>
      <c r="DBO54" s="384"/>
      <c r="DBP54" s="384"/>
      <c r="DBQ54" s="384"/>
      <c r="DBR54" s="384"/>
      <c r="DBS54" s="384"/>
      <c r="DBT54" s="384"/>
      <c r="DBU54" s="384"/>
      <c r="DBV54" s="384"/>
      <c r="DBW54" s="384"/>
      <c r="DBX54" s="384"/>
      <c r="DBY54" s="384"/>
      <c r="DBZ54" s="384"/>
      <c r="DCA54" s="384"/>
      <c r="DCB54" s="384"/>
      <c r="DCC54" s="384"/>
      <c r="DCD54" s="384"/>
      <c r="DCE54" s="384"/>
      <c r="DCF54" s="384"/>
      <c r="DCG54" s="384"/>
      <c r="DCH54" s="384"/>
      <c r="DCI54" s="384"/>
      <c r="DCJ54" s="384"/>
      <c r="DCK54" s="384"/>
      <c r="DCL54" s="384"/>
      <c r="DCM54" s="384"/>
      <c r="DCN54" s="384"/>
      <c r="DCO54" s="384"/>
      <c r="DCP54" s="384"/>
      <c r="DCQ54" s="384"/>
      <c r="DCR54" s="384"/>
      <c r="DCS54" s="384"/>
      <c r="DCT54" s="384"/>
      <c r="DCU54" s="384"/>
      <c r="DCV54" s="384"/>
      <c r="DCW54" s="384"/>
      <c r="DCX54" s="384"/>
      <c r="DCY54" s="384"/>
      <c r="DCZ54" s="384"/>
      <c r="DDA54" s="384"/>
      <c r="DDB54" s="384"/>
      <c r="DDC54" s="384"/>
      <c r="DDD54" s="384"/>
      <c r="DDE54" s="384"/>
      <c r="DDF54" s="384"/>
      <c r="DDG54" s="384"/>
      <c r="DDH54" s="384"/>
      <c r="DDI54" s="384"/>
      <c r="DDJ54" s="384"/>
      <c r="DDK54" s="384"/>
      <c r="DDL54" s="384"/>
      <c r="DDM54" s="384"/>
      <c r="DDN54" s="384"/>
      <c r="DDO54" s="384"/>
      <c r="DDP54" s="384"/>
      <c r="DDQ54" s="384"/>
      <c r="DDR54" s="384"/>
      <c r="DDS54" s="384"/>
      <c r="DDT54" s="384"/>
      <c r="DDU54" s="384"/>
      <c r="DDV54" s="384"/>
      <c r="DDW54" s="384"/>
      <c r="DDX54" s="384"/>
      <c r="DDY54" s="384"/>
      <c r="DDZ54" s="384"/>
      <c r="DEA54" s="384"/>
      <c r="DEB54" s="384"/>
      <c r="DEC54" s="384"/>
      <c r="DED54" s="384"/>
      <c r="DEE54" s="384"/>
      <c r="DEF54" s="384"/>
      <c r="DEG54" s="384"/>
      <c r="DEH54" s="384"/>
      <c r="DEI54" s="384"/>
      <c r="DEJ54" s="384"/>
      <c r="DEK54" s="384"/>
      <c r="DEL54" s="384"/>
      <c r="DEM54" s="384"/>
      <c r="DEN54" s="384"/>
      <c r="DEO54" s="384"/>
      <c r="DEP54" s="384"/>
      <c r="DEQ54" s="384"/>
      <c r="DER54" s="384"/>
      <c r="DES54" s="384"/>
      <c r="DET54" s="384"/>
      <c r="DEU54" s="384"/>
      <c r="DEV54" s="384"/>
      <c r="DEW54" s="384"/>
      <c r="DEX54" s="384"/>
      <c r="DEY54" s="384"/>
      <c r="DEZ54" s="384"/>
      <c r="DFA54" s="384"/>
      <c r="DFB54" s="384"/>
      <c r="DFC54" s="384"/>
      <c r="DFD54" s="384"/>
      <c r="DFE54" s="384"/>
      <c r="DFF54" s="384"/>
      <c r="DFG54" s="384"/>
      <c r="DFH54" s="384"/>
      <c r="DFI54" s="384"/>
      <c r="DFJ54" s="384"/>
      <c r="DFK54" s="384"/>
      <c r="DFL54" s="384"/>
      <c r="DFM54" s="384"/>
      <c r="DFN54" s="384"/>
      <c r="DFO54" s="384"/>
      <c r="DFP54" s="384"/>
      <c r="DFQ54" s="384"/>
      <c r="DFR54" s="384"/>
      <c r="DFS54" s="384"/>
      <c r="DFT54" s="384"/>
      <c r="DFU54" s="384"/>
      <c r="DFV54" s="384"/>
      <c r="DFW54" s="384"/>
      <c r="DFX54" s="384"/>
      <c r="DFY54" s="384"/>
      <c r="DFZ54" s="384"/>
      <c r="DGA54" s="384"/>
      <c r="DGB54" s="384"/>
      <c r="DGC54" s="384"/>
      <c r="DGD54" s="384"/>
      <c r="DGE54" s="384"/>
      <c r="DGF54" s="384"/>
      <c r="DGG54" s="384"/>
      <c r="DGH54" s="384"/>
      <c r="DGI54" s="384"/>
      <c r="DGJ54" s="384"/>
      <c r="DGK54" s="384"/>
      <c r="DGL54" s="384"/>
      <c r="DGM54" s="384"/>
      <c r="DGN54" s="384"/>
      <c r="DGO54" s="384"/>
      <c r="DGP54" s="384"/>
      <c r="DGQ54" s="384"/>
      <c r="DGR54" s="384"/>
      <c r="DGS54" s="384"/>
      <c r="DGT54" s="384"/>
      <c r="DGU54" s="384"/>
      <c r="DGV54" s="384"/>
      <c r="DGW54" s="384"/>
      <c r="DGX54" s="384"/>
      <c r="DGY54" s="384"/>
      <c r="DGZ54" s="384"/>
      <c r="DHA54" s="384"/>
      <c r="DHB54" s="384"/>
      <c r="DHC54" s="384"/>
      <c r="DHD54" s="384"/>
      <c r="DHE54" s="384"/>
      <c r="DHF54" s="384"/>
      <c r="DHG54" s="384"/>
      <c r="DHH54" s="384"/>
      <c r="DHI54" s="384"/>
      <c r="DHJ54" s="384"/>
      <c r="DHK54" s="384"/>
      <c r="DHL54" s="384"/>
      <c r="DHM54" s="384"/>
      <c r="DHN54" s="384"/>
      <c r="DHO54" s="384"/>
      <c r="DHP54" s="384"/>
      <c r="DHQ54" s="384"/>
      <c r="DHR54" s="384"/>
      <c r="DHS54" s="384"/>
      <c r="DHT54" s="384"/>
      <c r="DHU54" s="384"/>
      <c r="DHV54" s="384"/>
      <c r="DHW54" s="384"/>
      <c r="DHX54" s="384"/>
      <c r="DHY54" s="384"/>
      <c r="DHZ54" s="384"/>
      <c r="DIA54" s="384"/>
      <c r="DIB54" s="384"/>
      <c r="DIC54" s="384"/>
      <c r="DID54" s="384"/>
      <c r="DIE54" s="384"/>
      <c r="DIF54" s="384"/>
      <c r="DIG54" s="384"/>
      <c r="DIH54" s="384"/>
      <c r="DII54" s="384"/>
      <c r="DIJ54" s="384"/>
      <c r="DIK54" s="384"/>
      <c r="DIL54" s="384"/>
      <c r="DIM54" s="384"/>
      <c r="DIN54" s="384"/>
      <c r="DIO54" s="384"/>
      <c r="DIP54" s="384"/>
      <c r="DIQ54" s="384"/>
      <c r="DIR54" s="384"/>
      <c r="DIS54" s="384"/>
      <c r="DIT54" s="384"/>
      <c r="DIU54" s="384"/>
      <c r="DIV54" s="384"/>
      <c r="DIW54" s="384"/>
      <c r="DIX54" s="384"/>
      <c r="DIY54" s="384"/>
      <c r="DIZ54" s="384"/>
      <c r="DJA54" s="384"/>
      <c r="DJB54" s="384"/>
      <c r="DJC54" s="384"/>
      <c r="DJD54" s="384"/>
      <c r="DJE54" s="384"/>
      <c r="DJF54" s="384"/>
      <c r="DJG54" s="384"/>
      <c r="DJH54" s="384"/>
      <c r="DJI54" s="384"/>
      <c r="DJJ54" s="384"/>
      <c r="DJK54" s="384"/>
      <c r="DJL54" s="384"/>
      <c r="DJM54" s="384"/>
      <c r="DJN54" s="384"/>
      <c r="DJO54" s="384"/>
      <c r="DJP54" s="384"/>
      <c r="DJQ54" s="384"/>
      <c r="DJR54" s="384"/>
      <c r="DJS54" s="384"/>
      <c r="DJT54" s="384"/>
      <c r="DJU54" s="384"/>
      <c r="DJV54" s="384"/>
      <c r="DJW54" s="384"/>
      <c r="DJX54" s="384"/>
      <c r="DJY54" s="384"/>
      <c r="DJZ54" s="384"/>
      <c r="DKA54" s="384"/>
      <c r="DKB54" s="384"/>
      <c r="DKC54" s="384"/>
      <c r="DKD54" s="384"/>
      <c r="DKE54" s="384"/>
      <c r="DKF54" s="384"/>
      <c r="DKG54" s="384"/>
      <c r="DKH54" s="384"/>
      <c r="DKI54" s="384"/>
      <c r="DKJ54" s="384"/>
      <c r="DKK54" s="384"/>
      <c r="DKL54" s="384"/>
      <c r="DKM54" s="384"/>
      <c r="DKN54" s="384"/>
      <c r="DKO54" s="384"/>
      <c r="DKP54" s="384"/>
      <c r="DKQ54" s="384"/>
      <c r="DKR54" s="384"/>
      <c r="DKS54" s="384"/>
      <c r="DKT54" s="384"/>
      <c r="DKU54" s="384"/>
      <c r="DKV54" s="384"/>
      <c r="DKW54" s="384"/>
      <c r="DKX54" s="384"/>
      <c r="DKY54" s="384"/>
      <c r="DKZ54" s="384"/>
      <c r="DLA54" s="384"/>
      <c r="DLB54" s="384"/>
      <c r="DLC54" s="384"/>
      <c r="DLD54" s="384"/>
      <c r="DLE54" s="384"/>
      <c r="DLF54" s="384"/>
      <c r="DLG54" s="384"/>
      <c r="DLH54" s="384"/>
      <c r="DLI54" s="384"/>
      <c r="DLJ54" s="384"/>
      <c r="DLK54" s="384"/>
      <c r="DLL54" s="384"/>
      <c r="DLM54" s="384"/>
      <c r="DLN54" s="384"/>
      <c r="DLO54" s="384"/>
      <c r="DLP54" s="384"/>
      <c r="DLQ54" s="384"/>
      <c r="DLR54" s="384"/>
      <c r="DLS54" s="384"/>
      <c r="DLT54" s="384"/>
      <c r="DLU54" s="384"/>
      <c r="DLV54" s="384"/>
      <c r="DLW54" s="384"/>
      <c r="DLX54" s="384"/>
      <c r="DLY54" s="384"/>
      <c r="DLZ54" s="384"/>
      <c r="DMA54" s="384"/>
      <c r="DMB54" s="384"/>
      <c r="DMC54" s="384"/>
      <c r="DMD54" s="384"/>
      <c r="DME54" s="384"/>
      <c r="DMF54" s="384"/>
      <c r="DMG54" s="384"/>
      <c r="DMH54" s="384"/>
      <c r="DMI54" s="384"/>
      <c r="DMJ54" s="384"/>
      <c r="DMK54" s="384"/>
      <c r="DML54" s="384"/>
      <c r="DMM54" s="384"/>
      <c r="DMN54" s="384"/>
      <c r="DMO54" s="384"/>
      <c r="DMP54" s="384"/>
      <c r="DMQ54" s="384"/>
      <c r="DMR54" s="384"/>
      <c r="DMS54" s="384"/>
      <c r="DMT54" s="384"/>
      <c r="DMU54" s="384"/>
      <c r="DMV54" s="384"/>
      <c r="DMW54" s="384"/>
      <c r="DMX54" s="384"/>
      <c r="DMY54" s="384"/>
      <c r="DMZ54" s="384"/>
      <c r="DNA54" s="384"/>
      <c r="DNB54" s="384"/>
      <c r="DNC54" s="384"/>
      <c r="DND54" s="384"/>
      <c r="DNE54" s="384"/>
      <c r="DNF54" s="384"/>
      <c r="DNG54" s="384"/>
      <c r="DNH54" s="384"/>
      <c r="DNI54" s="384"/>
      <c r="DNJ54" s="384"/>
      <c r="DNK54" s="384"/>
      <c r="DNL54" s="384"/>
      <c r="DNM54" s="384"/>
      <c r="DNN54" s="384"/>
      <c r="DNO54" s="384"/>
      <c r="DNP54" s="384"/>
      <c r="DNQ54" s="384"/>
      <c r="DNR54" s="384"/>
      <c r="DNS54" s="384"/>
      <c r="DNT54" s="384"/>
      <c r="DNU54" s="384"/>
      <c r="DNV54" s="384"/>
      <c r="DNW54" s="384"/>
      <c r="DNX54" s="384"/>
      <c r="DNY54" s="384"/>
      <c r="DNZ54" s="384"/>
      <c r="DOA54" s="384"/>
      <c r="DOB54" s="384"/>
      <c r="DOC54" s="384"/>
      <c r="DOD54" s="384"/>
      <c r="DOE54" s="384"/>
      <c r="DOF54" s="384"/>
      <c r="DOG54" s="384"/>
      <c r="DOH54" s="384"/>
      <c r="DOI54" s="384"/>
      <c r="DOJ54" s="384"/>
      <c r="DOK54" s="384"/>
      <c r="DOL54" s="384"/>
      <c r="DOM54" s="384"/>
      <c r="DON54" s="384"/>
      <c r="DOO54" s="384"/>
      <c r="DOP54" s="384"/>
      <c r="DOQ54" s="384"/>
      <c r="DOR54" s="384"/>
      <c r="DOS54" s="384"/>
      <c r="DOT54" s="384"/>
      <c r="DOU54" s="384"/>
      <c r="DOV54" s="384"/>
      <c r="DOW54" s="384"/>
      <c r="DOX54" s="384"/>
      <c r="DOY54" s="384"/>
      <c r="DOZ54" s="384"/>
      <c r="DPA54" s="384"/>
      <c r="DPB54" s="384"/>
      <c r="DPC54" s="384"/>
      <c r="DPD54" s="384"/>
      <c r="DPE54" s="384"/>
      <c r="DPF54" s="384"/>
      <c r="DPG54" s="384"/>
      <c r="DPH54" s="384"/>
      <c r="DPI54" s="384"/>
      <c r="DPJ54" s="384"/>
      <c r="DPK54" s="384"/>
      <c r="DPL54" s="384"/>
      <c r="DPM54" s="384"/>
      <c r="DPN54" s="384"/>
      <c r="DPO54" s="384"/>
      <c r="DPP54" s="384"/>
      <c r="DPQ54" s="384"/>
      <c r="DPR54" s="384"/>
      <c r="DPS54" s="384"/>
      <c r="DPT54" s="384"/>
      <c r="DPU54" s="384"/>
      <c r="DPV54" s="384"/>
      <c r="DPW54" s="384"/>
      <c r="DPX54" s="384"/>
      <c r="DPY54" s="384"/>
      <c r="DPZ54" s="384"/>
      <c r="DQA54" s="384"/>
      <c r="DQB54" s="384"/>
      <c r="DQC54" s="384"/>
      <c r="DQD54" s="384"/>
      <c r="DQE54" s="384"/>
      <c r="DQF54" s="384"/>
      <c r="DQG54" s="384"/>
      <c r="DQH54" s="384"/>
      <c r="DQI54" s="384"/>
      <c r="DQJ54" s="384"/>
      <c r="DQK54" s="384"/>
      <c r="DQL54" s="384"/>
      <c r="DQM54" s="384"/>
      <c r="DQN54" s="384"/>
      <c r="DQO54" s="384"/>
      <c r="DQP54" s="384"/>
      <c r="DQQ54" s="384"/>
      <c r="DQR54" s="384"/>
      <c r="DQS54" s="384"/>
      <c r="DQT54" s="384"/>
      <c r="DQU54" s="384"/>
      <c r="DQV54" s="384"/>
      <c r="DQW54" s="384"/>
      <c r="DQX54" s="384"/>
      <c r="DQY54" s="384"/>
      <c r="DQZ54" s="384"/>
      <c r="DRA54" s="384"/>
      <c r="DRB54" s="384"/>
      <c r="DRC54" s="384"/>
      <c r="DRD54" s="384"/>
      <c r="DRE54" s="384"/>
      <c r="DRF54" s="384"/>
      <c r="DRG54" s="384"/>
      <c r="DRH54" s="384"/>
      <c r="DRI54" s="384"/>
      <c r="DRJ54" s="384"/>
      <c r="DRK54" s="384"/>
      <c r="DRL54" s="384"/>
      <c r="DRM54" s="384"/>
      <c r="DRN54" s="384"/>
      <c r="DRO54" s="384"/>
      <c r="DRP54" s="384"/>
      <c r="DRQ54" s="384"/>
      <c r="DRR54" s="384"/>
      <c r="DRS54" s="384"/>
      <c r="DRT54" s="384"/>
      <c r="DRU54" s="384"/>
      <c r="DRV54" s="384"/>
      <c r="DRW54" s="384"/>
      <c r="DRX54" s="384"/>
      <c r="DRY54" s="384"/>
      <c r="DRZ54" s="384"/>
      <c r="DSA54" s="384"/>
      <c r="DSB54" s="384"/>
      <c r="DSC54" s="384"/>
      <c r="DSD54" s="384"/>
      <c r="DSE54" s="384"/>
      <c r="DSF54" s="384"/>
      <c r="DSG54" s="384"/>
      <c r="DSH54" s="384"/>
      <c r="DSI54" s="384"/>
      <c r="DSJ54" s="384"/>
      <c r="DSK54" s="384"/>
      <c r="DSL54" s="384"/>
      <c r="DSM54" s="384"/>
      <c r="DSN54" s="384"/>
      <c r="DSO54" s="384"/>
      <c r="DSP54" s="384"/>
      <c r="DSQ54" s="384"/>
      <c r="DSR54" s="384"/>
      <c r="DSS54" s="384"/>
      <c r="DST54" s="384"/>
      <c r="DSU54" s="384"/>
      <c r="DSV54" s="384"/>
      <c r="DSW54" s="384"/>
      <c r="DSX54" s="384"/>
      <c r="DSY54" s="384"/>
      <c r="DSZ54" s="384"/>
      <c r="DTA54" s="384"/>
      <c r="DTB54" s="384"/>
      <c r="DTC54" s="384"/>
      <c r="DTD54" s="384"/>
      <c r="DTE54" s="384"/>
      <c r="DTF54" s="384"/>
      <c r="DTG54" s="384"/>
      <c r="DTH54" s="384"/>
      <c r="DTI54" s="384"/>
      <c r="DTJ54" s="384"/>
      <c r="DTK54" s="384"/>
      <c r="DTL54" s="384"/>
      <c r="DTM54" s="384"/>
      <c r="DTN54" s="384"/>
      <c r="DTO54" s="384"/>
      <c r="DTP54" s="384"/>
      <c r="DTQ54" s="384"/>
      <c r="DTR54" s="384"/>
      <c r="DTS54" s="384"/>
      <c r="DTT54" s="384"/>
      <c r="DTU54" s="384"/>
      <c r="DTV54" s="384"/>
      <c r="DTW54" s="384"/>
      <c r="DTX54" s="384"/>
      <c r="DTY54" s="384"/>
      <c r="DTZ54" s="384"/>
      <c r="DUA54" s="384"/>
      <c r="DUB54" s="384"/>
      <c r="DUC54" s="384"/>
      <c r="DUD54" s="384"/>
      <c r="DUE54" s="384"/>
      <c r="DUF54" s="384"/>
      <c r="DUG54" s="384"/>
      <c r="DUH54" s="384"/>
      <c r="DUI54" s="384"/>
      <c r="DUJ54" s="384"/>
      <c r="DUK54" s="384"/>
      <c r="DUL54" s="384"/>
      <c r="DUM54" s="384"/>
      <c r="DUN54" s="384"/>
      <c r="DUO54" s="384"/>
      <c r="DUP54" s="384"/>
      <c r="DUQ54" s="384"/>
      <c r="DUR54" s="384"/>
      <c r="DUS54" s="384"/>
      <c r="DUT54" s="384"/>
      <c r="DUU54" s="384"/>
      <c r="DUV54" s="384"/>
      <c r="DUW54" s="384"/>
      <c r="DUX54" s="384"/>
      <c r="DUY54" s="384"/>
      <c r="DUZ54" s="384"/>
      <c r="DVA54" s="384"/>
      <c r="DVB54" s="384"/>
      <c r="DVC54" s="384"/>
      <c r="DVD54" s="384"/>
      <c r="DVE54" s="384"/>
      <c r="DVF54" s="384"/>
      <c r="DVG54" s="384"/>
      <c r="DVH54" s="384"/>
      <c r="DVI54" s="384"/>
      <c r="DVJ54" s="384"/>
      <c r="DVK54" s="384"/>
      <c r="DVL54" s="384"/>
      <c r="DVM54" s="384"/>
      <c r="DVN54" s="384"/>
      <c r="DVO54" s="384"/>
      <c r="DVP54" s="384"/>
      <c r="DVQ54" s="384"/>
      <c r="DVR54" s="384"/>
      <c r="DVS54" s="384"/>
      <c r="DVT54" s="384"/>
      <c r="DVU54" s="384"/>
      <c r="DVV54" s="384"/>
      <c r="DVW54" s="384"/>
      <c r="DVX54" s="384"/>
      <c r="DVY54" s="384"/>
      <c r="DVZ54" s="384"/>
      <c r="DWA54" s="384"/>
      <c r="DWB54" s="384"/>
      <c r="DWC54" s="384"/>
      <c r="DWD54" s="384"/>
      <c r="DWE54" s="384"/>
      <c r="DWF54" s="384"/>
      <c r="DWG54" s="384"/>
      <c r="DWH54" s="384"/>
      <c r="DWI54" s="384"/>
      <c r="DWJ54" s="384"/>
      <c r="DWK54" s="384"/>
      <c r="DWL54" s="384"/>
      <c r="DWM54" s="384"/>
      <c r="DWN54" s="384"/>
      <c r="DWO54" s="384"/>
      <c r="DWP54" s="384"/>
      <c r="DWQ54" s="384"/>
      <c r="DWR54" s="384"/>
      <c r="DWS54" s="384"/>
      <c r="DWT54" s="384"/>
      <c r="DWU54" s="384"/>
      <c r="DWV54" s="384"/>
      <c r="DWW54" s="384"/>
      <c r="DWX54" s="384"/>
      <c r="DWY54" s="384"/>
      <c r="DWZ54" s="384"/>
      <c r="DXA54" s="384"/>
      <c r="DXB54" s="384"/>
      <c r="DXC54" s="384"/>
      <c r="DXD54" s="384"/>
      <c r="DXE54" s="384"/>
      <c r="DXF54" s="384"/>
      <c r="DXG54" s="384"/>
      <c r="DXH54" s="384"/>
      <c r="DXI54" s="384"/>
      <c r="DXJ54" s="384"/>
      <c r="DXK54" s="384"/>
      <c r="DXL54" s="384"/>
      <c r="DXM54" s="384"/>
      <c r="DXN54" s="384"/>
      <c r="DXO54" s="384"/>
      <c r="DXP54" s="384"/>
      <c r="DXQ54" s="384"/>
      <c r="DXR54" s="384"/>
      <c r="DXS54" s="384"/>
      <c r="DXT54" s="384"/>
      <c r="DXU54" s="384"/>
      <c r="DXV54" s="384"/>
      <c r="DXW54" s="384"/>
      <c r="DXX54" s="384"/>
      <c r="DXY54" s="384"/>
      <c r="DXZ54" s="384"/>
      <c r="DYA54" s="384"/>
      <c r="DYB54" s="384"/>
      <c r="DYC54" s="384"/>
      <c r="DYD54" s="384"/>
      <c r="DYE54" s="384"/>
      <c r="DYF54" s="384"/>
      <c r="DYG54" s="384"/>
      <c r="DYH54" s="384"/>
      <c r="DYI54" s="384"/>
      <c r="DYJ54" s="384"/>
      <c r="DYK54" s="384"/>
      <c r="DYL54" s="384"/>
      <c r="DYM54" s="384"/>
      <c r="DYN54" s="384"/>
      <c r="DYO54" s="384"/>
      <c r="DYP54" s="384"/>
      <c r="DYQ54" s="384"/>
      <c r="DYR54" s="384"/>
      <c r="DYS54" s="384"/>
      <c r="DYT54" s="384"/>
      <c r="DYU54" s="384"/>
      <c r="DYV54" s="384"/>
      <c r="DYW54" s="384"/>
      <c r="DYX54" s="384"/>
      <c r="DYY54" s="384"/>
      <c r="DYZ54" s="384"/>
      <c r="DZA54" s="384"/>
      <c r="DZB54" s="384"/>
      <c r="DZC54" s="384"/>
      <c r="DZD54" s="384"/>
      <c r="DZE54" s="384"/>
      <c r="DZF54" s="384"/>
      <c r="DZG54" s="384"/>
      <c r="DZH54" s="384"/>
      <c r="DZI54" s="384"/>
      <c r="DZJ54" s="384"/>
      <c r="DZK54" s="384"/>
      <c r="DZL54" s="384"/>
      <c r="DZM54" s="384"/>
      <c r="DZN54" s="384"/>
      <c r="DZO54" s="384"/>
      <c r="DZP54" s="384"/>
      <c r="DZQ54" s="384"/>
      <c r="DZR54" s="384"/>
      <c r="DZS54" s="384"/>
      <c r="DZT54" s="384"/>
      <c r="DZU54" s="384"/>
      <c r="DZV54" s="384"/>
      <c r="DZW54" s="384"/>
      <c r="DZX54" s="384"/>
      <c r="DZY54" s="384"/>
      <c r="DZZ54" s="384"/>
      <c r="EAA54" s="384"/>
      <c r="EAB54" s="384"/>
      <c r="EAC54" s="384"/>
      <c r="EAD54" s="384"/>
      <c r="EAE54" s="384"/>
      <c r="EAF54" s="384"/>
      <c r="EAG54" s="384"/>
      <c r="EAH54" s="384"/>
      <c r="EAI54" s="384"/>
      <c r="EAJ54" s="384"/>
      <c r="EAK54" s="384"/>
      <c r="EAL54" s="384"/>
      <c r="EAM54" s="384"/>
      <c r="EAN54" s="384"/>
      <c r="EAO54" s="384"/>
      <c r="EAP54" s="384"/>
      <c r="EAQ54" s="384"/>
      <c r="EAR54" s="384"/>
      <c r="EAS54" s="384"/>
      <c r="EAT54" s="384"/>
      <c r="EAU54" s="384"/>
      <c r="EAV54" s="384"/>
      <c r="EAW54" s="384"/>
      <c r="EAX54" s="384"/>
      <c r="EAY54" s="384"/>
      <c r="EAZ54" s="384"/>
      <c r="EBA54" s="384"/>
      <c r="EBB54" s="384"/>
      <c r="EBC54" s="384"/>
      <c r="EBD54" s="384"/>
      <c r="EBE54" s="384"/>
      <c r="EBF54" s="384"/>
      <c r="EBG54" s="384"/>
      <c r="EBH54" s="384"/>
      <c r="EBI54" s="384"/>
      <c r="EBJ54" s="384"/>
      <c r="EBK54" s="384"/>
      <c r="EBL54" s="384"/>
      <c r="EBM54" s="384"/>
      <c r="EBN54" s="384"/>
      <c r="EBO54" s="384"/>
      <c r="EBP54" s="384"/>
      <c r="EBQ54" s="384"/>
      <c r="EBR54" s="384"/>
      <c r="EBS54" s="384"/>
      <c r="EBT54" s="384"/>
      <c r="EBU54" s="384"/>
      <c r="EBV54" s="384"/>
      <c r="EBW54" s="384"/>
      <c r="EBX54" s="384"/>
      <c r="EBY54" s="384"/>
      <c r="EBZ54" s="384"/>
      <c r="ECA54" s="384"/>
      <c r="ECB54" s="384"/>
      <c r="ECC54" s="384"/>
      <c r="ECD54" s="384"/>
      <c r="ECE54" s="384"/>
      <c r="ECF54" s="384"/>
      <c r="ECG54" s="384"/>
      <c r="ECH54" s="384"/>
      <c r="ECI54" s="384"/>
      <c r="ECJ54" s="384"/>
      <c r="ECK54" s="384"/>
      <c r="ECL54" s="384"/>
      <c r="ECM54" s="384"/>
      <c r="ECN54" s="384"/>
      <c r="ECO54" s="384"/>
      <c r="ECP54" s="384"/>
      <c r="ECQ54" s="384"/>
      <c r="ECR54" s="384"/>
      <c r="ECS54" s="384"/>
      <c r="ECT54" s="384"/>
      <c r="ECU54" s="384"/>
      <c r="ECV54" s="384"/>
      <c r="ECW54" s="384"/>
      <c r="ECX54" s="384"/>
      <c r="ECY54" s="384"/>
      <c r="ECZ54" s="384"/>
      <c r="EDA54" s="384"/>
      <c r="EDB54" s="384"/>
      <c r="EDC54" s="384"/>
      <c r="EDD54" s="384"/>
      <c r="EDE54" s="384"/>
      <c r="EDF54" s="384"/>
      <c r="EDG54" s="384"/>
      <c r="EDH54" s="384"/>
      <c r="EDI54" s="384"/>
      <c r="EDJ54" s="384"/>
      <c r="EDK54" s="384"/>
      <c r="EDL54" s="384"/>
      <c r="EDM54" s="384"/>
      <c r="EDN54" s="384"/>
      <c r="EDO54" s="384"/>
      <c r="EDP54" s="384"/>
      <c r="EDQ54" s="384"/>
      <c r="EDR54" s="384"/>
      <c r="EDS54" s="384"/>
      <c r="EDT54" s="384"/>
      <c r="EDU54" s="384"/>
      <c r="EDV54" s="384"/>
      <c r="EDW54" s="384"/>
      <c r="EDX54" s="384"/>
      <c r="EDY54" s="384"/>
      <c r="EDZ54" s="384"/>
      <c r="EEA54" s="384"/>
      <c r="EEB54" s="384"/>
      <c r="EEC54" s="384"/>
      <c r="EED54" s="384"/>
      <c r="EEE54" s="384"/>
      <c r="EEF54" s="384"/>
      <c r="EEG54" s="384"/>
      <c r="EEH54" s="384"/>
      <c r="EEI54" s="384"/>
      <c r="EEJ54" s="384"/>
      <c r="EEK54" s="384"/>
      <c r="EEL54" s="384"/>
      <c r="EEM54" s="384"/>
      <c r="EEN54" s="384"/>
      <c r="EEO54" s="384"/>
      <c r="EEP54" s="384"/>
      <c r="EEQ54" s="384"/>
      <c r="EER54" s="384"/>
      <c r="EES54" s="384"/>
      <c r="EET54" s="384"/>
      <c r="EEU54" s="384"/>
      <c r="EEV54" s="384"/>
      <c r="EEW54" s="384"/>
      <c r="EEX54" s="384"/>
      <c r="EEY54" s="384"/>
      <c r="EEZ54" s="384"/>
      <c r="EFA54" s="384"/>
      <c r="EFB54" s="384"/>
      <c r="EFC54" s="384"/>
      <c r="EFD54" s="384"/>
      <c r="EFE54" s="384"/>
      <c r="EFF54" s="384"/>
      <c r="EFG54" s="384"/>
      <c r="EFH54" s="384"/>
      <c r="EFI54" s="384"/>
      <c r="EFJ54" s="384"/>
      <c r="EFK54" s="384"/>
      <c r="EFL54" s="384"/>
      <c r="EFM54" s="384"/>
      <c r="EFN54" s="384"/>
      <c r="EFO54" s="384"/>
      <c r="EFP54" s="384"/>
      <c r="EFQ54" s="384"/>
      <c r="EFR54" s="384"/>
      <c r="EFS54" s="384"/>
      <c r="EFT54" s="384"/>
      <c r="EFU54" s="384"/>
      <c r="EFV54" s="384"/>
      <c r="EFW54" s="384"/>
      <c r="EFX54" s="384"/>
      <c r="EFY54" s="384"/>
      <c r="EFZ54" s="384"/>
      <c r="EGA54" s="384"/>
      <c r="EGB54" s="384"/>
      <c r="EGC54" s="384"/>
      <c r="EGD54" s="384"/>
      <c r="EGE54" s="384"/>
      <c r="EGF54" s="384"/>
      <c r="EGG54" s="384"/>
      <c r="EGH54" s="384"/>
      <c r="EGI54" s="384"/>
      <c r="EGJ54" s="384"/>
      <c r="EGK54" s="384"/>
      <c r="EGL54" s="384"/>
      <c r="EGM54" s="384"/>
      <c r="EGN54" s="384"/>
      <c r="EGO54" s="384"/>
      <c r="EGP54" s="384"/>
      <c r="EGQ54" s="384"/>
      <c r="EGR54" s="384"/>
      <c r="EGS54" s="384"/>
      <c r="EGT54" s="384"/>
      <c r="EGU54" s="384"/>
      <c r="EGV54" s="384"/>
      <c r="EGW54" s="384"/>
      <c r="EGX54" s="384"/>
      <c r="EGY54" s="384"/>
      <c r="EGZ54" s="384"/>
      <c r="EHA54" s="384"/>
      <c r="EHB54" s="384"/>
      <c r="EHC54" s="384"/>
      <c r="EHD54" s="384"/>
      <c r="EHE54" s="384"/>
      <c r="EHF54" s="384"/>
      <c r="EHG54" s="384"/>
      <c r="EHH54" s="384"/>
      <c r="EHI54" s="384"/>
      <c r="EHJ54" s="384"/>
      <c r="EHK54" s="384"/>
      <c r="EHL54" s="384"/>
      <c r="EHM54" s="384"/>
      <c r="EHN54" s="384"/>
      <c r="EHO54" s="384"/>
      <c r="EHP54" s="384"/>
      <c r="EHQ54" s="384"/>
      <c r="EHR54" s="384"/>
      <c r="EHS54" s="384"/>
      <c r="EHT54" s="384"/>
      <c r="EHU54" s="384"/>
      <c r="EHV54" s="384"/>
      <c r="EHW54" s="384"/>
      <c r="EHX54" s="384"/>
      <c r="EHY54" s="384"/>
      <c r="EHZ54" s="384"/>
      <c r="EIA54" s="384"/>
      <c r="EIB54" s="384"/>
      <c r="EIC54" s="384"/>
      <c r="EID54" s="384"/>
      <c r="EIE54" s="384"/>
      <c r="EIF54" s="384"/>
      <c r="EIG54" s="384"/>
      <c r="EIH54" s="384"/>
      <c r="EII54" s="384"/>
      <c r="EIJ54" s="384"/>
      <c r="EIK54" s="384"/>
      <c r="EIL54" s="384"/>
      <c r="EIM54" s="384"/>
      <c r="EIN54" s="384"/>
      <c r="EIO54" s="384"/>
      <c r="EIP54" s="384"/>
      <c r="EIQ54" s="384"/>
      <c r="EIR54" s="384"/>
      <c r="EIS54" s="384"/>
      <c r="EIT54" s="384"/>
      <c r="EIU54" s="384"/>
      <c r="EIV54" s="384"/>
      <c r="EIW54" s="384"/>
      <c r="EIX54" s="384"/>
      <c r="EIY54" s="384"/>
      <c r="EIZ54" s="384"/>
      <c r="EJA54" s="384"/>
      <c r="EJB54" s="384"/>
      <c r="EJC54" s="384"/>
      <c r="EJD54" s="384"/>
      <c r="EJE54" s="384"/>
      <c r="EJF54" s="384"/>
      <c r="EJG54" s="384"/>
      <c r="EJH54" s="384"/>
      <c r="EJI54" s="384"/>
      <c r="EJJ54" s="384"/>
      <c r="EJK54" s="384"/>
      <c r="EJL54" s="384"/>
      <c r="EJM54" s="384"/>
      <c r="EJN54" s="384"/>
      <c r="EJO54" s="384"/>
      <c r="EJP54" s="384"/>
      <c r="EJQ54" s="384"/>
      <c r="EJR54" s="384"/>
      <c r="EJS54" s="384"/>
      <c r="EJT54" s="384"/>
      <c r="EJU54" s="384"/>
      <c r="EJV54" s="384"/>
      <c r="EJW54" s="384"/>
      <c r="EJX54" s="384"/>
      <c r="EJY54" s="384"/>
      <c r="EJZ54" s="384"/>
      <c r="EKA54" s="384"/>
      <c r="EKB54" s="384"/>
      <c r="EKC54" s="384"/>
      <c r="EKD54" s="384"/>
      <c r="EKE54" s="384"/>
      <c r="EKF54" s="384"/>
      <c r="EKG54" s="384"/>
      <c r="EKH54" s="384"/>
      <c r="EKI54" s="384"/>
      <c r="EKJ54" s="384"/>
      <c r="EKK54" s="384"/>
      <c r="EKL54" s="384"/>
      <c r="EKM54" s="384"/>
      <c r="EKN54" s="384"/>
      <c r="EKO54" s="384"/>
      <c r="EKP54" s="384"/>
      <c r="EKQ54" s="384"/>
      <c r="EKR54" s="384"/>
      <c r="EKS54" s="384"/>
      <c r="EKT54" s="384"/>
      <c r="EKU54" s="384"/>
      <c r="EKV54" s="384"/>
      <c r="EKW54" s="384"/>
      <c r="EKX54" s="384"/>
      <c r="EKY54" s="384"/>
      <c r="EKZ54" s="384"/>
      <c r="ELA54" s="384"/>
      <c r="ELB54" s="384"/>
      <c r="ELC54" s="384"/>
      <c r="ELD54" s="384"/>
      <c r="ELE54" s="384"/>
      <c r="ELF54" s="384"/>
      <c r="ELG54" s="384"/>
      <c r="ELH54" s="384"/>
      <c r="ELI54" s="384"/>
      <c r="ELJ54" s="384"/>
      <c r="ELK54" s="384"/>
      <c r="ELL54" s="384"/>
      <c r="ELM54" s="384"/>
      <c r="ELN54" s="384"/>
      <c r="ELO54" s="384"/>
      <c r="ELP54" s="384"/>
      <c r="ELQ54" s="384"/>
      <c r="ELR54" s="384"/>
      <c r="ELS54" s="384"/>
      <c r="ELT54" s="384"/>
      <c r="ELU54" s="384"/>
      <c r="ELV54" s="384"/>
      <c r="ELW54" s="384"/>
      <c r="ELX54" s="384"/>
      <c r="ELY54" s="384"/>
      <c r="ELZ54" s="384"/>
      <c r="EMA54" s="384"/>
      <c r="EMB54" s="384"/>
      <c r="EMC54" s="384"/>
      <c r="EMD54" s="384"/>
      <c r="EME54" s="384"/>
      <c r="EMF54" s="384"/>
      <c r="EMG54" s="384"/>
      <c r="EMH54" s="384"/>
      <c r="EMI54" s="384"/>
      <c r="EMJ54" s="384"/>
      <c r="EMK54" s="384"/>
      <c r="EML54" s="384"/>
      <c r="EMM54" s="384"/>
      <c r="EMN54" s="384"/>
      <c r="EMO54" s="384"/>
      <c r="EMP54" s="384"/>
      <c r="EMQ54" s="384"/>
      <c r="EMR54" s="384"/>
      <c r="EMS54" s="384"/>
      <c r="EMT54" s="384"/>
      <c r="EMU54" s="384"/>
      <c r="EMV54" s="384"/>
      <c r="EMW54" s="384"/>
      <c r="EMX54" s="384"/>
      <c r="EMY54" s="384"/>
      <c r="EMZ54" s="384"/>
      <c r="ENA54" s="384"/>
      <c r="ENB54" s="384"/>
      <c r="ENC54" s="384"/>
      <c r="END54" s="384"/>
      <c r="ENE54" s="384"/>
      <c r="ENF54" s="384"/>
      <c r="ENG54" s="384"/>
      <c r="ENH54" s="384"/>
      <c r="ENI54" s="384"/>
      <c r="ENJ54" s="384"/>
      <c r="ENK54" s="384"/>
      <c r="ENL54" s="384"/>
      <c r="ENM54" s="384"/>
      <c r="ENN54" s="384"/>
      <c r="ENO54" s="384"/>
      <c r="ENP54" s="384"/>
      <c r="ENQ54" s="384"/>
      <c r="ENR54" s="384"/>
      <c r="ENS54" s="384"/>
      <c r="ENT54" s="384"/>
      <c r="ENU54" s="384"/>
      <c r="ENV54" s="384"/>
      <c r="ENW54" s="384"/>
      <c r="ENX54" s="384"/>
      <c r="ENY54" s="384"/>
      <c r="ENZ54" s="384"/>
      <c r="EOA54" s="384"/>
      <c r="EOB54" s="384"/>
      <c r="EOC54" s="384"/>
      <c r="EOD54" s="384"/>
      <c r="EOE54" s="384"/>
      <c r="EOF54" s="384"/>
      <c r="EOG54" s="384"/>
      <c r="EOH54" s="384"/>
      <c r="EOI54" s="384"/>
      <c r="EOJ54" s="384"/>
      <c r="EOK54" s="384"/>
      <c r="EOL54" s="384"/>
      <c r="EOM54" s="384"/>
      <c r="EON54" s="384"/>
      <c r="EOO54" s="384"/>
      <c r="EOP54" s="384"/>
      <c r="EOQ54" s="384"/>
      <c r="EOR54" s="384"/>
      <c r="EOS54" s="384"/>
      <c r="EOT54" s="384"/>
      <c r="EOU54" s="384"/>
      <c r="EOV54" s="384"/>
      <c r="EOW54" s="384"/>
      <c r="EOX54" s="384"/>
      <c r="EOY54" s="384"/>
      <c r="EOZ54" s="384"/>
      <c r="EPA54" s="384"/>
      <c r="EPB54" s="384"/>
      <c r="EPC54" s="384"/>
      <c r="EPD54" s="384"/>
      <c r="EPE54" s="384"/>
      <c r="EPF54" s="384"/>
      <c r="EPG54" s="384"/>
      <c r="EPH54" s="384"/>
      <c r="EPI54" s="384"/>
      <c r="EPJ54" s="384"/>
      <c r="EPK54" s="384"/>
      <c r="EPL54" s="384"/>
      <c r="EPM54" s="384"/>
      <c r="EPN54" s="384"/>
      <c r="EPO54" s="384"/>
      <c r="EPP54" s="384"/>
      <c r="EPQ54" s="384"/>
      <c r="EPR54" s="384"/>
      <c r="EPS54" s="384"/>
      <c r="EPT54" s="384"/>
      <c r="EPU54" s="384"/>
      <c r="EPV54" s="384"/>
      <c r="EPW54" s="384"/>
      <c r="EPX54" s="384"/>
      <c r="EPY54" s="384"/>
      <c r="EPZ54" s="384"/>
      <c r="EQA54" s="384"/>
      <c r="EQB54" s="384"/>
      <c r="EQC54" s="384"/>
      <c r="EQD54" s="384"/>
      <c r="EQE54" s="384"/>
      <c r="EQF54" s="384"/>
      <c r="EQG54" s="384"/>
      <c r="EQH54" s="384"/>
      <c r="EQI54" s="384"/>
      <c r="EQJ54" s="384"/>
      <c r="EQK54" s="384"/>
      <c r="EQL54" s="384"/>
      <c r="EQM54" s="384"/>
      <c r="EQN54" s="384"/>
      <c r="EQO54" s="384"/>
      <c r="EQP54" s="384"/>
      <c r="EQQ54" s="384"/>
      <c r="EQR54" s="384"/>
      <c r="EQS54" s="384"/>
      <c r="EQT54" s="384"/>
      <c r="EQU54" s="384"/>
      <c r="EQV54" s="384"/>
      <c r="EQW54" s="384"/>
      <c r="EQX54" s="384"/>
      <c r="EQY54" s="384"/>
      <c r="EQZ54" s="384"/>
      <c r="ERA54" s="384"/>
      <c r="ERB54" s="384"/>
      <c r="ERC54" s="384"/>
      <c r="ERD54" s="384"/>
      <c r="ERE54" s="384"/>
      <c r="ERF54" s="384"/>
      <c r="ERG54" s="384"/>
      <c r="ERH54" s="384"/>
      <c r="ERI54" s="384"/>
      <c r="ERJ54" s="384"/>
      <c r="ERK54" s="384"/>
      <c r="ERL54" s="384"/>
      <c r="ERM54" s="384"/>
      <c r="ERN54" s="384"/>
      <c r="ERO54" s="384"/>
      <c r="ERP54" s="384"/>
      <c r="ERQ54" s="384"/>
      <c r="ERR54" s="384"/>
      <c r="ERS54" s="384"/>
      <c r="ERT54" s="384"/>
      <c r="ERU54" s="384"/>
      <c r="ERV54" s="384"/>
      <c r="ERW54" s="384"/>
      <c r="ERX54" s="384"/>
      <c r="ERY54" s="384"/>
      <c r="ERZ54" s="384"/>
      <c r="ESA54" s="384"/>
      <c r="ESB54" s="384"/>
      <c r="ESC54" s="384"/>
      <c r="ESD54" s="384"/>
      <c r="ESE54" s="384"/>
      <c r="ESF54" s="384"/>
      <c r="ESG54" s="384"/>
      <c r="ESH54" s="384"/>
      <c r="ESI54" s="384"/>
      <c r="ESJ54" s="384"/>
      <c r="ESK54" s="384"/>
      <c r="ESL54" s="384"/>
      <c r="ESM54" s="384"/>
      <c r="ESN54" s="384"/>
      <c r="ESO54" s="384"/>
      <c r="ESP54" s="384"/>
      <c r="ESQ54" s="384"/>
      <c r="ESR54" s="384"/>
      <c r="ESS54" s="384"/>
      <c r="EST54" s="384"/>
      <c r="ESU54" s="384"/>
      <c r="ESV54" s="384"/>
      <c r="ESW54" s="384"/>
      <c r="ESX54" s="384"/>
      <c r="ESY54" s="384"/>
      <c r="ESZ54" s="384"/>
      <c r="ETA54" s="384"/>
      <c r="ETB54" s="384"/>
      <c r="ETC54" s="384"/>
      <c r="ETD54" s="384"/>
      <c r="ETE54" s="384"/>
      <c r="ETF54" s="384"/>
      <c r="ETG54" s="384"/>
      <c r="ETH54" s="384"/>
      <c r="ETI54" s="384"/>
      <c r="ETJ54" s="384"/>
      <c r="ETK54" s="384"/>
      <c r="ETL54" s="384"/>
      <c r="ETM54" s="384"/>
      <c r="ETN54" s="384"/>
      <c r="ETO54" s="384"/>
      <c r="ETP54" s="384"/>
      <c r="ETQ54" s="384"/>
      <c r="ETR54" s="384"/>
      <c r="ETS54" s="384"/>
      <c r="ETT54" s="384"/>
      <c r="ETU54" s="384"/>
      <c r="ETV54" s="384"/>
      <c r="ETW54" s="384"/>
      <c r="ETX54" s="384"/>
      <c r="ETY54" s="384"/>
      <c r="ETZ54" s="384"/>
      <c r="EUA54" s="384"/>
      <c r="EUB54" s="384"/>
      <c r="EUC54" s="384"/>
      <c r="EUD54" s="384"/>
      <c r="EUE54" s="384"/>
      <c r="EUF54" s="384"/>
      <c r="EUG54" s="384"/>
      <c r="EUH54" s="384"/>
      <c r="EUI54" s="384"/>
      <c r="EUJ54" s="384"/>
      <c r="EUK54" s="384"/>
      <c r="EUL54" s="384"/>
      <c r="EUM54" s="384"/>
      <c r="EUN54" s="384"/>
      <c r="EUO54" s="384"/>
      <c r="EUP54" s="384"/>
      <c r="EUQ54" s="384"/>
      <c r="EUR54" s="384"/>
      <c r="EUS54" s="384"/>
      <c r="EUT54" s="384"/>
      <c r="EUU54" s="384"/>
      <c r="EUV54" s="384"/>
      <c r="EUW54" s="384"/>
      <c r="EUX54" s="384"/>
      <c r="EUY54" s="384"/>
      <c r="EUZ54" s="384"/>
      <c r="EVA54" s="384"/>
      <c r="EVB54" s="384"/>
      <c r="EVC54" s="384"/>
      <c r="EVD54" s="384"/>
      <c r="EVE54" s="384"/>
      <c r="EVF54" s="384"/>
      <c r="EVG54" s="384"/>
      <c r="EVH54" s="384"/>
      <c r="EVI54" s="384"/>
      <c r="EVJ54" s="384"/>
      <c r="EVK54" s="384"/>
      <c r="EVL54" s="384"/>
      <c r="EVM54" s="384"/>
      <c r="EVN54" s="384"/>
      <c r="EVO54" s="384"/>
      <c r="EVP54" s="384"/>
      <c r="EVQ54" s="384"/>
      <c r="EVR54" s="384"/>
      <c r="EVS54" s="384"/>
      <c r="EVT54" s="384"/>
      <c r="EVU54" s="384"/>
      <c r="EVV54" s="384"/>
      <c r="EVW54" s="384"/>
      <c r="EVX54" s="384"/>
      <c r="EVY54" s="384"/>
      <c r="EVZ54" s="384"/>
      <c r="EWA54" s="384"/>
      <c r="EWB54" s="384"/>
      <c r="EWC54" s="384"/>
      <c r="EWD54" s="384"/>
      <c r="EWE54" s="384"/>
      <c r="EWF54" s="384"/>
      <c r="EWG54" s="384"/>
      <c r="EWH54" s="384"/>
      <c r="EWI54" s="384"/>
      <c r="EWJ54" s="384"/>
      <c r="EWK54" s="384"/>
      <c r="EWL54" s="384"/>
      <c r="EWM54" s="384"/>
      <c r="EWN54" s="384"/>
      <c r="EWO54" s="384"/>
      <c r="EWP54" s="384"/>
      <c r="EWQ54" s="384"/>
      <c r="EWR54" s="384"/>
      <c r="EWS54" s="384"/>
      <c r="EWT54" s="384"/>
      <c r="EWU54" s="384"/>
      <c r="EWV54" s="384"/>
      <c r="EWW54" s="384"/>
      <c r="EWX54" s="384"/>
      <c r="EWY54" s="384"/>
      <c r="EWZ54" s="384"/>
      <c r="EXA54" s="384"/>
      <c r="EXB54" s="384"/>
      <c r="EXC54" s="384"/>
      <c r="EXD54" s="384"/>
      <c r="EXE54" s="384"/>
      <c r="EXF54" s="384"/>
      <c r="EXG54" s="384"/>
      <c r="EXH54" s="384"/>
      <c r="EXI54" s="384"/>
      <c r="EXJ54" s="384"/>
      <c r="EXK54" s="384"/>
      <c r="EXL54" s="384"/>
      <c r="EXM54" s="384"/>
      <c r="EXN54" s="384"/>
      <c r="EXO54" s="384"/>
      <c r="EXP54" s="384"/>
      <c r="EXQ54" s="384"/>
      <c r="EXR54" s="384"/>
      <c r="EXS54" s="384"/>
      <c r="EXT54" s="384"/>
      <c r="EXU54" s="384"/>
      <c r="EXV54" s="384"/>
      <c r="EXW54" s="384"/>
      <c r="EXX54" s="384"/>
      <c r="EXY54" s="384"/>
      <c r="EXZ54" s="384"/>
      <c r="EYA54" s="384"/>
      <c r="EYB54" s="384"/>
      <c r="EYC54" s="384"/>
      <c r="EYD54" s="384"/>
      <c r="EYE54" s="384"/>
      <c r="EYF54" s="384"/>
      <c r="EYG54" s="384"/>
      <c r="EYH54" s="384"/>
      <c r="EYI54" s="384"/>
      <c r="EYJ54" s="384"/>
      <c r="EYK54" s="384"/>
      <c r="EYL54" s="384"/>
      <c r="EYM54" s="384"/>
      <c r="EYN54" s="384"/>
      <c r="EYO54" s="384"/>
      <c r="EYP54" s="384"/>
      <c r="EYQ54" s="384"/>
      <c r="EYR54" s="384"/>
      <c r="EYS54" s="384"/>
      <c r="EYT54" s="384"/>
      <c r="EYU54" s="384"/>
      <c r="EYV54" s="384"/>
      <c r="EYW54" s="384"/>
      <c r="EYX54" s="384"/>
      <c r="EYY54" s="384"/>
      <c r="EYZ54" s="384"/>
      <c r="EZA54" s="384"/>
      <c r="EZB54" s="384"/>
      <c r="EZC54" s="384"/>
      <c r="EZD54" s="384"/>
      <c r="EZE54" s="384"/>
      <c r="EZF54" s="384"/>
      <c r="EZG54" s="384"/>
      <c r="EZH54" s="384"/>
      <c r="EZI54" s="384"/>
      <c r="EZJ54" s="384"/>
      <c r="EZK54" s="384"/>
      <c r="EZL54" s="384"/>
      <c r="EZM54" s="384"/>
      <c r="EZN54" s="384"/>
      <c r="EZO54" s="384"/>
      <c r="EZP54" s="384"/>
      <c r="EZQ54" s="384"/>
      <c r="EZR54" s="384"/>
      <c r="EZS54" s="384"/>
      <c r="EZT54" s="384"/>
      <c r="EZU54" s="384"/>
      <c r="EZV54" s="384"/>
      <c r="EZW54" s="384"/>
      <c r="EZX54" s="384"/>
      <c r="EZY54" s="384"/>
      <c r="EZZ54" s="384"/>
      <c r="FAA54" s="384"/>
      <c r="FAB54" s="384"/>
      <c r="FAC54" s="384"/>
      <c r="FAD54" s="384"/>
      <c r="FAE54" s="384"/>
      <c r="FAF54" s="384"/>
      <c r="FAG54" s="384"/>
      <c r="FAH54" s="384"/>
      <c r="FAI54" s="384"/>
      <c r="FAJ54" s="384"/>
      <c r="FAK54" s="384"/>
      <c r="FAL54" s="384"/>
      <c r="FAM54" s="384"/>
      <c r="FAN54" s="384"/>
      <c r="FAO54" s="384"/>
      <c r="FAP54" s="384"/>
      <c r="FAQ54" s="384"/>
      <c r="FAR54" s="384"/>
      <c r="FAS54" s="384"/>
      <c r="FAT54" s="384"/>
      <c r="FAU54" s="384"/>
      <c r="FAV54" s="384"/>
      <c r="FAW54" s="384"/>
      <c r="FAX54" s="384"/>
      <c r="FAY54" s="384"/>
      <c r="FAZ54" s="384"/>
      <c r="FBA54" s="384"/>
      <c r="FBB54" s="384"/>
      <c r="FBC54" s="384"/>
      <c r="FBD54" s="384"/>
      <c r="FBE54" s="384"/>
      <c r="FBF54" s="384"/>
      <c r="FBG54" s="384"/>
      <c r="FBH54" s="384"/>
      <c r="FBI54" s="384"/>
      <c r="FBJ54" s="384"/>
      <c r="FBK54" s="384"/>
      <c r="FBL54" s="384"/>
      <c r="FBM54" s="384"/>
      <c r="FBN54" s="384"/>
      <c r="FBO54" s="384"/>
      <c r="FBP54" s="384"/>
      <c r="FBQ54" s="384"/>
      <c r="FBR54" s="384"/>
      <c r="FBS54" s="384"/>
      <c r="FBT54" s="384"/>
      <c r="FBU54" s="384"/>
      <c r="FBV54" s="384"/>
      <c r="FBW54" s="384"/>
      <c r="FBX54" s="384"/>
      <c r="FBY54" s="384"/>
      <c r="FBZ54" s="384"/>
      <c r="FCA54" s="384"/>
      <c r="FCB54" s="384"/>
      <c r="FCC54" s="384"/>
      <c r="FCD54" s="384"/>
      <c r="FCE54" s="384"/>
      <c r="FCF54" s="384"/>
      <c r="FCG54" s="384"/>
      <c r="FCH54" s="384"/>
      <c r="FCI54" s="384"/>
      <c r="FCJ54" s="384"/>
      <c r="FCK54" s="384"/>
      <c r="FCL54" s="384"/>
      <c r="FCM54" s="384"/>
      <c r="FCN54" s="384"/>
      <c r="FCO54" s="384"/>
      <c r="FCP54" s="384"/>
      <c r="FCQ54" s="384"/>
      <c r="FCR54" s="384"/>
      <c r="FCS54" s="384"/>
      <c r="FCT54" s="384"/>
      <c r="FCU54" s="384"/>
      <c r="FCV54" s="384"/>
      <c r="FCW54" s="384"/>
      <c r="FCX54" s="384"/>
      <c r="FCY54" s="384"/>
      <c r="FCZ54" s="384"/>
      <c r="FDA54" s="384"/>
      <c r="FDB54" s="384"/>
      <c r="FDC54" s="384"/>
      <c r="FDD54" s="384"/>
      <c r="FDE54" s="384"/>
      <c r="FDF54" s="384"/>
      <c r="FDG54" s="384"/>
      <c r="FDH54" s="384"/>
      <c r="FDI54" s="384"/>
      <c r="FDJ54" s="384"/>
      <c r="FDK54" s="384"/>
      <c r="FDL54" s="384"/>
      <c r="FDM54" s="384"/>
      <c r="FDN54" s="384"/>
      <c r="FDO54" s="384"/>
      <c r="FDP54" s="384"/>
      <c r="FDQ54" s="384"/>
      <c r="FDR54" s="384"/>
      <c r="FDS54" s="384"/>
      <c r="FDT54" s="384"/>
      <c r="FDU54" s="384"/>
      <c r="FDV54" s="384"/>
      <c r="FDW54" s="384"/>
      <c r="FDX54" s="384"/>
      <c r="FDY54" s="384"/>
      <c r="FDZ54" s="384"/>
      <c r="FEA54" s="384"/>
      <c r="FEB54" s="384"/>
      <c r="FEC54" s="384"/>
      <c r="FED54" s="384"/>
      <c r="FEE54" s="384"/>
      <c r="FEF54" s="384"/>
      <c r="FEG54" s="384"/>
      <c r="FEH54" s="384"/>
      <c r="FEI54" s="384"/>
      <c r="FEJ54" s="384"/>
      <c r="FEK54" s="384"/>
      <c r="FEL54" s="384"/>
      <c r="FEM54" s="384"/>
      <c r="FEN54" s="384"/>
      <c r="FEO54" s="384"/>
      <c r="FEP54" s="384"/>
      <c r="FEQ54" s="384"/>
      <c r="FER54" s="384"/>
      <c r="FES54" s="384"/>
      <c r="FET54" s="384"/>
      <c r="FEU54" s="384"/>
      <c r="FEV54" s="384"/>
      <c r="FEW54" s="384"/>
      <c r="FEX54" s="384"/>
      <c r="FEY54" s="384"/>
      <c r="FEZ54" s="384"/>
      <c r="FFA54" s="384"/>
      <c r="FFB54" s="384"/>
      <c r="FFC54" s="384"/>
      <c r="FFD54" s="384"/>
      <c r="FFE54" s="384"/>
      <c r="FFF54" s="384"/>
      <c r="FFG54" s="384"/>
      <c r="FFH54" s="384"/>
      <c r="FFI54" s="384"/>
      <c r="FFJ54" s="384"/>
      <c r="FFK54" s="384"/>
      <c r="FFL54" s="384"/>
      <c r="FFM54" s="384"/>
      <c r="FFN54" s="384"/>
      <c r="FFO54" s="384"/>
      <c r="FFP54" s="384"/>
      <c r="FFQ54" s="384"/>
      <c r="FFR54" s="384"/>
      <c r="FFS54" s="384"/>
      <c r="FFT54" s="384"/>
      <c r="FFU54" s="384"/>
      <c r="FFV54" s="384"/>
      <c r="FFW54" s="384"/>
      <c r="FFX54" s="384"/>
      <c r="FFY54" s="384"/>
      <c r="FFZ54" s="384"/>
      <c r="FGA54" s="384"/>
      <c r="FGB54" s="384"/>
      <c r="FGC54" s="384"/>
      <c r="FGD54" s="384"/>
      <c r="FGE54" s="384"/>
      <c r="FGF54" s="384"/>
      <c r="FGG54" s="384"/>
      <c r="FGH54" s="384"/>
      <c r="FGI54" s="384"/>
      <c r="FGJ54" s="384"/>
      <c r="FGK54" s="384"/>
      <c r="FGL54" s="384"/>
      <c r="FGM54" s="384"/>
      <c r="FGN54" s="384"/>
      <c r="FGO54" s="384"/>
      <c r="FGP54" s="384"/>
      <c r="FGQ54" s="384"/>
      <c r="FGR54" s="384"/>
      <c r="FGS54" s="384"/>
      <c r="FGT54" s="384"/>
      <c r="FGU54" s="384"/>
      <c r="FGV54" s="384"/>
      <c r="FGW54" s="384"/>
      <c r="FGX54" s="384"/>
      <c r="FGY54" s="384"/>
      <c r="FGZ54" s="384"/>
      <c r="FHA54" s="384"/>
      <c r="FHB54" s="384"/>
      <c r="FHC54" s="384"/>
      <c r="FHD54" s="384"/>
      <c r="FHE54" s="384"/>
      <c r="FHF54" s="384"/>
      <c r="FHG54" s="384"/>
      <c r="FHH54" s="384"/>
      <c r="FHI54" s="384"/>
      <c r="FHJ54" s="384"/>
      <c r="FHK54" s="384"/>
      <c r="FHL54" s="384"/>
      <c r="FHM54" s="384"/>
      <c r="FHN54" s="384"/>
      <c r="FHO54" s="384"/>
      <c r="FHP54" s="384"/>
      <c r="FHQ54" s="384"/>
      <c r="FHR54" s="384"/>
      <c r="FHS54" s="384"/>
      <c r="FHT54" s="384"/>
      <c r="FHU54" s="384"/>
      <c r="FHV54" s="384"/>
      <c r="FHW54" s="384"/>
      <c r="FHX54" s="384"/>
      <c r="FHY54" s="384"/>
      <c r="FHZ54" s="384"/>
      <c r="FIA54" s="384"/>
      <c r="FIB54" s="384"/>
      <c r="FIC54" s="384"/>
      <c r="FID54" s="384"/>
      <c r="FIE54" s="384"/>
      <c r="FIF54" s="384"/>
      <c r="FIG54" s="384"/>
      <c r="FIH54" s="384"/>
      <c r="FII54" s="384"/>
      <c r="FIJ54" s="384"/>
      <c r="FIK54" s="384"/>
      <c r="FIL54" s="384"/>
      <c r="FIM54" s="384"/>
      <c r="FIN54" s="384"/>
      <c r="FIO54" s="384"/>
      <c r="FIP54" s="384"/>
      <c r="FIQ54" s="384"/>
      <c r="FIR54" s="384"/>
      <c r="FIS54" s="384"/>
      <c r="FIT54" s="384"/>
      <c r="FIU54" s="384"/>
      <c r="FIV54" s="384"/>
      <c r="FIW54" s="384"/>
      <c r="FIX54" s="384"/>
      <c r="FIY54" s="384"/>
      <c r="FIZ54" s="384"/>
      <c r="FJA54" s="384"/>
      <c r="FJB54" s="384"/>
      <c r="FJC54" s="384"/>
      <c r="FJD54" s="384"/>
      <c r="FJE54" s="384"/>
      <c r="FJF54" s="384"/>
      <c r="FJG54" s="384"/>
      <c r="FJH54" s="384"/>
      <c r="FJI54" s="384"/>
      <c r="FJJ54" s="384"/>
      <c r="FJK54" s="384"/>
      <c r="FJL54" s="384"/>
      <c r="FJM54" s="384"/>
      <c r="FJN54" s="384"/>
      <c r="FJO54" s="384"/>
      <c r="FJP54" s="384"/>
      <c r="FJQ54" s="384"/>
      <c r="FJR54" s="384"/>
      <c r="FJS54" s="384"/>
      <c r="FJT54" s="384"/>
      <c r="FJU54" s="384"/>
      <c r="FJV54" s="384"/>
      <c r="FJW54" s="384"/>
      <c r="FJX54" s="384"/>
      <c r="FJY54" s="384"/>
      <c r="FJZ54" s="384"/>
      <c r="FKA54" s="384"/>
      <c r="FKB54" s="384"/>
      <c r="FKC54" s="384"/>
      <c r="FKD54" s="384"/>
      <c r="FKE54" s="384"/>
      <c r="FKF54" s="384"/>
      <c r="FKG54" s="384"/>
      <c r="FKH54" s="384"/>
      <c r="FKI54" s="384"/>
      <c r="FKJ54" s="384"/>
      <c r="FKK54" s="384"/>
      <c r="FKL54" s="384"/>
      <c r="FKM54" s="384"/>
      <c r="FKN54" s="384"/>
      <c r="FKO54" s="384"/>
      <c r="FKP54" s="384"/>
      <c r="FKQ54" s="384"/>
      <c r="FKR54" s="384"/>
      <c r="FKS54" s="384"/>
      <c r="FKT54" s="384"/>
      <c r="FKU54" s="384"/>
      <c r="FKV54" s="384"/>
      <c r="FKW54" s="384"/>
      <c r="FKX54" s="384"/>
      <c r="FKY54" s="384"/>
      <c r="FKZ54" s="384"/>
      <c r="FLA54" s="384"/>
      <c r="FLB54" s="384"/>
      <c r="FLC54" s="384"/>
      <c r="FLD54" s="384"/>
      <c r="FLE54" s="384"/>
      <c r="FLF54" s="384"/>
      <c r="FLG54" s="384"/>
      <c r="FLH54" s="384"/>
      <c r="FLI54" s="384"/>
      <c r="FLJ54" s="384"/>
      <c r="FLK54" s="384"/>
      <c r="FLL54" s="384"/>
      <c r="FLM54" s="384"/>
      <c r="FLN54" s="384"/>
      <c r="FLO54" s="384"/>
      <c r="FLP54" s="384"/>
      <c r="FLQ54" s="384"/>
      <c r="FLR54" s="384"/>
      <c r="FLS54" s="384"/>
      <c r="FLT54" s="384"/>
      <c r="FLU54" s="384"/>
      <c r="FLV54" s="384"/>
      <c r="FLW54" s="384"/>
      <c r="FLX54" s="384"/>
      <c r="FLY54" s="384"/>
      <c r="FLZ54" s="384"/>
      <c r="FMA54" s="384"/>
      <c r="FMB54" s="384"/>
      <c r="FMC54" s="384"/>
      <c r="FMD54" s="384"/>
      <c r="FME54" s="384"/>
      <c r="FMF54" s="384"/>
      <c r="FMG54" s="384"/>
      <c r="FMH54" s="384"/>
      <c r="FMI54" s="384"/>
      <c r="FMJ54" s="384"/>
      <c r="FMK54" s="384"/>
      <c r="FML54" s="384"/>
      <c r="FMM54" s="384"/>
      <c r="FMN54" s="384"/>
      <c r="FMO54" s="384"/>
      <c r="FMP54" s="384"/>
      <c r="FMQ54" s="384"/>
      <c r="FMR54" s="384"/>
      <c r="FMS54" s="384"/>
      <c r="FMT54" s="384"/>
      <c r="FMU54" s="384"/>
      <c r="FMV54" s="384"/>
      <c r="FMW54" s="384"/>
      <c r="FMX54" s="384"/>
      <c r="FMY54" s="384"/>
      <c r="FMZ54" s="384"/>
      <c r="FNA54" s="384"/>
      <c r="FNB54" s="384"/>
      <c r="FNC54" s="384"/>
      <c r="FND54" s="384"/>
      <c r="FNE54" s="384"/>
      <c r="FNF54" s="384"/>
      <c r="FNG54" s="384"/>
      <c r="FNH54" s="384"/>
      <c r="FNI54" s="384"/>
      <c r="FNJ54" s="384"/>
      <c r="FNK54" s="384"/>
      <c r="FNL54" s="384"/>
      <c r="FNM54" s="384"/>
      <c r="FNN54" s="384"/>
      <c r="FNO54" s="384"/>
      <c r="FNP54" s="384"/>
      <c r="FNQ54" s="384"/>
      <c r="FNR54" s="384"/>
      <c r="FNS54" s="384"/>
      <c r="FNT54" s="384"/>
      <c r="FNU54" s="384"/>
      <c r="FNV54" s="384"/>
      <c r="FNW54" s="384"/>
      <c r="FNX54" s="384"/>
      <c r="FNY54" s="384"/>
      <c r="FNZ54" s="384"/>
      <c r="FOA54" s="384"/>
      <c r="FOB54" s="384"/>
      <c r="FOC54" s="384"/>
      <c r="FOD54" s="384"/>
      <c r="FOE54" s="384"/>
      <c r="FOF54" s="384"/>
      <c r="FOG54" s="384"/>
      <c r="FOH54" s="384"/>
      <c r="FOI54" s="384"/>
      <c r="FOJ54" s="384"/>
      <c r="FOK54" s="384"/>
      <c r="FOL54" s="384"/>
      <c r="FOM54" s="384"/>
      <c r="FON54" s="384"/>
      <c r="FOO54" s="384"/>
      <c r="FOP54" s="384"/>
      <c r="FOQ54" s="384"/>
      <c r="FOR54" s="384"/>
      <c r="FOS54" s="384"/>
      <c r="FOT54" s="384"/>
      <c r="FOU54" s="384"/>
      <c r="FOV54" s="384"/>
      <c r="FOW54" s="384"/>
      <c r="FOX54" s="384"/>
      <c r="FOY54" s="384"/>
      <c r="FOZ54" s="384"/>
      <c r="FPA54" s="384"/>
      <c r="FPB54" s="384"/>
      <c r="FPC54" s="384"/>
      <c r="FPD54" s="384"/>
      <c r="FPE54" s="384"/>
      <c r="FPF54" s="384"/>
      <c r="FPG54" s="384"/>
      <c r="FPH54" s="384"/>
      <c r="FPI54" s="384"/>
      <c r="FPJ54" s="384"/>
      <c r="FPK54" s="384"/>
      <c r="FPL54" s="384"/>
      <c r="FPM54" s="384"/>
      <c r="FPN54" s="384"/>
      <c r="FPO54" s="384"/>
      <c r="FPP54" s="384"/>
      <c r="FPQ54" s="384"/>
      <c r="FPR54" s="384"/>
      <c r="FPS54" s="384"/>
      <c r="FPT54" s="384"/>
      <c r="FPU54" s="384"/>
      <c r="FPV54" s="384"/>
      <c r="FPW54" s="384"/>
      <c r="FPX54" s="384"/>
      <c r="FPY54" s="384"/>
      <c r="FPZ54" s="384"/>
      <c r="FQA54" s="384"/>
      <c r="FQB54" s="384"/>
      <c r="FQC54" s="384"/>
      <c r="FQD54" s="384"/>
      <c r="FQE54" s="384"/>
      <c r="FQF54" s="384"/>
      <c r="FQG54" s="384"/>
      <c r="FQH54" s="384"/>
      <c r="FQI54" s="384"/>
      <c r="FQJ54" s="384"/>
      <c r="FQK54" s="384"/>
      <c r="FQL54" s="384"/>
      <c r="FQM54" s="384"/>
      <c r="FQN54" s="384"/>
      <c r="FQO54" s="384"/>
      <c r="FQP54" s="384"/>
      <c r="FQQ54" s="384"/>
      <c r="FQR54" s="384"/>
      <c r="FQS54" s="384"/>
      <c r="FQT54" s="384"/>
      <c r="FQU54" s="384"/>
      <c r="FQV54" s="384"/>
      <c r="FQW54" s="384"/>
      <c r="FQX54" s="384"/>
      <c r="FQY54" s="384"/>
      <c r="FQZ54" s="384"/>
      <c r="FRA54" s="384"/>
      <c r="FRB54" s="384"/>
      <c r="FRC54" s="384"/>
      <c r="FRD54" s="384"/>
      <c r="FRE54" s="384"/>
      <c r="FRF54" s="384"/>
      <c r="FRG54" s="384"/>
      <c r="FRH54" s="384"/>
      <c r="FRI54" s="384"/>
      <c r="FRJ54" s="384"/>
      <c r="FRK54" s="384"/>
      <c r="FRL54" s="384"/>
      <c r="FRM54" s="384"/>
      <c r="FRN54" s="384"/>
      <c r="FRO54" s="384"/>
      <c r="FRP54" s="384"/>
      <c r="FRQ54" s="384"/>
      <c r="FRR54" s="384"/>
      <c r="FRS54" s="384"/>
      <c r="FRT54" s="384"/>
      <c r="FRU54" s="384"/>
      <c r="FRV54" s="384"/>
      <c r="FRW54" s="384"/>
      <c r="FRX54" s="384"/>
      <c r="FRY54" s="384"/>
      <c r="FRZ54" s="384"/>
      <c r="FSA54" s="384"/>
      <c r="FSB54" s="384"/>
      <c r="FSC54" s="384"/>
      <c r="FSD54" s="384"/>
      <c r="FSE54" s="384"/>
      <c r="FSF54" s="384"/>
      <c r="FSG54" s="384"/>
      <c r="FSH54" s="384"/>
      <c r="FSI54" s="384"/>
      <c r="FSJ54" s="384"/>
      <c r="FSK54" s="384"/>
      <c r="FSL54" s="384"/>
      <c r="FSM54" s="384"/>
      <c r="FSN54" s="384"/>
      <c r="FSO54" s="384"/>
      <c r="FSP54" s="384"/>
      <c r="FSQ54" s="384"/>
      <c r="FSR54" s="384"/>
      <c r="FSS54" s="384"/>
      <c r="FST54" s="384"/>
      <c r="FSU54" s="384"/>
      <c r="FSV54" s="384"/>
      <c r="FSW54" s="384"/>
      <c r="FSX54" s="384"/>
      <c r="FSY54" s="384"/>
      <c r="FSZ54" s="384"/>
      <c r="FTA54" s="384"/>
      <c r="FTB54" s="384"/>
      <c r="FTC54" s="384"/>
      <c r="FTD54" s="384"/>
      <c r="FTE54" s="384"/>
      <c r="FTF54" s="384"/>
      <c r="FTG54" s="384"/>
      <c r="FTH54" s="384"/>
      <c r="FTI54" s="384"/>
      <c r="FTJ54" s="384"/>
      <c r="FTK54" s="384"/>
      <c r="FTL54" s="384"/>
      <c r="FTM54" s="384"/>
      <c r="FTN54" s="384"/>
      <c r="FTO54" s="384"/>
      <c r="FTP54" s="384"/>
      <c r="FTQ54" s="384"/>
      <c r="FTR54" s="384"/>
      <c r="FTS54" s="384"/>
      <c r="FTT54" s="384"/>
      <c r="FTU54" s="384"/>
      <c r="FTV54" s="384"/>
      <c r="FTW54" s="384"/>
      <c r="FTX54" s="384"/>
      <c r="FTY54" s="384"/>
      <c r="FTZ54" s="384"/>
      <c r="FUA54" s="384"/>
      <c r="FUB54" s="384"/>
      <c r="FUC54" s="384"/>
      <c r="FUD54" s="384"/>
      <c r="FUE54" s="384"/>
      <c r="FUF54" s="384"/>
      <c r="FUG54" s="384"/>
      <c r="FUH54" s="384"/>
      <c r="FUI54" s="384"/>
      <c r="FUJ54" s="384"/>
      <c r="FUK54" s="384"/>
      <c r="FUL54" s="384"/>
      <c r="FUM54" s="384"/>
      <c r="FUN54" s="384"/>
      <c r="FUO54" s="384"/>
      <c r="FUP54" s="384"/>
      <c r="FUQ54" s="384"/>
      <c r="FUR54" s="384"/>
      <c r="FUS54" s="384"/>
      <c r="FUT54" s="384"/>
      <c r="FUU54" s="384"/>
      <c r="FUV54" s="384"/>
      <c r="FUW54" s="384"/>
      <c r="FUX54" s="384"/>
      <c r="FUY54" s="384"/>
      <c r="FUZ54" s="384"/>
      <c r="FVA54" s="384"/>
      <c r="FVB54" s="384"/>
      <c r="FVC54" s="384"/>
      <c r="FVD54" s="384"/>
      <c r="FVE54" s="384"/>
      <c r="FVF54" s="384"/>
      <c r="FVG54" s="384"/>
      <c r="FVH54" s="384"/>
      <c r="FVI54" s="384"/>
      <c r="FVJ54" s="384"/>
      <c r="FVK54" s="384"/>
      <c r="FVL54" s="384"/>
      <c r="FVM54" s="384"/>
      <c r="FVN54" s="384"/>
      <c r="FVO54" s="384"/>
      <c r="FVP54" s="384"/>
      <c r="FVQ54" s="384"/>
      <c r="FVR54" s="384"/>
      <c r="FVS54" s="384"/>
      <c r="FVT54" s="384"/>
      <c r="FVU54" s="384"/>
      <c r="FVV54" s="384"/>
      <c r="FVW54" s="384"/>
      <c r="FVX54" s="384"/>
      <c r="FVY54" s="384"/>
      <c r="FVZ54" s="384"/>
      <c r="FWA54" s="384"/>
      <c r="FWB54" s="384"/>
      <c r="FWC54" s="384"/>
      <c r="FWD54" s="384"/>
      <c r="FWE54" s="384"/>
      <c r="FWF54" s="384"/>
      <c r="FWG54" s="384"/>
      <c r="FWH54" s="384"/>
      <c r="FWI54" s="384"/>
      <c r="FWJ54" s="384"/>
      <c r="FWK54" s="384"/>
      <c r="FWL54" s="384"/>
      <c r="FWM54" s="384"/>
      <c r="FWN54" s="384"/>
      <c r="FWO54" s="384"/>
      <c r="FWP54" s="384"/>
      <c r="FWQ54" s="384"/>
      <c r="FWR54" s="384"/>
      <c r="FWS54" s="384"/>
      <c r="FWT54" s="384"/>
      <c r="FWU54" s="384"/>
      <c r="FWV54" s="384"/>
      <c r="FWW54" s="384"/>
      <c r="FWX54" s="384"/>
      <c r="FWY54" s="384"/>
      <c r="FWZ54" s="384"/>
      <c r="FXA54" s="384"/>
      <c r="FXB54" s="384"/>
      <c r="FXC54" s="384"/>
      <c r="FXD54" s="384"/>
      <c r="FXE54" s="384"/>
      <c r="FXF54" s="384"/>
      <c r="FXG54" s="384"/>
      <c r="FXH54" s="384"/>
      <c r="FXI54" s="384"/>
      <c r="FXJ54" s="384"/>
      <c r="FXK54" s="384"/>
      <c r="FXL54" s="384"/>
      <c r="FXM54" s="384"/>
      <c r="FXN54" s="384"/>
      <c r="FXO54" s="384"/>
      <c r="FXP54" s="384"/>
      <c r="FXQ54" s="384"/>
      <c r="FXR54" s="384"/>
      <c r="FXS54" s="384"/>
      <c r="FXT54" s="384"/>
      <c r="FXU54" s="384"/>
      <c r="FXV54" s="384"/>
      <c r="FXW54" s="384"/>
      <c r="FXX54" s="384"/>
      <c r="FXY54" s="384"/>
      <c r="FXZ54" s="384"/>
      <c r="FYA54" s="384"/>
      <c r="FYB54" s="384"/>
      <c r="FYC54" s="384"/>
      <c r="FYD54" s="384"/>
      <c r="FYE54" s="384"/>
      <c r="FYF54" s="384"/>
      <c r="FYG54" s="384"/>
      <c r="FYH54" s="384"/>
      <c r="FYI54" s="384"/>
      <c r="FYJ54" s="384"/>
      <c r="FYK54" s="384"/>
      <c r="FYL54" s="384"/>
      <c r="FYM54" s="384"/>
      <c r="FYN54" s="384"/>
      <c r="FYO54" s="384"/>
      <c r="FYP54" s="384"/>
      <c r="FYQ54" s="384"/>
      <c r="FYR54" s="384"/>
      <c r="FYS54" s="384"/>
      <c r="FYT54" s="384"/>
      <c r="FYU54" s="384"/>
      <c r="FYV54" s="384"/>
      <c r="FYW54" s="384"/>
      <c r="FYX54" s="384"/>
      <c r="FYY54" s="384"/>
      <c r="FYZ54" s="384"/>
      <c r="FZA54" s="384"/>
      <c r="FZB54" s="384"/>
      <c r="FZC54" s="384"/>
      <c r="FZD54" s="384"/>
      <c r="FZE54" s="384"/>
      <c r="FZF54" s="384"/>
      <c r="FZG54" s="384"/>
      <c r="FZH54" s="384"/>
      <c r="FZI54" s="384"/>
      <c r="FZJ54" s="384"/>
      <c r="FZK54" s="384"/>
      <c r="FZL54" s="384"/>
      <c r="FZM54" s="384"/>
      <c r="FZN54" s="384"/>
      <c r="FZO54" s="384"/>
      <c r="FZP54" s="384"/>
      <c r="FZQ54" s="384"/>
      <c r="FZR54" s="384"/>
      <c r="FZS54" s="384"/>
      <c r="FZT54" s="384"/>
      <c r="FZU54" s="384"/>
      <c r="FZV54" s="384"/>
      <c r="FZW54" s="384"/>
      <c r="FZX54" s="384"/>
      <c r="FZY54" s="384"/>
      <c r="FZZ54" s="384"/>
      <c r="GAA54" s="384"/>
      <c r="GAB54" s="384"/>
      <c r="GAC54" s="384"/>
      <c r="GAD54" s="384"/>
      <c r="GAE54" s="384"/>
      <c r="GAF54" s="384"/>
      <c r="GAG54" s="384"/>
      <c r="GAH54" s="384"/>
      <c r="GAI54" s="384"/>
      <c r="GAJ54" s="384"/>
      <c r="GAK54" s="384"/>
      <c r="GAL54" s="384"/>
      <c r="GAM54" s="384"/>
      <c r="GAN54" s="384"/>
      <c r="GAO54" s="384"/>
      <c r="GAP54" s="384"/>
      <c r="GAQ54" s="384"/>
      <c r="GAR54" s="384"/>
      <c r="GAS54" s="384"/>
      <c r="GAT54" s="384"/>
      <c r="GAU54" s="384"/>
      <c r="GAV54" s="384"/>
      <c r="GAW54" s="384"/>
      <c r="GAX54" s="384"/>
      <c r="GAY54" s="384"/>
      <c r="GAZ54" s="384"/>
      <c r="GBA54" s="384"/>
      <c r="GBB54" s="384"/>
      <c r="GBC54" s="384"/>
      <c r="GBD54" s="384"/>
      <c r="GBE54" s="384"/>
      <c r="GBF54" s="384"/>
      <c r="GBG54" s="384"/>
      <c r="GBH54" s="384"/>
      <c r="GBI54" s="384"/>
      <c r="GBJ54" s="384"/>
      <c r="GBK54" s="384"/>
      <c r="GBL54" s="384"/>
      <c r="GBM54" s="384"/>
      <c r="GBN54" s="384"/>
      <c r="GBO54" s="384"/>
      <c r="GBP54" s="384"/>
      <c r="GBQ54" s="384"/>
      <c r="GBR54" s="384"/>
      <c r="GBS54" s="384"/>
      <c r="GBT54" s="384"/>
      <c r="GBU54" s="384"/>
      <c r="GBV54" s="384"/>
      <c r="GBW54" s="384"/>
      <c r="GBX54" s="384"/>
      <c r="GBY54" s="384"/>
      <c r="GBZ54" s="384"/>
      <c r="GCA54" s="384"/>
      <c r="GCB54" s="384"/>
      <c r="GCC54" s="384"/>
      <c r="GCD54" s="384"/>
      <c r="GCE54" s="384"/>
      <c r="GCF54" s="384"/>
      <c r="GCG54" s="384"/>
      <c r="GCH54" s="384"/>
      <c r="GCI54" s="384"/>
      <c r="GCJ54" s="384"/>
      <c r="GCK54" s="384"/>
      <c r="GCL54" s="384"/>
      <c r="GCM54" s="384"/>
      <c r="GCN54" s="384"/>
      <c r="GCO54" s="384"/>
      <c r="GCP54" s="384"/>
      <c r="GCQ54" s="384"/>
      <c r="GCR54" s="384"/>
      <c r="GCS54" s="384"/>
      <c r="GCT54" s="384"/>
      <c r="GCU54" s="384"/>
      <c r="GCV54" s="384"/>
      <c r="GCW54" s="384"/>
      <c r="GCX54" s="384"/>
      <c r="GCY54" s="384"/>
      <c r="GCZ54" s="384"/>
      <c r="GDA54" s="384"/>
      <c r="GDB54" s="384"/>
      <c r="GDC54" s="384"/>
      <c r="GDD54" s="384"/>
      <c r="GDE54" s="384"/>
      <c r="GDF54" s="384"/>
      <c r="GDG54" s="384"/>
      <c r="GDH54" s="384"/>
      <c r="GDI54" s="384"/>
      <c r="GDJ54" s="384"/>
      <c r="GDK54" s="384"/>
      <c r="GDL54" s="384"/>
      <c r="GDM54" s="384"/>
      <c r="GDN54" s="384"/>
      <c r="GDO54" s="384"/>
      <c r="GDP54" s="384"/>
      <c r="GDQ54" s="384"/>
      <c r="GDR54" s="384"/>
      <c r="GDS54" s="384"/>
      <c r="GDT54" s="384"/>
      <c r="GDU54" s="384"/>
      <c r="GDV54" s="384"/>
      <c r="GDW54" s="384"/>
      <c r="GDX54" s="384"/>
      <c r="GDY54" s="384"/>
      <c r="GDZ54" s="384"/>
      <c r="GEA54" s="384"/>
      <c r="GEB54" s="384"/>
      <c r="GEC54" s="384"/>
      <c r="GED54" s="384"/>
      <c r="GEE54" s="384"/>
      <c r="GEF54" s="384"/>
      <c r="GEG54" s="384"/>
      <c r="GEH54" s="384"/>
      <c r="GEI54" s="384"/>
      <c r="GEJ54" s="384"/>
      <c r="GEK54" s="384"/>
      <c r="GEL54" s="384"/>
      <c r="GEM54" s="384"/>
      <c r="GEN54" s="384"/>
      <c r="GEO54" s="384"/>
      <c r="GEP54" s="384"/>
      <c r="GEQ54" s="384"/>
      <c r="GER54" s="384"/>
      <c r="GES54" s="384"/>
      <c r="GET54" s="384"/>
      <c r="GEU54" s="384"/>
      <c r="GEV54" s="384"/>
      <c r="GEW54" s="384"/>
      <c r="GEX54" s="384"/>
      <c r="GEY54" s="384"/>
      <c r="GEZ54" s="384"/>
      <c r="GFA54" s="384"/>
      <c r="GFB54" s="384"/>
      <c r="GFC54" s="384"/>
      <c r="GFD54" s="384"/>
      <c r="GFE54" s="384"/>
      <c r="GFF54" s="384"/>
      <c r="GFG54" s="384"/>
      <c r="GFH54" s="384"/>
      <c r="GFI54" s="384"/>
      <c r="GFJ54" s="384"/>
      <c r="GFK54" s="384"/>
      <c r="GFL54" s="384"/>
      <c r="GFM54" s="384"/>
      <c r="GFN54" s="384"/>
      <c r="GFO54" s="384"/>
      <c r="GFP54" s="384"/>
      <c r="GFQ54" s="384"/>
      <c r="GFR54" s="384"/>
      <c r="GFS54" s="384"/>
      <c r="GFT54" s="384"/>
      <c r="GFU54" s="384"/>
      <c r="GFV54" s="384"/>
      <c r="GFW54" s="384"/>
      <c r="GFX54" s="384"/>
      <c r="GFY54" s="384"/>
      <c r="GFZ54" s="384"/>
      <c r="GGA54" s="384"/>
      <c r="GGB54" s="384"/>
      <c r="GGC54" s="384"/>
      <c r="GGD54" s="384"/>
      <c r="GGE54" s="384"/>
      <c r="GGF54" s="384"/>
      <c r="GGG54" s="384"/>
      <c r="GGH54" s="384"/>
      <c r="GGI54" s="384"/>
      <c r="GGJ54" s="384"/>
      <c r="GGK54" s="384"/>
      <c r="GGL54" s="384"/>
      <c r="GGM54" s="384"/>
      <c r="GGN54" s="384"/>
      <c r="GGO54" s="384"/>
      <c r="GGP54" s="384"/>
      <c r="GGQ54" s="384"/>
      <c r="GGR54" s="384"/>
      <c r="GGS54" s="384"/>
      <c r="GGT54" s="384"/>
      <c r="GGU54" s="384"/>
      <c r="GGV54" s="384"/>
      <c r="GGW54" s="384"/>
      <c r="GGX54" s="384"/>
      <c r="GGY54" s="384"/>
      <c r="GGZ54" s="384"/>
      <c r="GHA54" s="384"/>
      <c r="GHB54" s="384"/>
      <c r="GHC54" s="384"/>
      <c r="GHD54" s="384"/>
      <c r="GHE54" s="384"/>
      <c r="GHF54" s="384"/>
      <c r="GHG54" s="384"/>
      <c r="GHH54" s="384"/>
      <c r="GHI54" s="384"/>
      <c r="GHJ54" s="384"/>
      <c r="GHK54" s="384"/>
      <c r="GHL54" s="384"/>
      <c r="GHM54" s="384"/>
      <c r="GHN54" s="384"/>
      <c r="GHO54" s="384"/>
      <c r="GHP54" s="384"/>
      <c r="GHQ54" s="384"/>
      <c r="GHR54" s="384"/>
      <c r="GHS54" s="384"/>
      <c r="GHT54" s="384"/>
      <c r="GHU54" s="384"/>
      <c r="GHV54" s="384"/>
      <c r="GHW54" s="384"/>
      <c r="GHX54" s="384"/>
      <c r="GHY54" s="384"/>
      <c r="GHZ54" s="384"/>
      <c r="GIA54" s="384"/>
      <c r="GIB54" s="384"/>
      <c r="GIC54" s="384"/>
      <c r="GID54" s="384"/>
      <c r="GIE54" s="384"/>
      <c r="GIF54" s="384"/>
      <c r="GIG54" s="384"/>
      <c r="GIH54" s="384"/>
      <c r="GII54" s="384"/>
      <c r="GIJ54" s="384"/>
      <c r="GIK54" s="384"/>
      <c r="GIL54" s="384"/>
      <c r="GIM54" s="384"/>
      <c r="GIN54" s="384"/>
      <c r="GIO54" s="384"/>
      <c r="GIP54" s="384"/>
      <c r="GIQ54" s="384"/>
      <c r="GIR54" s="384"/>
      <c r="GIS54" s="384"/>
      <c r="GIT54" s="384"/>
      <c r="GIU54" s="384"/>
      <c r="GIV54" s="384"/>
      <c r="GIW54" s="384"/>
      <c r="GIX54" s="384"/>
      <c r="GIY54" s="384"/>
      <c r="GIZ54" s="384"/>
      <c r="GJA54" s="384"/>
      <c r="GJB54" s="384"/>
      <c r="GJC54" s="384"/>
      <c r="GJD54" s="384"/>
      <c r="GJE54" s="384"/>
      <c r="GJF54" s="384"/>
      <c r="GJG54" s="384"/>
      <c r="GJH54" s="384"/>
      <c r="GJI54" s="384"/>
      <c r="GJJ54" s="384"/>
      <c r="GJK54" s="384"/>
      <c r="GJL54" s="384"/>
      <c r="GJM54" s="384"/>
      <c r="GJN54" s="384"/>
      <c r="GJO54" s="384"/>
      <c r="GJP54" s="384"/>
      <c r="GJQ54" s="384"/>
      <c r="GJR54" s="384"/>
      <c r="GJS54" s="384"/>
      <c r="GJT54" s="384"/>
      <c r="GJU54" s="384"/>
      <c r="GJV54" s="384"/>
      <c r="GJW54" s="384"/>
      <c r="GJX54" s="384"/>
      <c r="GJY54" s="384"/>
      <c r="GJZ54" s="384"/>
      <c r="GKA54" s="384"/>
      <c r="GKB54" s="384"/>
      <c r="GKC54" s="384"/>
      <c r="GKD54" s="384"/>
      <c r="GKE54" s="384"/>
      <c r="GKF54" s="384"/>
      <c r="GKG54" s="384"/>
      <c r="GKH54" s="384"/>
      <c r="GKI54" s="384"/>
      <c r="GKJ54" s="384"/>
      <c r="GKK54" s="384"/>
      <c r="GKL54" s="384"/>
      <c r="GKM54" s="384"/>
      <c r="GKN54" s="384"/>
      <c r="GKO54" s="384"/>
      <c r="GKP54" s="384"/>
      <c r="GKQ54" s="384"/>
      <c r="GKR54" s="384"/>
      <c r="GKS54" s="384"/>
      <c r="GKT54" s="384"/>
      <c r="GKU54" s="384"/>
      <c r="GKV54" s="384"/>
      <c r="GKW54" s="384"/>
      <c r="GKX54" s="384"/>
      <c r="GKY54" s="384"/>
      <c r="GKZ54" s="384"/>
      <c r="GLA54" s="384"/>
      <c r="GLB54" s="384"/>
      <c r="GLC54" s="384"/>
      <c r="GLD54" s="384"/>
      <c r="GLE54" s="384"/>
      <c r="GLF54" s="384"/>
      <c r="GLG54" s="384"/>
      <c r="GLH54" s="384"/>
      <c r="GLI54" s="384"/>
      <c r="GLJ54" s="384"/>
      <c r="GLK54" s="384"/>
      <c r="GLL54" s="384"/>
      <c r="GLM54" s="384"/>
      <c r="GLN54" s="384"/>
      <c r="GLO54" s="384"/>
      <c r="GLP54" s="384"/>
      <c r="GLQ54" s="384"/>
      <c r="GLR54" s="384"/>
      <c r="GLS54" s="384"/>
      <c r="GLT54" s="384"/>
      <c r="GLU54" s="384"/>
      <c r="GLV54" s="384"/>
      <c r="GLW54" s="384"/>
      <c r="GLX54" s="384"/>
      <c r="GLY54" s="384"/>
      <c r="GLZ54" s="384"/>
      <c r="GMA54" s="384"/>
      <c r="GMB54" s="384"/>
      <c r="GMC54" s="384"/>
      <c r="GMD54" s="384"/>
      <c r="GME54" s="384"/>
      <c r="GMF54" s="384"/>
      <c r="GMG54" s="384"/>
      <c r="GMH54" s="384"/>
      <c r="GMI54" s="384"/>
      <c r="GMJ54" s="384"/>
      <c r="GMK54" s="384"/>
      <c r="GML54" s="384"/>
      <c r="GMM54" s="384"/>
      <c r="GMN54" s="384"/>
      <c r="GMO54" s="384"/>
      <c r="GMP54" s="384"/>
      <c r="GMQ54" s="384"/>
      <c r="GMR54" s="384"/>
      <c r="GMS54" s="384"/>
      <c r="GMT54" s="384"/>
      <c r="GMU54" s="384"/>
      <c r="GMV54" s="384"/>
      <c r="GMW54" s="384"/>
      <c r="GMX54" s="384"/>
      <c r="GMY54" s="384"/>
      <c r="GMZ54" s="384"/>
      <c r="GNA54" s="384"/>
      <c r="GNB54" s="384"/>
      <c r="GNC54" s="384"/>
      <c r="GND54" s="384"/>
      <c r="GNE54" s="384"/>
      <c r="GNF54" s="384"/>
      <c r="GNG54" s="384"/>
      <c r="GNH54" s="384"/>
      <c r="GNI54" s="384"/>
      <c r="GNJ54" s="384"/>
      <c r="GNK54" s="384"/>
      <c r="GNL54" s="384"/>
      <c r="GNM54" s="384"/>
      <c r="GNN54" s="384"/>
      <c r="GNO54" s="384"/>
      <c r="GNP54" s="384"/>
      <c r="GNQ54" s="384"/>
      <c r="GNR54" s="384"/>
      <c r="GNS54" s="384"/>
      <c r="GNT54" s="384"/>
      <c r="GNU54" s="384"/>
      <c r="GNV54" s="384"/>
      <c r="GNW54" s="384"/>
      <c r="GNX54" s="384"/>
      <c r="GNY54" s="384"/>
      <c r="GNZ54" s="384"/>
      <c r="GOA54" s="384"/>
      <c r="GOB54" s="384"/>
      <c r="GOC54" s="384"/>
      <c r="GOD54" s="384"/>
      <c r="GOE54" s="384"/>
      <c r="GOF54" s="384"/>
      <c r="GOG54" s="384"/>
      <c r="GOH54" s="384"/>
      <c r="GOI54" s="384"/>
      <c r="GOJ54" s="384"/>
      <c r="GOK54" s="384"/>
      <c r="GOL54" s="384"/>
      <c r="GOM54" s="384"/>
      <c r="GON54" s="384"/>
      <c r="GOO54" s="384"/>
      <c r="GOP54" s="384"/>
      <c r="GOQ54" s="384"/>
      <c r="GOR54" s="384"/>
      <c r="GOS54" s="384"/>
      <c r="GOT54" s="384"/>
      <c r="GOU54" s="384"/>
      <c r="GOV54" s="384"/>
      <c r="GOW54" s="384"/>
      <c r="GOX54" s="384"/>
      <c r="GOY54" s="384"/>
      <c r="GOZ54" s="384"/>
      <c r="GPA54" s="384"/>
      <c r="GPB54" s="384"/>
      <c r="GPC54" s="384"/>
      <c r="GPD54" s="384"/>
      <c r="GPE54" s="384"/>
      <c r="GPF54" s="384"/>
      <c r="GPG54" s="384"/>
      <c r="GPH54" s="384"/>
      <c r="GPI54" s="384"/>
      <c r="GPJ54" s="384"/>
      <c r="GPK54" s="384"/>
      <c r="GPL54" s="384"/>
      <c r="GPM54" s="384"/>
      <c r="GPN54" s="384"/>
      <c r="GPO54" s="384"/>
      <c r="GPP54" s="384"/>
      <c r="GPQ54" s="384"/>
      <c r="GPR54" s="384"/>
      <c r="GPS54" s="384"/>
      <c r="GPT54" s="384"/>
      <c r="GPU54" s="384"/>
      <c r="GPV54" s="384"/>
      <c r="GPW54" s="384"/>
      <c r="GPX54" s="384"/>
      <c r="GPY54" s="384"/>
      <c r="GPZ54" s="384"/>
      <c r="GQA54" s="384"/>
      <c r="GQB54" s="384"/>
      <c r="GQC54" s="384"/>
      <c r="GQD54" s="384"/>
      <c r="GQE54" s="384"/>
      <c r="GQF54" s="384"/>
      <c r="GQG54" s="384"/>
      <c r="GQH54" s="384"/>
      <c r="GQI54" s="384"/>
      <c r="GQJ54" s="384"/>
      <c r="GQK54" s="384"/>
      <c r="GQL54" s="384"/>
      <c r="GQM54" s="384"/>
      <c r="GQN54" s="384"/>
      <c r="GQO54" s="384"/>
      <c r="GQP54" s="384"/>
      <c r="GQQ54" s="384"/>
      <c r="GQR54" s="384"/>
      <c r="GQS54" s="384"/>
      <c r="GQT54" s="384"/>
      <c r="GQU54" s="384"/>
      <c r="GQV54" s="384"/>
      <c r="GQW54" s="384"/>
      <c r="GQX54" s="384"/>
      <c r="GQY54" s="384"/>
      <c r="GQZ54" s="384"/>
      <c r="GRA54" s="384"/>
      <c r="GRB54" s="384"/>
      <c r="GRC54" s="384"/>
      <c r="GRD54" s="384"/>
      <c r="GRE54" s="384"/>
      <c r="GRF54" s="384"/>
      <c r="GRG54" s="384"/>
      <c r="GRH54" s="384"/>
      <c r="GRI54" s="384"/>
      <c r="GRJ54" s="384"/>
      <c r="GRK54" s="384"/>
      <c r="GRL54" s="384"/>
      <c r="GRM54" s="384"/>
      <c r="GRN54" s="384"/>
      <c r="GRO54" s="384"/>
      <c r="GRP54" s="384"/>
      <c r="GRQ54" s="384"/>
      <c r="GRR54" s="384"/>
      <c r="GRS54" s="384"/>
      <c r="GRT54" s="384"/>
      <c r="GRU54" s="384"/>
      <c r="GRV54" s="384"/>
      <c r="GRW54" s="384"/>
      <c r="GRX54" s="384"/>
      <c r="GRY54" s="384"/>
      <c r="GRZ54" s="384"/>
      <c r="GSA54" s="384"/>
      <c r="GSB54" s="384"/>
      <c r="GSC54" s="384"/>
      <c r="GSD54" s="384"/>
      <c r="GSE54" s="384"/>
      <c r="GSF54" s="384"/>
      <c r="GSG54" s="384"/>
      <c r="GSH54" s="384"/>
      <c r="GSI54" s="384"/>
      <c r="GSJ54" s="384"/>
      <c r="GSK54" s="384"/>
      <c r="GSL54" s="384"/>
      <c r="GSM54" s="384"/>
      <c r="GSN54" s="384"/>
      <c r="GSO54" s="384"/>
      <c r="GSP54" s="384"/>
      <c r="GSQ54" s="384"/>
      <c r="GSR54" s="384"/>
      <c r="GSS54" s="384"/>
      <c r="GST54" s="384"/>
      <c r="GSU54" s="384"/>
      <c r="GSV54" s="384"/>
      <c r="GSW54" s="384"/>
      <c r="GSX54" s="384"/>
      <c r="GSY54" s="384"/>
      <c r="GSZ54" s="384"/>
      <c r="GTA54" s="384"/>
      <c r="GTB54" s="384"/>
      <c r="GTC54" s="384"/>
      <c r="GTD54" s="384"/>
      <c r="GTE54" s="384"/>
      <c r="GTF54" s="384"/>
      <c r="GTG54" s="384"/>
      <c r="GTH54" s="384"/>
      <c r="GTI54" s="384"/>
      <c r="GTJ54" s="384"/>
      <c r="GTK54" s="384"/>
      <c r="GTL54" s="384"/>
      <c r="GTM54" s="384"/>
      <c r="GTN54" s="384"/>
      <c r="GTO54" s="384"/>
      <c r="GTP54" s="384"/>
      <c r="GTQ54" s="384"/>
      <c r="GTR54" s="384"/>
      <c r="GTS54" s="384"/>
      <c r="GTT54" s="384"/>
      <c r="GTU54" s="384"/>
      <c r="GTV54" s="384"/>
      <c r="GTW54" s="384"/>
      <c r="GTX54" s="384"/>
      <c r="GTY54" s="384"/>
      <c r="GTZ54" s="384"/>
      <c r="GUA54" s="384"/>
      <c r="GUB54" s="384"/>
      <c r="GUC54" s="384"/>
      <c r="GUD54" s="384"/>
      <c r="GUE54" s="384"/>
      <c r="GUF54" s="384"/>
      <c r="GUG54" s="384"/>
      <c r="GUH54" s="384"/>
      <c r="GUI54" s="384"/>
      <c r="GUJ54" s="384"/>
      <c r="GUK54" s="384"/>
      <c r="GUL54" s="384"/>
      <c r="GUM54" s="384"/>
      <c r="GUN54" s="384"/>
      <c r="GUO54" s="384"/>
      <c r="GUP54" s="384"/>
      <c r="GUQ54" s="384"/>
      <c r="GUR54" s="384"/>
      <c r="GUS54" s="384"/>
      <c r="GUT54" s="384"/>
      <c r="GUU54" s="384"/>
      <c r="GUV54" s="384"/>
      <c r="GUW54" s="384"/>
      <c r="GUX54" s="384"/>
      <c r="GUY54" s="384"/>
      <c r="GUZ54" s="384"/>
      <c r="GVA54" s="384"/>
      <c r="GVB54" s="384"/>
      <c r="GVC54" s="384"/>
      <c r="GVD54" s="384"/>
      <c r="GVE54" s="384"/>
      <c r="GVF54" s="384"/>
      <c r="GVG54" s="384"/>
      <c r="GVH54" s="384"/>
      <c r="GVI54" s="384"/>
      <c r="GVJ54" s="384"/>
      <c r="GVK54" s="384"/>
      <c r="GVL54" s="384"/>
      <c r="GVM54" s="384"/>
      <c r="GVN54" s="384"/>
      <c r="GVO54" s="384"/>
      <c r="GVP54" s="384"/>
      <c r="GVQ54" s="384"/>
      <c r="GVR54" s="384"/>
      <c r="GVS54" s="384"/>
      <c r="GVT54" s="384"/>
      <c r="GVU54" s="384"/>
      <c r="GVV54" s="384"/>
      <c r="GVW54" s="384"/>
      <c r="GVX54" s="384"/>
      <c r="GVY54" s="384"/>
      <c r="GVZ54" s="384"/>
      <c r="GWA54" s="384"/>
      <c r="GWB54" s="384"/>
      <c r="GWC54" s="384"/>
      <c r="GWD54" s="384"/>
      <c r="GWE54" s="384"/>
      <c r="GWF54" s="384"/>
      <c r="GWG54" s="384"/>
      <c r="GWH54" s="384"/>
      <c r="GWI54" s="384"/>
      <c r="GWJ54" s="384"/>
      <c r="GWK54" s="384"/>
      <c r="GWL54" s="384"/>
      <c r="GWM54" s="384"/>
      <c r="GWN54" s="384"/>
      <c r="GWO54" s="384"/>
      <c r="GWP54" s="384"/>
      <c r="GWQ54" s="384"/>
      <c r="GWR54" s="384"/>
      <c r="GWS54" s="384"/>
      <c r="GWT54" s="384"/>
      <c r="GWU54" s="384"/>
      <c r="GWV54" s="384"/>
      <c r="GWW54" s="384"/>
      <c r="GWX54" s="384"/>
      <c r="GWY54" s="384"/>
      <c r="GWZ54" s="384"/>
      <c r="GXA54" s="384"/>
      <c r="GXB54" s="384"/>
      <c r="GXC54" s="384"/>
      <c r="GXD54" s="384"/>
      <c r="GXE54" s="384"/>
      <c r="GXF54" s="384"/>
      <c r="GXG54" s="384"/>
      <c r="GXH54" s="384"/>
      <c r="GXI54" s="384"/>
      <c r="GXJ54" s="384"/>
      <c r="GXK54" s="384"/>
      <c r="GXL54" s="384"/>
      <c r="GXM54" s="384"/>
      <c r="GXN54" s="384"/>
      <c r="GXO54" s="384"/>
      <c r="GXP54" s="384"/>
      <c r="GXQ54" s="384"/>
      <c r="GXR54" s="384"/>
      <c r="GXS54" s="384"/>
      <c r="GXT54" s="384"/>
      <c r="GXU54" s="384"/>
      <c r="GXV54" s="384"/>
      <c r="GXW54" s="384"/>
      <c r="GXX54" s="384"/>
      <c r="GXY54" s="384"/>
      <c r="GXZ54" s="384"/>
      <c r="GYA54" s="384"/>
      <c r="GYB54" s="384"/>
      <c r="GYC54" s="384"/>
      <c r="GYD54" s="384"/>
      <c r="GYE54" s="384"/>
      <c r="GYF54" s="384"/>
      <c r="GYG54" s="384"/>
      <c r="GYH54" s="384"/>
      <c r="GYI54" s="384"/>
      <c r="GYJ54" s="384"/>
      <c r="GYK54" s="384"/>
      <c r="GYL54" s="384"/>
      <c r="GYM54" s="384"/>
      <c r="GYN54" s="384"/>
      <c r="GYO54" s="384"/>
      <c r="GYP54" s="384"/>
      <c r="GYQ54" s="384"/>
      <c r="GYR54" s="384"/>
      <c r="GYS54" s="384"/>
      <c r="GYT54" s="384"/>
      <c r="GYU54" s="384"/>
      <c r="GYV54" s="384"/>
      <c r="GYW54" s="384"/>
      <c r="GYX54" s="384"/>
      <c r="GYY54" s="384"/>
      <c r="GYZ54" s="384"/>
      <c r="GZA54" s="384"/>
      <c r="GZB54" s="384"/>
      <c r="GZC54" s="384"/>
      <c r="GZD54" s="384"/>
      <c r="GZE54" s="384"/>
      <c r="GZF54" s="384"/>
      <c r="GZG54" s="384"/>
      <c r="GZH54" s="384"/>
      <c r="GZI54" s="384"/>
      <c r="GZJ54" s="384"/>
      <c r="GZK54" s="384"/>
      <c r="GZL54" s="384"/>
      <c r="GZM54" s="384"/>
      <c r="GZN54" s="384"/>
      <c r="GZO54" s="384"/>
      <c r="GZP54" s="384"/>
      <c r="GZQ54" s="384"/>
      <c r="GZR54" s="384"/>
      <c r="GZS54" s="384"/>
      <c r="GZT54" s="384"/>
      <c r="GZU54" s="384"/>
      <c r="GZV54" s="384"/>
      <c r="GZW54" s="384"/>
      <c r="GZX54" s="384"/>
      <c r="GZY54" s="384"/>
      <c r="GZZ54" s="384"/>
      <c r="HAA54" s="384"/>
      <c r="HAB54" s="384"/>
      <c r="HAC54" s="384"/>
      <c r="HAD54" s="384"/>
      <c r="HAE54" s="384"/>
      <c r="HAF54" s="384"/>
      <c r="HAG54" s="384"/>
      <c r="HAH54" s="384"/>
      <c r="HAI54" s="384"/>
      <c r="HAJ54" s="384"/>
      <c r="HAK54" s="384"/>
      <c r="HAL54" s="384"/>
      <c r="HAM54" s="384"/>
      <c r="HAN54" s="384"/>
      <c r="HAO54" s="384"/>
      <c r="HAP54" s="384"/>
      <c r="HAQ54" s="384"/>
      <c r="HAR54" s="384"/>
      <c r="HAS54" s="384"/>
      <c r="HAT54" s="384"/>
      <c r="HAU54" s="384"/>
      <c r="HAV54" s="384"/>
      <c r="HAW54" s="384"/>
      <c r="HAX54" s="384"/>
      <c r="HAY54" s="384"/>
      <c r="HAZ54" s="384"/>
      <c r="HBA54" s="384"/>
      <c r="HBB54" s="384"/>
      <c r="HBC54" s="384"/>
      <c r="HBD54" s="384"/>
      <c r="HBE54" s="384"/>
      <c r="HBF54" s="384"/>
      <c r="HBG54" s="384"/>
      <c r="HBH54" s="384"/>
      <c r="HBI54" s="384"/>
      <c r="HBJ54" s="384"/>
      <c r="HBK54" s="384"/>
      <c r="HBL54" s="384"/>
      <c r="HBM54" s="384"/>
      <c r="HBN54" s="384"/>
      <c r="HBO54" s="384"/>
      <c r="HBP54" s="384"/>
      <c r="HBQ54" s="384"/>
      <c r="HBR54" s="384"/>
      <c r="HBS54" s="384"/>
      <c r="HBT54" s="384"/>
      <c r="HBU54" s="384"/>
      <c r="HBV54" s="384"/>
      <c r="HBW54" s="384"/>
      <c r="HBX54" s="384"/>
      <c r="HBY54" s="384"/>
      <c r="HBZ54" s="384"/>
      <c r="HCA54" s="384"/>
      <c r="HCB54" s="384"/>
      <c r="HCC54" s="384"/>
      <c r="HCD54" s="384"/>
      <c r="HCE54" s="384"/>
      <c r="HCF54" s="384"/>
      <c r="HCG54" s="384"/>
      <c r="HCH54" s="384"/>
      <c r="HCI54" s="384"/>
      <c r="HCJ54" s="384"/>
      <c r="HCK54" s="384"/>
      <c r="HCL54" s="384"/>
      <c r="HCM54" s="384"/>
      <c r="HCN54" s="384"/>
      <c r="HCO54" s="384"/>
      <c r="HCP54" s="384"/>
      <c r="HCQ54" s="384"/>
      <c r="HCR54" s="384"/>
      <c r="HCS54" s="384"/>
      <c r="HCT54" s="384"/>
      <c r="HCU54" s="384"/>
      <c r="HCV54" s="384"/>
      <c r="HCW54" s="384"/>
      <c r="HCX54" s="384"/>
      <c r="HCY54" s="384"/>
      <c r="HCZ54" s="384"/>
      <c r="HDA54" s="384"/>
      <c r="HDB54" s="384"/>
      <c r="HDC54" s="384"/>
      <c r="HDD54" s="384"/>
      <c r="HDE54" s="384"/>
      <c r="HDF54" s="384"/>
      <c r="HDG54" s="384"/>
      <c r="HDH54" s="384"/>
      <c r="HDI54" s="384"/>
      <c r="HDJ54" s="384"/>
      <c r="HDK54" s="384"/>
      <c r="HDL54" s="384"/>
      <c r="HDM54" s="384"/>
      <c r="HDN54" s="384"/>
      <c r="HDO54" s="384"/>
      <c r="HDP54" s="384"/>
      <c r="HDQ54" s="384"/>
      <c r="HDR54" s="384"/>
      <c r="HDS54" s="384"/>
      <c r="HDT54" s="384"/>
      <c r="HDU54" s="384"/>
      <c r="HDV54" s="384"/>
      <c r="HDW54" s="384"/>
      <c r="HDX54" s="384"/>
      <c r="HDY54" s="384"/>
      <c r="HDZ54" s="384"/>
      <c r="HEA54" s="384"/>
      <c r="HEB54" s="384"/>
      <c r="HEC54" s="384"/>
      <c r="HED54" s="384"/>
      <c r="HEE54" s="384"/>
      <c r="HEF54" s="384"/>
      <c r="HEG54" s="384"/>
      <c r="HEH54" s="384"/>
      <c r="HEI54" s="384"/>
      <c r="HEJ54" s="384"/>
      <c r="HEK54" s="384"/>
      <c r="HEL54" s="384"/>
      <c r="HEM54" s="384"/>
      <c r="HEN54" s="384"/>
      <c r="HEO54" s="384"/>
      <c r="HEP54" s="384"/>
      <c r="HEQ54" s="384"/>
      <c r="HER54" s="384"/>
      <c r="HES54" s="384"/>
      <c r="HET54" s="384"/>
      <c r="HEU54" s="384"/>
      <c r="HEV54" s="384"/>
      <c r="HEW54" s="384"/>
      <c r="HEX54" s="384"/>
      <c r="HEY54" s="384"/>
      <c r="HEZ54" s="384"/>
      <c r="HFA54" s="384"/>
      <c r="HFB54" s="384"/>
      <c r="HFC54" s="384"/>
      <c r="HFD54" s="384"/>
      <c r="HFE54" s="384"/>
      <c r="HFF54" s="384"/>
      <c r="HFG54" s="384"/>
      <c r="HFH54" s="384"/>
      <c r="HFI54" s="384"/>
      <c r="HFJ54" s="384"/>
      <c r="HFK54" s="384"/>
      <c r="HFL54" s="384"/>
      <c r="HFM54" s="384"/>
      <c r="HFN54" s="384"/>
      <c r="HFO54" s="384"/>
      <c r="HFP54" s="384"/>
      <c r="HFQ54" s="384"/>
      <c r="HFR54" s="384"/>
      <c r="HFS54" s="384"/>
      <c r="HFT54" s="384"/>
      <c r="HFU54" s="384"/>
      <c r="HFV54" s="384"/>
      <c r="HFW54" s="384"/>
      <c r="HFX54" s="384"/>
      <c r="HFY54" s="384"/>
      <c r="HFZ54" s="384"/>
      <c r="HGA54" s="384"/>
      <c r="HGB54" s="384"/>
      <c r="HGC54" s="384"/>
      <c r="HGD54" s="384"/>
      <c r="HGE54" s="384"/>
      <c r="HGF54" s="384"/>
      <c r="HGG54" s="384"/>
      <c r="HGH54" s="384"/>
      <c r="HGI54" s="384"/>
      <c r="HGJ54" s="384"/>
      <c r="HGK54" s="384"/>
      <c r="HGL54" s="384"/>
      <c r="HGM54" s="384"/>
      <c r="HGN54" s="384"/>
      <c r="HGO54" s="384"/>
      <c r="HGP54" s="384"/>
      <c r="HGQ54" s="384"/>
      <c r="HGR54" s="384"/>
      <c r="HGS54" s="384"/>
      <c r="HGT54" s="384"/>
      <c r="HGU54" s="384"/>
      <c r="HGV54" s="384"/>
      <c r="HGW54" s="384"/>
      <c r="HGX54" s="384"/>
      <c r="HGY54" s="384"/>
      <c r="HGZ54" s="384"/>
      <c r="HHA54" s="384"/>
      <c r="HHB54" s="384"/>
      <c r="HHC54" s="384"/>
      <c r="HHD54" s="384"/>
      <c r="HHE54" s="384"/>
      <c r="HHF54" s="384"/>
      <c r="HHG54" s="384"/>
      <c r="HHH54" s="384"/>
      <c r="HHI54" s="384"/>
      <c r="HHJ54" s="384"/>
      <c r="HHK54" s="384"/>
      <c r="HHL54" s="384"/>
      <c r="HHM54" s="384"/>
      <c r="HHN54" s="384"/>
      <c r="HHO54" s="384"/>
      <c r="HHP54" s="384"/>
      <c r="HHQ54" s="384"/>
      <c r="HHR54" s="384"/>
      <c r="HHS54" s="384"/>
      <c r="HHT54" s="384"/>
      <c r="HHU54" s="384"/>
      <c r="HHV54" s="384"/>
      <c r="HHW54" s="384"/>
      <c r="HHX54" s="384"/>
      <c r="HHY54" s="384"/>
      <c r="HHZ54" s="384"/>
      <c r="HIA54" s="384"/>
      <c r="HIB54" s="384"/>
      <c r="HIC54" s="384"/>
      <c r="HID54" s="384"/>
      <c r="HIE54" s="384"/>
      <c r="HIF54" s="384"/>
      <c r="HIG54" s="384"/>
      <c r="HIH54" s="384"/>
      <c r="HII54" s="384"/>
      <c r="HIJ54" s="384"/>
      <c r="HIK54" s="384"/>
      <c r="HIL54" s="384"/>
      <c r="HIM54" s="384"/>
      <c r="HIN54" s="384"/>
      <c r="HIO54" s="384"/>
      <c r="HIP54" s="384"/>
      <c r="HIQ54" s="384"/>
      <c r="HIR54" s="384"/>
      <c r="HIS54" s="384"/>
      <c r="HIT54" s="384"/>
      <c r="HIU54" s="384"/>
      <c r="HIV54" s="384"/>
      <c r="HIW54" s="384"/>
      <c r="HIX54" s="384"/>
      <c r="HIY54" s="384"/>
      <c r="HIZ54" s="384"/>
      <c r="HJA54" s="384"/>
      <c r="HJB54" s="384"/>
      <c r="HJC54" s="384"/>
      <c r="HJD54" s="384"/>
      <c r="HJE54" s="384"/>
      <c r="HJF54" s="384"/>
      <c r="HJG54" s="384"/>
      <c r="HJH54" s="384"/>
      <c r="HJI54" s="384"/>
      <c r="HJJ54" s="384"/>
      <c r="HJK54" s="384"/>
      <c r="HJL54" s="384"/>
      <c r="HJM54" s="384"/>
      <c r="HJN54" s="384"/>
      <c r="HJO54" s="384"/>
      <c r="HJP54" s="384"/>
      <c r="HJQ54" s="384"/>
      <c r="HJR54" s="384"/>
      <c r="HJS54" s="384"/>
      <c r="HJT54" s="384"/>
      <c r="HJU54" s="384"/>
      <c r="HJV54" s="384"/>
      <c r="HJW54" s="384"/>
      <c r="HJX54" s="384"/>
      <c r="HJY54" s="384"/>
      <c r="HJZ54" s="384"/>
      <c r="HKA54" s="384"/>
      <c r="HKB54" s="384"/>
      <c r="HKC54" s="384"/>
      <c r="HKD54" s="384"/>
      <c r="HKE54" s="384"/>
      <c r="HKF54" s="384"/>
      <c r="HKG54" s="384"/>
      <c r="HKH54" s="384"/>
      <c r="HKI54" s="384"/>
      <c r="HKJ54" s="384"/>
      <c r="HKK54" s="384"/>
      <c r="HKL54" s="384"/>
      <c r="HKM54" s="384"/>
      <c r="HKN54" s="384"/>
      <c r="HKO54" s="384"/>
      <c r="HKP54" s="384"/>
      <c r="HKQ54" s="384"/>
      <c r="HKR54" s="384"/>
      <c r="HKS54" s="384"/>
      <c r="HKT54" s="384"/>
      <c r="HKU54" s="384"/>
      <c r="HKV54" s="384"/>
      <c r="HKW54" s="384"/>
      <c r="HKX54" s="384"/>
      <c r="HKY54" s="384"/>
      <c r="HKZ54" s="384"/>
      <c r="HLA54" s="384"/>
      <c r="HLB54" s="384"/>
      <c r="HLC54" s="384"/>
      <c r="HLD54" s="384"/>
      <c r="HLE54" s="384"/>
      <c r="HLF54" s="384"/>
      <c r="HLG54" s="384"/>
      <c r="HLH54" s="384"/>
      <c r="HLI54" s="384"/>
      <c r="HLJ54" s="384"/>
      <c r="HLK54" s="384"/>
      <c r="HLL54" s="384"/>
      <c r="HLM54" s="384"/>
      <c r="HLN54" s="384"/>
      <c r="HLO54" s="384"/>
      <c r="HLP54" s="384"/>
      <c r="HLQ54" s="384"/>
      <c r="HLR54" s="384"/>
      <c r="HLS54" s="384"/>
      <c r="HLT54" s="384"/>
      <c r="HLU54" s="384"/>
      <c r="HLV54" s="384"/>
      <c r="HLW54" s="384"/>
      <c r="HLX54" s="384"/>
      <c r="HLY54" s="384"/>
      <c r="HLZ54" s="384"/>
      <c r="HMA54" s="384"/>
      <c r="HMB54" s="384"/>
      <c r="HMC54" s="384"/>
      <c r="HMD54" s="384"/>
      <c r="HME54" s="384"/>
      <c r="HMF54" s="384"/>
      <c r="HMG54" s="384"/>
      <c r="HMH54" s="384"/>
      <c r="HMI54" s="384"/>
      <c r="HMJ54" s="384"/>
      <c r="HMK54" s="384"/>
      <c r="HML54" s="384"/>
      <c r="HMM54" s="384"/>
      <c r="HMN54" s="384"/>
      <c r="HMO54" s="384"/>
      <c r="HMP54" s="384"/>
      <c r="HMQ54" s="384"/>
      <c r="HMR54" s="384"/>
      <c r="HMS54" s="384"/>
      <c r="HMT54" s="384"/>
      <c r="HMU54" s="384"/>
      <c r="HMV54" s="384"/>
      <c r="HMW54" s="384"/>
      <c r="HMX54" s="384"/>
      <c r="HMY54" s="384"/>
      <c r="HMZ54" s="384"/>
      <c r="HNA54" s="384"/>
      <c r="HNB54" s="384"/>
      <c r="HNC54" s="384"/>
      <c r="HND54" s="384"/>
      <c r="HNE54" s="384"/>
      <c r="HNF54" s="384"/>
      <c r="HNG54" s="384"/>
      <c r="HNH54" s="384"/>
      <c r="HNI54" s="384"/>
      <c r="HNJ54" s="384"/>
      <c r="HNK54" s="384"/>
      <c r="HNL54" s="384"/>
      <c r="HNM54" s="384"/>
      <c r="HNN54" s="384"/>
      <c r="HNO54" s="384"/>
      <c r="HNP54" s="384"/>
      <c r="HNQ54" s="384"/>
      <c r="HNR54" s="384"/>
      <c r="HNS54" s="384"/>
      <c r="HNT54" s="384"/>
      <c r="HNU54" s="384"/>
      <c r="HNV54" s="384"/>
      <c r="HNW54" s="384"/>
      <c r="HNX54" s="384"/>
      <c r="HNY54" s="384"/>
      <c r="HNZ54" s="384"/>
      <c r="HOA54" s="384"/>
      <c r="HOB54" s="384"/>
      <c r="HOC54" s="384"/>
      <c r="HOD54" s="384"/>
      <c r="HOE54" s="384"/>
      <c r="HOF54" s="384"/>
      <c r="HOG54" s="384"/>
      <c r="HOH54" s="384"/>
      <c r="HOI54" s="384"/>
      <c r="HOJ54" s="384"/>
      <c r="HOK54" s="384"/>
      <c r="HOL54" s="384"/>
      <c r="HOM54" s="384"/>
      <c r="HON54" s="384"/>
      <c r="HOO54" s="384"/>
      <c r="HOP54" s="384"/>
      <c r="HOQ54" s="384"/>
      <c r="HOR54" s="384"/>
      <c r="HOS54" s="384"/>
      <c r="HOT54" s="384"/>
      <c r="HOU54" s="384"/>
      <c r="HOV54" s="384"/>
      <c r="HOW54" s="384"/>
      <c r="HOX54" s="384"/>
      <c r="HOY54" s="384"/>
      <c r="HOZ54" s="384"/>
      <c r="HPA54" s="384"/>
      <c r="HPB54" s="384"/>
      <c r="HPC54" s="384"/>
      <c r="HPD54" s="384"/>
      <c r="HPE54" s="384"/>
      <c r="HPF54" s="384"/>
      <c r="HPG54" s="384"/>
      <c r="HPH54" s="384"/>
      <c r="HPI54" s="384"/>
      <c r="HPJ54" s="384"/>
      <c r="HPK54" s="384"/>
      <c r="HPL54" s="384"/>
      <c r="HPM54" s="384"/>
      <c r="HPN54" s="384"/>
      <c r="HPO54" s="384"/>
      <c r="HPP54" s="384"/>
      <c r="HPQ54" s="384"/>
      <c r="HPR54" s="384"/>
      <c r="HPS54" s="384"/>
      <c r="HPT54" s="384"/>
      <c r="HPU54" s="384"/>
      <c r="HPV54" s="384"/>
      <c r="HPW54" s="384"/>
      <c r="HPX54" s="384"/>
      <c r="HPY54" s="384"/>
      <c r="HPZ54" s="384"/>
      <c r="HQA54" s="384"/>
      <c r="HQB54" s="384"/>
      <c r="HQC54" s="384"/>
      <c r="HQD54" s="384"/>
      <c r="HQE54" s="384"/>
      <c r="HQF54" s="384"/>
      <c r="HQG54" s="384"/>
      <c r="HQH54" s="384"/>
      <c r="HQI54" s="384"/>
      <c r="HQJ54" s="384"/>
      <c r="HQK54" s="384"/>
      <c r="HQL54" s="384"/>
      <c r="HQM54" s="384"/>
      <c r="HQN54" s="384"/>
      <c r="HQO54" s="384"/>
      <c r="HQP54" s="384"/>
      <c r="HQQ54" s="384"/>
      <c r="HQR54" s="384"/>
      <c r="HQS54" s="384"/>
      <c r="HQT54" s="384"/>
      <c r="HQU54" s="384"/>
      <c r="HQV54" s="384"/>
      <c r="HQW54" s="384"/>
      <c r="HQX54" s="384"/>
      <c r="HQY54" s="384"/>
      <c r="HQZ54" s="384"/>
      <c r="HRA54" s="384"/>
      <c r="HRB54" s="384"/>
      <c r="HRC54" s="384"/>
      <c r="HRD54" s="384"/>
      <c r="HRE54" s="384"/>
      <c r="HRF54" s="384"/>
      <c r="HRG54" s="384"/>
      <c r="HRH54" s="384"/>
      <c r="HRI54" s="384"/>
      <c r="HRJ54" s="384"/>
      <c r="HRK54" s="384"/>
      <c r="HRL54" s="384"/>
      <c r="HRM54" s="384"/>
      <c r="HRN54" s="384"/>
      <c r="HRO54" s="384"/>
      <c r="HRP54" s="384"/>
      <c r="HRQ54" s="384"/>
      <c r="HRR54" s="384"/>
      <c r="HRS54" s="384"/>
      <c r="HRT54" s="384"/>
      <c r="HRU54" s="384"/>
      <c r="HRV54" s="384"/>
      <c r="HRW54" s="384"/>
      <c r="HRX54" s="384"/>
      <c r="HRY54" s="384"/>
      <c r="HRZ54" s="384"/>
      <c r="HSA54" s="384"/>
      <c r="HSB54" s="384"/>
      <c r="HSC54" s="384"/>
      <c r="HSD54" s="384"/>
      <c r="HSE54" s="384"/>
      <c r="HSF54" s="384"/>
      <c r="HSG54" s="384"/>
      <c r="HSH54" s="384"/>
      <c r="HSI54" s="384"/>
      <c r="HSJ54" s="384"/>
      <c r="HSK54" s="384"/>
      <c r="HSL54" s="384"/>
      <c r="HSM54" s="384"/>
      <c r="HSN54" s="384"/>
      <c r="HSO54" s="384"/>
      <c r="HSP54" s="384"/>
      <c r="HSQ54" s="384"/>
      <c r="HSR54" s="384"/>
      <c r="HSS54" s="384"/>
      <c r="HST54" s="384"/>
      <c r="HSU54" s="384"/>
      <c r="HSV54" s="384"/>
      <c r="HSW54" s="384"/>
      <c r="HSX54" s="384"/>
      <c r="HSY54" s="384"/>
      <c r="HSZ54" s="384"/>
      <c r="HTA54" s="384"/>
      <c r="HTB54" s="384"/>
      <c r="HTC54" s="384"/>
      <c r="HTD54" s="384"/>
      <c r="HTE54" s="384"/>
      <c r="HTF54" s="384"/>
      <c r="HTG54" s="384"/>
      <c r="HTH54" s="384"/>
      <c r="HTI54" s="384"/>
      <c r="HTJ54" s="384"/>
      <c r="HTK54" s="384"/>
      <c r="HTL54" s="384"/>
      <c r="HTM54" s="384"/>
      <c r="HTN54" s="384"/>
      <c r="HTO54" s="384"/>
      <c r="HTP54" s="384"/>
      <c r="HTQ54" s="384"/>
      <c r="HTR54" s="384"/>
      <c r="HTS54" s="384"/>
      <c r="HTT54" s="384"/>
      <c r="HTU54" s="384"/>
      <c r="HTV54" s="384"/>
      <c r="HTW54" s="384"/>
      <c r="HTX54" s="384"/>
      <c r="HTY54" s="384"/>
      <c r="HTZ54" s="384"/>
      <c r="HUA54" s="384"/>
      <c r="HUB54" s="384"/>
      <c r="HUC54" s="384"/>
      <c r="HUD54" s="384"/>
      <c r="HUE54" s="384"/>
      <c r="HUF54" s="384"/>
      <c r="HUG54" s="384"/>
      <c r="HUH54" s="384"/>
      <c r="HUI54" s="384"/>
      <c r="HUJ54" s="384"/>
      <c r="HUK54" s="384"/>
      <c r="HUL54" s="384"/>
      <c r="HUM54" s="384"/>
      <c r="HUN54" s="384"/>
      <c r="HUO54" s="384"/>
      <c r="HUP54" s="384"/>
      <c r="HUQ54" s="384"/>
      <c r="HUR54" s="384"/>
      <c r="HUS54" s="384"/>
      <c r="HUT54" s="384"/>
      <c r="HUU54" s="384"/>
      <c r="HUV54" s="384"/>
      <c r="HUW54" s="384"/>
      <c r="HUX54" s="384"/>
      <c r="HUY54" s="384"/>
      <c r="HUZ54" s="384"/>
      <c r="HVA54" s="384"/>
      <c r="HVB54" s="384"/>
      <c r="HVC54" s="384"/>
      <c r="HVD54" s="384"/>
      <c r="HVE54" s="384"/>
      <c r="HVF54" s="384"/>
      <c r="HVG54" s="384"/>
      <c r="HVH54" s="384"/>
      <c r="HVI54" s="384"/>
      <c r="HVJ54" s="384"/>
      <c r="HVK54" s="384"/>
      <c r="HVL54" s="384"/>
      <c r="HVM54" s="384"/>
      <c r="HVN54" s="384"/>
      <c r="HVO54" s="384"/>
      <c r="HVP54" s="384"/>
      <c r="HVQ54" s="384"/>
      <c r="HVR54" s="384"/>
      <c r="HVS54" s="384"/>
      <c r="HVT54" s="384"/>
      <c r="HVU54" s="384"/>
      <c r="HVV54" s="384"/>
      <c r="HVW54" s="384"/>
      <c r="HVX54" s="384"/>
      <c r="HVY54" s="384"/>
      <c r="HVZ54" s="384"/>
      <c r="HWA54" s="384"/>
      <c r="HWB54" s="384"/>
      <c r="HWC54" s="384"/>
      <c r="HWD54" s="384"/>
      <c r="HWE54" s="384"/>
      <c r="HWF54" s="384"/>
      <c r="HWG54" s="384"/>
      <c r="HWH54" s="384"/>
      <c r="HWI54" s="384"/>
      <c r="HWJ54" s="384"/>
      <c r="HWK54" s="384"/>
      <c r="HWL54" s="384"/>
      <c r="HWM54" s="384"/>
      <c r="HWN54" s="384"/>
      <c r="HWO54" s="384"/>
      <c r="HWP54" s="384"/>
      <c r="HWQ54" s="384"/>
      <c r="HWR54" s="384"/>
      <c r="HWS54" s="384"/>
      <c r="HWT54" s="384"/>
      <c r="HWU54" s="384"/>
      <c r="HWV54" s="384"/>
      <c r="HWW54" s="384"/>
      <c r="HWX54" s="384"/>
      <c r="HWY54" s="384"/>
      <c r="HWZ54" s="384"/>
      <c r="HXA54" s="384"/>
      <c r="HXB54" s="384"/>
      <c r="HXC54" s="384"/>
      <c r="HXD54" s="384"/>
      <c r="HXE54" s="384"/>
      <c r="HXF54" s="384"/>
      <c r="HXG54" s="384"/>
      <c r="HXH54" s="384"/>
      <c r="HXI54" s="384"/>
      <c r="HXJ54" s="384"/>
      <c r="HXK54" s="384"/>
      <c r="HXL54" s="384"/>
      <c r="HXM54" s="384"/>
      <c r="HXN54" s="384"/>
      <c r="HXO54" s="384"/>
      <c r="HXP54" s="384"/>
      <c r="HXQ54" s="384"/>
      <c r="HXR54" s="384"/>
      <c r="HXS54" s="384"/>
      <c r="HXT54" s="384"/>
      <c r="HXU54" s="384"/>
      <c r="HXV54" s="384"/>
      <c r="HXW54" s="384"/>
      <c r="HXX54" s="384"/>
      <c r="HXY54" s="384"/>
      <c r="HXZ54" s="384"/>
      <c r="HYA54" s="384"/>
      <c r="HYB54" s="384"/>
      <c r="HYC54" s="384"/>
      <c r="HYD54" s="384"/>
      <c r="HYE54" s="384"/>
      <c r="HYF54" s="384"/>
      <c r="HYG54" s="384"/>
      <c r="HYH54" s="384"/>
      <c r="HYI54" s="384"/>
      <c r="HYJ54" s="384"/>
      <c r="HYK54" s="384"/>
      <c r="HYL54" s="384"/>
      <c r="HYM54" s="384"/>
      <c r="HYN54" s="384"/>
      <c r="HYO54" s="384"/>
      <c r="HYP54" s="384"/>
      <c r="HYQ54" s="384"/>
      <c r="HYR54" s="384"/>
      <c r="HYS54" s="384"/>
      <c r="HYT54" s="384"/>
      <c r="HYU54" s="384"/>
      <c r="HYV54" s="384"/>
      <c r="HYW54" s="384"/>
      <c r="HYX54" s="384"/>
      <c r="HYY54" s="384"/>
      <c r="HYZ54" s="384"/>
      <c r="HZA54" s="384"/>
      <c r="HZB54" s="384"/>
      <c r="HZC54" s="384"/>
      <c r="HZD54" s="384"/>
      <c r="HZE54" s="384"/>
      <c r="HZF54" s="384"/>
      <c r="HZG54" s="384"/>
      <c r="HZH54" s="384"/>
      <c r="HZI54" s="384"/>
      <c r="HZJ54" s="384"/>
      <c r="HZK54" s="384"/>
      <c r="HZL54" s="384"/>
      <c r="HZM54" s="384"/>
      <c r="HZN54" s="384"/>
      <c r="HZO54" s="384"/>
      <c r="HZP54" s="384"/>
      <c r="HZQ54" s="384"/>
      <c r="HZR54" s="384"/>
      <c r="HZS54" s="384"/>
      <c r="HZT54" s="384"/>
      <c r="HZU54" s="384"/>
      <c r="HZV54" s="384"/>
      <c r="HZW54" s="384"/>
      <c r="HZX54" s="384"/>
      <c r="HZY54" s="384"/>
      <c r="HZZ54" s="384"/>
      <c r="IAA54" s="384"/>
      <c r="IAB54" s="384"/>
      <c r="IAC54" s="384"/>
      <c r="IAD54" s="384"/>
      <c r="IAE54" s="384"/>
      <c r="IAF54" s="384"/>
      <c r="IAG54" s="384"/>
      <c r="IAH54" s="384"/>
      <c r="IAI54" s="384"/>
      <c r="IAJ54" s="384"/>
      <c r="IAK54" s="384"/>
      <c r="IAL54" s="384"/>
      <c r="IAM54" s="384"/>
      <c r="IAN54" s="384"/>
      <c r="IAO54" s="384"/>
      <c r="IAP54" s="384"/>
      <c r="IAQ54" s="384"/>
      <c r="IAR54" s="384"/>
      <c r="IAS54" s="384"/>
      <c r="IAT54" s="384"/>
      <c r="IAU54" s="384"/>
      <c r="IAV54" s="384"/>
      <c r="IAW54" s="384"/>
      <c r="IAX54" s="384"/>
      <c r="IAY54" s="384"/>
      <c r="IAZ54" s="384"/>
      <c r="IBA54" s="384"/>
      <c r="IBB54" s="384"/>
      <c r="IBC54" s="384"/>
      <c r="IBD54" s="384"/>
      <c r="IBE54" s="384"/>
      <c r="IBF54" s="384"/>
      <c r="IBG54" s="384"/>
      <c r="IBH54" s="384"/>
      <c r="IBI54" s="384"/>
      <c r="IBJ54" s="384"/>
      <c r="IBK54" s="384"/>
      <c r="IBL54" s="384"/>
      <c r="IBM54" s="384"/>
      <c r="IBN54" s="384"/>
      <c r="IBO54" s="384"/>
      <c r="IBP54" s="384"/>
      <c r="IBQ54" s="384"/>
      <c r="IBR54" s="384"/>
      <c r="IBS54" s="384"/>
      <c r="IBT54" s="384"/>
      <c r="IBU54" s="384"/>
      <c r="IBV54" s="384"/>
      <c r="IBW54" s="384"/>
      <c r="IBX54" s="384"/>
      <c r="IBY54" s="384"/>
      <c r="IBZ54" s="384"/>
      <c r="ICA54" s="384"/>
      <c r="ICB54" s="384"/>
      <c r="ICC54" s="384"/>
      <c r="ICD54" s="384"/>
      <c r="ICE54" s="384"/>
      <c r="ICF54" s="384"/>
      <c r="ICG54" s="384"/>
      <c r="ICH54" s="384"/>
      <c r="ICI54" s="384"/>
      <c r="ICJ54" s="384"/>
      <c r="ICK54" s="384"/>
      <c r="ICL54" s="384"/>
      <c r="ICM54" s="384"/>
      <c r="ICN54" s="384"/>
      <c r="ICO54" s="384"/>
      <c r="ICP54" s="384"/>
      <c r="ICQ54" s="384"/>
      <c r="ICR54" s="384"/>
      <c r="ICS54" s="384"/>
      <c r="ICT54" s="384"/>
      <c r="ICU54" s="384"/>
      <c r="ICV54" s="384"/>
      <c r="ICW54" s="384"/>
      <c r="ICX54" s="384"/>
      <c r="ICY54" s="384"/>
      <c r="ICZ54" s="384"/>
      <c r="IDA54" s="384"/>
      <c r="IDB54" s="384"/>
      <c r="IDC54" s="384"/>
      <c r="IDD54" s="384"/>
      <c r="IDE54" s="384"/>
      <c r="IDF54" s="384"/>
      <c r="IDG54" s="384"/>
      <c r="IDH54" s="384"/>
      <c r="IDI54" s="384"/>
      <c r="IDJ54" s="384"/>
      <c r="IDK54" s="384"/>
      <c r="IDL54" s="384"/>
      <c r="IDM54" s="384"/>
      <c r="IDN54" s="384"/>
      <c r="IDO54" s="384"/>
      <c r="IDP54" s="384"/>
      <c r="IDQ54" s="384"/>
      <c r="IDR54" s="384"/>
      <c r="IDS54" s="384"/>
      <c r="IDT54" s="384"/>
      <c r="IDU54" s="384"/>
      <c r="IDV54" s="384"/>
      <c r="IDW54" s="384"/>
      <c r="IDX54" s="384"/>
      <c r="IDY54" s="384"/>
      <c r="IDZ54" s="384"/>
      <c r="IEA54" s="384"/>
      <c r="IEB54" s="384"/>
      <c r="IEC54" s="384"/>
      <c r="IED54" s="384"/>
      <c r="IEE54" s="384"/>
      <c r="IEF54" s="384"/>
      <c r="IEG54" s="384"/>
      <c r="IEH54" s="384"/>
      <c r="IEI54" s="384"/>
      <c r="IEJ54" s="384"/>
      <c r="IEK54" s="384"/>
      <c r="IEL54" s="384"/>
      <c r="IEM54" s="384"/>
      <c r="IEN54" s="384"/>
      <c r="IEO54" s="384"/>
      <c r="IEP54" s="384"/>
      <c r="IEQ54" s="384"/>
      <c r="IER54" s="384"/>
      <c r="IES54" s="384"/>
      <c r="IET54" s="384"/>
      <c r="IEU54" s="384"/>
      <c r="IEV54" s="384"/>
      <c r="IEW54" s="384"/>
      <c r="IEX54" s="384"/>
      <c r="IEY54" s="384"/>
      <c r="IEZ54" s="384"/>
      <c r="IFA54" s="384"/>
      <c r="IFB54" s="384"/>
      <c r="IFC54" s="384"/>
      <c r="IFD54" s="384"/>
      <c r="IFE54" s="384"/>
      <c r="IFF54" s="384"/>
      <c r="IFG54" s="384"/>
      <c r="IFH54" s="384"/>
      <c r="IFI54" s="384"/>
      <c r="IFJ54" s="384"/>
      <c r="IFK54" s="384"/>
      <c r="IFL54" s="384"/>
      <c r="IFM54" s="384"/>
      <c r="IFN54" s="384"/>
      <c r="IFO54" s="384"/>
      <c r="IFP54" s="384"/>
      <c r="IFQ54" s="384"/>
      <c r="IFR54" s="384"/>
      <c r="IFS54" s="384"/>
      <c r="IFT54" s="384"/>
      <c r="IFU54" s="384"/>
      <c r="IFV54" s="384"/>
      <c r="IFW54" s="384"/>
      <c r="IFX54" s="384"/>
      <c r="IFY54" s="384"/>
      <c r="IFZ54" s="384"/>
      <c r="IGA54" s="384"/>
      <c r="IGB54" s="384"/>
      <c r="IGC54" s="384"/>
      <c r="IGD54" s="384"/>
      <c r="IGE54" s="384"/>
      <c r="IGF54" s="384"/>
      <c r="IGG54" s="384"/>
      <c r="IGH54" s="384"/>
      <c r="IGI54" s="384"/>
      <c r="IGJ54" s="384"/>
      <c r="IGK54" s="384"/>
      <c r="IGL54" s="384"/>
      <c r="IGM54" s="384"/>
      <c r="IGN54" s="384"/>
      <c r="IGO54" s="384"/>
      <c r="IGP54" s="384"/>
      <c r="IGQ54" s="384"/>
      <c r="IGR54" s="384"/>
      <c r="IGS54" s="384"/>
      <c r="IGT54" s="384"/>
      <c r="IGU54" s="384"/>
      <c r="IGV54" s="384"/>
      <c r="IGW54" s="384"/>
      <c r="IGX54" s="384"/>
      <c r="IGY54" s="384"/>
      <c r="IGZ54" s="384"/>
      <c r="IHA54" s="384"/>
      <c r="IHB54" s="384"/>
      <c r="IHC54" s="384"/>
      <c r="IHD54" s="384"/>
      <c r="IHE54" s="384"/>
      <c r="IHF54" s="384"/>
      <c r="IHG54" s="384"/>
      <c r="IHH54" s="384"/>
      <c r="IHI54" s="384"/>
      <c r="IHJ54" s="384"/>
      <c r="IHK54" s="384"/>
      <c r="IHL54" s="384"/>
      <c r="IHM54" s="384"/>
      <c r="IHN54" s="384"/>
      <c r="IHO54" s="384"/>
      <c r="IHP54" s="384"/>
      <c r="IHQ54" s="384"/>
      <c r="IHR54" s="384"/>
      <c r="IHS54" s="384"/>
      <c r="IHT54" s="384"/>
      <c r="IHU54" s="384"/>
      <c r="IHV54" s="384"/>
      <c r="IHW54" s="384"/>
      <c r="IHX54" s="384"/>
      <c r="IHY54" s="384"/>
      <c r="IHZ54" s="384"/>
      <c r="IIA54" s="384"/>
      <c r="IIB54" s="384"/>
      <c r="IIC54" s="384"/>
      <c r="IID54" s="384"/>
      <c r="IIE54" s="384"/>
      <c r="IIF54" s="384"/>
      <c r="IIG54" s="384"/>
      <c r="IIH54" s="384"/>
      <c r="III54" s="384"/>
      <c r="IIJ54" s="384"/>
      <c r="IIK54" s="384"/>
      <c r="IIL54" s="384"/>
      <c r="IIM54" s="384"/>
      <c r="IIN54" s="384"/>
      <c r="IIO54" s="384"/>
      <c r="IIP54" s="384"/>
      <c r="IIQ54" s="384"/>
      <c r="IIR54" s="384"/>
      <c r="IIS54" s="384"/>
      <c r="IIT54" s="384"/>
      <c r="IIU54" s="384"/>
      <c r="IIV54" s="384"/>
      <c r="IIW54" s="384"/>
      <c r="IIX54" s="384"/>
      <c r="IIY54" s="384"/>
      <c r="IIZ54" s="384"/>
      <c r="IJA54" s="384"/>
      <c r="IJB54" s="384"/>
      <c r="IJC54" s="384"/>
      <c r="IJD54" s="384"/>
      <c r="IJE54" s="384"/>
      <c r="IJF54" s="384"/>
      <c r="IJG54" s="384"/>
      <c r="IJH54" s="384"/>
      <c r="IJI54" s="384"/>
      <c r="IJJ54" s="384"/>
      <c r="IJK54" s="384"/>
      <c r="IJL54" s="384"/>
      <c r="IJM54" s="384"/>
      <c r="IJN54" s="384"/>
      <c r="IJO54" s="384"/>
      <c r="IJP54" s="384"/>
      <c r="IJQ54" s="384"/>
      <c r="IJR54" s="384"/>
      <c r="IJS54" s="384"/>
      <c r="IJT54" s="384"/>
      <c r="IJU54" s="384"/>
      <c r="IJV54" s="384"/>
      <c r="IJW54" s="384"/>
      <c r="IJX54" s="384"/>
      <c r="IJY54" s="384"/>
      <c r="IJZ54" s="384"/>
      <c r="IKA54" s="384"/>
      <c r="IKB54" s="384"/>
      <c r="IKC54" s="384"/>
      <c r="IKD54" s="384"/>
      <c r="IKE54" s="384"/>
      <c r="IKF54" s="384"/>
      <c r="IKG54" s="384"/>
      <c r="IKH54" s="384"/>
      <c r="IKI54" s="384"/>
      <c r="IKJ54" s="384"/>
      <c r="IKK54" s="384"/>
      <c r="IKL54" s="384"/>
      <c r="IKM54" s="384"/>
      <c r="IKN54" s="384"/>
      <c r="IKO54" s="384"/>
      <c r="IKP54" s="384"/>
      <c r="IKQ54" s="384"/>
      <c r="IKR54" s="384"/>
      <c r="IKS54" s="384"/>
      <c r="IKT54" s="384"/>
      <c r="IKU54" s="384"/>
      <c r="IKV54" s="384"/>
      <c r="IKW54" s="384"/>
      <c r="IKX54" s="384"/>
      <c r="IKY54" s="384"/>
      <c r="IKZ54" s="384"/>
      <c r="ILA54" s="384"/>
      <c r="ILB54" s="384"/>
      <c r="ILC54" s="384"/>
      <c r="ILD54" s="384"/>
      <c r="ILE54" s="384"/>
      <c r="ILF54" s="384"/>
      <c r="ILG54" s="384"/>
      <c r="ILH54" s="384"/>
      <c r="ILI54" s="384"/>
      <c r="ILJ54" s="384"/>
      <c r="ILK54" s="384"/>
      <c r="ILL54" s="384"/>
      <c r="ILM54" s="384"/>
      <c r="ILN54" s="384"/>
      <c r="ILO54" s="384"/>
      <c r="ILP54" s="384"/>
      <c r="ILQ54" s="384"/>
      <c r="ILR54" s="384"/>
      <c r="ILS54" s="384"/>
      <c r="ILT54" s="384"/>
      <c r="ILU54" s="384"/>
      <c r="ILV54" s="384"/>
      <c r="ILW54" s="384"/>
      <c r="ILX54" s="384"/>
      <c r="ILY54" s="384"/>
      <c r="ILZ54" s="384"/>
      <c r="IMA54" s="384"/>
      <c r="IMB54" s="384"/>
      <c r="IMC54" s="384"/>
      <c r="IMD54" s="384"/>
      <c r="IME54" s="384"/>
      <c r="IMF54" s="384"/>
      <c r="IMG54" s="384"/>
      <c r="IMH54" s="384"/>
      <c r="IMI54" s="384"/>
      <c r="IMJ54" s="384"/>
      <c r="IMK54" s="384"/>
      <c r="IML54" s="384"/>
      <c r="IMM54" s="384"/>
      <c r="IMN54" s="384"/>
      <c r="IMO54" s="384"/>
      <c r="IMP54" s="384"/>
      <c r="IMQ54" s="384"/>
      <c r="IMR54" s="384"/>
      <c r="IMS54" s="384"/>
      <c r="IMT54" s="384"/>
      <c r="IMU54" s="384"/>
      <c r="IMV54" s="384"/>
      <c r="IMW54" s="384"/>
      <c r="IMX54" s="384"/>
      <c r="IMY54" s="384"/>
      <c r="IMZ54" s="384"/>
      <c r="INA54" s="384"/>
      <c r="INB54" s="384"/>
      <c r="INC54" s="384"/>
      <c r="IND54" s="384"/>
      <c r="INE54" s="384"/>
      <c r="INF54" s="384"/>
      <c r="ING54" s="384"/>
      <c r="INH54" s="384"/>
      <c r="INI54" s="384"/>
      <c r="INJ54" s="384"/>
      <c r="INK54" s="384"/>
      <c r="INL54" s="384"/>
      <c r="INM54" s="384"/>
      <c r="INN54" s="384"/>
      <c r="INO54" s="384"/>
      <c r="INP54" s="384"/>
      <c r="INQ54" s="384"/>
      <c r="INR54" s="384"/>
      <c r="INS54" s="384"/>
      <c r="INT54" s="384"/>
      <c r="INU54" s="384"/>
      <c r="INV54" s="384"/>
      <c r="INW54" s="384"/>
      <c r="INX54" s="384"/>
      <c r="INY54" s="384"/>
      <c r="INZ54" s="384"/>
      <c r="IOA54" s="384"/>
      <c r="IOB54" s="384"/>
      <c r="IOC54" s="384"/>
      <c r="IOD54" s="384"/>
      <c r="IOE54" s="384"/>
      <c r="IOF54" s="384"/>
      <c r="IOG54" s="384"/>
      <c r="IOH54" s="384"/>
      <c r="IOI54" s="384"/>
      <c r="IOJ54" s="384"/>
      <c r="IOK54" s="384"/>
      <c r="IOL54" s="384"/>
      <c r="IOM54" s="384"/>
      <c r="ION54" s="384"/>
      <c r="IOO54" s="384"/>
      <c r="IOP54" s="384"/>
      <c r="IOQ54" s="384"/>
      <c r="IOR54" s="384"/>
      <c r="IOS54" s="384"/>
      <c r="IOT54" s="384"/>
      <c r="IOU54" s="384"/>
      <c r="IOV54" s="384"/>
      <c r="IOW54" s="384"/>
      <c r="IOX54" s="384"/>
      <c r="IOY54" s="384"/>
      <c r="IOZ54" s="384"/>
      <c r="IPA54" s="384"/>
      <c r="IPB54" s="384"/>
      <c r="IPC54" s="384"/>
      <c r="IPD54" s="384"/>
      <c r="IPE54" s="384"/>
      <c r="IPF54" s="384"/>
      <c r="IPG54" s="384"/>
      <c r="IPH54" s="384"/>
      <c r="IPI54" s="384"/>
      <c r="IPJ54" s="384"/>
      <c r="IPK54" s="384"/>
      <c r="IPL54" s="384"/>
      <c r="IPM54" s="384"/>
      <c r="IPN54" s="384"/>
      <c r="IPO54" s="384"/>
      <c r="IPP54" s="384"/>
      <c r="IPQ54" s="384"/>
      <c r="IPR54" s="384"/>
      <c r="IPS54" s="384"/>
      <c r="IPT54" s="384"/>
      <c r="IPU54" s="384"/>
      <c r="IPV54" s="384"/>
      <c r="IPW54" s="384"/>
      <c r="IPX54" s="384"/>
      <c r="IPY54" s="384"/>
      <c r="IPZ54" s="384"/>
      <c r="IQA54" s="384"/>
      <c r="IQB54" s="384"/>
      <c r="IQC54" s="384"/>
      <c r="IQD54" s="384"/>
      <c r="IQE54" s="384"/>
      <c r="IQF54" s="384"/>
      <c r="IQG54" s="384"/>
      <c r="IQH54" s="384"/>
      <c r="IQI54" s="384"/>
      <c r="IQJ54" s="384"/>
      <c r="IQK54" s="384"/>
      <c r="IQL54" s="384"/>
      <c r="IQM54" s="384"/>
      <c r="IQN54" s="384"/>
      <c r="IQO54" s="384"/>
      <c r="IQP54" s="384"/>
      <c r="IQQ54" s="384"/>
      <c r="IQR54" s="384"/>
      <c r="IQS54" s="384"/>
      <c r="IQT54" s="384"/>
      <c r="IQU54" s="384"/>
      <c r="IQV54" s="384"/>
      <c r="IQW54" s="384"/>
      <c r="IQX54" s="384"/>
      <c r="IQY54" s="384"/>
      <c r="IQZ54" s="384"/>
      <c r="IRA54" s="384"/>
      <c r="IRB54" s="384"/>
      <c r="IRC54" s="384"/>
      <c r="IRD54" s="384"/>
      <c r="IRE54" s="384"/>
      <c r="IRF54" s="384"/>
      <c r="IRG54" s="384"/>
      <c r="IRH54" s="384"/>
      <c r="IRI54" s="384"/>
      <c r="IRJ54" s="384"/>
      <c r="IRK54" s="384"/>
      <c r="IRL54" s="384"/>
      <c r="IRM54" s="384"/>
      <c r="IRN54" s="384"/>
      <c r="IRO54" s="384"/>
      <c r="IRP54" s="384"/>
      <c r="IRQ54" s="384"/>
      <c r="IRR54" s="384"/>
      <c r="IRS54" s="384"/>
      <c r="IRT54" s="384"/>
      <c r="IRU54" s="384"/>
      <c r="IRV54" s="384"/>
      <c r="IRW54" s="384"/>
      <c r="IRX54" s="384"/>
      <c r="IRY54" s="384"/>
      <c r="IRZ54" s="384"/>
      <c r="ISA54" s="384"/>
      <c r="ISB54" s="384"/>
      <c r="ISC54" s="384"/>
      <c r="ISD54" s="384"/>
      <c r="ISE54" s="384"/>
      <c r="ISF54" s="384"/>
      <c r="ISG54" s="384"/>
      <c r="ISH54" s="384"/>
      <c r="ISI54" s="384"/>
      <c r="ISJ54" s="384"/>
      <c r="ISK54" s="384"/>
      <c r="ISL54" s="384"/>
      <c r="ISM54" s="384"/>
      <c r="ISN54" s="384"/>
      <c r="ISO54" s="384"/>
      <c r="ISP54" s="384"/>
      <c r="ISQ54" s="384"/>
      <c r="ISR54" s="384"/>
      <c r="ISS54" s="384"/>
      <c r="IST54" s="384"/>
      <c r="ISU54" s="384"/>
      <c r="ISV54" s="384"/>
      <c r="ISW54" s="384"/>
      <c r="ISX54" s="384"/>
      <c r="ISY54" s="384"/>
      <c r="ISZ54" s="384"/>
      <c r="ITA54" s="384"/>
      <c r="ITB54" s="384"/>
      <c r="ITC54" s="384"/>
      <c r="ITD54" s="384"/>
      <c r="ITE54" s="384"/>
      <c r="ITF54" s="384"/>
      <c r="ITG54" s="384"/>
      <c r="ITH54" s="384"/>
      <c r="ITI54" s="384"/>
      <c r="ITJ54" s="384"/>
      <c r="ITK54" s="384"/>
      <c r="ITL54" s="384"/>
      <c r="ITM54" s="384"/>
      <c r="ITN54" s="384"/>
      <c r="ITO54" s="384"/>
      <c r="ITP54" s="384"/>
      <c r="ITQ54" s="384"/>
      <c r="ITR54" s="384"/>
      <c r="ITS54" s="384"/>
      <c r="ITT54" s="384"/>
      <c r="ITU54" s="384"/>
      <c r="ITV54" s="384"/>
      <c r="ITW54" s="384"/>
      <c r="ITX54" s="384"/>
      <c r="ITY54" s="384"/>
      <c r="ITZ54" s="384"/>
      <c r="IUA54" s="384"/>
      <c r="IUB54" s="384"/>
      <c r="IUC54" s="384"/>
      <c r="IUD54" s="384"/>
      <c r="IUE54" s="384"/>
      <c r="IUF54" s="384"/>
      <c r="IUG54" s="384"/>
      <c r="IUH54" s="384"/>
      <c r="IUI54" s="384"/>
      <c r="IUJ54" s="384"/>
      <c r="IUK54" s="384"/>
      <c r="IUL54" s="384"/>
      <c r="IUM54" s="384"/>
      <c r="IUN54" s="384"/>
      <c r="IUO54" s="384"/>
      <c r="IUP54" s="384"/>
      <c r="IUQ54" s="384"/>
      <c r="IUR54" s="384"/>
      <c r="IUS54" s="384"/>
      <c r="IUT54" s="384"/>
      <c r="IUU54" s="384"/>
      <c r="IUV54" s="384"/>
      <c r="IUW54" s="384"/>
      <c r="IUX54" s="384"/>
      <c r="IUY54" s="384"/>
      <c r="IUZ54" s="384"/>
      <c r="IVA54" s="384"/>
      <c r="IVB54" s="384"/>
      <c r="IVC54" s="384"/>
      <c r="IVD54" s="384"/>
      <c r="IVE54" s="384"/>
      <c r="IVF54" s="384"/>
      <c r="IVG54" s="384"/>
      <c r="IVH54" s="384"/>
      <c r="IVI54" s="384"/>
      <c r="IVJ54" s="384"/>
      <c r="IVK54" s="384"/>
      <c r="IVL54" s="384"/>
      <c r="IVM54" s="384"/>
      <c r="IVN54" s="384"/>
      <c r="IVO54" s="384"/>
      <c r="IVP54" s="384"/>
      <c r="IVQ54" s="384"/>
      <c r="IVR54" s="384"/>
      <c r="IVS54" s="384"/>
      <c r="IVT54" s="384"/>
      <c r="IVU54" s="384"/>
      <c r="IVV54" s="384"/>
      <c r="IVW54" s="384"/>
      <c r="IVX54" s="384"/>
      <c r="IVY54" s="384"/>
      <c r="IVZ54" s="384"/>
      <c r="IWA54" s="384"/>
      <c r="IWB54" s="384"/>
      <c r="IWC54" s="384"/>
      <c r="IWD54" s="384"/>
      <c r="IWE54" s="384"/>
      <c r="IWF54" s="384"/>
      <c r="IWG54" s="384"/>
      <c r="IWH54" s="384"/>
      <c r="IWI54" s="384"/>
      <c r="IWJ54" s="384"/>
      <c r="IWK54" s="384"/>
      <c r="IWL54" s="384"/>
      <c r="IWM54" s="384"/>
      <c r="IWN54" s="384"/>
      <c r="IWO54" s="384"/>
      <c r="IWP54" s="384"/>
      <c r="IWQ54" s="384"/>
      <c r="IWR54" s="384"/>
      <c r="IWS54" s="384"/>
      <c r="IWT54" s="384"/>
      <c r="IWU54" s="384"/>
      <c r="IWV54" s="384"/>
      <c r="IWW54" s="384"/>
      <c r="IWX54" s="384"/>
      <c r="IWY54" s="384"/>
      <c r="IWZ54" s="384"/>
      <c r="IXA54" s="384"/>
      <c r="IXB54" s="384"/>
      <c r="IXC54" s="384"/>
      <c r="IXD54" s="384"/>
      <c r="IXE54" s="384"/>
      <c r="IXF54" s="384"/>
      <c r="IXG54" s="384"/>
      <c r="IXH54" s="384"/>
      <c r="IXI54" s="384"/>
      <c r="IXJ54" s="384"/>
      <c r="IXK54" s="384"/>
      <c r="IXL54" s="384"/>
      <c r="IXM54" s="384"/>
      <c r="IXN54" s="384"/>
      <c r="IXO54" s="384"/>
      <c r="IXP54" s="384"/>
      <c r="IXQ54" s="384"/>
      <c r="IXR54" s="384"/>
      <c r="IXS54" s="384"/>
      <c r="IXT54" s="384"/>
      <c r="IXU54" s="384"/>
      <c r="IXV54" s="384"/>
      <c r="IXW54" s="384"/>
      <c r="IXX54" s="384"/>
      <c r="IXY54" s="384"/>
      <c r="IXZ54" s="384"/>
      <c r="IYA54" s="384"/>
      <c r="IYB54" s="384"/>
      <c r="IYC54" s="384"/>
      <c r="IYD54" s="384"/>
      <c r="IYE54" s="384"/>
      <c r="IYF54" s="384"/>
      <c r="IYG54" s="384"/>
      <c r="IYH54" s="384"/>
      <c r="IYI54" s="384"/>
      <c r="IYJ54" s="384"/>
      <c r="IYK54" s="384"/>
      <c r="IYL54" s="384"/>
      <c r="IYM54" s="384"/>
      <c r="IYN54" s="384"/>
      <c r="IYO54" s="384"/>
      <c r="IYP54" s="384"/>
      <c r="IYQ54" s="384"/>
      <c r="IYR54" s="384"/>
      <c r="IYS54" s="384"/>
      <c r="IYT54" s="384"/>
      <c r="IYU54" s="384"/>
      <c r="IYV54" s="384"/>
      <c r="IYW54" s="384"/>
      <c r="IYX54" s="384"/>
      <c r="IYY54" s="384"/>
      <c r="IYZ54" s="384"/>
      <c r="IZA54" s="384"/>
      <c r="IZB54" s="384"/>
      <c r="IZC54" s="384"/>
      <c r="IZD54" s="384"/>
      <c r="IZE54" s="384"/>
      <c r="IZF54" s="384"/>
      <c r="IZG54" s="384"/>
      <c r="IZH54" s="384"/>
      <c r="IZI54" s="384"/>
      <c r="IZJ54" s="384"/>
      <c r="IZK54" s="384"/>
      <c r="IZL54" s="384"/>
      <c r="IZM54" s="384"/>
      <c r="IZN54" s="384"/>
      <c r="IZO54" s="384"/>
      <c r="IZP54" s="384"/>
      <c r="IZQ54" s="384"/>
      <c r="IZR54" s="384"/>
      <c r="IZS54" s="384"/>
      <c r="IZT54" s="384"/>
      <c r="IZU54" s="384"/>
      <c r="IZV54" s="384"/>
      <c r="IZW54" s="384"/>
      <c r="IZX54" s="384"/>
      <c r="IZY54" s="384"/>
      <c r="IZZ54" s="384"/>
      <c r="JAA54" s="384"/>
      <c r="JAB54" s="384"/>
      <c r="JAC54" s="384"/>
      <c r="JAD54" s="384"/>
      <c r="JAE54" s="384"/>
      <c r="JAF54" s="384"/>
      <c r="JAG54" s="384"/>
      <c r="JAH54" s="384"/>
      <c r="JAI54" s="384"/>
      <c r="JAJ54" s="384"/>
      <c r="JAK54" s="384"/>
      <c r="JAL54" s="384"/>
      <c r="JAM54" s="384"/>
      <c r="JAN54" s="384"/>
      <c r="JAO54" s="384"/>
      <c r="JAP54" s="384"/>
      <c r="JAQ54" s="384"/>
      <c r="JAR54" s="384"/>
      <c r="JAS54" s="384"/>
      <c r="JAT54" s="384"/>
      <c r="JAU54" s="384"/>
      <c r="JAV54" s="384"/>
      <c r="JAW54" s="384"/>
      <c r="JAX54" s="384"/>
      <c r="JAY54" s="384"/>
      <c r="JAZ54" s="384"/>
      <c r="JBA54" s="384"/>
      <c r="JBB54" s="384"/>
      <c r="JBC54" s="384"/>
      <c r="JBD54" s="384"/>
      <c r="JBE54" s="384"/>
      <c r="JBF54" s="384"/>
      <c r="JBG54" s="384"/>
      <c r="JBH54" s="384"/>
      <c r="JBI54" s="384"/>
      <c r="JBJ54" s="384"/>
      <c r="JBK54" s="384"/>
      <c r="JBL54" s="384"/>
      <c r="JBM54" s="384"/>
      <c r="JBN54" s="384"/>
      <c r="JBO54" s="384"/>
      <c r="JBP54" s="384"/>
      <c r="JBQ54" s="384"/>
      <c r="JBR54" s="384"/>
      <c r="JBS54" s="384"/>
      <c r="JBT54" s="384"/>
      <c r="JBU54" s="384"/>
      <c r="JBV54" s="384"/>
      <c r="JBW54" s="384"/>
      <c r="JBX54" s="384"/>
      <c r="JBY54" s="384"/>
      <c r="JBZ54" s="384"/>
      <c r="JCA54" s="384"/>
      <c r="JCB54" s="384"/>
      <c r="JCC54" s="384"/>
      <c r="JCD54" s="384"/>
      <c r="JCE54" s="384"/>
      <c r="JCF54" s="384"/>
      <c r="JCG54" s="384"/>
      <c r="JCH54" s="384"/>
      <c r="JCI54" s="384"/>
      <c r="JCJ54" s="384"/>
      <c r="JCK54" s="384"/>
      <c r="JCL54" s="384"/>
      <c r="JCM54" s="384"/>
      <c r="JCN54" s="384"/>
      <c r="JCO54" s="384"/>
      <c r="JCP54" s="384"/>
      <c r="JCQ54" s="384"/>
      <c r="JCR54" s="384"/>
      <c r="JCS54" s="384"/>
      <c r="JCT54" s="384"/>
      <c r="JCU54" s="384"/>
      <c r="JCV54" s="384"/>
      <c r="JCW54" s="384"/>
      <c r="JCX54" s="384"/>
      <c r="JCY54" s="384"/>
      <c r="JCZ54" s="384"/>
      <c r="JDA54" s="384"/>
      <c r="JDB54" s="384"/>
      <c r="JDC54" s="384"/>
      <c r="JDD54" s="384"/>
      <c r="JDE54" s="384"/>
      <c r="JDF54" s="384"/>
      <c r="JDG54" s="384"/>
      <c r="JDH54" s="384"/>
      <c r="JDI54" s="384"/>
      <c r="JDJ54" s="384"/>
      <c r="JDK54" s="384"/>
      <c r="JDL54" s="384"/>
      <c r="JDM54" s="384"/>
      <c r="JDN54" s="384"/>
      <c r="JDO54" s="384"/>
      <c r="JDP54" s="384"/>
      <c r="JDQ54" s="384"/>
      <c r="JDR54" s="384"/>
      <c r="JDS54" s="384"/>
      <c r="JDT54" s="384"/>
      <c r="JDU54" s="384"/>
      <c r="JDV54" s="384"/>
      <c r="JDW54" s="384"/>
      <c r="JDX54" s="384"/>
      <c r="JDY54" s="384"/>
      <c r="JDZ54" s="384"/>
      <c r="JEA54" s="384"/>
      <c r="JEB54" s="384"/>
      <c r="JEC54" s="384"/>
      <c r="JED54" s="384"/>
      <c r="JEE54" s="384"/>
      <c r="JEF54" s="384"/>
      <c r="JEG54" s="384"/>
      <c r="JEH54" s="384"/>
      <c r="JEI54" s="384"/>
      <c r="JEJ54" s="384"/>
      <c r="JEK54" s="384"/>
      <c r="JEL54" s="384"/>
      <c r="JEM54" s="384"/>
      <c r="JEN54" s="384"/>
      <c r="JEO54" s="384"/>
      <c r="JEP54" s="384"/>
      <c r="JEQ54" s="384"/>
      <c r="JER54" s="384"/>
      <c r="JES54" s="384"/>
      <c r="JET54" s="384"/>
      <c r="JEU54" s="384"/>
      <c r="JEV54" s="384"/>
      <c r="JEW54" s="384"/>
      <c r="JEX54" s="384"/>
      <c r="JEY54" s="384"/>
      <c r="JEZ54" s="384"/>
      <c r="JFA54" s="384"/>
      <c r="JFB54" s="384"/>
      <c r="JFC54" s="384"/>
      <c r="JFD54" s="384"/>
      <c r="JFE54" s="384"/>
      <c r="JFF54" s="384"/>
      <c r="JFG54" s="384"/>
      <c r="JFH54" s="384"/>
      <c r="JFI54" s="384"/>
      <c r="JFJ54" s="384"/>
      <c r="JFK54" s="384"/>
      <c r="JFL54" s="384"/>
      <c r="JFM54" s="384"/>
      <c r="JFN54" s="384"/>
      <c r="JFO54" s="384"/>
      <c r="JFP54" s="384"/>
      <c r="JFQ54" s="384"/>
      <c r="JFR54" s="384"/>
      <c r="JFS54" s="384"/>
      <c r="JFT54" s="384"/>
      <c r="JFU54" s="384"/>
      <c r="JFV54" s="384"/>
      <c r="JFW54" s="384"/>
      <c r="JFX54" s="384"/>
      <c r="JFY54" s="384"/>
      <c r="JFZ54" s="384"/>
      <c r="JGA54" s="384"/>
      <c r="JGB54" s="384"/>
      <c r="JGC54" s="384"/>
      <c r="JGD54" s="384"/>
      <c r="JGE54" s="384"/>
      <c r="JGF54" s="384"/>
      <c r="JGG54" s="384"/>
      <c r="JGH54" s="384"/>
      <c r="JGI54" s="384"/>
      <c r="JGJ54" s="384"/>
      <c r="JGK54" s="384"/>
      <c r="JGL54" s="384"/>
      <c r="JGM54" s="384"/>
      <c r="JGN54" s="384"/>
      <c r="JGO54" s="384"/>
      <c r="JGP54" s="384"/>
      <c r="JGQ54" s="384"/>
      <c r="JGR54" s="384"/>
      <c r="JGS54" s="384"/>
      <c r="JGT54" s="384"/>
      <c r="JGU54" s="384"/>
      <c r="JGV54" s="384"/>
      <c r="JGW54" s="384"/>
      <c r="JGX54" s="384"/>
      <c r="JGY54" s="384"/>
      <c r="JGZ54" s="384"/>
      <c r="JHA54" s="384"/>
      <c r="JHB54" s="384"/>
      <c r="JHC54" s="384"/>
      <c r="JHD54" s="384"/>
      <c r="JHE54" s="384"/>
      <c r="JHF54" s="384"/>
      <c r="JHG54" s="384"/>
      <c r="JHH54" s="384"/>
      <c r="JHI54" s="384"/>
      <c r="JHJ54" s="384"/>
      <c r="JHK54" s="384"/>
      <c r="JHL54" s="384"/>
      <c r="JHM54" s="384"/>
      <c r="JHN54" s="384"/>
      <c r="JHO54" s="384"/>
      <c r="JHP54" s="384"/>
      <c r="JHQ54" s="384"/>
      <c r="JHR54" s="384"/>
      <c r="JHS54" s="384"/>
      <c r="JHT54" s="384"/>
      <c r="JHU54" s="384"/>
      <c r="JHV54" s="384"/>
      <c r="JHW54" s="384"/>
      <c r="JHX54" s="384"/>
      <c r="JHY54" s="384"/>
      <c r="JHZ54" s="384"/>
      <c r="JIA54" s="384"/>
      <c r="JIB54" s="384"/>
      <c r="JIC54" s="384"/>
      <c r="JID54" s="384"/>
      <c r="JIE54" s="384"/>
      <c r="JIF54" s="384"/>
      <c r="JIG54" s="384"/>
      <c r="JIH54" s="384"/>
      <c r="JII54" s="384"/>
      <c r="JIJ54" s="384"/>
      <c r="JIK54" s="384"/>
      <c r="JIL54" s="384"/>
      <c r="JIM54" s="384"/>
      <c r="JIN54" s="384"/>
      <c r="JIO54" s="384"/>
      <c r="JIP54" s="384"/>
      <c r="JIQ54" s="384"/>
      <c r="JIR54" s="384"/>
      <c r="JIS54" s="384"/>
      <c r="JIT54" s="384"/>
      <c r="JIU54" s="384"/>
      <c r="JIV54" s="384"/>
      <c r="JIW54" s="384"/>
      <c r="JIX54" s="384"/>
      <c r="JIY54" s="384"/>
      <c r="JIZ54" s="384"/>
      <c r="JJA54" s="384"/>
      <c r="JJB54" s="384"/>
      <c r="JJC54" s="384"/>
      <c r="JJD54" s="384"/>
      <c r="JJE54" s="384"/>
      <c r="JJF54" s="384"/>
      <c r="JJG54" s="384"/>
      <c r="JJH54" s="384"/>
      <c r="JJI54" s="384"/>
      <c r="JJJ54" s="384"/>
      <c r="JJK54" s="384"/>
      <c r="JJL54" s="384"/>
      <c r="JJM54" s="384"/>
      <c r="JJN54" s="384"/>
      <c r="JJO54" s="384"/>
      <c r="JJP54" s="384"/>
      <c r="JJQ54" s="384"/>
      <c r="JJR54" s="384"/>
      <c r="JJS54" s="384"/>
      <c r="JJT54" s="384"/>
      <c r="JJU54" s="384"/>
      <c r="JJV54" s="384"/>
      <c r="JJW54" s="384"/>
      <c r="JJX54" s="384"/>
      <c r="JJY54" s="384"/>
      <c r="JJZ54" s="384"/>
      <c r="JKA54" s="384"/>
      <c r="JKB54" s="384"/>
      <c r="JKC54" s="384"/>
      <c r="JKD54" s="384"/>
      <c r="JKE54" s="384"/>
      <c r="JKF54" s="384"/>
      <c r="JKG54" s="384"/>
      <c r="JKH54" s="384"/>
      <c r="JKI54" s="384"/>
      <c r="JKJ54" s="384"/>
      <c r="JKK54" s="384"/>
      <c r="JKL54" s="384"/>
      <c r="JKM54" s="384"/>
      <c r="JKN54" s="384"/>
      <c r="JKO54" s="384"/>
      <c r="JKP54" s="384"/>
      <c r="JKQ54" s="384"/>
      <c r="JKR54" s="384"/>
      <c r="JKS54" s="384"/>
      <c r="JKT54" s="384"/>
      <c r="JKU54" s="384"/>
      <c r="JKV54" s="384"/>
      <c r="JKW54" s="384"/>
      <c r="JKX54" s="384"/>
      <c r="JKY54" s="384"/>
      <c r="JKZ54" s="384"/>
      <c r="JLA54" s="384"/>
      <c r="JLB54" s="384"/>
      <c r="JLC54" s="384"/>
      <c r="JLD54" s="384"/>
      <c r="JLE54" s="384"/>
      <c r="JLF54" s="384"/>
      <c r="JLG54" s="384"/>
      <c r="JLH54" s="384"/>
      <c r="JLI54" s="384"/>
      <c r="JLJ54" s="384"/>
      <c r="JLK54" s="384"/>
      <c r="JLL54" s="384"/>
      <c r="JLM54" s="384"/>
      <c r="JLN54" s="384"/>
      <c r="JLO54" s="384"/>
      <c r="JLP54" s="384"/>
      <c r="JLQ54" s="384"/>
      <c r="JLR54" s="384"/>
      <c r="JLS54" s="384"/>
      <c r="JLT54" s="384"/>
      <c r="JLU54" s="384"/>
      <c r="JLV54" s="384"/>
      <c r="JLW54" s="384"/>
      <c r="JLX54" s="384"/>
      <c r="JLY54" s="384"/>
      <c r="JLZ54" s="384"/>
      <c r="JMA54" s="384"/>
      <c r="JMB54" s="384"/>
      <c r="JMC54" s="384"/>
      <c r="JMD54" s="384"/>
      <c r="JME54" s="384"/>
      <c r="JMF54" s="384"/>
      <c r="JMG54" s="384"/>
      <c r="JMH54" s="384"/>
      <c r="JMI54" s="384"/>
      <c r="JMJ54" s="384"/>
      <c r="JMK54" s="384"/>
      <c r="JML54" s="384"/>
      <c r="JMM54" s="384"/>
      <c r="JMN54" s="384"/>
      <c r="JMO54" s="384"/>
      <c r="JMP54" s="384"/>
      <c r="JMQ54" s="384"/>
      <c r="JMR54" s="384"/>
      <c r="JMS54" s="384"/>
      <c r="JMT54" s="384"/>
      <c r="JMU54" s="384"/>
      <c r="JMV54" s="384"/>
      <c r="JMW54" s="384"/>
      <c r="JMX54" s="384"/>
      <c r="JMY54" s="384"/>
      <c r="JMZ54" s="384"/>
      <c r="JNA54" s="384"/>
      <c r="JNB54" s="384"/>
      <c r="JNC54" s="384"/>
      <c r="JND54" s="384"/>
      <c r="JNE54" s="384"/>
      <c r="JNF54" s="384"/>
      <c r="JNG54" s="384"/>
      <c r="JNH54" s="384"/>
      <c r="JNI54" s="384"/>
      <c r="JNJ54" s="384"/>
      <c r="JNK54" s="384"/>
      <c r="JNL54" s="384"/>
      <c r="JNM54" s="384"/>
      <c r="JNN54" s="384"/>
      <c r="JNO54" s="384"/>
      <c r="JNP54" s="384"/>
      <c r="JNQ54" s="384"/>
      <c r="JNR54" s="384"/>
      <c r="JNS54" s="384"/>
      <c r="JNT54" s="384"/>
      <c r="JNU54" s="384"/>
      <c r="JNV54" s="384"/>
      <c r="JNW54" s="384"/>
      <c r="JNX54" s="384"/>
      <c r="JNY54" s="384"/>
      <c r="JNZ54" s="384"/>
      <c r="JOA54" s="384"/>
      <c r="JOB54" s="384"/>
      <c r="JOC54" s="384"/>
      <c r="JOD54" s="384"/>
      <c r="JOE54" s="384"/>
      <c r="JOF54" s="384"/>
      <c r="JOG54" s="384"/>
      <c r="JOH54" s="384"/>
      <c r="JOI54" s="384"/>
      <c r="JOJ54" s="384"/>
      <c r="JOK54" s="384"/>
      <c r="JOL54" s="384"/>
      <c r="JOM54" s="384"/>
      <c r="JON54" s="384"/>
      <c r="JOO54" s="384"/>
      <c r="JOP54" s="384"/>
      <c r="JOQ54" s="384"/>
      <c r="JOR54" s="384"/>
      <c r="JOS54" s="384"/>
      <c r="JOT54" s="384"/>
      <c r="JOU54" s="384"/>
      <c r="JOV54" s="384"/>
      <c r="JOW54" s="384"/>
      <c r="JOX54" s="384"/>
      <c r="JOY54" s="384"/>
      <c r="JOZ54" s="384"/>
      <c r="JPA54" s="384"/>
      <c r="JPB54" s="384"/>
      <c r="JPC54" s="384"/>
      <c r="JPD54" s="384"/>
      <c r="JPE54" s="384"/>
      <c r="JPF54" s="384"/>
      <c r="JPG54" s="384"/>
      <c r="JPH54" s="384"/>
      <c r="JPI54" s="384"/>
      <c r="JPJ54" s="384"/>
      <c r="JPK54" s="384"/>
      <c r="JPL54" s="384"/>
      <c r="JPM54" s="384"/>
      <c r="JPN54" s="384"/>
      <c r="JPO54" s="384"/>
      <c r="JPP54" s="384"/>
      <c r="JPQ54" s="384"/>
      <c r="JPR54" s="384"/>
      <c r="JPS54" s="384"/>
      <c r="JPT54" s="384"/>
      <c r="JPU54" s="384"/>
      <c r="JPV54" s="384"/>
      <c r="JPW54" s="384"/>
      <c r="JPX54" s="384"/>
      <c r="JPY54" s="384"/>
      <c r="JPZ54" s="384"/>
      <c r="JQA54" s="384"/>
      <c r="JQB54" s="384"/>
      <c r="JQC54" s="384"/>
      <c r="JQD54" s="384"/>
      <c r="JQE54" s="384"/>
      <c r="JQF54" s="384"/>
      <c r="JQG54" s="384"/>
      <c r="JQH54" s="384"/>
      <c r="JQI54" s="384"/>
      <c r="JQJ54" s="384"/>
      <c r="JQK54" s="384"/>
      <c r="JQL54" s="384"/>
      <c r="JQM54" s="384"/>
      <c r="JQN54" s="384"/>
      <c r="JQO54" s="384"/>
      <c r="JQP54" s="384"/>
      <c r="JQQ54" s="384"/>
      <c r="JQR54" s="384"/>
      <c r="JQS54" s="384"/>
      <c r="JQT54" s="384"/>
      <c r="JQU54" s="384"/>
      <c r="JQV54" s="384"/>
      <c r="JQW54" s="384"/>
      <c r="JQX54" s="384"/>
      <c r="JQY54" s="384"/>
      <c r="JQZ54" s="384"/>
      <c r="JRA54" s="384"/>
      <c r="JRB54" s="384"/>
      <c r="JRC54" s="384"/>
      <c r="JRD54" s="384"/>
      <c r="JRE54" s="384"/>
      <c r="JRF54" s="384"/>
      <c r="JRG54" s="384"/>
      <c r="JRH54" s="384"/>
      <c r="JRI54" s="384"/>
      <c r="JRJ54" s="384"/>
      <c r="JRK54" s="384"/>
      <c r="JRL54" s="384"/>
      <c r="JRM54" s="384"/>
      <c r="JRN54" s="384"/>
      <c r="JRO54" s="384"/>
      <c r="JRP54" s="384"/>
      <c r="JRQ54" s="384"/>
      <c r="JRR54" s="384"/>
      <c r="JRS54" s="384"/>
      <c r="JRT54" s="384"/>
      <c r="JRU54" s="384"/>
      <c r="JRV54" s="384"/>
      <c r="JRW54" s="384"/>
      <c r="JRX54" s="384"/>
      <c r="JRY54" s="384"/>
      <c r="JRZ54" s="384"/>
      <c r="JSA54" s="384"/>
      <c r="JSB54" s="384"/>
      <c r="JSC54" s="384"/>
      <c r="JSD54" s="384"/>
      <c r="JSE54" s="384"/>
      <c r="JSF54" s="384"/>
      <c r="JSG54" s="384"/>
      <c r="JSH54" s="384"/>
      <c r="JSI54" s="384"/>
      <c r="JSJ54" s="384"/>
      <c r="JSK54" s="384"/>
      <c r="JSL54" s="384"/>
      <c r="JSM54" s="384"/>
      <c r="JSN54" s="384"/>
      <c r="JSO54" s="384"/>
      <c r="JSP54" s="384"/>
      <c r="JSQ54" s="384"/>
      <c r="JSR54" s="384"/>
      <c r="JSS54" s="384"/>
      <c r="JST54" s="384"/>
      <c r="JSU54" s="384"/>
      <c r="JSV54" s="384"/>
      <c r="JSW54" s="384"/>
      <c r="JSX54" s="384"/>
      <c r="JSY54" s="384"/>
      <c r="JSZ54" s="384"/>
      <c r="JTA54" s="384"/>
      <c r="JTB54" s="384"/>
      <c r="JTC54" s="384"/>
      <c r="JTD54" s="384"/>
      <c r="JTE54" s="384"/>
      <c r="JTF54" s="384"/>
      <c r="JTG54" s="384"/>
      <c r="JTH54" s="384"/>
      <c r="JTI54" s="384"/>
      <c r="JTJ54" s="384"/>
      <c r="JTK54" s="384"/>
      <c r="JTL54" s="384"/>
      <c r="JTM54" s="384"/>
      <c r="JTN54" s="384"/>
      <c r="JTO54" s="384"/>
      <c r="JTP54" s="384"/>
      <c r="JTQ54" s="384"/>
      <c r="JTR54" s="384"/>
      <c r="JTS54" s="384"/>
      <c r="JTT54" s="384"/>
      <c r="JTU54" s="384"/>
      <c r="JTV54" s="384"/>
      <c r="JTW54" s="384"/>
      <c r="JTX54" s="384"/>
      <c r="JTY54" s="384"/>
      <c r="JTZ54" s="384"/>
      <c r="JUA54" s="384"/>
      <c r="JUB54" s="384"/>
      <c r="JUC54" s="384"/>
      <c r="JUD54" s="384"/>
      <c r="JUE54" s="384"/>
      <c r="JUF54" s="384"/>
      <c r="JUG54" s="384"/>
      <c r="JUH54" s="384"/>
      <c r="JUI54" s="384"/>
      <c r="JUJ54" s="384"/>
      <c r="JUK54" s="384"/>
      <c r="JUL54" s="384"/>
      <c r="JUM54" s="384"/>
      <c r="JUN54" s="384"/>
      <c r="JUO54" s="384"/>
      <c r="JUP54" s="384"/>
      <c r="JUQ54" s="384"/>
      <c r="JUR54" s="384"/>
      <c r="JUS54" s="384"/>
      <c r="JUT54" s="384"/>
      <c r="JUU54" s="384"/>
      <c r="JUV54" s="384"/>
      <c r="JUW54" s="384"/>
      <c r="JUX54" s="384"/>
      <c r="JUY54" s="384"/>
      <c r="JUZ54" s="384"/>
      <c r="JVA54" s="384"/>
      <c r="JVB54" s="384"/>
      <c r="JVC54" s="384"/>
      <c r="JVD54" s="384"/>
      <c r="JVE54" s="384"/>
      <c r="JVF54" s="384"/>
      <c r="JVG54" s="384"/>
      <c r="JVH54" s="384"/>
      <c r="JVI54" s="384"/>
      <c r="JVJ54" s="384"/>
      <c r="JVK54" s="384"/>
      <c r="JVL54" s="384"/>
      <c r="JVM54" s="384"/>
      <c r="JVN54" s="384"/>
      <c r="JVO54" s="384"/>
      <c r="JVP54" s="384"/>
      <c r="JVQ54" s="384"/>
      <c r="JVR54" s="384"/>
      <c r="JVS54" s="384"/>
      <c r="JVT54" s="384"/>
      <c r="JVU54" s="384"/>
      <c r="JVV54" s="384"/>
      <c r="JVW54" s="384"/>
      <c r="JVX54" s="384"/>
      <c r="JVY54" s="384"/>
      <c r="JVZ54" s="384"/>
      <c r="JWA54" s="384"/>
      <c r="JWB54" s="384"/>
      <c r="JWC54" s="384"/>
      <c r="JWD54" s="384"/>
      <c r="JWE54" s="384"/>
      <c r="JWF54" s="384"/>
      <c r="JWG54" s="384"/>
      <c r="JWH54" s="384"/>
      <c r="JWI54" s="384"/>
      <c r="JWJ54" s="384"/>
      <c r="JWK54" s="384"/>
      <c r="JWL54" s="384"/>
      <c r="JWM54" s="384"/>
      <c r="JWN54" s="384"/>
      <c r="JWO54" s="384"/>
      <c r="JWP54" s="384"/>
      <c r="JWQ54" s="384"/>
      <c r="JWR54" s="384"/>
      <c r="JWS54" s="384"/>
      <c r="JWT54" s="384"/>
      <c r="JWU54" s="384"/>
      <c r="JWV54" s="384"/>
      <c r="JWW54" s="384"/>
      <c r="JWX54" s="384"/>
      <c r="JWY54" s="384"/>
      <c r="JWZ54" s="384"/>
      <c r="JXA54" s="384"/>
      <c r="JXB54" s="384"/>
      <c r="JXC54" s="384"/>
      <c r="JXD54" s="384"/>
      <c r="JXE54" s="384"/>
      <c r="JXF54" s="384"/>
      <c r="JXG54" s="384"/>
      <c r="JXH54" s="384"/>
      <c r="JXI54" s="384"/>
      <c r="JXJ54" s="384"/>
      <c r="JXK54" s="384"/>
      <c r="JXL54" s="384"/>
      <c r="JXM54" s="384"/>
      <c r="JXN54" s="384"/>
      <c r="JXO54" s="384"/>
      <c r="JXP54" s="384"/>
      <c r="JXQ54" s="384"/>
      <c r="JXR54" s="384"/>
      <c r="JXS54" s="384"/>
      <c r="JXT54" s="384"/>
      <c r="JXU54" s="384"/>
      <c r="JXV54" s="384"/>
      <c r="JXW54" s="384"/>
      <c r="JXX54" s="384"/>
      <c r="JXY54" s="384"/>
      <c r="JXZ54" s="384"/>
      <c r="JYA54" s="384"/>
      <c r="JYB54" s="384"/>
      <c r="JYC54" s="384"/>
      <c r="JYD54" s="384"/>
      <c r="JYE54" s="384"/>
      <c r="JYF54" s="384"/>
      <c r="JYG54" s="384"/>
      <c r="JYH54" s="384"/>
      <c r="JYI54" s="384"/>
      <c r="JYJ54" s="384"/>
      <c r="JYK54" s="384"/>
      <c r="JYL54" s="384"/>
      <c r="JYM54" s="384"/>
      <c r="JYN54" s="384"/>
      <c r="JYO54" s="384"/>
      <c r="JYP54" s="384"/>
      <c r="JYQ54" s="384"/>
      <c r="JYR54" s="384"/>
      <c r="JYS54" s="384"/>
      <c r="JYT54" s="384"/>
      <c r="JYU54" s="384"/>
      <c r="JYV54" s="384"/>
      <c r="JYW54" s="384"/>
      <c r="JYX54" s="384"/>
      <c r="JYY54" s="384"/>
      <c r="JYZ54" s="384"/>
      <c r="JZA54" s="384"/>
      <c r="JZB54" s="384"/>
      <c r="JZC54" s="384"/>
      <c r="JZD54" s="384"/>
      <c r="JZE54" s="384"/>
      <c r="JZF54" s="384"/>
      <c r="JZG54" s="384"/>
      <c r="JZH54" s="384"/>
      <c r="JZI54" s="384"/>
      <c r="JZJ54" s="384"/>
      <c r="JZK54" s="384"/>
      <c r="JZL54" s="384"/>
      <c r="JZM54" s="384"/>
      <c r="JZN54" s="384"/>
      <c r="JZO54" s="384"/>
      <c r="JZP54" s="384"/>
      <c r="JZQ54" s="384"/>
      <c r="JZR54" s="384"/>
      <c r="JZS54" s="384"/>
      <c r="JZT54" s="384"/>
      <c r="JZU54" s="384"/>
      <c r="JZV54" s="384"/>
      <c r="JZW54" s="384"/>
      <c r="JZX54" s="384"/>
      <c r="JZY54" s="384"/>
      <c r="JZZ54" s="384"/>
      <c r="KAA54" s="384"/>
      <c r="KAB54" s="384"/>
      <c r="KAC54" s="384"/>
      <c r="KAD54" s="384"/>
      <c r="KAE54" s="384"/>
      <c r="KAF54" s="384"/>
      <c r="KAG54" s="384"/>
      <c r="KAH54" s="384"/>
      <c r="KAI54" s="384"/>
      <c r="KAJ54" s="384"/>
      <c r="KAK54" s="384"/>
      <c r="KAL54" s="384"/>
      <c r="KAM54" s="384"/>
      <c r="KAN54" s="384"/>
      <c r="KAO54" s="384"/>
      <c r="KAP54" s="384"/>
      <c r="KAQ54" s="384"/>
      <c r="KAR54" s="384"/>
      <c r="KAS54" s="384"/>
      <c r="KAT54" s="384"/>
      <c r="KAU54" s="384"/>
      <c r="KAV54" s="384"/>
      <c r="KAW54" s="384"/>
      <c r="KAX54" s="384"/>
      <c r="KAY54" s="384"/>
      <c r="KAZ54" s="384"/>
      <c r="KBA54" s="384"/>
      <c r="KBB54" s="384"/>
      <c r="KBC54" s="384"/>
      <c r="KBD54" s="384"/>
      <c r="KBE54" s="384"/>
      <c r="KBF54" s="384"/>
      <c r="KBG54" s="384"/>
      <c r="KBH54" s="384"/>
      <c r="KBI54" s="384"/>
      <c r="KBJ54" s="384"/>
      <c r="KBK54" s="384"/>
      <c r="KBL54" s="384"/>
      <c r="KBM54" s="384"/>
      <c r="KBN54" s="384"/>
      <c r="KBO54" s="384"/>
      <c r="KBP54" s="384"/>
      <c r="KBQ54" s="384"/>
      <c r="KBR54" s="384"/>
      <c r="KBS54" s="384"/>
      <c r="KBT54" s="384"/>
      <c r="KBU54" s="384"/>
      <c r="KBV54" s="384"/>
      <c r="KBW54" s="384"/>
      <c r="KBX54" s="384"/>
      <c r="KBY54" s="384"/>
      <c r="KBZ54" s="384"/>
      <c r="KCA54" s="384"/>
      <c r="KCB54" s="384"/>
      <c r="KCC54" s="384"/>
      <c r="KCD54" s="384"/>
      <c r="KCE54" s="384"/>
      <c r="KCF54" s="384"/>
      <c r="KCG54" s="384"/>
      <c r="KCH54" s="384"/>
      <c r="KCI54" s="384"/>
      <c r="KCJ54" s="384"/>
      <c r="KCK54" s="384"/>
      <c r="KCL54" s="384"/>
      <c r="KCM54" s="384"/>
      <c r="KCN54" s="384"/>
      <c r="KCO54" s="384"/>
      <c r="KCP54" s="384"/>
      <c r="KCQ54" s="384"/>
      <c r="KCR54" s="384"/>
      <c r="KCS54" s="384"/>
      <c r="KCT54" s="384"/>
      <c r="KCU54" s="384"/>
      <c r="KCV54" s="384"/>
      <c r="KCW54" s="384"/>
      <c r="KCX54" s="384"/>
      <c r="KCY54" s="384"/>
      <c r="KCZ54" s="384"/>
      <c r="KDA54" s="384"/>
      <c r="KDB54" s="384"/>
      <c r="KDC54" s="384"/>
      <c r="KDD54" s="384"/>
      <c r="KDE54" s="384"/>
      <c r="KDF54" s="384"/>
      <c r="KDG54" s="384"/>
      <c r="KDH54" s="384"/>
      <c r="KDI54" s="384"/>
      <c r="KDJ54" s="384"/>
      <c r="KDK54" s="384"/>
      <c r="KDL54" s="384"/>
      <c r="KDM54" s="384"/>
      <c r="KDN54" s="384"/>
      <c r="KDO54" s="384"/>
      <c r="KDP54" s="384"/>
      <c r="KDQ54" s="384"/>
      <c r="KDR54" s="384"/>
      <c r="KDS54" s="384"/>
      <c r="KDT54" s="384"/>
      <c r="KDU54" s="384"/>
      <c r="KDV54" s="384"/>
      <c r="KDW54" s="384"/>
      <c r="KDX54" s="384"/>
      <c r="KDY54" s="384"/>
      <c r="KDZ54" s="384"/>
      <c r="KEA54" s="384"/>
      <c r="KEB54" s="384"/>
      <c r="KEC54" s="384"/>
      <c r="KED54" s="384"/>
      <c r="KEE54" s="384"/>
      <c r="KEF54" s="384"/>
      <c r="KEG54" s="384"/>
      <c r="KEH54" s="384"/>
      <c r="KEI54" s="384"/>
      <c r="KEJ54" s="384"/>
      <c r="KEK54" s="384"/>
      <c r="KEL54" s="384"/>
      <c r="KEM54" s="384"/>
      <c r="KEN54" s="384"/>
      <c r="KEO54" s="384"/>
      <c r="KEP54" s="384"/>
      <c r="KEQ54" s="384"/>
      <c r="KER54" s="384"/>
      <c r="KES54" s="384"/>
      <c r="KET54" s="384"/>
      <c r="KEU54" s="384"/>
      <c r="KEV54" s="384"/>
      <c r="KEW54" s="384"/>
      <c r="KEX54" s="384"/>
      <c r="KEY54" s="384"/>
      <c r="KEZ54" s="384"/>
      <c r="KFA54" s="384"/>
      <c r="KFB54" s="384"/>
      <c r="KFC54" s="384"/>
      <c r="KFD54" s="384"/>
      <c r="KFE54" s="384"/>
      <c r="KFF54" s="384"/>
      <c r="KFG54" s="384"/>
      <c r="KFH54" s="384"/>
      <c r="KFI54" s="384"/>
      <c r="KFJ54" s="384"/>
      <c r="KFK54" s="384"/>
      <c r="KFL54" s="384"/>
      <c r="KFM54" s="384"/>
      <c r="KFN54" s="384"/>
      <c r="KFO54" s="384"/>
      <c r="KFP54" s="384"/>
      <c r="KFQ54" s="384"/>
      <c r="KFR54" s="384"/>
      <c r="KFS54" s="384"/>
      <c r="KFT54" s="384"/>
      <c r="KFU54" s="384"/>
      <c r="KFV54" s="384"/>
      <c r="KFW54" s="384"/>
      <c r="KFX54" s="384"/>
      <c r="KFY54" s="384"/>
      <c r="KFZ54" s="384"/>
      <c r="KGA54" s="384"/>
      <c r="KGB54" s="384"/>
      <c r="KGC54" s="384"/>
      <c r="KGD54" s="384"/>
      <c r="KGE54" s="384"/>
      <c r="KGF54" s="384"/>
      <c r="KGG54" s="384"/>
      <c r="KGH54" s="384"/>
      <c r="KGI54" s="384"/>
      <c r="KGJ54" s="384"/>
      <c r="KGK54" s="384"/>
      <c r="KGL54" s="384"/>
      <c r="KGM54" s="384"/>
      <c r="KGN54" s="384"/>
      <c r="KGO54" s="384"/>
      <c r="KGP54" s="384"/>
      <c r="KGQ54" s="384"/>
      <c r="KGR54" s="384"/>
      <c r="KGS54" s="384"/>
      <c r="KGT54" s="384"/>
      <c r="KGU54" s="384"/>
      <c r="KGV54" s="384"/>
      <c r="KGW54" s="384"/>
      <c r="KGX54" s="384"/>
      <c r="KGY54" s="384"/>
      <c r="KGZ54" s="384"/>
      <c r="KHA54" s="384"/>
      <c r="KHB54" s="384"/>
      <c r="KHC54" s="384"/>
      <c r="KHD54" s="384"/>
      <c r="KHE54" s="384"/>
      <c r="KHF54" s="384"/>
      <c r="KHG54" s="384"/>
      <c r="KHH54" s="384"/>
      <c r="KHI54" s="384"/>
      <c r="KHJ54" s="384"/>
      <c r="KHK54" s="384"/>
      <c r="KHL54" s="384"/>
      <c r="KHM54" s="384"/>
      <c r="KHN54" s="384"/>
      <c r="KHO54" s="384"/>
      <c r="KHP54" s="384"/>
      <c r="KHQ54" s="384"/>
      <c r="KHR54" s="384"/>
      <c r="KHS54" s="384"/>
      <c r="KHT54" s="384"/>
      <c r="KHU54" s="384"/>
      <c r="KHV54" s="384"/>
      <c r="KHW54" s="384"/>
      <c r="KHX54" s="384"/>
      <c r="KHY54" s="384"/>
      <c r="KHZ54" s="384"/>
      <c r="KIA54" s="384"/>
      <c r="KIB54" s="384"/>
      <c r="KIC54" s="384"/>
      <c r="KID54" s="384"/>
      <c r="KIE54" s="384"/>
      <c r="KIF54" s="384"/>
      <c r="KIG54" s="384"/>
      <c r="KIH54" s="384"/>
      <c r="KII54" s="384"/>
      <c r="KIJ54" s="384"/>
      <c r="KIK54" s="384"/>
      <c r="KIL54" s="384"/>
      <c r="KIM54" s="384"/>
      <c r="KIN54" s="384"/>
      <c r="KIO54" s="384"/>
      <c r="KIP54" s="384"/>
      <c r="KIQ54" s="384"/>
      <c r="KIR54" s="384"/>
      <c r="KIS54" s="384"/>
      <c r="KIT54" s="384"/>
      <c r="KIU54" s="384"/>
      <c r="KIV54" s="384"/>
      <c r="KIW54" s="384"/>
      <c r="KIX54" s="384"/>
      <c r="KIY54" s="384"/>
      <c r="KIZ54" s="384"/>
      <c r="KJA54" s="384"/>
      <c r="KJB54" s="384"/>
      <c r="KJC54" s="384"/>
      <c r="KJD54" s="384"/>
      <c r="KJE54" s="384"/>
      <c r="KJF54" s="384"/>
      <c r="KJG54" s="384"/>
      <c r="KJH54" s="384"/>
      <c r="KJI54" s="384"/>
      <c r="KJJ54" s="384"/>
      <c r="KJK54" s="384"/>
      <c r="KJL54" s="384"/>
      <c r="KJM54" s="384"/>
      <c r="KJN54" s="384"/>
      <c r="KJO54" s="384"/>
      <c r="KJP54" s="384"/>
      <c r="KJQ54" s="384"/>
      <c r="KJR54" s="384"/>
      <c r="KJS54" s="384"/>
      <c r="KJT54" s="384"/>
      <c r="KJU54" s="384"/>
      <c r="KJV54" s="384"/>
      <c r="KJW54" s="384"/>
      <c r="KJX54" s="384"/>
      <c r="KJY54" s="384"/>
      <c r="KJZ54" s="384"/>
      <c r="KKA54" s="384"/>
      <c r="KKB54" s="384"/>
      <c r="KKC54" s="384"/>
      <c r="KKD54" s="384"/>
      <c r="KKE54" s="384"/>
      <c r="KKF54" s="384"/>
      <c r="KKG54" s="384"/>
      <c r="KKH54" s="384"/>
      <c r="KKI54" s="384"/>
      <c r="KKJ54" s="384"/>
      <c r="KKK54" s="384"/>
      <c r="KKL54" s="384"/>
      <c r="KKM54" s="384"/>
      <c r="KKN54" s="384"/>
      <c r="KKO54" s="384"/>
      <c r="KKP54" s="384"/>
      <c r="KKQ54" s="384"/>
      <c r="KKR54" s="384"/>
      <c r="KKS54" s="384"/>
      <c r="KKT54" s="384"/>
      <c r="KKU54" s="384"/>
      <c r="KKV54" s="384"/>
      <c r="KKW54" s="384"/>
      <c r="KKX54" s="384"/>
      <c r="KKY54" s="384"/>
      <c r="KKZ54" s="384"/>
      <c r="KLA54" s="384"/>
      <c r="KLB54" s="384"/>
      <c r="KLC54" s="384"/>
      <c r="KLD54" s="384"/>
      <c r="KLE54" s="384"/>
      <c r="KLF54" s="384"/>
      <c r="KLG54" s="384"/>
      <c r="KLH54" s="384"/>
      <c r="KLI54" s="384"/>
      <c r="KLJ54" s="384"/>
      <c r="KLK54" s="384"/>
      <c r="KLL54" s="384"/>
      <c r="KLM54" s="384"/>
      <c r="KLN54" s="384"/>
      <c r="KLO54" s="384"/>
      <c r="KLP54" s="384"/>
      <c r="KLQ54" s="384"/>
      <c r="KLR54" s="384"/>
      <c r="KLS54" s="384"/>
      <c r="KLT54" s="384"/>
      <c r="KLU54" s="384"/>
      <c r="KLV54" s="384"/>
      <c r="KLW54" s="384"/>
      <c r="KLX54" s="384"/>
      <c r="KLY54" s="384"/>
      <c r="KLZ54" s="384"/>
      <c r="KMA54" s="384"/>
      <c r="KMB54" s="384"/>
      <c r="KMC54" s="384"/>
      <c r="KMD54" s="384"/>
      <c r="KME54" s="384"/>
      <c r="KMF54" s="384"/>
      <c r="KMG54" s="384"/>
      <c r="KMH54" s="384"/>
      <c r="KMI54" s="384"/>
      <c r="KMJ54" s="384"/>
      <c r="KMK54" s="384"/>
      <c r="KML54" s="384"/>
      <c r="KMM54" s="384"/>
      <c r="KMN54" s="384"/>
      <c r="KMO54" s="384"/>
      <c r="KMP54" s="384"/>
      <c r="KMQ54" s="384"/>
      <c r="KMR54" s="384"/>
      <c r="KMS54" s="384"/>
      <c r="KMT54" s="384"/>
      <c r="KMU54" s="384"/>
      <c r="KMV54" s="384"/>
      <c r="KMW54" s="384"/>
      <c r="KMX54" s="384"/>
      <c r="KMY54" s="384"/>
      <c r="KMZ54" s="384"/>
      <c r="KNA54" s="384"/>
      <c r="KNB54" s="384"/>
      <c r="KNC54" s="384"/>
      <c r="KND54" s="384"/>
      <c r="KNE54" s="384"/>
      <c r="KNF54" s="384"/>
      <c r="KNG54" s="384"/>
      <c r="KNH54" s="384"/>
      <c r="KNI54" s="384"/>
      <c r="KNJ54" s="384"/>
      <c r="KNK54" s="384"/>
      <c r="KNL54" s="384"/>
      <c r="KNM54" s="384"/>
      <c r="KNN54" s="384"/>
      <c r="KNO54" s="384"/>
      <c r="KNP54" s="384"/>
      <c r="KNQ54" s="384"/>
      <c r="KNR54" s="384"/>
      <c r="KNS54" s="384"/>
      <c r="KNT54" s="384"/>
      <c r="KNU54" s="384"/>
      <c r="KNV54" s="384"/>
      <c r="KNW54" s="384"/>
      <c r="KNX54" s="384"/>
      <c r="KNY54" s="384"/>
      <c r="KNZ54" s="384"/>
      <c r="KOA54" s="384"/>
      <c r="KOB54" s="384"/>
      <c r="KOC54" s="384"/>
      <c r="KOD54" s="384"/>
      <c r="KOE54" s="384"/>
      <c r="KOF54" s="384"/>
      <c r="KOG54" s="384"/>
      <c r="KOH54" s="384"/>
      <c r="KOI54" s="384"/>
      <c r="KOJ54" s="384"/>
      <c r="KOK54" s="384"/>
      <c r="KOL54" s="384"/>
      <c r="KOM54" s="384"/>
      <c r="KON54" s="384"/>
      <c r="KOO54" s="384"/>
      <c r="KOP54" s="384"/>
      <c r="KOQ54" s="384"/>
      <c r="KOR54" s="384"/>
      <c r="KOS54" s="384"/>
      <c r="KOT54" s="384"/>
      <c r="KOU54" s="384"/>
      <c r="KOV54" s="384"/>
      <c r="KOW54" s="384"/>
      <c r="KOX54" s="384"/>
      <c r="KOY54" s="384"/>
      <c r="KOZ54" s="384"/>
      <c r="KPA54" s="384"/>
      <c r="KPB54" s="384"/>
      <c r="KPC54" s="384"/>
      <c r="KPD54" s="384"/>
      <c r="KPE54" s="384"/>
      <c r="KPF54" s="384"/>
      <c r="KPG54" s="384"/>
      <c r="KPH54" s="384"/>
      <c r="KPI54" s="384"/>
      <c r="KPJ54" s="384"/>
      <c r="KPK54" s="384"/>
      <c r="KPL54" s="384"/>
      <c r="KPM54" s="384"/>
      <c r="KPN54" s="384"/>
      <c r="KPO54" s="384"/>
      <c r="KPP54" s="384"/>
      <c r="KPQ54" s="384"/>
      <c r="KPR54" s="384"/>
      <c r="KPS54" s="384"/>
      <c r="KPT54" s="384"/>
      <c r="KPU54" s="384"/>
      <c r="KPV54" s="384"/>
      <c r="KPW54" s="384"/>
      <c r="KPX54" s="384"/>
      <c r="KPY54" s="384"/>
      <c r="KPZ54" s="384"/>
      <c r="KQA54" s="384"/>
      <c r="KQB54" s="384"/>
      <c r="KQC54" s="384"/>
      <c r="KQD54" s="384"/>
      <c r="KQE54" s="384"/>
      <c r="KQF54" s="384"/>
      <c r="KQG54" s="384"/>
      <c r="KQH54" s="384"/>
      <c r="KQI54" s="384"/>
      <c r="KQJ54" s="384"/>
      <c r="KQK54" s="384"/>
      <c r="KQL54" s="384"/>
      <c r="KQM54" s="384"/>
      <c r="KQN54" s="384"/>
      <c r="KQO54" s="384"/>
      <c r="KQP54" s="384"/>
      <c r="KQQ54" s="384"/>
      <c r="KQR54" s="384"/>
      <c r="KQS54" s="384"/>
      <c r="KQT54" s="384"/>
      <c r="KQU54" s="384"/>
      <c r="KQV54" s="384"/>
      <c r="KQW54" s="384"/>
      <c r="KQX54" s="384"/>
      <c r="KQY54" s="384"/>
      <c r="KQZ54" s="384"/>
      <c r="KRA54" s="384"/>
      <c r="KRB54" s="384"/>
      <c r="KRC54" s="384"/>
      <c r="KRD54" s="384"/>
      <c r="KRE54" s="384"/>
      <c r="KRF54" s="384"/>
      <c r="KRG54" s="384"/>
      <c r="KRH54" s="384"/>
      <c r="KRI54" s="384"/>
      <c r="KRJ54" s="384"/>
      <c r="KRK54" s="384"/>
      <c r="KRL54" s="384"/>
      <c r="KRM54" s="384"/>
      <c r="KRN54" s="384"/>
      <c r="KRO54" s="384"/>
      <c r="KRP54" s="384"/>
      <c r="KRQ54" s="384"/>
      <c r="KRR54" s="384"/>
      <c r="KRS54" s="384"/>
      <c r="KRT54" s="384"/>
      <c r="KRU54" s="384"/>
      <c r="KRV54" s="384"/>
      <c r="KRW54" s="384"/>
      <c r="KRX54" s="384"/>
      <c r="KRY54" s="384"/>
      <c r="KRZ54" s="384"/>
      <c r="KSA54" s="384"/>
      <c r="KSB54" s="384"/>
      <c r="KSC54" s="384"/>
      <c r="KSD54" s="384"/>
      <c r="KSE54" s="384"/>
      <c r="KSF54" s="384"/>
      <c r="KSG54" s="384"/>
      <c r="KSH54" s="384"/>
      <c r="KSI54" s="384"/>
      <c r="KSJ54" s="384"/>
      <c r="KSK54" s="384"/>
      <c r="KSL54" s="384"/>
      <c r="KSM54" s="384"/>
      <c r="KSN54" s="384"/>
      <c r="KSO54" s="384"/>
      <c r="KSP54" s="384"/>
      <c r="KSQ54" s="384"/>
      <c r="KSR54" s="384"/>
      <c r="KSS54" s="384"/>
      <c r="KST54" s="384"/>
      <c r="KSU54" s="384"/>
      <c r="KSV54" s="384"/>
      <c r="KSW54" s="384"/>
      <c r="KSX54" s="384"/>
      <c r="KSY54" s="384"/>
      <c r="KSZ54" s="384"/>
      <c r="KTA54" s="384"/>
      <c r="KTB54" s="384"/>
      <c r="KTC54" s="384"/>
      <c r="KTD54" s="384"/>
      <c r="KTE54" s="384"/>
      <c r="KTF54" s="384"/>
      <c r="KTG54" s="384"/>
      <c r="KTH54" s="384"/>
      <c r="KTI54" s="384"/>
      <c r="KTJ54" s="384"/>
      <c r="KTK54" s="384"/>
      <c r="KTL54" s="384"/>
      <c r="KTM54" s="384"/>
      <c r="KTN54" s="384"/>
      <c r="KTO54" s="384"/>
      <c r="KTP54" s="384"/>
      <c r="KTQ54" s="384"/>
      <c r="KTR54" s="384"/>
      <c r="KTS54" s="384"/>
      <c r="KTT54" s="384"/>
      <c r="KTU54" s="384"/>
      <c r="KTV54" s="384"/>
      <c r="KTW54" s="384"/>
      <c r="KTX54" s="384"/>
      <c r="KTY54" s="384"/>
      <c r="KTZ54" s="384"/>
      <c r="KUA54" s="384"/>
      <c r="KUB54" s="384"/>
      <c r="KUC54" s="384"/>
      <c r="KUD54" s="384"/>
      <c r="KUE54" s="384"/>
      <c r="KUF54" s="384"/>
      <c r="KUG54" s="384"/>
      <c r="KUH54" s="384"/>
      <c r="KUI54" s="384"/>
      <c r="KUJ54" s="384"/>
      <c r="KUK54" s="384"/>
      <c r="KUL54" s="384"/>
      <c r="KUM54" s="384"/>
      <c r="KUN54" s="384"/>
      <c r="KUO54" s="384"/>
      <c r="KUP54" s="384"/>
      <c r="KUQ54" s="384"/>
      <c r="KUR54" s="384"/>
      <c r="KUS54" s="384"/>
      <c r="KUT54" s="384"/>
      <c r="KUU54" s="384"/>
      <c r="KUV54" s="384"/>
      <c r="KUW54" s="384"/>
      <c r="KUX54" s="384"/>
      <c r="KUY54" s="384"/>
      <c r="KUZ54" s="384"/>
      <c r="KVA54" s="384"/>
      <c r="KVB54" s="384"/>
      <c r="KVC54" s="384"/>
      <c r="KVD54" s="384"/>
      <c r="KVE54" s="384"/>
      <c r="KVF54" s="384"/>
      <c r="KVG54" s="384"/>
      <c r="KVH54" s="384"/>
      <c r="KVI54" s="384"/>
      <c r="KVJ54" s="384"/>
      <c r="KVK54" s="384"/>
      <c r="KVL54" s="384"/>
      <c r="KVM54" s="384"/>
      <c r="KVN54" s="384"/>
      <c r="KVO54" s="384"/>
      <c r="KVP54" s="384"/>
      <c r="KVQ54" s="384"/>
      <c r="KVR54" s="384"/>
      <c r="KVS54" s="384"/>
      <c r="KVT54" s="384"/>
      <c r="KVU54" s="384"/>
      <c r="KVV54" s="384"/>
      <c r="KVW54" s="384"/>
      <c r="KVX54" s="384"/>
      <c r="KVY54" s="384"/>
      <c r="KVZ54" s="384"/>
      <c r="KWA54" s="384"/>
      <c r="KWB54" s="384"/>
      <c r="KWC54" s="384"/>
      <c r="KWD54" s="384"/>
      <c r="KWE54" s="384"/>
      <c r="KWF54" s="384"/>
      <c r="KWG54" s="384"/>
      <c r="KWH54" s="384"/>
      <c r="KWI54" s="384"/>
      <c r="KWJ54" s="384"/>
      <c r="KWK54" s="384"/>
      <c r="KWL54" s="384"/>
      <c r="KWM54" s="384"/>
      <c r="KWN54" s="384"/>
      <c r="KWO54" s="384"/>
      <c r="KWP54" s="384"/>
      <c r="KWQ54" s="384"/>
      <c r="KWR54" s="384"/>
      <c r="KWS54" s="384"/>
      <c r="KWT54" s="384"/>
      <c r="KWU54" s="384"/>
      <c r="KWV54" s="384"/>
      <c r="KWW54" s="384"/>
      <c r="KWX54" s="384"/>
      <c r="KWY54" s="384"/>
      <c r="KWZ54" s="384"/>
      <c r="KXA54" s="384"/>
      <c r="KXB54" s="384"/>
      <c r="KXC54" s="384"/>
      <c r="KXD54" s="384"/>
      <c r="KXE54" s="384"/>
      <c r="KXF54" s="384"/>
      <c r="KXG54" s="384"/>
      <c r="KXH54" s="384"/>
      <c r="KXI54" s="384"/>
      <c r="KXJ54" s="384"/>
      <c r="KXK54" s="384"/>
      <c r="KXL54" s="384"/>
      <c r="KXM54" s="384"/>
      <c r="KXN54" s="384"/>
      <c r="KXO54" s="384"/>
      <c r="KXP54" s="384"/>
      <c r="KXQ54" s="384"/>
      <c r="KXR54" s="384"/>
      <c r="KXS54" s="384"/>
      <c r="KXT54" s="384"/>
      <c r="KXU54" s="384"/>
      <c r="KXV54" s="384"/>
      <c r="KXW54" s="384"/>
      <c r="KXX54" s="384"/>
      <c r="KXY54" s="384"/>
      <c r="KXZ54" s="384"/>
      <c r="KYA54" s="384"/>
      <c r="KYB54" s="384"/>
      <c r="KYC54" s="384"/>
      <c r="KYD54" s="384"/>
      <c r="KYE54" s="384"/>
      <c r="KYF54" s="384"/>
      <c r="KYG54" s="384"/>
      <c r="KYH54" s="384"/>
      <c r="KYI54" s="384"/>
      <c r="KYJ54" s="384"/>
      <c r="KYK54" s="384"/>
      <c r="KYL54" s="384"/>
      <c r="KYM54" s="384"/>
      <c r="KYN54" s="384"/>
      <c r="KYO54" s="384"/>
      <c r="KYP54" s="384"/>
      <c r="KYQ54" s="384"/>
      <c r="KYR54" s="384"/>
      <c r="KYS54" s="384"/>
      <c r="KYT54" s="384"/>
      <c r="KYU54" s="384"/>
      <c r="KYV54" s="384"/>
      <c r="KYW54" s="384"/>
      <c r="KYX54" s="384"/>
      <c r="KYY54" s="384"/>
      <c r="KYZ54" s="384"/>
      <c r="KZA54" s="384"/>
      <c r="KZB54" s="384"/>
      <c r="KZC54" s="384"/>
      <c r="KZD54" s="384"/>
      <c r="KZE54" s="384"/>
      <c r="KZF54" s="384"/>
      <c r="KZG54" s="384"/>
      <c r="KZH54" s="384"/>
      <c r="KZI54" s="384"/>
      <c r="KZJ54" s="384"/>
      <c r="KZK54" s="384"/>
      <c r="KZL54" s="384"/>
      <c r="KZM54" s="384"/>
      <c r="KZN54" s="384"/>
      <c r="KZO54" s="384"/>
      <c r="KZP54" s="384"/>
      <c r="KZQ54" s="384"/>
      <c r="KZR54" s="384"/>
      <c r="KZS54" s="384"/>
      <c r="KZT54" s="384"/>
      <c r="KZU54" s="384"/>
      <c r="KZV54" s="384"/>
      <c r="KZW54" s="384"/>
      <c r="KZX54" s="384"/>
      <c r="KZY54" s="384"/>
      <c r="KZZ54" s="384"/>
      <c r="LAA54" s="384"/>
      <c r="LAB54" s="384"/>
      <c r="LAC54" s="384"/>
      <c r="LAD54" s="384"/>
      <c r="LAE54" s="384"/>
      <c r="LAF54" s="384"/>
      <c r="LAG54" s="384"/>
      <c r="LAH54" s="384"/>
      <c r="LAI54" s="384"/>
      <c r="LAJ54" s="384"/>
      <c r="LAK54" s="384"/>
      <c r="LAL54" s="384"/>
      <c r="LAM54" s="384"/>
      <c r="LAN54" s="384"/>
      <c r="LAO54" s="384"/>
      <c r="LAP54" s="384"/>
      <c r="LAQ54" s="384"/>
      <c r="LAR54" s="384"/>
      <c r="LAS54" s="384"/>
      <c r="LAT54" s="384"/>
      <c r="LAU54" s="384"/>
      <c r="LAV54" s="384"/>
      <c r="LAW54" s="384"/>
      <c r="LAX54" s="384"/>
      <c r="LAY54" s="384"/>
      <c r="LAZ54" s="384"/>
      <c r="LBA54" s="384"/>
      <c r="LBB54" s="384"/>
      <c r="LBC54" s="384"/>
      <c r="LBD54" s="384"/>
      <c r="LBE54" s="384"/>
      <c r="LBF54" s="384"/>
      <c r="LBG54" s="384"/>
      <c r="LBH54" s="384"/>
      <c r="LBI54" s="384"/>
      <c r="LBJ54" s="384"/>
      <c r="LBK54" s="384"/>
      <c r="LBL54" s="384"/>
      <c r="LBM54" s="384"/>
      <c r="LBN54" s="384"/>
      <c r="LBO54" s="384"/>
      <c r="LBP54" s="384"/>
      <c r="LBQ54" s="384"/>
      <c r="LBR54" s="384"/>
      <c r="LBS54" s="384"/>
      <c r="LBT54" s="384"/>
      <c r="LBU54" s="384"/>
      <c r="LBV54" s="384"/>
      <c r="LBW54" s="384"/>
      <c r="LBX54" s="384"/>
      <c r="LBY54" s="384"/>
      <c r="LBZ54" s="384"/>
      <c r="LCA54" s="384"/>
      <c r="LCB54" s="384"/>
      <c r="LCC54" s="384"/>
      <c r="LCD54" s="384"/>
      <c r="LCE54" s="384"/>
      <c r="LCF54" s="384"/>
      <c r="LCG54" s="384"/>
      <c r="LCH54" s="384"/>
      <c r="LCI54" s="384"/>
      <c r="LCJ54" s="384"/>
      <c r="LCK54" s="384"/>
      <c r="LCL54" s="384"/>
      <c r="LCM54" s="384"/>
      <c r="LCN54" s="384"/>
      <c r="LCO54" s="384"/>
      <c r="LCP54" s="384"/>
      <c r="LCQ54" s="384"/>
      <c r="LCR54" s="384"/>
      <c r="LCS54" s="384"/>
      <c r="LCT54" s="384"/>
      <c r="LCU54" s="384"/>
      <c r="LCV54" s="384"/>
      <c r="LCW54" s="384"/>
      <c r="LCX54" s="384"/>
      <c r="LCY54" s="384"/>
      <c r="LCZ54" s="384"/>
      <c r="LDA54" s="384"/>
      <c r="LDB54" s="384"/>
      <c r="LDC54" s="384"/>
      <c r="LDD54" s="384"/>
      <c r="LDE54" s="384"/>
      <c r="LDF54" s="384"/>
      <c r="LDG54" s="384"/>
      <c r="LDH54" s="384"/>
      <c r="LDI54" s="384"/>
      <c r="LDJ54" s="384"/>
      <c r="LDK54" s="384"/>
      <c r="LDL54" s="384"/>
      <c r="LDM54" s="384"/>
      <c r="LDN54" s="384"/>
      <c r="LDO54" s="384"/>
      <c r="LDP54" s="384"/>
      <c r="LDQ54" s="384"/>
      <c r="LDR54" s="384"/>
      <c r="LDS54" s="384"/>
      <c r="LDT54" s="384"/>
      <c r="LDU54" s="384"/>
      <c r="LDV54" s="384"/>
      <c r="LDW54" s="384"/>
      <c r="LDX54" s="384"/>
      <c r="LDY54" s="384"/>
      <c r="LDZ54" s="384"/>
      <c r="LEA54" s="384"/>
      <c r="LEB54" s="384"/>
      <c r="LEC54" s="384"/>
      <c r="LED54" s="384"/>
      <c r="LEE54" s="384"/>
      <c r="LEF54" s="384"/>
      <c r="LEG54" s="384"/>
      <c r="LEH54" s="384"/>
      <c r="LEI54" s="384"/>
      <c r="LEJ54" s="384"/>
      <c r="LEK54" s="384"/>
      <c r="LEL54" s="384"/>
      <c r="LEM54" s="384"/>
      <c r="LEN54" s="384"/>
      <c r="LEO54" s="384"/>
      <c r="LEP54" s="384"/>
      <c r="LEQ54" s="384"/>
      <c r="LER54" s="384"/>
      <c r="LES54" s="384"/>
      <c r="LET54" s="384"/>
      <c r="LEU54" s="384"/>
      <c r="LEV54" s="384"/>
      <c r="LEW54" s="384"/>
      <c r="LEX54" s="384"/>
      <c r="LEY54" s="384"/>
      <c r="LEZ54" s="384"/>
      <c r="LFA54" s="384"/>
      <c r="LFB54" s="384"/>
      <c r="LFC54" s="384"/>
      <c r="LFD54" s="384"/>
      <c r="LFE54" s="384"/>
      <c r="LFF54" s="384"/>
      <c r="LFG54" s="384"/>
      <c r="LFH54" s="384"/>
      <c r="LFI54" s="384"/>
      <c r="LFJ54" s="384"/>
      <c r="LFK54" s="384"/>
      <c r="LFL54" s="384"/>
      <c r="LFM54" s="384"/>
      <c r="LFN54" s="384"/>
      <c r="LFO54" s="384"/>
      <c r="LFP54" s="384"/>
      <c r="LFQ54" s="384"/>
      <c r="LFR54" s="384"/>
      <c r="LFS54" s="384"/>
      <c r="LFT54" s="384"/>
      <c r="LFU54" s="384"/>
      <c r="LFV54" s="384"/>
      <c r="LFW54" s="384"/>
      <c r="LFX54" s="384"/>
      <c r="LFY54" s="384"/>
      <c r="LFZ54" s="384"/>
      <c r="LGA54" s="384"/>
      <c r="LGB54" s="384"/>
      <c r="LGC54" s="384"/>
      <c r="LGD54" s="384"/>
      <c r="LGE54" s="384"/>
      <c r="LGF54" s="384"/>
      <c r="LGG54" s="384"/>
      <c r="LGH54" s="384"/>
      <c r="LGI54" s="384"/>
      <c r="LGJ54" s="384"/>
      <c r="LGK54" s="384"/>
      <c r="LGL54" s="384"/>
      <c r="LGM54" s="384"/>
      <c r="LGN54" s="384"/>
      <c r="LGO54" s="384"/>
      <c r="LGP54" s="384"/>
      <c r="LGQ54" s="384"/>
      <c r="LGR54" s="384"/>
      <c r="LGS54" s="384"/>
      <c r="LGT54" s="384"/>
      <c r="LGU54" s="384"/>
      <c r="LGV54" s="384"/>
      <c r="LGW54" s="384"/>
      <c r="LGX54" s="384"/>
      <c r="LGY54" s="384"/>
      <c r="LGZ54" s="384"/>
      <c r="LHA54" s="384"/>
      <c r="LHB54" s="384"/>
      <c r="LHC54" s="384"/>
      <c r="LHD54" s="384"/>
      <c r="LHE54" s="384"/>
      <c r="LHF54" s="384"/>
      <c r="LHG54" s="384"/>
      <c r="LHH54" s="384"/>
      <c r="LHI54" s="384"/>
      <c r="LHJ54" s="384"/>
      <c r="LHK54" s="384"/>
      <c r="LHL54" s="384"/>
      <c r="LHM54" s="384"/>
      <c r="LHN54" s="384"/>
      <c r="LHO54" s="384"/>
      <c r="LHP54" s="384"/>
      <c r="LHQ54" s="384"/>
      <c r="LHR54" s="384"/>
      <c r="LHS54" s="384"/>
      <c r="LHT54" s="384"/>
      <c r="LHU54" s="384"/>
      <c r="LHV54" s="384"/>
      <c r="LHW54" s="384"/>
      <c r="LHX54" s="384"/>
      <c r="LHY54" s="384"/>
      <c r="LHZ54" s="384"/>
      <c r="LIA54" s="384"/>
      <c r="LIB54" s="384"/>
      <c r="LIC54" s="384"/>
      <c r="LID54" s="384"/>
      <c r="LIE54" s="384"/>
      <c r="LIF54" s="384"/>
      <c r="LIG54" s="384"/>
      <c r="LIH54" s="384"/>
      <c r="LII54" s="384"/>
      <c r="LIJ54" s="384"/>
      <c r="LIK54" s="384"/>
      <c r="LIL54" s="384"/>
      <c r="LIM54" s="384"/>
      <c r="LIN54" s="384"/>
      <c r="LIO54" s="384"/>
      <c r="LIP54" s="384"/>
      <c r="LIQ54" s="384"/>
      <c r="LIR54" s="384"/>
      <c r="LIS54" s="384"/>
      <c r="LIT54" s="384"/>
      <c r="LIU54" s="384"/>
      <c r="LIV54" s="384"/>
      <c r="LIW54" s="384"/>
      <c r="LIX54" s="384"/>
      <c r="LIY54" s="384"/>
      <c r="LIZ54" s="384"/>
      <c r="LJA54" s="384"/>
      <c r="LJB54" s="384"/>
      <c r="LJC54" s="384"/>
      <c r="LJD54" s="384"/>
      <c r="LJE54" s="384"/>
      <c r="LJF54" s="384"/>
      <c r="LJG54" s="384"/>
      <c r="LJH54" s="384"/>
      <c r="LJI54" s="384"/>
      <c r="LJJ54" s="384"/>
      <c r="LJK54" s="384"/>
      <c r="LJL54" s="384"/>
      <c r="LJM54" s="384"/>
      <c r="LJN54" s="384"/>
      <c r="LJO54" s="384"/>
      <c r="LJP54" s="384"/>
      <c r="LJQ54" s="384"/>
      <c r="LJR54" s="384"/>
      <c r="LJS54" s="384"/>
      <c r="LJT54" s="384"/>
      <c r="LJU54" s="384"/>
      <c r="LJV54" s="384"/>
      <c r="LJW54" s="384"/>
      <c r="LJX54" s="384"/>
      <c r="LJY54" s="384"/>
      <c r="LJZ54" s="384"/>
      <c r="LKA54" s="384"/>
      <c r="LKB54" s="384"/>
      <c r="LKC54" s="384"/>
      <c r="LKD54" s="384"/>
      <c r="LKE54" s="384"/>
      <c r="LKF54" s="384"/>
      <c r="LKG54" s="384"/>
      <c r="LKH54" s="384"/>
      <c r="LKI54" s="384"/>
      <c r="LKJ54" s="384"/>
      <c r="LKK54" s="384"/>
      <c r="LKL54" s="384"/>
      <c r="LKM54" s="384"/>
      <c r="LKN54" s="384"/>
      <c r="LKO54" s="384"/>
      <c r="LKP54" s="384"/>
      <c r="LKQ54" s="384"/>
      <c r="LKR54" s="384"/>
      <c r="LKS54" s="384"/>
      <c r="LKT54" s="384"/>
      <c r="LKU54" s="384"/>
      <c r="LKV54" s="384"/>
      <c r="LKW54" s="384"/>
      <c r="LKX54" s="384"/>
      <c r="LKY54" s="384"/>
      <c r="LKZ54" s="384"/>
      <c r="LLA54" s="384"/>
      <c r="LLB54" s="384"/>
      <c r="LLC54" s="384"/>
      <c r="LLD54" s="384"/>
      <c r="LLE54" s="384"/>
      <c r="LLF54" s="384"/>
      <c r="LLG54" s="384"/>
      <c r="LLH54" s="384"/>
      <c r="LLI54" s="384"/>
      <c r="LLJ54" s="384"/>
      <c r="LLK54" s="384"/>
      <c r="LLL54" s="384"/>
      <c r="LLM54" s="384"/>
      <c r="LLN54" s="384"/>
      <c r="LLO54" s="384"/>
      <c r="LLP54" s="384"/>
      <c r="LLQ54" s="384"/>
      <c r="LLR54" s="384"/>
      <c r="LLS54" s="384"/>
      <c r="LLT54" s="384"/>
      <c r="LLU54" s="384"/>
      <c r="LLV54" s="384"/>
      <c r="LLW54" s="384"/>
      <c r="LLX54" s="384"/>
      <c r="LLY54" s="384"/>
      <c r="LLZ54" s="384"/>
      <c r="LMA54" s="384"/>
      <c r="LMB54" s="384"/>
      <c r="LMC54" s="384"/>
      <c r="LMD54" s="384"/>
      <c r="LME54" s="384"/>
      <c r="LMF54" s="384"/>
      <c r="LMG54" s="384"/>
      <c r="LMH54" s="384"/>
      <c r="LMI54" s="384"/>
      <c r="LMJ54" s="384"/>
      <c r="LMK54" s="384"/>
      <c r="LML54" s="384"/>
      <c r="LMM54" s="384"/>
      <c r="LMN54" s="384"/>
      <c r="LMO54" s="384"/>
      <c r="LMP54" s="384"/>
      <c r="LMQ54" s="384"/>
      <c r="LMR54" s="384"/>
      <c r="LMS54" s="384"/>
      <c r="LMT54" s="384"/>
      <c r="LMU54" s="384"/>
      <c r="LMV54" s="384"/>
      <c r="LMW54" s="384"/>
      <c r="LMX54" s="384"/>
      <c r="LMY54" s="384"/>
      <c r="LMZ54" s="384"/>
      <c r="LNA54" s="384"/>
      <c r="LNB54" s="384"/>
      <c r="LNC54" s="384"/>
      <c r="LND54" s="384"/>
      <c r="LNE54" s="384"/>
      <c r="LNF54" s="384"/>
      <c r="LNG54" s="384"/>
      <c r="LNH54" s="384"/>
      <c r="LNI54" s="384"/>
      <c r="LNJ54" s="384"/>
      <c r="LNK54" s="384"/>
      <c r="LNL54" s="384"/>
      <c r="LNM54" s="384"/>
      <c r="LNN54" s="384"/>
      <c r="LNO54" s="384"/>
      <c r="LNP54" s="384"/>
      <c r="LNQ54" s="384"/>
      <c r="LNR54" s="384"/>
      <c r="LNS54" s="384"/>
      <c r="LNT54" s="384"/>
      <c r="LNU54" s="384"/>
      <c r="LNV54" s="384"/>
      <c r="LNW54" s="384"/>
      <c r="LNX54" s="384"/>
      <c r="LNY54" s="384"/>
      <c r="LNZ54" s="384"/>
      <c r="LOA54" s="384"/>
      <c r="LOB54" s="384"/>
      <c r="LOC54" s="384"/>
      <c r="LOD54" s="384"/>
      <c r="LOE54" s="384"/>
      <c r="LOF54" s="384"/>
      <c r="LOG54" s="384"/>
      <c r="LOH54" s="384"/>
      <c r="LOI54" s="384"/>
      <c r="LOJ54" s="384"/>
      <c r="LOK54" s="384"/>
      <c r="LOL54" s="384"/>
      <c r="LOM54" s="384"/>
      <c r="LON54" s="384"/>
      <c r="LOO54" s="384"/>
      <c r="LOP54" s="384"/>
      <c r="LOQ54" s="384"/>
      <c r="LOR54" s="384"/>
      <c r="LOS54" s="384"/>
      <c r="LOT54" s="384"/>
      <c r="LOU54" s="384"/>
      <c r="LOV54" s="384"/>
      <c r="LOW54" s="384"/>
      <c r="LOX54" s="384"/>
      <c r="LOY54" s="384"/>
      <c r="LOZ54" s="384"/>
      <c r="LPA54" s="384"/>
      <c r="LPB54" s="384"/>
      <c r="LPC54" s="384"/>
      <c r="LPD54" s="384"/>
      <c r="LPE54" s="384"/>
      <c r="LPF54" s="384"/>
      <c r="LPG54" s="384"/>
      <c r="LPH54" s="384"/>
      <c r="LPI54" s="384"/>
      <c r="LPJ54" s="384"/>
      <c r="LPK54" s="384"/>
      <c r="LPL54" s="384"/>
      <c r="LPM54" s="384"/>
      <c r="LPN54" s="384"/>
      <c r="LPO54" s="384"/>
      <c r="LPP54" s="384"/>
      <c r="LPQ54" s="384"/>
      <c r="LPR54" s="384"/>
      <c r="LPS54" s="384"/>
      <c r="LPT54" s="384"/>
      <c r="LPU54" s="384"/>
      <c r="LPV54" s="384"/>
      <c r="LPW54" s="384"/>
      <c r="LPX54" s="384"/>
      <c r="LPY54" s="384"/>
      <c r="LPZ54" s="384"/>
      <c r="LQA54" s="384"/>
      <c r="LQB54" s="384"/>
      <c r="LQC54" s="384"/>
      <c r="LQD54" s="384"/>
      <c r="LQE54" s="384"/>
      <c r="LQF54" s="384"/>
      <c r="LQG54" s="384"/>
      <c r="LQH54" s="384"/>
      <c r="LQI54" s="384"/>
      <c r="LQJ54" s="384"/>
      <c r="LQK54" s="384"/>
      <c r="LQL54" s="384"/>
      <c r="LQM54" s="384"/>
      <c r="LQN54" s="384"/>
      <c r="LQO54" s="384"/>
      <c r="LQP54" s="384"/>
      <c r="LQQ54" s="384"/>
      <c r="LQR54" s="384"/>
      <c r="LQS54" s="384"/>
      <c r="LQT54" s="384"/>
      <c r="LQU54" s="384"/>
      <c r="LQV54" s="384"/>
      <c r="LQW54" s="384"/>
      <c r="LQX54" s="384"/>
      <c r="LQY54" s="384"/>
      <c r="LQZ54" s="384"/>
      <c r="LRA54" s="384"/>
      <c r="LRB54" s="384"/>
      <c r="LRC54" s="384"/>
      <c r="LRD54" s="384"/>
      <c r="LRE54" s="384"/>
      <c r="LRF54" s="384"/>
      <c r="LRG54" s="384"/>
      <c r="LRH54" s="384"/>
      <c r="LRI54" s="384"/>
      <c r="LRJ54" s="384"/>
      <c r="LRK54" s="384"/>
      <c r="LRL54" s="384"/>
      <c r="LRM54" s="384"/>
      <c r="LRN54" s="384"/>
      <c r="LRO54" s="384"/>
      <c r="LRP54" s="384"/>
      <c r="LRQ54" s="384"/>
      <c r="LRR54" s="384"/>
      <c r="LRS54" s="384"/>
      <c r="LRT54" s="384"/>
      <c r="LRU54" s="384"/>
      <c r="LRV54" s="384"/>
      <c r="LRW54" s="384"/>
      <c r="LRX54" s="384"/>
      <c r="LRY54" s="384"/>
      <c r="LRZ54" s="384"/>
      <c r="LSA54" s="384"/>
      <c r="LSB54" s="384"/>
      <c r="LSC54" s="384"/>
      <c r="LSD54" s="384"/>
      <c r="LSE54" s="384"/>
      <c r="LSF54" s="384"/>
      <c r="LSG54" s="384"/>
      <c r="LSH54" s="384"/>
      <c r="LSI54" s="384"/>
      <c r="LSJ54" s="384"/>
      <c r="LSK54" s="384"/>
      <c r="LSL54" s="384"/>
      <c r="LSM54" s="384"/>
      <c r="LSN54" s="384"/>
      <c r="LSO54" s="384"/>
      <c r="LSP54" s="384"/>
      <c r="LSQ54" s="384"/>
      <c r="LSR54" s="384"/>
      <c r="LSS54" s="384"/>
      <c r="LST54" s="384"/>
      <c r="LSU54" s="384"/>
      <c r="LSV54" s="384"/>
      <c r="LSW54" s="384"/>
      <c r="LSX54" s="384"/>
      <c r="LSY54" s="384"/>
      <c r="LSZ54" s="384"/>
      <c r="LTA54" s="384"/>
      <c r="LTB54" s="384"/>
      <c r="LTC54" s="384"/>
      <c r="LTD54" s="384"/>
      <c r="LTE54" s="384"/>
      <c r="LTF54" s="384"/>
      <c r="LTG54" s="384"/>
      <c r="LTH54" s="384"/>
      <c r="LTI54" s="384"/>
      <c r="LTJ54" s="384"/>
      <c r="LTK54" s="384"/>
      <c r="LTL54" s="384"/>
      <c r="LTM54" s="384"/>
      <c r="LTN54" s="384"/>
      <c r="LTO54" s="384"/>
      <c r="LTP54" s="384"/>
      <c r="LTQ54" s="384"/>
      <c r="LTR54" s="384"/>
      <c r="LTS54" s="384"/>
      <c r="LTT54" s="384"/>
      <c r="LTU54" s="384"/>
      <c r="LTV54" s="384"/>
      <c r="LTW54" s="384"/>
      <c r="LTX54" s="384"/>
      <c r="LTY54" s="384"/>
      <c r="LTZ54" s="384"/>
      <c r="LUA54" s="384"/>
      <c r="LUB54" s="384"/>
      <c r="LUC54" s="384"/>
      <c r="LUD54" s="384"/>
      <c r="LUE54" s="384"/>
      <c r="LUF54" s="384"/>
      <c r="LUG54" s="384"/>
      <c r="LUH54" s="384"/>
      <c r="LUI54" s="384"/>
      <c r="LUJ54" s="384"/>
      <c r="LUK54" s="384"/>
      <c r="LUL54" s="384"/>
      <c r="LUM54" s="384"/>
      <c r="LUN54" s="384"/>
      <c r="LUO54" s="384"/>
      <c r="LUP54" s="384"/>
      <c r="LUQ54" s="384"/>
      <c r="LUR54" s="384"/>
      <c r="LUS54" s="384"/>
      <c r="LUT54" s="384"/>
      <c r="LUU54" s="384"/>
      <c r="LUV54" s="384"/>
      <c r="LUW54" s="384"/>
      <c r="LUX54" s="384"/>
      <c r="LUY54" s="384"/>
      <c r="LUZ54" s="384"/>
      <c r="LVA54" s="384"/>
      <c r="LVB54" s="384"/>
      <c r="LVC54" s="384"/>
      <c r="LVD54" s="384"/>
      <c r="LVE54" s="384"/>
      <c r="LVF54" s="384"/>
      <c r="LVG54" s="384"/>
      <c r="LVH54" s="384"/>
      <c r="LVI54" s="384"/>
      <c r="LVJ54" s="384"/>
      <c r="LVK54" s="384"/>
      <c r="LVL54" s="384"/>
      <c r="LVM54" s="384"/>
      <c r="LVN54" s="384"/>
      <c r="LVO54" s="384"/>
      <c r="LVP54" s="384"/>
      <c r="LVQ54" s="384"/>
      <c r="LVR54" s="384"/>
      <c r="LVS54" s="384"/>
      <c r="LVT54" s="384"/>
      <c r="LVU54" s="384"/>
      <c r="LVV54" s="384"/>
      <c r="LVW54" s="384"/>
      <c r="LVX54" s="384"/>
      <c r="LVY54" s="384"/>
      <c r="LVZ54" s="384"/>
      <c r="LWA54" s="384"/>
      <c r="LWB54" s="384"/>
      <c r="LWC54" s="384"/>
      <c r="LWD54" s="384"/>
      <c r="LWE54" s="384"/>
      <c r="LWF54" s="384"/>
      <c r="LWG54" s="384"/>
      <c r="LWH54" s="384"/>
      <c r="LWI54" s="384"/>
      <c r="LWJ54" s="384"/>
      <c r="LWK54" s="384"/>
      <c r="LWL54" s="384"/>
      <c r="LWM54" s="384"/>
      <c r="LWN54" s="384"/>
      <c r="LWO54" s="384"/>
      <c r="LWP54" s="384"/>
      <c r="LWQ54" s="384"/>
      <c r="LWR54" s="384"/>
      <c r="LWS54" s="384"/>
      <c r="LWT54" s="384"/>
      <c r="LWU54" s="384"/>
      <c r="LWV54" s="384"/>
      <c r="LWW54" s="384"/>
      <c r="LWX54" s="384"/>
      <c r="LWY54" s="384"/>
      <c r="LWZ54" s="384"/>
      <c r="LXA54" s="384"/>
      <c r="LXB54" s="384"/>
      <c r="LXC54" s="384"/>
      <c r="LXD54" s="384"/>
      <c r="LXE54" s="384"/>
      <c r="LXF54" s="384"/>
      <c r="LXG54" s="384"/>
      <c r="LXH54" s="384"/>
      <c r="LXI54" s="384"/>
      <c r="LXJ54" s="384"/>
      <c r="LXK54" s="384"/>
      <c r="LXL54" s="384"/>
      <c r="LXM54" s="384"/>
      <c r="LXN54" s="384"/>
      <c r="LXO54" s="384"/>
      <c r="LXP54" s="384"/>
      <c r="LXQ54" s="384"/>
      <c r="LXR54" s="384"/>
      <c r="LXS54" s="384"/>
      <c r="LXT54" s="384"/>
      <c r="LXU54" s="384"/>
      <c r="LXV54" s="384"/>
      <c r="LXW54" s="384"/>
      <c r="LXX54" s="384"/>
      <c r="LXY54" s="384"/>
      <c r="LXZ54" s="384"/>
      <c r="LYA54" s="384"/>
      <c r="LYB54" s="384"/>
      <c r="LYC54" s="384"/>
      <c r="LYD54" s="384"/>
      <c r="LYE54" s="384"/>
      <c r="LYF54" s="384"/>
      <c r="LYG54" s="384"/>
      <c r="LYH54" s="384"/>
      <c r="LYI54" s="384"/>
      <c r="LYJ54" s="384"/>
      <c r="LYK54" s="384"/>
      <c r="LYL54" s="384"/>
      <c r="LYM54" s="384"/>
      <c r="LYN54" s="384"/>
      <c r="LYO54" s="384"/>
      <c r="LYP54" s="384"/>
      <c r="LYQ54" s="384"/>
      <c r="LYR54" s="384"/>
      <c r="LYS54" s="384"/>
      <c r="LYT54" s="384"/>
      <c r="LYU54" s="384"/>
      <c r="LYV54" s="384"/>
      <c r="LYW54" s="384"/>
      <c r="LYX54" s="384"/>
      <c r="LYY54" s="384"/>
      <c r="LYZ54" s="384"/>
      <c r="LZA54" s="384"/>
      <c r="LZB54" s="384"/>
      <c r="LZC54" s="384"/>
      <c r="LZD54" s="384"/>
      <c r="LZE54" s="384"/>
      <c r="LZF54" s="384"/>
      <c r="LZG54" s="384"/>
      <c r="LZH54" s="384"/>
      <c r="LZI54" s="384"/>
      <c r="LZJ54" s="384"/>
      <c r="LZK54" s="384"/>
      <c r="LZL54" s="384"/>
      <c r="LZM54" s="384"/>
      <c r="LZN54" s="384"/>
      <c r="LZO54" s="384"/>
      <c r="LZP54" s="384"/>
      <c r="LZQ54" s="384"/>
      <c r="LZR54" s="384"/>
      <c r="LZS54" s="384"/>
      <c r="LZT54" s="384"/>
      <c r="LZU54" s="384"/>
      <c r="LZV54" s="384"/>
      <c r="LZW54" s="384"/>
      <c r="LZX54" s="384"/>
      <c r="LZY54" s="384"/>
      <c r="LZZ54" s="384"/>
      <c r="MAA54" s="384"/>
      <c r="MAB54" s="384"/>
      <c r="MAC54" s="384"/>
      <c r="MAD54" s="384"/>
      <c r="MAE54" s="384"/>
      <c r="MAF54" s="384"/>
      <c r="MAG54" s="384"/>
      <c r="MAH54" s="384"/>
      <c r="MAI54" s="384"/>
      <c r="MAJ54" s="384"/>
      <c r="MAK54" s="384"/>
      <c r="MAL54" s="384"/>
      <c r="MAM54" s="384"/>
      <c r="MAN54" s="384"/>
      <c r="MAO54" s="384"/>
      <c r="MAP54" s="384"/>
      <c r="MAQ54" s="384"/>
      <c r="MAR54" s="384"/>
      <c r="MAS54" s="384"/>
      <c r="MAT54" s="384"/>
      <c r="MAU54" s="384"/>
      <c r="MAV54" s="384"/>
      <c r="MAW54" s="384"/>
      <c r="MAX54" s="384"/>
      <c r="MAY54" s="384"/>
      <c r="MAZ54" s="384"/>
      <c r="MBA54" s="384"/>
      <c r="MBB54" s="384"/>
      <c r="MBC54" s="384"/>
      <c r="MBD54" s="384"/>
      <c r="MBE54" s="384"/>
      <c r="MBF54" s="384"/>
      <c r="MBG54" s="384"/>
      <c r="MBH54" s="384"/>
      <c r="MBI54" s="384"/>
      <c r="MBJ54" s="384"/>
      <c r="MBK54" s="384"/>
      <c r="MBL54" s="384"/>
      <c r="MBM54" s="384"/>
      <c r="MBN54" s="384"/>
      <c r="MBO54" s="384"/>
      <c r="MBP54" s="384"/>
      <c r="MBQ54" s="384"/>
      <c r="MBR54" s="384"/>
      <c r="MBS54" s="384"/>
      <c r="MBT54" s="384"/>
      <c r="MBU54" s="384"/>
      <c r="MBV54" s="384"/>
      <c r="MBW54" s="384"/>
      <c r="MBX54" s="384"/>
      <c r="MBY54" s="384"/>
      <c r="MBZ54" s="384"/>
      <c r="MCA54" s="384"/>
      <c r="MCB54" s="384"/>
      <c r="MCC54" s="384"/>
      <c r="MCD54" s="384"/>
      <c r="MCE54" s="384"/>
      <c r="MCF54" s="384"/>
      <c r="MCG54" s="384"/>
      <c r="MCH54" s="384"/>
      <c r="MCI54" s="384"/>
      <c r="MCJ54" s="384"/>
      <c r="MCK54" s="384"/>
      <c r="MCL54" s="384"/>
      <c r="MCM54" s="384"/>
      <c r="MCN54" s="384"/>
      <c r="MCO54" s="384"/>
      <c r="MCP54" s="384"/>
      <c r="MCQ54" s="384"/>
      <c r="MCR54" s="384"/>
      <c r="MCS54" s="384"/>
      <c r="MCT54" s="384"/>
      <c r="MCU54" s="384"/>
      <c r="MCV54" s="384"/>
      <c r="MCW54" s="384"/>
      <c r="MCX54" s="384"/>
      <c r="MCY54" s="384"/>
      <c r="MCZ54" s="384"/>
      <c r="MDA54" s="384"/>
      <c r="MDB54" s="384"/>
      <c r="MDC54" s="384"/>
      <c r="MDD54" s="384"/>
      <c r="MDE54" s="384"/>
      <c r="MDF54" s="384"/>
      <c r="MDG54" s="384"/>
      <c r="MDH54" s="384"/>
      <c r="MDI54" s="384"/>
      <c r="MDJ54" s="384"/>
      <c r="MDK54" s="384"/>
      <c r="MDL54" s="384"/>
      <c r="MDM54" s="384"/>
      <c r="MDN54" s="384"/>
      <c r="MDO54" s="384"/>
      <c r="MDP54" s="384"/>
      <c r="MDQ54" s="384"/>
      <c r="MDR54" s="384"/>
      <c r="MDS54" s="384"/>
      <c r="MDT54" s="384"/>
      <c r="MDU54" s="384"/>
      <c r="MDV54" s="384"/>
      <c r="MDW54" s="384"/>
      <c r="MDX54" s="384"/>
      <c r="MDY54" s="384"/>
      <c r="MDZ54" s="384"/>
      <c r="MEA54" s="384"/>
      <c r="MEB54" s="384"/>
      <c r="MEC54" s="384"/>
      <c r="MED54" s="384"/>
      <c r="MEE54" s="384"/>
      <c r="MEF54" s="384"/>
      <c r="MEG54" s="384"/>
      <c r="MEH54" s="384"/>
      <c r="MEI54" s="384"/>
      <c r="MEJ54" s="384"/>
      <c r="MEK54" s="384"/>
      <c r="MEL54" s="384"/>
      <c r="MEM54" s="384"/>
      <c r="MEN54" s="384"/>
      <c r="MEO54" s="384"/>
      <c r="MEP54" s="384"/>
      <c r="MEQ54" s="384"/>
      <c r="MER54" s="384"/>
      <c r="MES54" s="384"/>
      <c r="MET54" s="384"/>
      <c r="MEU54" s="384"/>
      <c r="MEV54" s="384"/>
      <c r="MEW54" s="384"/>
      <c r="MEX54" s="384"/>
      <c r="MEY54" s="384"/>
      <c r="MEZ54" s="384"/>
      <c r="MFA54" s="384"/>
      <c r="MFB54" s="384"/>
      <c r="MFC54" s="384"/>
      <c r="MFD54" s="384"/>
      <c r="MFE54" s="384"/>
      <c r="MFF54" s="384"/>
      <c r="MFG54" s="384"/>
      <c r="MFH54" s="384"/>
      <c r="MFI54" s="384"/>
      <c r="MFJ54" s="384"/>
      <c r="MFK54" s="384"/>
      <c r="MFL54" s="384"/>
      <c r="MFM54" s="384"/>
      <c r="MFN54" s="384"/>
      <c r="MFO54" s="384"/>
      <c r="MFP54" s="384"/>
      <c r="MFQ54" s="384"/>
      <c r="MFR54" s="384"/>
      <c r="MFS54" s="384"/>
      <c r="MFT54" s="384"/>
      <c r="MFU54" s="384"/>
      <c r="MFV54" s="384"/>
      <c r="MFW54" s="384"/>
      <c r="MFX54" s="384"/>
      <c r="MFY54" s="384"/>
      <c r="MFZ54" s="384"/>
      <c r="MGA54" s="384"/>
      <c r="MGB54" s="384"/>
      <c r="MGC54" s="384"/>
      <c r="MGD54" s="384"/>
      <c r="MGE54" s="384"/>
      <c r="MGF54" s="384"/>
      <c r="MGG54" s="384"/>
      <c r="MGH54" s="384"/>
      <c r="MGI54" s="384"/>
      <c r="MGJ54" s="384"/>
      <c r="MGK54" s="384"/>
      <c r="MGL54" s="384"/>
      <c r="MGM54" s="384"/>
      <c r="MGN54" s="384"/>
      <c r="MGO54" s="384"/>
      <c r="MGP54" s="384"/>
      <c r="MGQ54" s="384"/>
      <c r="MGR54" s="384"/>
      <c r="MGS54" s="384"/>
      <c r="MGT54" s="384"/>
      <c r="MGU54" s="384"/>
      <c r="MGV54" s="384"/>
      <c r="MGW54" s="384"/>
      <c r="MGX54" s="384"/>
      <c r="MGY54" s="384"/>
      <c r="MGZ54" s="384"/>
      <c r="MHA54" s="384"/>
      <c r="MHB54" s="384"/>
      <c r="MHC54" s="384"/>
      <c r="MHD54" s="384"/>
      <c r="MHE54" s="384"/>
      <c r="MHF54" s="384"/>
      <c r="MHG54" s="384"/>
      <c r="MHH54" s="384"/>
      <c r="MHI54" s="384"/>
      <c r="MHJ54" s="384"/>
      <c r="MHK54" s="384"/>
      <c r="MHL54" s="384"/>
      <c r="MHM54" s="384"/>
      <c r="MHN54" s="384"/>
      <c r="MHO54" s="384"/>
      <c r="MHP54" s="384"/>
      <c r="MHQ54" s="384"/>
      <c r="MHR54" s="384"/>
      <c r="MHS54" s="384"/>
      <c r="MHT54" s="384"/>
      <c r="MHU54" s="384"/>
      <c r="MHV54" s="384"/>
      <c r="MHW54" s="384"/>
      <c r="MHX54" s="384"/>
      <c r="MHY54" s="384"/>
      <c r="MHZ54" s="384"/>
      <c r="MIA54" s="384"/>
      <c r="MIB54" s="384"/>
      <c r="MIC54" s="384"/>
      <c r="MID54" s="384"/>
      <c r="MIE54" s="384"/>
      <c r="MIF54" s="384"/>
      <c r="MIG54" s="384"/>
      <c r="MIH54" s="384"/>
      <c r="MII54" s="384"/>
      <c r="MIJ54" s="384"/>
      <c r="MIK54" s="384"/>
      <c r="MIL54" s="384"/>
      <c r="MIM54" s="384"/>
      <c r="MIN54" s="384"/>
      <c r="MIO54" s="384"/>
      <c r="MIP54" s="384"/>
      <c r="MIQ54" s="384"/>
      <c r="MIR54" s="384"/>
      <c r="MIS54" s="384"/>
      <c r="MIT54" s="384"/>
      <c r="MIU54" s="384"/>
      <c r="MIV54" s="384"/>
      <c r="MIW54" s="384"/>
      <c r="MIX54" s="384"/>
      <c r="MIY54" s="384"/>
      <c r="MIZ54" s="384"/>
      <c r="MJA54" s="384"/>
      <c r="MJB54" s="384"/>
      <c r="MJC54" s="384"/>
      <c r="MJD54" s="384"/>
      <c r="MJE54" s="384"/>
      <c r="MJF54" s="384"/>
      <c r="MJG54" s="384"/>
      <c r="MJH54" s="384"/>
      <c r="MJI54" s="384"/>
      <c r="MJJ54" s="384"/>
      <c r="MJK54" s="384"/>
      <c r="MJL54" s="384"/>
      <c r="MJM54" s="384"/>
      <c r="MJN54" s="384"/>
      <c r="MJO54" s="384"/>
      <c r="MJP54" s="384"/>
      <c r="MJQ54" s="384"/>
      <c r="MJR54" s="384"/>
      <c r="MJS54" s="384"/>
      <c r="MJT54" s="384"/>
      <c r="MJU54" s="384"/>
      <c r="MJV54" s="384"/>
      <c r="MJW54" s="384"/>
      <c r="MJX54" s="384"/>
      <c r="MJY54" s="384"/>
      <c r="MJZ54" s="384"/>
      <c r="MKA54" s="384"/>
      <c r="MKB54" s="384"/>
      <c r="MKC54" s="384"/>
      <c r="MKD54" s="384"/>
      <c r="MKE54" s="384"/>
      <c r="MKF54" s="384"/>
      <c r="MKG54" s="384"/>
      <c r="MKH54" s="384"/>
      <c r="MKI54" s="384"/>
      <c r="MKJ54" s="384"/>
      <c r="MKK54" s="384"/>
      <c r="MKL54" s="384"/>
      <c r="MKM54" s="384"/>
      <c r="MKN54" s="384"/>
      <c r="MKO54" s="384"/>
      <c r="MKP54" s="384"/>
      <c r="MKQ54" s="384"/>
      <c r="MKR54" s="384"/>
      <c r="MKS54" s="384"/>
      <c r="MKT54" s="384"/>
      <c r="MKU54" s="384"/>
      <c r="MKV54" s="384"/>
      <c r="MKW54" s="384"/>
      <c r="MKX54" s="384"/>
      <c r="MKY54" s="384"/>
      <c r="MKZ54" s="384"/>
      <c r="MLA54" s="384"/>
      <c r="MLB54" s="384"/>
      <c r="MLC54" s="384"/>
      <c r="MLD54" s="384"/>
      <c r="MLE54" s="384"/>
      <c r="MLF54" s="384"/>
      <c r="MLG54" s="384"/>
      <c r="MLH54" s="384"/>
      <c r="MLI54" s="384"/>
      <c r="MLJ54" s="384"/>
      <c r="MLK54" s="384"/>
      <c r="MLL54" s="384"/>
      <c r="MLM54" s="384"/>
      <c r="MLN54" s="384"/>
      <c r="MLO54" s="384"/>
      <c r="MLP54" s="384"/>
      <c r="MLQ54" s="384"/>
      <c r="MLR54" s="384"/>
      <c r="MLS54" s="384"/>
      <c r="MLT54" s="384"/>
      <c r="MLU54" s="384"/>
      <c r="MLV54" s="384"/>
      <c r="MLW54" s="384"/>
      <c r="MLX54" s="384"/>
      <c r="MLY54" s="384"/>
      <c r="MLZ54" s="384"/>
      <c r="MMA54" s="384"/>
      <c r="MMB54" s="384"/>
      <c r="MMC54" s="384"/>
      <c r="MMD54" s="384"/>
      <c r="MME54" s="384"/>
      <c r="MMF54" s="384"/>
      <c r="MMG54" s="384"/>
      <c r="MMH54" s="384"/>
      <c r="MMI54" s="384"/>
      <c r="MMJ54" s="384"/>
      <c r="MMK54" s="384"/>
      <c r="MML54" s="384"/>
      <c r="MMM54" s="384"/>
      <c r="MMN54" s="384"/>
      <c r="MMO54" s="384"/>
      <c r="MMP54" s="384"/>
      <c r="MMQ54" s="384"/>
      <c r="MMR54" s="384"/>
      <c r="MMS54" s="384"/>
      <c r="MMT54" s="384"/>
      <c r="MMU54" s="384"/>
      <c r="MMV54" s="384"/>
      <c r="MMW54" s="384"/>
      <c r="MMX54" s="384"/>
      <c r="MMY54" s="384"/>
      <c r="MMZ54" s="384"/>
      <c r="MNA54" s="384"/>
      <c r="MNB54" s="384"/>
      <c r="MNC54" s="384"/>
      <c r="MND54" s="384"/>
      <c r="MNE54" s="384"/>
      <c r="MNF54" s="384"/>
      <c r="MNG54" s="384"/>
      <c r="MNH54" s="384"/>
      <c r="MNI54" s="384"/>
      <c r="MNJ54" s="384"/>
      <c r="MNK54" s="384"/>
      <c r="MNL54" s="384"/>
      <c r="MNM54" s="384"/>
      <c r="MNN54" s="384"/>
      <c r="MNO54" s="384"/>
      <c r="MNP54" s="384"/>
      <c r="MNQ54" s="384"/>
      <c r="MNR54" s="384"/>
      <c r="MNS54" s="384"/>
      <c r="MNT54" s="384"/>
      <c r="MNU54" s="384"/>
      <c r="MNV54" s="384"/>
      <c r="MNW54" s="384"/>
      <c r="MNX54" s="384"/>
      <c r="MNY54" s="384"/>
      <c r="MNZ54" s="384"/>
      <c r="MOA54" s="384"/>
      <c r="MOB54" s="384"/>
      <c r="MOC54" s="384"/>
      <c r="MOD54" s="384"/>
      <c r="MOE54" s="384"/>
      <c r="MOF54" s="384"/>
      <c r="MOG54" s="384"/>
      <c r="MOH54" s="384"/>
      <c r="MOI54" s="384"/>
      <c r="MOJ54" s="384"/>
      <c r="MOK54" s="384"/>
      <c r="MOL54" s="384"/>
      <c r="MOM54" s="384"/>
      <c r="MON54" s="384"/>
      <c r="MOO54" s="384"/>
      <c r="MOP54" s="384"/>
      <c r="MOQ54" s="384"/>
      <c r="MOR54" s="384"/>
      <c r="MOS54" s="384"/>
      <c r="MOT54" s="384"/>
      <c r="MOU54" s="384"/>
      <c r="MOV54" s="384"/>
      <c r="MOW54" s="384"/>
      <c r="MOX54" s="384"/>
      <c r="MOY54" s="384"/>
      <c r="MOZ54" s="384"/>
      <c r="MPA54" s="384"/>
      <c r="MPB54" s="384"/>
      <c r="MPC54" s="384"/>
      <c r="MPD54" s="384"/>
      <c r="MPE54" s="384"/>
      <c r="MPF54" s="384"/>
      <c r="MPG54" s="384"/>
      <c r="MPH54" s="384"/>
      <c r="MPI54" s="384"/>
      <c r="MPJ54" s="384"/>
      <c r="MPK54" s="384"/>
      <c r="MPL54" s="384"/>
      <c r="MPM54" s="384"/>
      <c r="MPN54" s="384"/>
      <c r="MPO54" s="384"/>
      <c r="MPP54" s="384"/>
      <c r="MPQ54" s="384"/>
      <c r="MPR54" s="384"/>
      <c r="MPS54" s="384"/>
      <c r="MPT54" s="384"/>
      <c r="MPU54" s="384"/>
      <c r="MPV54" s="384"/>
      <c r="MPW54" s="384"/>
      <c r="MPX54" s="384"/>
      <c r="MPY54" s="384"/>
      <c r="MPZ54" s="384"/>
      <c r="MQA54" s="384"/>
      <c r="MQB54" s="384"/>
      <c r="MQC54" s="384"/>
      <c r="MQD54" s="384"/>
      <c r="MQE54" s="384"/>
      <c r="MQF54" s="384"/>
      <c r="MQG54" s="384"/>
      <c r="MQH54" s="384"/>
      <c r="MQI54" s="384"/>
      <c r="MQJ54" s="384"/>
      <c r="MQK54" s="384"/>
      <c r="MQL54" s="384"/>
      <c r="MQM54" s="384"/>
      <c r="MQN54" s="384"/>
      <c r="MQO54" s="384"/>
      <c r="MQP54" s="384"/>
      <c r="MQQ54" s="384"/>
      <c r="MQR54" s="384"/>
      <c r="MQS54" s="384"/>
      <c r="MQT54" s="384"/>
      <c r="MQU54" s="384"/>
      <c r="MQV54" s="384"/>
      <c r="MQW54" s="384"/>
      <c r="MQX54" s="384"/>
      <c r="MQY54" s="384"/>
      <c r="MQZ54" s="384"/>
      <c r="MRA54" s="384"/>
      <c r="MRB54" s="384"/>
      <c r="MRC54" s="384"/>
      <c r="MRD54" s="384"/>
      <c r="MRE54" s="384"/>
      <c r="MRF54" s="384"/>
      <c r="MRG54" s="384"/>
      <c r="MRH54" s="384"/>
      <c r="MRI54" s="384"/>
      <c r="MRJ54" s="384"/>
      <c r="MRK54" s="384"/>
      <c r="MRL54" s="384"/>
      <c r="MRM54" s="384"/>
      <c r="MRN54" s="384"/>
      <c r="MRO54" s="384"/>
      <c r="MRP54" s="384"/>
      <c r="MRQ54" s="384"/>
      <c r="MRR54" s="384"/>
      <c r="MRS54" s="384"/>
      <c r="MRT54" s="384"/>
      <c r="MRU54" s="384"/>
      <c r="MRV54" s="384"/>
      <c r="MRW54" s="384"/>
      <c r="MRX54" s="384"/>
      <c r="MRY54" s="384"/>
      <c r="MRZ54" s="384"/>
      <c r="MSA54" s="384"/>
      <c r="MSB54" s="384"/>
      <c r="MSC54" s="384"/>
      <c r="MSD54" s="384"/>
      <c r="MSE54" s="384"/>
      <c r="MSF54" s="384"/>
      <c r="MSG54" s="384"/>
      <c r="MSH54" s="384"/>
      <c r="MSI54" s="384"/>
      <c r="MSJ54" s="384"/>
      <c r="MSK54" s="384"/>
      <c r="MSL54" s="384"/>
      <c r="MSM54" s="384"/>
      <c r="MSN54" s="384"/>
      <c r="MSO54" s="384"/>
      <c r="MSP54" s="384"/>
      <c r="MSQ54" s="384"/>
      <c r="MSR54" s="384"/>
      <c r="MSS54" s="384"/>
      <c r="MST54" s="384"/>
      <c r="MSU54" s="384"/>
      <c r="MSV54" s="384"/>
      <c r="MSW54" s="384"/>
      <c r="MSX54" s="384"/>
      <c r="MSY54" s="384"/>
      <c r="MSZ54" s="384"/>
      <c r="MTA54" s="384"/>
      <c r="MTB54" s="384"/>
      <c r="MTC54" s="384"/>
      <c r="MTD54" s="384"/>
      <c r="MTE54" s="384"/>
      <c r="MTF54" s="384"/>
      <c r="MTG54" s="384"/>
      <c r="MTH54" s="384"/>
      <c r="MTI54" s="384"/>
      <c r="MTJ54" s="384"/>
      <c r="MTK54" s="384"/>
      <c r="MTL54" s="384"/>
      <c r="MTM54" s="384"/>
      <c r="MTN54" s="384"/>
      <c r="MTO54" s="384"/>
      <c r="MTP54" s="384"/>
      <c r="MTQ54" s="384"/>
      <c r="MTR54" s="384"/>
      <c r="MTS54" s="384"/>
      <c r="MTT54" s="384"/>
      <c r="MTU54" s="384"/>
      <c r="MTV54" s="384"/>
      <c r="MTW54" s="384"/>
      <c r="MTX54" s="384"/>
      <c r="MTY54" s="384"/>
      <c r="MTZ54" s="384"/>
      <c r="MUA54" s="384"/>
      <c r="MUB54" s="384"/>
      <c r="MUC54" s="384"/>
      <c r="MUD54" s="384"/>
      <c r="MUE54" s="384"/>
      <c r="MUF54" s="384"/>
      <c r="MUG54" s="384"/>
      <c r="MUH54" s="384"/>
      <c r="MUI54" s="384"/>
      <c r="MUJ54" s="384"/>
      <c r="MUK54" s="384"/>
      <c r="MUL54" s="384"/>
      <c r="MUM54" s="384"/>
      <c r="MUN54" s="384"/>
      <c r="MUO54" s="384"/>
      <c r="MUP54" s="384"/>
      <c r="MUQ54" s="384"/>
      <c r="MUR54" s="384"/>
      <c r="MUS54" s="384"/>
      <c r="MUT54" s="384"/>
      <c r="MUU54" s="384"/>
      <c r="MUV54" s="384"/>
      <c r="MUW54" s="384"/>
      <c r="MUX54" s="384"/>
      <c r="MUY54" s="384"/>
      <c r="MUZ54" s="384"/>
      <c r="MVA54" s="384"/>
      <c r="MVB54" s="384"/>
      <c r="MVC54" s="384"/>
      <c r="MVD54" s="384"/>
      <c r="MVE54" s="384"/>
      <c r="MVF54" s="384"/>
      <c r="MVG54" s="384"/>
      <c r="MVH54" s="384"/>
      <c r="MVI54" s="384"/>
      <c r="MVJ54" s="384"/>
      <c r="MVK54" s="384"/>
      <c r="MVL54" s="384"/>
      <c r="MVM54" s="384"/>
      <c r="MVN54" s="384"/>
      <c r="MVO54" s="384"/>
      <c r="MVP54" s="384"/>
      <c r="MVQ54" s="384"/>
      <c r="MVR54" s="384"/>
      <c r="MVS54" s="384"/>
      <c r="MVT54" s="384"/>
      <c r="MVU54" s="384"/>
      <c r="MVV54" s="384"/>
      <c r="MVW54" s="384"/>
      <c r="MVX54" s="384"/>
      <c r="MVY54" s="384"/>
      <c r="MVZ54" s="384"/>
      <c r="MWA54" s="384"/>
      <c r="MWB54" s="384"/>
      <c r="MWC54" s="384"/>
      <c r="MWD54" s="384"/>
      <c r="MWE54" s="384"/>
      <c r="MWF54" s="384"/>
      <c r="MWG54" s="384"/>
      <c r="MWH54" s="384"/>
      <c r="MWI54" s="384"/>
      <c r="MWJ54" s="384"/>
      <c r="MWK54" s="384"/>
      <c r="MWL54" s="384"/>
      <c r="MWM54" s="384"/>
      <c r="MWN54" s="384"/>
      <c r="MWO54" s="384"/>
      <c r="MWP54" s="384"/>
      <c r="MWQ54" s="384"/>
      <c r="MWR54" s="384"/>
      <c r="MWS54" s="384"/>
      <c r="MWT54" s="384"/>
      <c r="MWU54" s="384"/>
      <c r="MWV54" s="384"/>
      <c r="MWW54" s="384"/>
      <c r="MWX54" s="384"/>
      <c r="MWY54" s="384"/>
      <c r="MWZ54" s="384"/>
      <c r="MXA54" s="384"/>
      <c r="MXB54" s="384"/>
      <c r="MXC54" s="384"/>
      <c r="MXD54" s="384"/>
      <c r="MXE54" s="384"/>
      <c r="MXF54" s="384"/>
      <c r="MXG54" s="384"/>
      <c r="MXH54" s="384"/>
      <c r="MXI54" s="384"/>
      <c r="MXJ54" s="384"/>
      <c r="MXK54" s="384"/>
      <c r="MXL54" s="384"/>
      <c r="MXM54" s="384"/>
      <c r="MXN54" s="384"/>
      <c r="MXO54" s="384"/>
      <c r="MXP54" s="384"/>
      <c r="MXQ54" s="384"/>
      <c r="MXR54" s="384"/>
      <c r="MXS54" s="384"/>
      <c r="MXT54" s="384"/>
      <c r="MXU54" s="384"/>
      <c r="MXV54" s="384"/>
      <c r="MXW54" s="384"/>
      <c r="MXX54" s="384"/>
      <c r="MXY54" s="384"/>
      <c r="MXZ54" s="384"/>
      <c r="MYA54" s="384"/>
      <c r="MYB54" s="384"/>
      <c r="MYC54" s="384"/>
      <c r="MYD54" s="384"/>
      <c r="MYE54" s="384"/>
      <c r="MYF54" s="384"/>
      <c r="MYG54" s="384"/>
      <c r="MYH54" s="384"/>
      <c r="MYI54" s="384"/>
      <c r="MYJ54" s="384"/>
      <c r="MYK54" s="384"/>
      <c r="MYL54" s="384"/>
      <c r="MYM54" s="384"/>
      <c r="MYN54" s="384"/>
      <c r="MYO54" s="384"/>
      <c r="MYP54" s="384"/>
      <c r="MYQ54" s="384"/>
      <c r="MYR54" s="384"/>
      <c r="MYS54" s="384"/>
      <c r="MYT54" s="384"/>
      <c r="MYU54" s="384"/>
      <c r="MYV54" s="384"/>
      <c r="MYW54" s="384"/>
      <c r="MYX54" s="384"/>
      <c r="MYY54" s="384"/>
      <c r="MYZ54" s="384"/>
      <c r="MZA54" s="384"/>
      <c r="MZB54" s="384"/>
      <c r="MZC54" s="384"/>
      <c r="MZD54" s="384"/>
      <c r="MZE54" s="384"/>
      <c r="MZF54" s="384"/>
      <c r="MZG54" s="384"/>
      <c r="MZH54" s="384"/>
      <c r="MZI54" s="384"/>
      <c r="MZJ54" s="384"/>
      <c r="MZK54" s="384"/>
      <c r="MZL54" s="384"/>
      <c r="MZM54" s="384"/>
      <c r="MZN54" s="384"/>
      <c r="MZO54" s="384"/>
      <c r="MZP54" s="384"/>
      <c r="MZQ54" s="384"/>
      <c r="MZR54" s="384"/>
      <c r="MZS54" s="384"/>
      <c r="MZT54" s="384"/>
      <c r="MZU54" s="384"/>
      <c r="MZV54" s="384"/>
      <c r="MZW54" s="384"/>
      <c r="MZX54" s="384"/>
      <c r="MZY54" s="384"/>
      <c r="MZZ54" s="384"/>
      <c r="NAA54" s="384"/>
      <c r="NAB54" s="384"/>
      <c r="NAC54" s="384"/>
      <c r="NAD54" s="384"/>
      <c r="NAE54" s="384"/>
      <c r="NAF54" s="384"/>
      <c r="NAG54" s="384"/>
      <c r="NAH54" s="384"/>
      <c r="NAI54" s="384"/>
      <c r="NAJ54" s="384"/>
      <c r="NAK54" s="384"/>
      <c r="NAL54" s="384"/>
      <c r="NAM54" s="384"/>
      <c r="NAN54" s="384"/>
      <c r="NAO54" s="384"/>
      <c r="NAP54" s="384"/>
      <c r="NAQ54" s="384"/>
      <c r="NAR54" s="384"/>
      <c r="NAS54" s="384"/>
      <c r="NAT54" s="384"/>
      <c r="NAU54" s="384"/>
      <c r="NAV54" s="384"/>
      <c r="NAW54" s="384"/>
      <c r="NAX54" s="384"/>
      <c r="NAY54" s="384"/>
      <c r="NAZ54" s="384"/>
      <c r="NBA54" s="384"/>
      <c r="NBB54" s="384"/>
      <c r="NBC54" s="384"/>
      <c r="NBD54" s="384"/>
      <c r="NBE54" s="384"/>
      <c r="NBF54" s="384"/>
      <c r="NBG54" s="384"/>
      <c r="NBH54" s="384"/>
      <c r="NBI54" s="384"/>
      <c r="NBJ54" s="384"/>
      <c r="NBK54" s="384"/>
      <c r="NBL54" s="384"/>
      <c r="NBM54" s="384"/>
      <c r="NBN54" s="384"/>
      <c r="NBO54" s="384"/>
      <c r="NBP54" s="384"/>
      <c r="NBQ54" s="384"/>
      <c r="NBR54" s="384"/>
      <c r="NBS54" s="384"/>
      <c r="NBT54" s="384"/>
      <c r="NBU54" s="384"/>
      <c r="NBV54" s="384"/>
      <c r="NBW54" s="384"/>
      <c r="NBX54" s="384"/>
      <c r="NBY54" s="384"/>
      <c r="NBZ54" s="384"/>
      <c r="NCA54" s="384"/>
      <c r="NCB54" s="384"/>
      <c r="NCC54" s="384"/>
      <c r="NCD54" s="384"/>
      <c r="NCE54" s="384"/>
      <c r="NCF54" s="384"/>
      <c r="NCG54" s="384"/>
      <c r="NCH54" s="384"/>
      <c r="NCI54" s="384"/>
      <c r="NCJ54" s="384"/>
      <c r="NCK54" s="384"/>
      <c r="NCL54" s="384"/>
      <c r="NCM54" s="384"/>
      <c r="NCN54" s="384"/>
      <c r="NCO54" s="384"/>
      <c r="NCP54" s="384"/>
      <c r="NCQ54" s="384"/>
      <c r="NCR54" s="384"/>
      <c r="NCS54" s="384"/>
      <c r="NCT54" s="384"/>
      <c r="NCU54" s="384"/>
      <c r="NCV54" s="384"/>
      <c r="NCW54" s="384"/>
      <c r="NCX54" s="384"/>
      <c r="NCY54" s="384"/>
      <c r="NCZ54" s="384"/>
      <c r="NDA54" s="384"/>
      <c r="NDB54" s="384"/>
      <c r="NDC54" s="384"/>
      <c r="NDD54" s="384"/>
      <c r="NDE54" s="384"/>
      <c r="NDF54" s="384"/>
      <c r="NDG54" s="384"/>
      <c r="NDH54" s="384"/>
      <c r="NDI54" s="384"/>
      <c r="NDJ54" s="384"/>
      <c r="NDK54" s="384"/>
      <c r="NDL54" s="384"/>
      <c r="NDM54" s="384"/>
      <c r="NDN54" s="384"/>
      <c r="NDO54" s="384"/>
      <c r="NDP54" s="384"/>
      <c r="NDQ54" s="384"/>
      <c r="NDR54" s="384"/>
      <c r="NDS54" s="384"/>
      <c r="NDT54" s="384"/>
      <c r="NDU54" s="384"/>
      <c r="NDV54" s="384"/>
      <c r="NDW54" s="384"/>
      <c r="NDX54" s="384"/>
      <c r="NDY54" s="384"/>
      <c r="NDZ54" s="384"/>
      <c r="NEA54" s="384"/>
      <c r="NEB54" s="384"/>
      <c r="NEC54" s="384"/>
      <c r="NED54" s="384"/>
      <c r="NEE54" s="384"/>
      <c r="NEF54" s="384"/>
      <c r="NEG54" s="384"/>
      <c r="NEH54" s="384"/>
      <c r="NEI54" s="384"/>
      <c r="NEJ54" s="384"/>
      <c r="NEK54" s="384"/>
      <c r="NEL54" s="384"/>
      <c r="NEM54" s="384"/>
      <c r="NEN54" s="384"/>
      <c r="NEO54" s="384"/>
      <c r="NEP54" s="384"/>
      <c r="NEQ54" s="384"/>
      <c r="NER54" s="384"/>
      <c r="NES54" s="384"/>
      <c r="NET54" s="384"/>
      <c r="NEU54" s="384"/>
      <c r="NEV54" s="384"/>
      <c r="NEW54" s="384"/>
      <c r="NEX54" s="384"/>
      <c r="NEY54" s="384"/>
      <c r="NEZ54" s="384"/>
      <c r="NFA54" s="384"/>
      <c r="NFB54" s="384"/>
      <c r="NFC54" s="384"/>
      <c r="NFD54" s="384"/>
      <c r="NFE54" s="384"/>
      <c r="NFF54" s="384"/>
      <c r="NFG54" s="384"/>
      <c r="NFH54" s="384"/>
      <c r="NFI54" s="384"/>
      <c r="NFJ54" s="384"/>
      <c r="NFK54" s="384"/>
      <c r="NFL54" s="384"/>
      <c r="NFM54" s="384"/>
      <c r="NFN54" s="384"/>
      <c r="NFO54" s="384"/>
      <c r="NFP54" s="384"/>
      <c r="NFQ54" s="384"/>
      <c r="NFR54" s="384"/>
      <c r="NFS54" s="384"/>
      <c r="NFT54" s="384"/>
      <c r="NFU54" s="384"/>
      <c r="NFV54" s="384"/>
      <c r="NFW54" s="384"/>
      <c r="NFX54" s="384"/>
      <c r="NFY54" s="384"/>
      <c r="NFZ54" s="384"/>
      <c r="NGA54" s="384"/>
      <c r="NGB54" s="384"/>
      <c r="NGC54" s="384"/>
      <c r="NGD54" s="384"/>
      <c r="NGE54" s="384"/>
      <c r="NGF54" s="384"/>
      <c r="NGG54" s="384"/>
      <c r="NGH54" s="384"/>
      <c r="NGI54" s="384"/>
      <c r="NGJ54" s="384"/>
      <c r="NGK54" s="384"/>
      <c r="NGL54" s="384"/>
      <c r="NGM54" s="384"/>
      <c r="NGN54" s="384"/>
      <c r="NGO54" s="384"/>
      <c r="NGP54" s="384"/>
      <c r="NGQ54" s="384"/>
      <c r="NGR54" s="384"/>
      <c r="NGS54" s="384"/>
      <c r="NGT54" s="384"/>
      <c r="NGU54" s="384"/>
      <c r="NGV54" s="384"/>
      <c r="NGW54" s="384"/>
      <c r="NGX54" s="384"/>
      <c r="NGY54" s="384"/>
      <c r="NGZ54" s="384"/>
      <c r="NHA54" s="384"/>
      <c r="NHB54" s="384"/>
      <c r="NHC54" s="384"/>
      <c r="NHD54" s="384"/>
      <c r="NHE54" s="384"/>
      <c r="NHF54" s="384"/>
      <c r="NHG54" s="384"/>
      <c r="NHH54" s="384"/>
      <c r="NHI54" s="384"/>
      <c r="NHJ54" s="384"/>
      <c r="NHK54" s="384"/>
      <c r="NHL54" s="384"/>
      <c r="NHM54" s="384"/>
      <c r="NHN54" s="384"/>
      <c r="NHO54" s="384"/>
      <c r="NHP54" s="384"/>
      <c r="NHQ54" s="384"/>
      <c r="NHR54" s="384"/>
      <c r="NHS54" s="384"/>
      <c r="NHT54" s="384"/>
      <c r="NHU54" s="384"/>
      <c r="NHV54" s="384"/>
      <c r="NHW54" s="384"/>
      <c r="NHX54" s="384"/>
      <c r="NHY54" s="384"/>
      <c r="NHZ54" s="384"/>
      <c r="NIA54" s="384"/>
      <c r="NIB54" s="384"/>
      <c r="NIC54" s="384"/>
      <c r="NID54" s="384"/>
      <c r="NIE54" s="384"/>
      <c r="NIF54" s="384"/>
      <c r="NIG54" s="384"/>
      <c r="NIH54" s="384"/>
      <c r="NII54" s="384"/>
      <c r="NIJ54" s="384"/>
      <c r="NIK54" s="384"/>
      <c r="NIL54" s="384"/>
      <c r="NIM54" s="384"/>
      <c r="NIN54" s="384"/>
      <c r="NIO54" s="384"/>
      <c r="NIP54" s="384"/>
      <c r="NIQ54" s="384"/>
      <c r="NIR54" s="384"/>
      <c r="NIS54" s="384"/>
      <c r="NIT54" s="384"/>
      <c r="NIU54" s="384"/>
      <c r="NIV54" s="384"/>
      <c r="NIW54" s="384"/>
      <c r="NIX54" s="384"/>
      <c r="NIY54" s="384"/>
      <c r="NIZ54" s="384"/>
      <c r="NJA54" s="384"/>
      <c r="NJB54" s="384"/>
      <c r="NJC54" s="384"/>
      <c r="NJD54" s="384"/>
      <c r="NJE54" s="384"/>
      <c r="NJF54" s="384"/>
      <c r="NJG54" s="384"/>
      <c r="NJH54" s="384"/>
      <c r="NJI54" s="384"/>
      <c r="NJJ54" s="384"/>
      <c r="NJK54" s="384"/>
      <c r="NJL54" s="384"/>
      <c r="NJM54" s="384"/>
      <c r="NJN54" s="384"/>
      <c r="NJO54" s="384"/>
      <c r="NJP54" s="384"/>
      <c r="NJQ54" s="384"/>
      <c r="NJR54" s="384"/>
      <c r="NJS54" s="384"/>
      <c r="NJT54" s="384"/>
      <c r="NJU54" s="384"/>
      <c r="NJV54" s="384"/>
      <c r="NJW54" s="384"/>
      <c r="NJX54" s="384"/>
      <c r="NJY54" s="384"/>
      <c r="NJZ54" s="384"/>
      <c r="NKA54" s="384"/>
      <c r="NKB54" s="384"/>
      <c r="NKC54" s="384"/>
      <c r="NKD54" s="384"/>
      <c r="NKE54" s="384"/>
      <c r="NKF54" s="384"/>
      <c r="NKG54" s="384"/>
      <c r="NKH54" s="384"/>
      <c r="NKI54" s="384"/>
      <c r="NKJ54" s="384"/>
      <c r="NKK54" s="384"/>
      <c r="NKL54" s="384"/>
      <c r="NKM54" s="384"/>
      <c r="NKN54" s="384"/>
      <c r="NKO54" s="384"/>
      <c r="NKP54" s="384"/>
      <c r="NKQ54" s="384"/>
      <c r="NKR54" s="384"/>
      <c r="NKS54" s="384"/>
      <c r="NKT54" s="384"/>
      <c r="NKU54" s="384"/>
      <c r="NKV54" s="384"/>
      <c r="NKW54" s="384"/>
      <c r="NKX54" s="384"/>
      <c r="NKY54" s="384"/>
      <c r="NKZ54" s="384"/>
      <c r="NLA54" s="384"/>
      <c r="NLB54" s="384"/>
      <c r="NLC54" s="384"/>
      <c r="NLD54" s="384"/>
      <c r="NLE54" s="384"/>
      <c r="NLF54" s="384"/>
      <c r="NLG54" s="384"/>
      <c r="NLH54" s="384"/>
      <c r="NLI54" s="384"/>
      <c r="NLJ54" s="384"/>
      <c r="NLK54" s="384"/>
      <c r="NLL54" s="384"/>
      <c r="NLM54" s="384"/>
      <c r="NLN54" s="384"/>
      <c r="NLO54" s="384"/>
      <c r="NLP54" s="384"/>
      <c r="NLQ54" s="384"/>
      <c r="NLR54" s="384"/>
      <c r="NLS54" s="384"/>
      <c r="NLT54" s="384"/>
      <c r="NLU54" s="384"/>
      <c r="NLV54" s="384"/>
      <c r="NLW54" s="384"/>
      <c r="NLX54" s="384"/>
      <c r="NLY54" s="384"/>
      <c r="NLZ54" s="384"/>
      <c r="NMA54" s="384"/>
      <c r="NMB54" s="384"/>
      <c r="NMC54" s="384"/>
      <c r="NMD54" s="384"/>
      <c r="NME54" s="384"/>
      <c r="NMF54" s="384"/>
      <c r="NMG54" s="384"/>
      <c r="NMH54" s="384"/>
      <c r="NMI54" s="384"/>
      <c r="NMJ54" s="384"/>
      <c r="NMK54" s="384"/>
      <c r="NML54" s="384"/>
      <c r="NMM54" s="384"/>
      <c r="NMN54" s="384"/>
      <c r="NMO54" s="384"/>
      <c r="NMP54" s="384"/>
      <c r="NMQ54" s="384"/>
      <c r="NMR54" s="384"/>
      <c r="NMS54" s="384"/>
      <c r="NMT54" s="384"/>
      <c r="NMU54" s="384"/>
      <c r="NMV54" s="384"/>
      <c r="NMW54" s="384"/>
      <c r="NMX54" s="384"/>
      <c r="NMY54" s="384"/>
      <c r="NMZ54" s="384"/>
      <c r="NNA54" s="384"/>
      <c r="NNB54" s="384"/>
      <c r="NNC54" s="384"/>
      <c r="NND54" s="384"/>
      <c r="NNE54" s="384"/>
      <c r="NNF54" s="384"/>
      <c r="NNG54" s="384"/>
      <c r="NNH54" s="384"/>
      <c r="NNI54" s="384"/>
      <c r="NNJ54" s="384"/>
      <c r="NNK54" s="384"/>
      <c r="NNL54" s="384"/>
      <c r="NNM54" s="384"/>
      <c r="NNN54" s="384"/>
      <c r="NNO54" s="384"/>
      <c r="NNP54" s="384"/>
      <c r="NNQ54" s="384"/>
      <c r="NNR54" s="384"/>
      <c r="NNS54" s="384"/>
      <c r="NNT54" s="384"/>
      <c r="NNU54" s="384"/>
      <c r="NNV54" s="384"/>
      <c r="NNW54" s="384"/>
      <c r="NNX54" s="384"/>
      <c r="NNY54" s="384"/>
      <c r="NNZ54" s="384"/>
      <c r="NOA54" s="384"/>
      <c r="NOB54" s="384"/>
      <c r="NOC54" s="384"/>
      <c r="NOD54" s="384"/>
      <c r="NOE54" s="384"/>
      <c r="NOF54" s="384"/>
      <c r="NOG54" s="384"/>
      <c r="NOH54" s="384"/>
      <c r="NOI54" s="384"/>
      <c r="NOJ54" s="384"/>
      <c r="NOK54" s="384"/>
      <c r="NOL54" s="384"/>
      <c r="NOM54" s="384"/>
      <c r="NON54" s="384"/>
      <c r="NOO54" s="384"/>
      <c r="NOP54" s="384"/>
      <c r="NOQ54" s="384"/>
      <c r="NOR54" s="384"/>
      <c r="NOS54" s="384"/>
      <c r="NOT54" s="384"/>
      <c r="NOU54" s="384"/>
      <c r="NOV54" s="384"/>
      <c r="NOW54" s="384"/>
      <c r="NOX54" s="384"/>
      <c r="NOY54" s="384"/>
      <c r="NOZ54" s="384"/>
      <c r="NPA54" s="384"/>
      <c r="NPB54" s="384"/>
      <c r="NPC54" s="384"/>
      <c r="NPD54" s="384"/>
      <c r="NPE54" s="384"/>
      <c r="NPF54" s="384"/>
      <c r="NPG54" s="384"/>
      <c r="NPH54" s="384"/>
      <c r="NPI54" s="384"/>
      <c r="NPJ54" s="384"/>
      <c r="NPK54" s="384"/>
      <c r="NPL54" s="384"/>
      <c r="NPM54" s="384"/>
      <c r="NPN54" s="384"/>
      <c r="NPO54" s="384"/>
      <c r="NPP54" s="384"/>
      <c r="NPQ54" s="384"/>
      <c r="NPR54" s="384"/>
      <c r="NPS54" s="384"/>
      <c r="NPT54" s="384"/>
      <c r="NPU54" s="384"/>
      <c r="NPV54" s="384"/>
      <c r="NPW54" s="384"/>
      <c r="NPX54" s="384"/>
      <c r="NPY54" s="384"/>
      <c r="NPZ54" s="384"/>
      <c r="NQA54" s="384"/>
      <c r="NQB54" s="384"/>
      <c r="NQC54" s="384"/>
      <c r="NQD54" s="384"/>
      <c r="NQE54" s="384"/>
      <c r="NQF54" s="384"/>
      <c r="NQG54" s="384"/>
      <c r="NQH54" s="384"/>
      <c r="NQI54" s="384"/>
      <c r="NQJ54" s="384"/>
      <c r="NQK54" s="384"/>
      <c r="NQL54" s="384"/>
      <c r="NQM54" s="384"/>
      <c r="NQN54" s="384"/>
      <c r="NQO54" s="384"/>
      <c r="NQP54" s="384"/>
      <c r="NQQ54" s="384"/>
      <c r="NQR54" s="384"/>
      <c r="NQS54" s="384"/>
      <c r="NQT54" s="384"/>
      <c r="NQU54" s="384"/>
      <c r="NQV54" s="384"/>
      <c r="NQW54" s="384"/>
      <c r="NQX54" s="384"/>
      <c r="NQY54" s="384"/>
      <c r="NQZ54" s="384"/>
      <c r="NRA54" s="384"/>
      <c r="NRB54" s="384"/>
      <c r="NRC54" s="384"/>
      <c r="NRD54" s="384"/>
      <c r="NRE54" s="384"/>
      <c r="NRF54" s="384"/>
      <c r="NRG54" s="384"/>
      <c r="NRH54" s="384"/>
      <c r="NRI54" s="384"/>
      <c r="NRJ54" s="384"/>
      <c r="NRK54" s="384"/>
      <c r="NRL54" s="384"/>
      <c r="NRM54" s="384"/>
      <c r="NRN54" s="384"/>
      <c r="NRO54" s="384"/>
      <c r="NRP54" s="384"/>
      <c r="NRQ54" s="384"/>
      <c r="NRR54" s="384"/>
      <c r="NRS54" s="384"/>
      <c r="NRT54" s="384"/>
      <c r="NRU54" s="384"/>
      <c r="NRV54" s="384"/>
      <c r="NRW54" s="384"/>
      <c r="NRX54" s="384"/>
      <c r="NRY54" s="384"/>
      <c r="NRZ54" s="384"/>
      <c r="NSA54" s="384"/>
      <c r="NSB54" s="384"/>
      <c r="NSC54" s="384"/>
      <c r="NSD54" s="384"/>
      <c r="NSE54" s="384"/>
      <c r="NSF54" s="384"/>
      <c r="NSG54" s="384"/>
      <c r="NSH54" s="384"/>
      <c r="NSI54" s="384"/>
      <c r="NSJ54" s="384"/>
      <c r="NSK54" s="384"/>
      <c r="NSL54" s="384"/>
      <c r="NSM54" s="384"/>
      <c r="NSN54" s="384"/>
      <c r="NSO54" s="384"/>
      <c r="NSP54" s="384"/>
      <c r="NSQ54" s="384"/>
      <c r="NSR54" s="384"/>
      <c r="NSS54" s="384"/>
      <c r="NST54" s="384"/>
      <c r="NSU54" s="384"/>
      <c r="NSV54" s="384"/>
      <c r="NSW54" s="384"/>
      <c r="NSX54" s="384"/>
      <c r="NSY54" s="384"/>
      <c r="NSZ54" s="384"/>
      <c r="NTA54" s="384"/>
      <c r="NTB54" s="384"/>
      <c r="NTC54" s="384"/>
      <c r="NTD54" s="384"/>
      <c r="NTE54" s="384"/>
      <c r="NTF54" s="384"/>
      <c r="NTG54" s="384"/>
      <c r="NTH54" s="384"/>
      <c r="NTI54" s="384"/>
      <c r="NTJ54" s="384"/>
      <c r="NTK54" s="384"/>
      <c r="NTL54" s="384"/>
      <c r="NTM54" s="384"/>
      <c r="NTN54" s="384"/>
      <c r="NTO54" s="384"/>
      <c r="NTP54" s="384"/>
      <c r="NTQ54" s="384"/>
      <c r="NTR54" s="384"/>
      <c r="NTS54" s="384"/>
      <c r="NTT54" s="384"/>
      <c r="NTU54" s="384"/>
      <c r="NTV54" s="384"/>
      <c r="NTW54" s="384"/>
      <c r="NTX54" s="384"/>
      <c r="NTY54" s="384"/>
      <c r="NTZ54" s="384"/>
      <c r="NUA54" s="384"/>
      <c r="NUB54" s="384"/>
      <c r="NUC54" s="384"/>
      <c r="NUD54" s="384"/>
      <c r="NUE54" s="384"/>
      <c r="NUF54" s="384"/>
      <c r="NUG54" s="384"/>
      <c r="NUH54" s="384"/>
      <c r="NUI54" s="384"/>
      <c r="NUJ54" s="384"/>
      <c r="NUK54" s="384"/>
      <c r="NUL54" s="384"/>
      <c r="NUM54" s="384"/>
      <c r="NUN54" s="384"/>
      <c r="NUO54" s="384"/>
      <c r="NUP54" s="384"/>
      <c r="NUQ54" s="384"/>
      <c r="NUR54" s="384"/>
      <c r="NUS54" s="384"/>
      <c r="NUT54" s="384"/>
      <c r="NUU54" s="384"/>
      <c r="NUV54" s="384"/>
      <c r="NUW54" s="384"/>
      <c r="NUX54" s="384"/>
      <c r="NUY54" s="384"/>
      <c r="NUZ54" s="384"/>
      <c r="NVA54" s="384"/>
      <c r="NVB54" s="384"/>
      <c r="NVC54" s="384"/>
      <c r="NVD54" s="384"/>
      <c r="NVE54" s="384"/>
      <c r="NVF54" s="384"/>
      <c r="NVG54" s="384"/>
      <c r="NVH54" s="384"/>
      <c r="NVI54" s="384"/>
      <c r="NVJ54" s="384"/>
      <c r="NVK54" s="384"/>
      <c r="NVL54" s="384"/>
      <c r="NVM54" s="384"/>
      <c r="NVN54" s="384"/>
      <c r="NVO54" s="384"/>
      <c r="NVP54" s="384"/>
      <c r="NVQ54" s="384"/>
      <c r="NVR54" s="384"/>
      <c r="NVS54" s="384"/>
      <c r="NVT54" s="384"/>
      <c r="NVU54" s="384"/>
      <c r="NVV54" s="384"/>
      <c r="NVW54" s="384"/>
      <c r="NVX54" s="384"/>
      <c r="NVY54" s="384"/>
      <c r="NVZ54" s="384"/>
      <c r="NWA54" s="384"/>
      <c r="NWB54" s="384"/>
      <c r="NWC54" s="384"/>
      <c r="NWD54" s="384"/>
      <c r="NWE54" s="384"/>
      <c r="NWF54" s="384"/>
      <c r="NWG54" s="384"/>
      <c r="NWH54" s="384"/>
      <c r="NWI54" s="384"/>
      <c r="NWJ54" s="384"/>
      <c r="NWK54" s="384"/>
      <c r="NWL54" s="384"/>
      <c r="NWM54" s="384"/>
      <c r="NWN54" s="384"/>
      <c r="NWO54" s="384"/>
      <c r="NWP54" s="384"/>
      <c r="NWQ54" s="384"/>
      <c r="NWR54" s="384"/>
      <c r="NWS54" s="384"/>
      <c r="NWT54" s="384"/>
      <c r="NWU54" s="384"/>
      <c r="NWV54" s="384"/>
      <c r="NWW54" s="384"/>
      <c r="NWX54" s="384"/>
      <c r="NWY54" s="384"/>
      <c r="NWZ54" s="384"/>
      <c r="NXA54" s="384"/>
      <c r="NXB54" s="384"/>
      <c r="NXC54" s="384"/>
      <c r="NXD54" s="384"/>
      <c r="NXE54" s="384"/>
      <c r="NXF54" s="384"/>
      <c r="NXG54" s="384"/>
      <c r="NXH54" s="384"/>
      <c r="NXI54" s="384"/>
      <c r="NXJ54" s="384"/>
      <c r="NXK54" s="384"/>
      <c r="NXL54" s="384"/>
      <c r="NXM54" s="384"/>
      <c r="NXN54" s="384"/>
      <c r="NXO54" s="384"/>
      <c r="NXP54" s="384"/>
      <c r="NXQ54" s="384"/>
      <c r="NXR54" s="384"/>
      <c r="NXS54" s="384"/>
      <c r="NXT54" s="384"/>
      <c r="NXU54" s="384"/>
      <c r="NXV54" s="384"/>
      <c r="NXW54" s="384"/>
      <c r="NXX54" s="384"/>
      <c r="NXY54" s="384"/>
      <c r="NXZ54" s="384"/>
      <c r="NYA54" s="384"/>
      <c r="NYB54" s="384"/>
      <c r="NYC54" s="384"/>
      <c r="NYD54" s="384"/>
      <c r="NYE54" s="384"/>
      <c r="NYF54" s="384"/>
      <c r="NYG54" s="384"/>
      <c r="NYH54" s="384"/>
      <c r="NYI54" s="384"/>
      <c r="NYJ54" s="384"/>
      <c r="NYK54" s="384"/>
      <c r="NYL54" s="384"/>
      <c r="NYM54" s="384"/>
      <c r="NYN54" s="384"/>
      <c r="NYO54" s="384"/>
      <c r="NYP54" s="384"/>
      <c r="NYQ54" s="384"/>
      <c r="NYR54" s="384"/>
      <c r="NYS54" s="384"/>
      <c r="NYT54" s="384"/>
      <c r="NYU54" s="384"/>
      <c r="NYV54" s="384"/>
      <c r="NYW54" s="384"/>
      <c r="NYX54" s="384"/>
      <c r="NYY54" s="384"/>
      <c r="NYZ54" s="384"/>
      <c r="NZA54" s="384"/>
      <c r="NZB54" s="384"/>
      <c r="NZC54" s="384"/>
      <c r="NZD54" s="384"/>
      <c r="NZE54" s="384"/>
      <c r="NZF54" s="384"/>
      <c r="NZG54" s="384"/>
      <c r="NZH54" s="384"/>
      <c r="NZI54" s="384"/>
      <c r="NZJ54" s="384"/>
      <c r="NZK54" s="384"/>
      <c r="NZL54" s="384"/>
      <c r="NZM54" s="384"/>
      <c r="NZN54" s="384"/>
      <c r="NZO54" s="384"/>
      <c r="NZP54" s="384"/>
      <c r="NZQ54" s="384"/>
      <c r="NZR54" s="384"/>
      <c r="NZS54" s="384"/>
      <c r="NZT54" s="384"/>
      <c r="NZU54" s="384"/>
      <c r="NZV54" s="384"/>
      <c r="NZW54" s="384"/>
      <c r="NZX54" s="384"/>
      <c r="NZY54" s="384"/>
      <c r="NZZ54" s="384"/>
      <c r="OAA54" s="384"/>
      <c r="OAB54" s="384"/>
      <c r="OAC54" s="384"/>
      <c r="OAD54" s="384"/>
      <c r="OAE54" s="384"/>
      <c r="OAF54" s="384"/>
      <c r="OAG54" s="384"/>
      <c r="OAH54" s="384"/>
      <c r="OAI54" s="384"/>
      <c r="OAJ54" s="384"/>
      <c r="OAK54" s="384"/>
      <c r="OAL54" s="384"/>
      <c r="OAM54" s="384"/>
      <c r="OAN54" s="384"/>
      <c r="OAO54" s="384"/>
      <c r="OAP54" s="384"/>
      <c r="OAQ54" s="384"/>
      <c r="OAR54" s="384"/>
      <c r="OAS54" s="384"/>
      <c r="OAT54" s="384"/>
      <c r="OAU54" s="384"/>
      <c r="OAV54" s="384"/>
      <c r="OAW54" s="384"/>
      <c r="OAX54" s="384"/>
      <c r="OAY54" s="384"/>
      <c r="OAZ54" s="384"/>
      <c r="OBA54" s="384"/>
      <c r="OBB54" s="384"/>
      <c r="OBC54" s="384"/>
      <c r="OBD54" s="384"/>
      <c r="OBE54" s="384"/>
      <c r="OBF54" s="384"/>
      <c r="OBG54" s="384"/>
      <c r="OBH54" s="384"/>
      <c r="OBI54" s="384"/>
      <c r="OBJ54" s="384"/>
      <c r="OBK54" s="384"/>
      <c r="OBL54" s="384"/>
      <c r="OBM54" s="384"/>
      <c r="OBN54" s="384"/>
      <c r="OBO54" s="384"/>
      <c r="OBP54" s="384"/>
      <c r="OBQ54" s="384"/>
      <c r="OBR54" s="384"/>
      <c r="OBS54" s="384"/>
      <c r="OBT54" s="384"/>
      <c r="OBU54" s="384"/>
      <c r="OBV54" s="384"/>
      <c r="OBW54" s="384"/>
      <c r="OBX54" s="384"/>
      <c r="OBY54" s="384"/>
      <c r="OBZ54" s="384"/>
      <c r="OCA54" s="384"/>
      <c r="OCB54" s="384"/>
      <c r="OCC54" s="384"/>
      <c r="OCD54" s="384"/>
      <c r="OCE54" s="384"/>
      <c r="OCF54" s="384"/>
      <c r="OCG54" s="384"/>
      <c r="OCH54" s="384"/>
      <c r="OCI54" s="384"/>
      <c r="OCJ54" s="384"/>
      <c r="OCK54" s="384"/>
      <c r="OCL54" s="384"/>
      <c r="OCM54" s="384"/>
      <c r="OCN54" s="384"/>
      <c r="OCO54" s="384"/>
      <c r="OCP54" s="384"/>
      <c r="OCQ54" s="384"/>
      <c r="OCR54" s="384"/>
      <c r="OCS54" s="384"/>
      <c r="OCT54" s="384"/>
      <c r="OCU54" s="384"/>
      <c r="OCV54" s="384"/>
      <c r="OCW54" s="384"/>
      <c r="OCX54" s="384"/>
      <c r="OCY54" s="384"/>
      <c r="OCZ54" s="384"/>
      <c r="ODA54" s="384"/>
      <c r="ODB54" s="384"/>
      <c r="ODC54" s="384"/>
      <c r="ODD54" s="384"/>
      <c r="ODE54" s="384"/>
      <c r="ODF54" s="384"/>
      <c r="ODG54" s="384"/>
      <c r="ODH54" s="384"/>
      <c r="ODI54" s="384"/>
      <c r="ODJ54" s="384"/>
      <c r="ODK54" s="384"/>
      <c r="ODL54" s="384"/>
      <c r="ODM54" s="384"/>
      <c r="ODN54" s="384"/>
      <c r="ODO54" s="384"/>
      <c r="ODP54" s="384"/>
      <c r="ODQ54" s="384"/>
      <c r="ODR54" s="384"/>
      <c r="ODS54" s="384"/>
      <c r="ODT54" s="384"/>
      <c r="ODU54" s="384"/>
      <c r="ODV54" s="384"/>
      <c r="ODW54" s="384"/>
      <c r="ODX54" s="384"/>
      <c r="ODY54" s="384"/>
      <c r="ODZ54" s="384"/>
      <c r="OEA54" s="384"/>
      <c r="OEB54" s="384"/>
      <c r="OEC54" s="384"/>
      <c r="OED54" s="384"/>
      <c r="OEE54" s="384"/>
      <c r="OEF54" s="384"/>
      <c r="OEG54" s="384"/>
      <c r="OEH54" s="384"/>
      <c r="OEI54" s="384"/>
      <c r="OEJ54" s="384"/>
      <c r="OEK54" s="384"/>
      <c r="OEL54" s="384"/>
      <c r="OEM54" s="384"/>
      <c r="OEN54" s="384"/>
      <c r="OEO54" s="384"/>
      <c r="OEP54" s="384"/>
      <c r="OEQ54" s="384"/>
      <c r="OER54" s="384"/>
      <c r="OES54" s="384"/>
      <c r="OET54" s="384"/>
      <c r="OEU54" s="384"/>
      <c r="OEV54" s="384"/>
      <c r="OEW54" s="384"/>
      <c r="OEX54" s="384"/>
      <c r="OEY54" s="384"/>
      <c r="OEZ54" s="384"/>
      <c r="OFA54" s="384"/>
      <c r="OFB54" s="384"/>
      <c r="OFC54" s="384"/>
      <c r="OFD54" s="384"/>
      <c r="OFE54" s="384"/>
      <c r="OFF54" s="384"/>
      <c r="OFG54" s="384"/>
      <c r="OFH54" s="384"/>
      <c r="OFI54" s="384"/>
      <c r="OFJ54" s="384"/>
      <c r="OFK54" s="384"/>
      <c r="OFL54" s="384"/>
      <c r="OFM54" s="384"/>
      <c r="OFN54" s="384"/>
      <c r="OFO54" s="384"/>
      <c r="OFP54" s="384"/>
      <c r="OFQ54" s="384"/>
      <c r="OFR54" s="384"/>
      <c r="OFS54" s="384"/>
      <c r="OFT54" s="384"/>
      <c r="OFU54" s="384"/>
      <c r="OFV54" s="384"/>
      <c r="OFW54" s="384"/>
      <c r="OFX54" s="384"/>
      <c r="OFY54" s="384"/>
      <c r="OFZ54" s="384"/>
      <c r="OGA54" s="384"/>
      <c r="OGB54" s="384"/>
      <c r="OGC54" s="384"/>
      <c r="OGD54" s="384"/>
      <c r="OGE54" s="384"/>
      <c r="OGF54" s="384"/>
      <c r="OGG54" s="384"/>
      <c r="OGH54" s="384"/>
      <c r="OGI54" s="384"/>
      <c r="OGJ54" s="384"/>
      <c r="OGK54" s="384"/>
      <c r="OGL54" s="384"/>
      <c r="OGM54" s="384"/>
      <c r="OGN54" s="384"/>
      <c r="OGO54" s="384"/>
      <c r="OGP54" s="384"/>
      <c r="OGQ54" s="384"/>
      <c r="OGR54" s="384"/>
      <c r="OGS54" s="384"/>
      <c r="OGT54" s="384"/>
      <c r="OGU54" s="384"/>
      <c r="OGV54" s="384"/>
      <c r="OGW54" s="384"/>
      <c r="OGX54" s="384"/>
      <c r="OGY54" s="384"/>
      <c r="OGZ54" s="384"/>
      <c r="OHA54" s="384"/>
      <c r="OHB54" s="384"/>
      <c r="OHC54" s="384"/>
      <c r="OHD54" s="384"/>
      <c r="OHE54" s="384"/>
      <c r="OHF54" s="384"/>
      <c r="OHG54" s="384"/>
      <c r="OHH54" s="384"/>
      <c r="OHI54" s="384"/>
      <c r="OHJ54" s="384"/>
      <c r="OHK54" s="384"/>
      <c r="OHL54" s="384"/>
      <c r="OHM54" s="384"/>
      <c r="OHN54" s="384"/>
      <c r="OHO54" s="384"/>
      <c r="OHP54" s="384"/>
      <c r="OHQ54" s="384"/>
      <c r="OHR54" s="384"/>
      <c r="OHS54" s="384"/>
      <c r="OHT54" s="384"/>
      <c r="OHU54" s="384"/>
      <c r="OHV54" s="384"/>
      <c r="OHW54" s="384"/>
      <c r="OHX54" s="384"/>
      <c r="OHY54" s="384"/>
      <c r="OHZ54" s="384"/>
      <c r="OIA54" s="384"/>
      <c r="OIB54" s="384"/>
      <c r="OIC54" s="384"/>
      <c r="OID54" s="384"/>
      <c r="OIE54" s="384"/>
      <c r="OIF54" s="384"/>
      <c r="OIG54" s="384"/>
      <c r="OIH54" s="384"/>
      <c r="OII54" s="384"/>
      <c r="OIJ54" s="384"/>
      <c r="OIK54" s="384"/>
      <c r="OIL54" s="384"/>
      <c r="OIM54" s="384"/>
      <c r="OIN54" s="384"/>
      <c r="OIO54" s="384"/>
      <c r="OIP54" s="384"/>
      <c r="OIQ54" s="384"/>
      <c r="OIR54" s="384"/>
      <c r="OIS54" s="384"/>
      <c r="OIT54" s="384"/>
      <c r="OIU54" s="384"/>
      <c r="OIV54" s="384"/>
      <c r="OIW54" s="384"/>
      <c r="OIX54" s="384"/>
      <c r="OIY54" s="384"/>
      <c r="OIZ54" s="384"/>
      <c r="OJA54" s="384"/>
      <c r="OJB54" s="384"/>
      <c r="OJC54" s="384"/>
      <c r="OJD54" s="384"/>
      <c r="OJE54" s="384"/>
      <c r="OJF54" s="384"/>
      <c r="OJG54" s="384"/>
      <c r="OJH54" s="384"/>
      <c r="OJI54" s="384"/>
      <c r="OJJ54" s="384"/>
      <c r="OJK54" s="384"/>
      <c r="OJL54" s="384"/>
      <c r="OJM54" s="384"/>
      <c r="OJN54" s="384"/>
      <c r="OJO54" s="384"/>
      <c r="OJP54" s="384"/>
      <c r="OJQ54" s="384"/>
      <c r="OJR54" s="384"/>
      <c r="OJS54" s="384"/>
      <c r="OJT54" s="384"/>
      <c r="OJU54" s="384"/>
      <c r="OJV54" s="384"/>
      <c r="OJW54" s="384"/>
      <c r="OJX54" s="384"/>
      <c r="OJY54" s="384"/>
      <c r="OJZ54" s="384"/>
      <c r="OKA54" s="384"/>
      <c r="OKB54" s="384"/>
      <c r="OKC54" s="384"/>
      <c r="OKD54" s="384"/>
      <c r="OKE54" s="384"/>
      <c r="OKF54" s="384"/>
      <c r="OKG54" s="384"/>
      <c r="OKH54" s="384"/>
      <c r="OKI54" s="384"/>
      <c r="OKJ54" s="384"/>
      <c r="OKK54" s="384"/>
      <c r="OKL54" s="384"/>
      <c r="OKM54" s="384"/>
      <c r="OKN54" s="384"/>
      <c r="OKO54" s="384"/>
      <c r="OKP54" s="384"/>
      <c r="OKQ54" s="384"/>
      <c r="OKR54" s="384"/>
      <c r="OKS54" s="384"/>
      <c r="OKT54" s="384"/>
      <c r="OKU54" s="384"/>
      <c r="OKV54" s="384"/>
      <c r="OKW54" s="384"/>
      <c r="OKX54" s="384"/>
      <c r="OKY54" s="384"/>
      <c r="OKZ54" s="384"/>
      <c r="OLA54" s="384"/>
      <c r="OLB54" s="384"/>
      <c r="OLC54" s="384"/>
      <c r="OLD54" s="384"/>
      <c r="OLE54" s="384"/>
      <c r="OLF54" s="384"/>
      <c r="OLG54" s="384"/>
      <c r="OLH54" s="384"/>
      <c r="OLI54" s="384"/>
      <c r="OLJ54" s="384"/>
      <c r="OLK54" s="384"/>
      <c r="OLL54" s="384"/>
      <c r="OLM54" s="384"/>
      <c r="OLN54" s="384"/>
      <c r="OLO54" s="384"/>
      <c r="OLP54" s="384"/>
      <c r="OLQ54" s="384"/>
      <c r="OLR54" s="384"/>
      <c r="OLS54" s="384"/>
      <c r="OLT54" s="384"/>
      <c r="OLU54" s="384"/>
      <c r="OLV54" s="384"/>
      <c r="OLW54" s="384"/>
      <c r="OLX54" s="384"/>
      <c r="OLY54" s="384"/>
      <c r="OLZ54" s="384"/>
      <c r="OMA54" s="384"/>
      <c r="OMB54" s="384"/>
      <c r="OMC54" s="384"/>
      <c r="OMD54" s="384"/>
      <c r="OME54" s="384"/>
      <c r="OMF54" s="384"/>
      <c r="OMG54" s="384"/>
      <c r="OMH54" s="384"/>
      <c r="OMI54" s="384"/>
      <c r="OMJ54" s="384"/>
      <c r="OMK54" s="384"/>
      <c r="OML54" s="384"/>
      <c r="OMM54" s="384"/>
      <c r="OMN54" s="384"/>
      <c r="OMO54" s="384"/>
      <c r="OMP54" s="384"/>
      <c r="OMQ54" s="384"/>
      <c r="OMR54" s="384"/>
      <c r="OMS54" s="384"/>
      <c r="OMT54" s="384"/>
      <c r="OMU54" s="384"/>
      <c r="OMV54" s="384"/>
      <c r="OMW54" s="384"/>
      <c r="OMX54" s="384"/>
      <c r="OMY54" s="384"/>
      <c r="OMZ54" s="384"/>
      <c r="ONA54" s="384"/>
      <c r="ONB54" s="384"/>
      <c r="ONC54" s="384"/>
      <c r="OND54" s="384"/>
      <c r="ONE54" s="384"/>
      <c r="ONF54" s="384"/>
      <c r="ONG54" s="384"/>
      <c r="ONH54" s="384"/>
      <c r="ONI54" s="384"/>
      <c r="ONJ54" s="384"/>
      <c r="ONK54" s="384"/>
      <c r="ONL54" s="384"/>
      <c r="ONM54" s="384"/>
      <c r="ONN54" s="384"/>
      <c r="ONO54" s="384"/>
      <c r="ONP54" s="384"/>
      <c r="ONQ54" s="384"/>
      <c r="ONR54" s="384"/>
      <c r="ONS54" s="384"/>
      <c r="ONT54" s="384"/>
      <c r="ONU54" s="384"/>
      <c r="ONV54" s="384"/>
      <c r="ONW54" s="384"/>
      <c r="ONX54" s="384"/>
      <c r="ONY54" s="384"/>
      <c r="ONZ54" s="384"/>
      <c r="OOA54" s="384"/>
      <c r="OOB54" s="384"/>
      <c r="OOC54" s="384"/>
      <c r="OOD54" s="384"/>
      <c r="OOE54" s="384"/>
      <c r="OOF54" s="384"/>
      <c r="OOG54" s="384"/>
      <c r="OOH54" s="384"/>
      <c r="OOI54" s="384"/>
      <c r="OOJ54" s="384"/>
      <c r="OOK54" s="384"/>
      <c r="OOL54" s="384"/>
      <c r="OOM54" s="384"/>
      <c r="OON54" s="384"/>
      <c r="OOO54" s="384"/>
      <c r="OOP54" s="384"/>
      <c r="OOQ54" s="384"/>
      <c r="OOR54" s="384"/>
      <c r="OOS54" s="384"/>
      <c r="OOT54" s="384"/>
      <c r="OOU54" s="384"/>
      <c r="OOV54" s="384"/>
      <c r="OOW54" s="384"/>
      <c r="OOX54" s="384"/>
      <c r="OOY54" s="384"/>
      <c r="OOZ54" s="384"/>
      <c r="OPA54" s="384"/>
      <c r="OPB54" s="384"/>
      <c r="OPC54" s="384"/>
      <c r="OPD54" s="384"/>
      <c r="OPE54" s="384"/>
      <c r="OPF54" s="384"/>
      <c r="OPG54" s="384"/>
      <c r="OPH54" s="384"/>
      <c r="OPI54" s="384"/>
      <c r="OPJ54" s="384"/>
      <c r="OPK54" s="384"/>
      <c r="OPL54" s="384"/>
      <c r="OPM54" s="384"/>
      <c r="OPN54" s="384"/>
      <c r="OPO54" s="384"/>
      <c r="OPP54" s="384"/>
      <c r="OPQ54" s="384"/>
      <c r="OPR54" s="384"/>
      <c r="OPS54" s="384"/>
      <c r="OPT54" s="384"/>
      <c r="OPU54" s="384"/>
      <c r="OPV54" s="384"/>
      <c r="OPW54" s="384"/>
      <c r="OPX54" s="384"/>
      <c r="OPY54" s="384"/>
      <c r="OPZ54" s="384"/>
      <c r="OQA54" s="384"/>
      <c r="OQB54" s="384"/>
      <c r="OQC54" s="384"/>
      <c r="OQD54" s="384"/>
      <c r="OQE54" s="384"/>
      <c r="OQF54" s="384"/>
      <c r="OQG54" s="384"/>
      <c r="OQH54" s="384"/>
      <c r="OQI54" s="384"/>
      <c r="OQJ54" s="384"/>
      <c r="OQK54" s="384"/>
      <c r="OQL54" s="384"/>
      <c r="OQM54" s="384"/>
      <c r="OQN54" s="384"/>
      <c r="OQO54" s="384"/>
      <c r="OQP54" s="384"/>
      <c r="OQQ54" s="384"/>
      <c r="OQR54" s="384"/>
      <c r="OQS54" s="384"/>
      <c r="OQT54" s="384"/>
      <c r="OQU54" s="384"/>
      <c r="OQV54" s="384"/>
      <c r="OQW54" s="384"/>
      <c r="OQX54" s="384"/>
      <c r="OQY54" s="384"/>
      <c r="OQZ54" s="384"/>
      <c r="ORA54" s="384"/>
      <c r="ORB54" s="384"/>
      <c r="ORC54" s="384"/>
      <c r="ORD54" s="384"/>
      <c r="ORE54" s="384"/>
      <c r="ORF54" s="384"/>
      <c r="ORG54" s="384"/>
      <c r="ORH54" s="384"/>
      <c r="ORI54" s="384"/>
      <c r="ORJ54" s="384"/>
      <c r="ORK54" s="384"/>
      <c r="ORL54" s="384"/>
      <c r="ORM54" s="384"/>
      <c r="ORN54" s="384"/>
      <c r="ORO54" s="384"/>
      <c r="ORP54" s="384"/>
      <c r="ORQ54" s="384"/>
      <c r="ORR54" s="384"/>
      <c r="ORS54" s="384"/>
      <c r="ORT54" s="384"/>
      <c r="ORU54" s="384"/>
      <c r="ORV54" s="384"/>
      <c r="ORW54" s="384"/>
      <c r="ORX54" s="384"/>
      <c r="ORY54" s="384"/>
      <c r="ORZ54" s="384"/>
      <c r="OSA54" s="384"/>
      <c r="OSB54" s="384"/>
      <c r="OSC54" s="384"/>
      <c r="OSD54" s="384"/>
      <c r="OSE54" s="384"/>
      <c r="OSF54" s="384"/>
      <c r="OSG54" s="384"/>
      <c r="OSH54" s="384"/>
      <c r="OSI54" s="384"/>
      <c r="OSJ54" s="384"/>
      <c r="OSK54" s="384"/>
      <c r="OSL54" s="384"/>
      <c r="OSM54" s="384"/>
      <c r="OSN54" s="384"/>
      <c r="OSO54" s="384"/>
      <c r="OSP54" s="384"/>
      <c r="OSQ54" s="384"/>
      <c r="OSR54" s="384"/>
      <c r="OSS54" s="384"/>
      <c r="OST54" s="384"/>
      <c r="OSU54" s="384"/>
      <c r="OSV54" s="384"/>
      <c r="OSW54" s="384"/>
      <c r="OSX54" s="384"/>
      <c r="OSY54" s="384"/>
      <c r="OSZ54" s="384"/>
      <c r="OTA54" s="384"/>
      <c r="OTB54" s="384"/>
      <c r="OTC54" s="384"/>
      <c r="OTD54" s="384"/>
      <c r="OTE54" s="384"/>
      <c r="OTF54" s="384"/>
      <c r="OTG54" s="384"/>
      <c r="OTH54" s="384"/>
      <c r="OTI54" s="384"/>
      <c r="OTJ54" s="384"/>
      <c r="OTK54" s="384"/>
      <c r="OTL54" s="384"/>
      <c r="OTM54" s="384"/>
      <c r="OTN54" s="384"/>
      <c r="OTO54" s="384"/>
      <c r="OTP54" s="384"/>
      <c r="OTQ54" s="384"/>
      <c r="OTR54" s="384"/>
      <c r="OTS54" s="384"/>
      <c r="OTT54" s="384"/>
      <c r="OTU54" s="384"/>
      <c r="OTV54" s="384"/>
      <c r="OTW54" s="384"/>
      <c r="OTX54" s="384"/>
      <c r="OTY54" s="384"/>
      <c r="OTZ54" s="384"/>
      <c r="OUA54" s="384"/>
      <c r="OUB54" s="384"/>
      <c r="OUC54" s="384"/>
      <c r="OUD54" s="384"/>
      <c r="OUE54" s="384"/>
      <c r="OUF54" s="384"/>
      <c r="OUG54" s="384"/>
      <c r="OUH54" s="384"/>
      <c r="OUI54" s="384"/>
      <c r="OUJ54" s="384"/>
      <c r="OUK54" s="384"/>
      <c r="OUL54" s="384"/>
      <c r="OUM54" s="384"/>
      <c r="OUN54" s="384"/>
      <c r="OUO54" s="384"/>
      <c r="OUP54" s="384"/>
      <c r="OUQ54" s="384"/>
      <c r="OUR54" s="384"/>
      <c r="OUS54" s="384"/>
      <c r="OUT54" s="384"/>
      <c r="OUU54" s="384"/>
      <c r="OUV54" s="384"/>
      <c r="OUW54" s="384"/>
      <c r="OUX54" s="384"/>
      <c r="OUY54" s="384"/>
      <c r="OUZ54" s="384"/>
      <c r="OVA54" s="384"/>
      <c r="OVB54" s="384"/>
      <c r="OVC54" s="384"/>
      <c r="OVD54" s="384"/>
      <c r="OVE54" s="384"/>
      <c r="OVF54" s="384"/>
      <c r="OVG54" s="384"/>
      <c r="OVH54" s="384"/>
      <c r="OVI54" s="384"/>
      <c r="OVJ54" s="384"/>
      <c r="OVK54" s="384"/>
      <c r="OVL54" s="384"/>
      <c r="OVM54" s="384"/>
      <c r="OVN54" s="384"/>
      <c r="OVO54" s="384"/>
      <c r="OVP54" s="384"/>
      <c r="OVQ54" s="384"/>
      <c r="OVR54" s="384"/>
      <c r="OVS54" s="384"/>
      <c r="OVT54" s="384"/>
      <c r="OVU54" s="384"/>
      <c r="OVV54" s="384"/>
      <c r="OVW54" s="384"/>
      <c r="OVX54" s="384"/>
      <c r="OVY54" s="384"/>
      <c r="OVZ54" s="384"/>
      <c r="OWA54" s="384"/>
      <c r="OWB54" s="384"/>
      <c r="OWC54" s="384"/>
      <c r="OWD54" s="384"/>
      <c r="OWE54" s="384"/>
      <c r="OWF54" s="384"/>
      <c r="OWG54" s="384"/>
      <c r="OWH54" s="384"/>
      <c r="OWI54" s="384"/>
      <c r="OWJ54" s="384"/>
      <c r="OWK54" s="384"/>
      <c r="OWL54" s="384"/>
      <c r="OWM54" s="384"/>
      <c r="OWN54" s="384"/>
      <c r="OWO54" s="384"/>
      <c r="OWP54" s="384"/>
      <c r="OWQ54" s="384"/>
      <c r="OWR54" s="384"/>
      <c r="OWS54" s="384"/>
      <c r="OWT54" s="384"/>
      <c r="OWU54" s="384"/>
      <c r="OWV54" s="384"/>
      <c r="OWW54" s="384"/>
      <c r="OWX54" s="384"/>
      <c r="OWY54" s="384"/>
      <c r="OWZ54" s="384"/>
      <c r="OXA54" s="384"/>
      <c r="OXB54" s="384"/>
      <c r="OXC54" s="384"/>
      <c r="OXD54" s="384"/>
      <c r="OXE54" s="384"/>
      <c r="OXF54" s="384"/>
      <c r="OXG54" s="384"/>
      <c r="OXH54" s="384"/>
      <c r="OXI54" s="384"/>
      <c r="OXJ54" s="384"/>
      <c r="OXK54" s="384"/>
      <c r="OXL54" s="384"/>
      <c r="OXM54" s="384"/>
      <c r="OXN54" s="384"/>
      <c r="OXO54" s="384"/>
      <c r="OXP54" s="384"/>
      <c r="OXQ54" s="384"/>
      <c r="OXR54" s="384"/>
      <c r="OXS54" s="384"/>
      <c r="OXT54" s="384"/>
      <c r="OXU54" s="384"/>
      <c r="OXV54" s="384"/>
      <c r="OXW54" s="384"/>
      <c r="OXX54" s="384"/>
      <c r="OXY54" s="384"/>
      <c r="OXZ54" s="384"/>
      <c r="OYA54" s="384"/>
      <c r="OYB54" s="384"/>
      <c r="OYC54" s="384"/>
      <c r="OYD54" s="384"/>
      <c r="OYE54" s="384"/>
      <c r="OYF54" s="384"/>
      <c r="OYG54" s="384"/>
      <c r="OYH54" s="384"/>
      <c r="OYI54" s="384"/>
      <c r="OYJ54" s="384"/>
      <c r="OYK54" s="384"/>
      <c r="OYL54" s="384"/>
      <c r="OYM54" s="384"/>
      <c r="OYN54" s="384"/>
      <c r="OYO54" s="384"/>
      <c r="OYP54" s="384"/>
      <c r="OYQ54" s="384"/>
      <c r="OYR54" s="384"/>
      <c r="OYS54" s="384"/>
      <c r="OYT54" s="384"/>
      <c r="OYU54" s="384"/>
      <c r="OYV54" s="384"/>
      <c r="OYW54" s="384"/>
      <c r="OYX54" s="384"/>
      <c r="OYY54" s="384"/>
      <c r="OYZ54" s="384"/>
      <c r="OZA54" s="384"/>
      <c r="OZB54" s="384"/>
      <c r="OZC54" s="384"/>
      <c r="OZD54" s="384"/>
      <c r="OZE54" s="384"/>
      <c r="OZF54" s="384"/>
      <c r="OZG54" s="384"/>
      <c r="OZH54" s="384"/>
      <c r="OZI54" s="384"/>
      <c r="OZJ54" s="384"/>
      <c r="OZK54" s="384"/>
      <c r="OZL54" s="384"/>
      <c r="OZM54" s="384"/>
      <c r="OZN54" s="384"/>
      <c r="OZO54" s="384"/>
      <c r="OZP54" s="384"/>
      <c r="OZQ54" s="384"/>
      <c r="OZR54" s="384"/>
      <c r="OZS54" s="384"/>
      <c r="OZT54" s="384"/>
      <c r="OZU54" s="384"/>
      <c r="OZV54" s="384"/>
      <c r="OZW54" s="384"/>
      <c r="OZX54" s="384"/>
      <c r="OZY54" s="384"/>
      <c r="OZZ54" s="384"/>
      <c r="PAA54" s="384"/>
      <c r="PAB54" s="384"/>
      <c r="PAC54" s="384"/>
      <c r="PAD54" s="384"/>
      <c r="PAE54" s="384"/>
      <c r="PAF54" s="384"/>
      <c r="PAG54" s="384"/>
      <c r="PAH54" s="384"/>
      <c r="PAI54" s="384"/>
      <c r="PAJ54" s="384"/>
      <c r="PAK54" s="384"/>
      <c r="PAL54" s="384"/>
      <c r="PAM54" s="384"/>
      <c r="PAN54" s="384"/>
      <c r="PAO54" s="384"/>
      <c r="PAP54" s="384"/>
      <c r="PAQ54" s="384"/>
      <c r="PAR54" s="384"/>
      <c r="PAS54" s="384"/>
      <c r="PAT54" s="384"/>
      <c r="PAU54" s="384"/>
      <c r="PAV54" s="384"/>
      <c r="PAW54" s="384"/>
      <c r="PAX54" s="384"/>
      <c r="PAY54" s="384"/>
      <c r="PAZ54" s="384"/>
      <c r="PBA54" s="384"/>
      <c r="PBB54" s="384"/>
      <c r="PBC54" s="384"/>
      <c r="PBD54" s="384"/>
      <c r="PBE54" s="384"/>
      <c r="PBF54" s="384"/>
      <c r="PBG54" s="384"/>
      <c r="PBH54" s="384"/>
      <c r="PBI54" s="384"/>
      <c r="PBJ54" s="384"/>
      <c r="PBK54" s="384"/>
      <c r="PBL54" s="384"/>
      <c r="PBM54" s="384"/>
      <c r="PBN54" s="384"/>
      <c r="PBO54" s="384"/>
      <c r="PBP54" s="384"/>
      <c r="PBQ54" s="384"/>
      <c r="PBR54" s="384"/>
      <c r="PBS54" s="384"/>
      <c r="PBT54" s="384"/>
      <c r="PBU54" s="384"/>
      <c r="PBV54" s="384"/>
      <c r="PBW54" s="384"/>
      <c r="PBX54" s="384"/>
      <c r="PBY54" s="384"/>
      <c r="PBZ54" s="384"/>
      <c r="PCA54" s="384"/>
      <c r="PCB54" s="384"/>
      <c r="PCC54" s="384"/>
      <c r="PCD54" s="384"/>
      <c r="PCE54" s="384"/>
      <c r="PCF54" s="384"/>
      <c r="PCG54" s="384"/>
      <c r="PCH54" s="384"/>
      <c r="PCI54" s="384"/>
      <c r="PCJ54" s="384"/>
      <c r="PCK54" s="384"/>
      <c r="PCL54" s="384"/>
      <c r="PCM54" s="384"/>
      <c r="PCN54" s="384"/>
      <c r="PCO54" s="384"/>
      <c r="PCP54" s="384"/>
      <c r="PCQ54" s="384"/>
      <c r="PCR54" s="384"/>
      <c r="PCS54" s="384"/>
      <c r="PCT54" s="384"/>
      <c r="PCU54" s="384"/>
      <c r="PCV54" s="384"/>
      <c r="PCW54" s="384"/>
      <c r="PCX54" s="384"/>
      <c r="PCY54" s="384"/>
      <c r="PCZ54" s="384"/>
      <c r="PDA54" s="384"/>
      <c r="PDB54" s="384"/>
      <c r="PDC54" s="384"/>
      <c r="PDD54" s="384"/>
      <c r="PDE54" s="384"/>
      <c r="PDF54" s="384"/>
      <c r="PDG54" s="384"/>
      <c r="PDH54" s="384"/>
      <c r="PDI54" s="384"/>
      <c r="PDJ54" s="384"/>
      <c r="PDK54" s="384"/>
      <c r="PDL54" s="384"/>
      <c r="PDM54" s="384"/>
      <c r="PDN54" s="384"/>
      <c r="PDO54" s="384"/>
      <c r="PDP54" s="384"/>
      <c r="PDQ54" s="384"/>
      <c r="PDR54" s="384"/>
      <c r="PDS54" s="384"/>
      <c r="PDT54" s="384"/>
      <c r="PDU54" s="384"/>
      <c r="PDV54" s="384"/>
      <c r="PDW54" s="384"/>
      <c r="PDX54" s="384"/>
      <c r="PDY54" s="384"/>
      <c r="PDZ54" s="384"/>
      <c r="PEA54" s="384"/>
      <c r="PEB54" s="384"/>
      <c r="PEC54" s="384"/>
      <c r="PED54" s="384"/>
      <c r="PEE54" s="384"/>
      <c r="PEF54" s="384"/>
      <c r="PEG54" s="384"/>
      <c r="PEH54" s="384"/>
      <c r="PEI54" s="384"/>
      <c r="PEJ54" s="384"/>
      <c r="PEK54" s="384"/>
      <c r="PEL54" s="384"/>
      <c r="PEM54" s="384"/>
      <c r="PEN54" s="384"/>
      <c r="PEO54" s="384"/>
      <c r="PEP54" s="384"/>
      <c r="PEQ54" s="384"/>
      <c r="PER54" s="384"/>
      <c r="PES54" s="384"/>
      <c r="PET54" s="384"/>
      <c r="PEU54" s="384"/>
      <c r="PEV54" s="384"/>
      <c r="PEW54" s="384"/>
      <c r="PEX54" s="384"/>
      <c r="PEY54" s="384"/>
      <c r="PEZ54" s="384"/>
      <c r="PFA54" s="384"/>
      <c r="PFB54" s="384"/>
      <c r="PFC54" s="384"/>
      <c r="PFD54" s="384"/>
      <c r="PFE54" s="384"/>
      <c r="PFF54" s="384"/>
      <c r="PFG54" s="384"/>
      <c r="PFH54" s="384"/>
      <c r="PFI54" s="384"/>
      <c r="PFJ54" s="384"/>
      <c r="PFK54" s="384"/>
      <c r="PFL54" s="384"/>
      <c r="PFM54" s="384"/>
      <c r="PFN54" s="384"/>
      <c r="PFO54" s="384"/>
      <c r="PFP54" s="384"/>
      <c r="PFQ54" s="384"/>
      <c r="PFR54" s="384"/>
      <c r="PFS54" s="384"/>
      <c r="PFT54" s="384"/>
      <c r="PFU54" s="384"/>
      <c r="PFV54" s="384"/>
      <c r="PFW54" s="384"/>
      <c r="PFX54" s="384"/>
      <c r="PFY54" s="384"/>
      <c r="PFZ54" s="384"/>
      <c r="PGA54" s="384"/>
      <c r="PGB54" s="384"/>
      <c r="PGC54" s="384"/>
      <c r="PGD54" s="384"/>
      <c r="PGE54" s="384"/>
      <c r="PGF54" s="384"/>
      <c r="PGG54" s="384"/>
      <c r="PGH54" s="384"/>
      <c r="PGI54" s="384"/>
      <c r="PGJ54" s="384"/>
      <c r="PGK54" s="384"/>
      <c r="PGL54" s="384"/>
      <c r="PGM54" s="384"/>
      <c r="PGN54" s="384"/>
      <c r="PGO54" s="384"/>
      <c r="PGP54" s="384"/>
      <c r="PGQ54" s="384"/>
      <c r="PGR54" s="384"/>
      <c r="PGS54" s="384"/>
      <c r="PGT54" s="384"/>
      <c r="PGU54" s="384"/>
      <c r="PGV54" s="384"/>
      <c r="PGW54" s="384"/>
      <c r="PGX54" s="384"/>
      <c r="PGY54" s="384"/>
      <c r="PGZ54" s="384"/>
      <c r="PHA54" s="384"/>
      <c r="PHB54" s="384"/>
      <c r="PHC54" s="384"/>
      <c r="PHD54" s="384"/>
      <c r="PHE54" s="384"/>
      <c r="PHF54" s="384"/>
      <c r="PHG54" s="384"/>
      <c r="PHH54" s="384"/>
      <c r="PHI54" s="384"/>
      <c r="PHJ54" s="384"/>
      <c r="PHK54" s="384"/>
      <c r="PHL54" s="384"/>
      <c r="PHM54" s="384"/>
      <c r="PHN54" s="384"/>
      <c r="PHO54" s="384"/>
      <c r="PHP54" s="384"/>
      <c r="PHQ54" s="384"/>
      <c r="PHR54" s="384"/>
      <c r="PHS54" s="384"/>
      <c r="PHT54" s="384"/>
      <c r="PHU54" s="384"/>
      <c r="PHV54" s="384"/>
      <c r="PHW54" s="384"/>
      <c r="PHX54" s="384"/>
      <c r="PHY54" s="384"/>
      <c r="PHZ54" s="384"/>
      <c r="PIA54" s="384"/>
      <c r="PIB54" s="384"/>
      <c r="PIC54" s="384"/>
      <c r="PID54" s="384"/>
      <c r="PIE54" s="384"/>
      <c r="PIF54" s="384"/>
      <c r="PIG54" s="384"/>
      <c r="PIH54" s="384"/>
      <c r="PII54" s="384"/>
      <c r="PIJ54" s="384"/>
      <c r="PIK54" s="384"/>
      <c r="PIL54" s="384"/>
      <c r="PIM54" s="384"/>
      <c r="PIN54" s="384"/>
      <c r="PIO54" s="384"/>
      <c r="PIP54" s="384"/>
      <c r="PIQ54" s="384"/>
      <c r="PIR54" s="384"/>
      <c r="PIS54" s="384"/>
      <c r="PIT54" s="384"/>
      <c r="PIU54" s="384"/>
      <c r="PIV54" s="384"/>
      <c r="PIW54" s="384"/>
      <c r="PIX54" s="384"/>
      <c r="PIY54" s="384"/>
      <c r="PIZ54" s="384"/>
      <c r="PJA54" s="384"/>
      <c r="PJB54" s="384"/>
      <c r="PJC54" s="384"/>
      <c r="PJD54" s="384"/>
      <c r="PJE54" s="384"/>
      <c r="PJF54" s="384"/>
      <c r="PJG54" s="384"/>
      <c r="PJH54" s="384"/>
      <c r="PJI54" s="384"/>
      <c r="PJJ54" s="384"/>
      <c r="PJK54" s="384"/>
      <c r="PJL54" s="384"/>
      <c r="PJM54" s="384"/>
      <c r="PJN54" s="384"/>
      <c r="PJO54" s="384"/>
      <c r="PJP54" s="384"/>
      <c r="PJQ54" s="384"/>
      <c r="PJR54" s="384"/>
      <c r="PJS54" s="384"/>
      <c r="PJT54" s="384"/>
      <c r="PJU54" s="384"/>
      <c r="PJV54" s="384"/>
      <c r="PJW54" s="384"/>
      <c r="PJX54" s="384"/>
      <c r="PJY54" s="384"/>
      <c r="PJZ54" s="384"/>
      <c r="PKA54" s="384"/>
      <c r="PKB54" s="384"/>
      <c r="PKC54" s="384"/>
      <c r="PKD54" s="384"/>
      <c r="PKE54" s="384"/>
      <c r="PKF54" s="384"/>
      <c r="PKG54" s="384"/>
      <c r="PKH54" s="384"/>
      <c r="PKI54" s="384"/>
      <c r="PKJ54" s="384"/>
      <c r="PKK54" s="384"/>
      <c r="PKL54" s="384"/>
      <c r="PKM54" s="384"/>
      <c r="PKN54" s="384"/>
      <c r="PKO54" s="384"/>
      <c r="PKP54" s="384"/>
      <c r="PKQ54" s="384"/>
      <c r="PKR54" s="384"/>
      <c r="PKS54" s="384"/>
      <c r="PKT54" s="384"/>
      <c r="PKU54" s="384"/>
      <c r="PKV54" s="384"/>
      <c r="PKW54" s="384"/>
      <c r="PKX54" s="384"/>
      <c r="PKY54" s="384"/>
      <c r="PKZ54" s="384"/>
      <c r="PLA54" s="384"/>
      <c r="PLB54" s="384"/>
      <c r="PLC54" s="384"/>
      <c r="PLD54" s="384"/>
      <c r="PLE54" s="384"/>
      <c r="PLF54" s="384"/>
      <c r="PLG54" s="384"/>
      <c r="PLH54" s="384"/>
      <c r="PLI54" s="384"/>
      <c r="PLJ54" s="384"/>
      <c r="PLK54" s="384"/>
      <c r="PLL54" s="384"/>
      <c r="PLM54" s="384"/>
      <c r="PLN54" s="384"/>
      <c r="PLO54" s="384"/>
      <c r="PLP54" s="384"/>
      <c r="PLQ54" s="384"/>
      <c r="PLR54" s="384"/>
      <c r="PLS54" s="384"/>
      <c r="PLT54" s="384"/>
      <c r="PLU54" s="384"/>
      <c r="PLV54" s="384"/>
      <c r="PLW54" s="384"/>
      <c r="PLX54" s="384"/>
      <c r="PLY54" s="384"/>
      <c r="PLZ54" s="384"/>
      <c r="PMA54" s="384"/>
      <c r="PMB54" s="384"/>
      <c r="PMC54" s="384"/>
      <c r="PMD54" s="384"/>
      <c r="PME54" s="384"/>
      <c r="PMF54" s="384"/>
      <c r="PMG54" s="384"/>
      <c r="PMH54" s="384"/>
      <c r="PMI54" s="384"/>
      <c r="PMJ54" s="384"/>
      <c r="PMK54" s="384"/>
      <c r="PML54" s="384"/>
      <c r="PMM54" s="384"/>
      <c r="PMN54" s="384"/>
      <c r="PMO54" s="384"/>
      <c r="PMP54" s="384"/>
      <c r="PMQ54" s="384"/>
      <c r="PMR54" s="384"/>
      <c r="PMS54" s="384"/>
      <c r="PMT54" s="384"/>
      <c r="PMU54" s="384"/>
      <c r="PMV54" s="384"/>
      <c r="PMW54" s="384"/>
      <c r="PMX54" s="384"/>
      <c r="PMY54" s="384"/>
      <c r="PMZ54" s="384"/>
      <c r="PNA54" s="384"/>
      <c r="PNB54" s="384"/>
      <c r="PNC54" s="384"/>
      <c r="PND54" s="384"/>
      <c r="PNE54" s="384"/>
      <c r="PNF54" s="384"/>
      <c r="PNG54" s="384"/>
      <c r="PNH54" s="384"/>
      <c r="PNI54" s="384"/>
      <c r="PNJ54" s="384"/>
      <c r="PNK54" s="384"/>
      <c r="PNL54" s="384"/>
      <c r="PNM54" s="384"/>
      <c r="PNN54" s="384"/>
      <c r="PNO54" s="384"/>
      <c r="PNP54" s="384"/>
      <c r="PNQ54" s="384"/>
      <c r="PNR54" s="384"/>
      <c r="PNS54" s="384"/>
      <c r="PNT54" s="384"/>
      <c r="PNU54" s="384"/>
      <c r="PNV54" s="384"/>
      <c r="PNW54" s="384"/>
      <c r="PNX54" s="384"/>
      <c r="PNY54" s="384"/>
      <c r="PNZ54" s="384"/>
      <c r="POA54" s="384"/>
      <c r="POB54" s="384"/>
      <c r="POC54" s="384"/>
      <c r="POD54" s="384"/>
      <c r="POE54" s="384"/>
      <c r="POF54" s="384"/>
      <c r="POG54" s="384"/>
      <c r="POH54" s="384"/>
      <c r="POI54" s="384"/>
      <c r="POJ54" s="384"/>
      <c r="POK54" s="384"/>
      <c r="POL54" s="384"/>
      <c r="POM54" s="384"/>
      <c r="PON54" s="384"/>
      <c r="POO54" s="384"/>
      <c r="POP54" s="384"/>
      <c r="POQ54" s="384"/>
      <c r="POR54" s="384"/>
      <c r="POS54" s="384"/>
      <c r="POT54" s="384"/>
      <c r="POU54" s="384"/>
      <c r="POV54" s="384"/>
      <c r="POW54" s="384"/>
      <c r="POX54" s="384"/>
      <c r="POY54" s="384"/>
      <c r="POZ54" s="384"/>
      <c r="PPA54" s="384"/>
      <c r="PPB54" s="384"/>
      <c r="PPC54" s="384"/>
      <c r="PPD54" s="384"/>
      <c r="PPE54" s="384"/>
      <c r="PPF54" s="384"/>
      <c r="PPG54" s="384"/>
      <c r="PPH54" s="384"/>
      <c r="PPI54" s="384"/>
      <c r="PPJ54" s="384"/>
      <c r="PPK54" s="384"/>
      <c r="PPL54" s="384"/>
      <c r="PPM54" s="384"/>
      <c r="PPN54" s="384"/>
      <c r="PPO54" s="384"/>
      <c r="PPP54" s="384"/>
      <c r="PPQ54" s="384"/>
      <c r="PPR54" s="384"/>
      <c r="PPS54" s="384"/>
      <c r="PPT54" s="384"/>
      <c r="PPU54" s="384"/>
      <c r="PPV54" s="384"/>
      <c r="PPW54" s="384"/>
      <c r="PPX54" s="384"/>
      <c r="PPY54" s="384"/>
      <c r="PPZ54" s="384"/>
      <c r="PQA54" s="384"/>
      <c r="PQB54" s="384"/>
      <c r="PQC54" s="384"/>
      <c r="PQD54" s="384"/>
      <c r="PQE54" s="384"/>
      <c r="PQF54" s="384"/>
      <c r="PQG54" s="384"/>
      <c r="PQH54" s="384"/>
      <c r="PQI54" s="384"/>
      <c r="PQJ54" s="384"/>
      <c r="PQK54" s="384"/>
      <c r="PQL54" s="384"/>
      <c r="PQM54" s="384"/>
      <c r="PQN54" s="384"/>
      <c r="PQO54" s="384"/>
      <c r="PQP54" s="384"/>
      <c r="PQQ54" s="384"/>
      <c r="PQR54" s="384"/>
      <c r="PQS54" s="384"/>
      <c r="PQT54" s="384"/>
      <c r="PQU54" s="384"/>
      <c r="PQV54" s="384"/>
      <c r="PQW54" s="384"/>
      <c r="PQX54" s="384"/>
      <c r="PQY54" s="384"/>
      <c r="PQZ54" s="384"/>
      <c r="PRA54" s="384"/>
      <c r="PRB54" s="384"/>
      <c r="PRC54" s="384"/>
      <c r="PRD54" s="384"/>
      <c r="PRE54" s="384"/>
      <c r="PRF54" s="384"/>
      <c r="PRG54" s="384"/>
      <c r="PRH54" s="384"/>
      <c r="PRI54" s="384"/>
      <c r="PRJ54" s="384"/>
      <c r="PRK54" s="384"/>
      <c r="PRL54" s="384"/>
      <c r="PRM54" s="384"/>
      <c r="PRN54" s="384"/>
      <c r="PRO54" s="384"/>
      <c r="PRP54" s="384"/>
      <c r="PRQ54" s="384"/>
      <c r="PRR54" s="384"/>
      <c r="PRS54" s="384"/>
      <c r="PRT54" s="384"/>
      <c r="PRU54" s="384"/>
      <c r="PRV54" s="384"/>
      <c r="PRW54" s="384"/>
      <c r="PRX54" s="384"/>
      <c r="PRY54" s="384"/>
      <c r="PRZ54" s="384"/>
      <c r="PSA54" s="384"/>
      <c r="PSB54" s="384"/>
      <c r="PSC54" s="384"/>
      <c r="PSD54" s="384"/>
      <c r="PSE54" s="384"/>
      <c r="PSF54" s="384"/>
      <c r="PSG54" s="384"/>
      <c r="PSH54" s="384"/>
      <c r="PSI54" s="384"/>
      <c r="PSJ54" s="384"/>
      <c r="PSK54" s="384"/>
      <c r="PSL54" s="384"/>
      <c r="PSM54" s="384"/>
      <c r="PSN54" s="384"/>
      <c r="PSO54" s="384"/>
      <c r="PSP54" s="384"/>
      <c r="PSQ54" s="384"/>
      <c r="PSR54" s="384"/>
      <c r="PSS54" s="384"/>
      <c r="PST54" s="384"/>
      <c r="PSU54" s="384"/>
      <c r="PSV54" s="384"/>
      <c r="PSW54" s="384"/>
      <c r="PSX54" s="384"/>
      <c r="PSY54" s="384"/>
      <c r="PSZ54" s="384"/>
      <c r="PTA54" s="384"/>
      <c r="PTB54" s="384"/>
      <c r="PTC54" s="384"/>
      <c r="PTD54" s="384"/>
      <c r="PTE54" s="384"/>
      <c r="PTF54" s="384"/>
      <c r="PTG54" s="384"/>
      <c r="PTH54" s="384"/>
      <c r="PTI54" s="384"/>
      <c r="PTJ54" s="384"/>
      <c r="PTK54" s="384"/>
      <c r="PTL54" s="384"/>
      <c r="PTM54" s="384"/>
      <c r="PTN54" s="384"/>
      <c r="PTO54" s="384"/>
      <c r="PTP54" s="384"/>
      <c r="PTQ54" s="384"/>
      <c r="PTR54" s="384"/>
      <c r="PTS54" s="384"/>
      <c r="PTT54" s="384"/>
      <c r="PTU54" s="384"/>
      <c r="PTV54" s="384"/>
      <c r="PTW54" s="384"/>
      <c r="PTX54" s="384"/>
      <c r="PTY54" s="384"/>
      <c r="PTZ54" s="384"/>
      <c r="PUA54" s="384"/>
      <c r="PUB54" s="384"/>
      <c r="PUC54" s="384"/>
      <c r="PUD54" s="384"/>
      <c r="PUE54" s="384"/>
      <c r="PUF54" s="384"/>
      <c r="PUG54" s="384"/>
      <c r="PUH54" s="384"/>
      <c r="PUI54" s="384"/>
      <c r="PUJ54" s="384"/>
      <c r="PUK54" s="384"/>
      <c r="PUL54" s="384"/>
      <c r="PUM54" s="384"/>
      <c r="PUN54" s="384"/>
      <c r="PUO54" s="384"/>
      <c r="PUP54" s="384"/>
      <c r="PUQ54" s="384"/>
      <c r="PUR54" s="384"/>
      <c r="PUS54" s="384"/>
      <c r="PUT54" s="384"/>
      <c r="PUU54" s="384"/>
      <c r="PUV54" s="384"/>
      <c r="PUW54" s="384"/>
      <c r="PUX54" s="384"/>
      <c r="PUY54" s="384"/>
      <c r="PUZ54" s="384"/>
      <c r="PVA54" s="384"/>
      <c r="PVB54" s="384"/>
      <c r="PVC54" s="384"/>
      <c r="PVD54" s="384"/>
      <c r="PVE54" s="384"/>
      <c r="PVF54" s="384"/>
      <c r="PVG54" s="384"/>
      <c r="PVH54" s="384"/>
      <c r="PVI54" s="384"/>
      <c r="PVJ54" s="384"/>
      <c r="PVK54" s="384"/>
      <c r="PVL54" s="384"/>
      <c r="PVM54" s="384"/>
      <c r="PVN54" s="384"/>
      <c r="PVO54" s="384"/>
      <c r="PVP54" s="384"/>
      <c r="PVQ54" s="384"/>
      <c r="PVR54" s="384"/>
      <c r="PVS54" s="384"/>
      <c r="PVT54" s="384"/>
      <c r="PVU54" s="384"/>
      <c r="PVV54" s="384"/>
      <c r="PVW54" s="384"/>
      <c r="PVX54" s="384"/>
      <c r="PVY54" s="384"/>
      <c r="PVZ54" s="384"/>
      <c r="PWA54" s="384"/>
      <c r="PWB54" s="384"/>
      <c r="PWC54" s="384"/>
      <c r="PWD54" s="384"/>
      <c r="PWE54" s="384"/>
      <c r="PWF54" s="384"/>
      <c r="PWG54" s="384"/>
      <c r="PWH54" s="384"/>
      <c r="PWI54" s="384"/>
      <c r="PWJ54" s="384"/>
      <c r="PWK54" s="384"/>
      <c r="PWL54" s="384"/>
      <c r="PWM54" s="384"/>
      <c r="PWN54" s="384"/>
      <c r="PWO54" s="384"/>
      <c r="PWP54" s="384"/>
      <c r="PWQ54" s="384"/>
      <c r="PWR54" s="384"/>
      <c r="PWS54" s="384"/>
      <c r="PWT54" s="384"/>
      <c r="PWU54" s="384"/>
      <c r="PWV54" s="384"/>
      <c r="PWW54" s="384"/>
      <c r="PWX54" s="384"/>
      <c r="PWY54" s="384"/>
      <c r="PWZ54" s="384"/>
      <c r="PXA54" s="384"/>
      <c r="PXB54" s="384"/>
      <c r="PXC54" s="384"/>
      <c r="PXD54" s="384"/>
      <c r="PXE54" s="384"/>
      <c r="PXF54" s="384"/>
      <c r="PXG54" s="384"/>
      <c r="PXH54" s="384"/>
      <c r="PXI54" s="384"/>
      <c r="PXJ54" s="384"/>
      <c r="PXK54" s="384"/>
      <c r="PXL54" s="384"/>
      <c r="PXM54" s="384"/>
      <c r="PXN54" s="384"/>
      <c r="PXO54" s="384"/>
      <c r="PXP54" s="384"/>
      <c r="PXQ54" s="384"/>
      <c r="PXR54" s="384"/>
      <c r="PXS54" s="384"/>
      <c r="PXT54" s="384"/>
      <c r="PXU54" s="384"/>
      <c r="PXV54" s="384"/>
      <c r="PXW54" s="384"/>
      <c r="PXX54" s="384"/>
      <c r="PXY54" s="384"/>
      <c r="PXZ54" s="384"/>
      <c r="PYA54" s="384"/>
      <c r="PYB54" s="384"/>
      <c r="PYC54" s="384"/>
      <c r="PYD54" s="384"/>
      <c r="PYE54" s="384"/>
      <c r="PYF54" s="384"/>
      <c r="PYG54" s="384"/>
      <c r="PYH54" s="384"/>
      <c r="PYI54" s="384"/>
      <c r="PYJ54" s="384"/>
      <c r="PYK54" s="384"/>
      <c r="PYL54" s="384"/>
      <c r="PYM54" s="384"/>
      <c r="PYN54" s="384"/>
      <c r="PYO54" s="384"/>
      <c r="PYP54" s="384"/>
      <c r="PYQ54" s="384"/>
      <c r="PYR54" s="384"/>
      <c r="PYS54" s="384"/>
      <c r="PYT54" s="384"/>
      <c r="PYU54" s="384"/>
      <c r="PYV54" s="384"/>
      <c r="PYW54" s="384"/>
      <c r="PYX54" s="384"/>
      <c r="PYY54" s="384"/>
      <c r="PYZ54" s="384"/>
      <c r="PZA54" s="384"/>
      <c r="PZB54" s="384"/>
      <c r="PZC54" s="384"/>
      <c r="PZD54" s="384"/>
      <c r="PZE54" s="384"/>
      <c r="PZF54" s="384"/>
      <c r="PZG54" s="384"/>
      <c r="PZH54" s="384"/>
      <c r="PZI54" s="384"/>
      <c r="PZJ54" s="384"/>
      <c r="PZK54" s="384"/>
      <c r="PZL54" s="384"/>
      <c r="PZM54" s="384"/>
      <c r="PZN54" s="384"/>
      <c r="PZO54" s="384"/>
      <c r="PZP54" s="384"/>
      <c r="PZQ54" s="384"/>
      <c r="PZR54" s="384"/>
      <c r="PZS54" s="384"/>
      <c r="PZT54" s="384"/>
      <c r="PZU54" s="384"/>
      <c r="PZV54" s="384"/>
      <c r="PZW54" s="384"/>
      <c r="PZX54" s="384"/>
      <c r="PZY54" s="384"/>
      <c r="PZZ54" s="384"/>
      <c r="QAA54" s="384"/>
      <c r="QAB54" s="384"/>
      <c r="QAC54" s="384"/>
      <c r="QAD54" s="384"/>
      <c r="QAE54" s="384"/>
      <c r="QAF54" s="384"/>
      <c r="QAG54" s="384"/>
      <c r="QAH54" s="384"/>
      <c r="QAI54" s="384"/>
      <c r="QAJ54" s="384"/>
      <c r="QAK54" s="384"/>
      <c r="QAL54" s="384"/>
      <c r="QAM54" s="384"/>
      <c r="QAN54" s="384"/>
      <c r="QAO54" s="384"/>
      <c r="QAP54" s="384"/>
      <c r="QAQ54" s="384"/>
      <c r="QAR54" s="384"/>
      <c r="QAS54" s="384"/>
      <c r="QAT54" s="384"/>
      <c r="QAU54" s="384"/>
      <c r="QAV54" s="384"/>
      <c r="QAW54" s="384"/>
      <c r="QAX54" s="384"/>
      <c r="QAY54" s="384"/>
      <c r="QAZ54" s="384"/>
      <c r="QBA54" s="384"/>
      <c r="QBB54" s="384"/>
      <c r="QBC54" s="384"/>
      <c r="QBD54" s="384"/>
      <c r="QBE54" s="384"/>
      <c r="QBF54" s="384"/>
      <c r="QBG54" s="384"/>
      <c r="QBH54" s="384"/>
      <c r="QBI54" s="384"/>
      <c r="QBJ54" s="384"/>
      <c r="QBK54" s="384"/>
      <c r="QBL54" s="384"/>
      <c r="QBM54" s="384"/>
      <c r="QBN54" s="384"/>
      <c r="QBO54" s="384"/>
      <c r="QBP54" s="384"/>
      <c r="QBQ54" s="384"/>
      <c r="QBR54" s="384"/>
      <c r="QBS54" s="384"/>
      <c r="QBT54" s="384"/>
      <c r="QBU54" s="384"/>
      <c r="QBV54" s="384"/>
      <c r="QBW54" s="384"/>
      <c r="QBX54" s="384"/>
      <c r="QBY54" s="384"/>
      <c r="QBZ54" s="384"/>
      <c r="QCA54" s="384"/>
      <c r="QCB54" s="384"/>
      <c r="QCC54" s="384"/>
      <c r="QCD54" s="384"/>
      <c r="QCE54" s="384"/>
      <c r="QCF54" s="384"/>
      <c r="QCG54" s="384"/>
      <c r="QCH54" s="384"/>
      <c r="QCI54" s="384"/>
      <c r="QCJ54" s="384"/>
      <c r="QCK54" s="384"/>
      <c r="QCL54" s="384"/>
      <c r="QCM54" s="384"/>
      <c r="QCN54" s="384"/>
      <c r="QCO54" s="384"/>
      <c r="QCP54" s="384"/>
      <c r="QCQ54" s="384"/>
      <c r="QCR54" s="384"/>
      <c r="QCS54" s="384"/>
      <c r="QCT54" s="384"/>
      <c r="QCU54" s="384"/>
      <c r="QCV54" s="384"/>
      <c r="QCW54" s="384"/>
      <c r="QCX54" s="384"/>
      <c r="QCY54" s="384"/>
      <c r="QCZ54" s="384"/>
      <c r="QDA54" s="384"/>
      <c r="QDB54" s="384"/>
      <c r="QDC54" s="384"/>
      <c r="QDD54" s="384"/>
      <c r="QDE54" s="384"/>
      <c r="QDF54" s="384"/>
      <c r="QDG54" s="384"/>
      <c r="QDH54" s="384"/>
      <c r="QDI54" s="384"/>
      <c r="QDJ54" s="384"/>
      <c r="QDK54" s="384"/>
      <c r="QDL54" s="384"/>
      <c r="QDM54" s="384"/>
      <c r="QDN54" s="384"/>
      <c r="QDO54" s="384"/>
      <c r="QDP54" s="384"/>
      <c r="QDQ54" s="384"/>
      <c r="QDR54" s="384"/>
      <c r="QDS54" s="384"/>
      <c r="QDT54" s="384"/>
      <c r="QDU54" s="384"/>
      <c r="QDV54" s="384"/>
      <c r="QDW54" s="384"/>
      <c r="QDX54" s="384"/>
      <c r="QDY54" s="384"/>
      <c r="QDZ54" s="384"/>
      <c r="QEA54" s="384"/>
      <c r="QEB54" s="384"/>
      <c r="QEC54" s="384"/>
      <c r="QED54" s="384"/>
      <c r="QEE54" s="384"/>
      <c r="QEF54" s="384"/>
      <c r="QEG54" s="384"/>
      <c r="QEH54" s="384"/>
      <c r="QEI54" s="384"/>
      <c r="QEJ54" s="384"/>
      <c r="QEK54" s="384"/>
      <c r="QEL54" s="384"/>
      <c r="QEM54" s="384"/>
      <c r="QEN54" s="384"/>
      <c r="QEO54" s="384"/>
      <c r="QEP54" s="384"/>
      <c r="QEQ54" s="384"/>
      <c r="QER54" s="384"/>
      <c r="QES54" s="384"/>
      <c r="QET54" s="384"/>
      <c r="QEU54" s="384"/>
      <c r="QEV54" s="384"/>
      <c r="QEW54" s="384"/>
      <c r="QEX54" s="384"/>
      <c r="QEY54" s="384"/>
      <c r="QEZ54" s="384"/>
      <c r="QFA54" s="384"/>
      <c r="QFB54" s="384"/>
      <c r="QFC54" s="384"/>
      <c r="QFD54" s="384"/>
      <c r="QFE54" s="384"/>
      <c r="QFF54" s="384"/>
      <c r="QFG54" s="384"/>
      <c r="QFH54" s="384"/>
      <c r="QFI54" s="384"/>
      <c r="QFJ54" s="384"/>
      <c r="QFK54" s="384"/>
      <c r="QFL54" s="384"/>
      <c r="QFM54" s="384"/>
      <c r="QFN54" s="384"/>
      <c r="QFO54" s="384"/>
      <c r="QFP54" s="384"/>
      <c r="QFQ54" s="384"/>
      <c r="QFR54" s="384"/>
      <c r="QFS54" s="384"/>
      <c r="QFT54" s="384"/>
      <c r="QFU54" s="384"/>
      <c r="QFV54" s="384"/>
      <c r="QFW54" s="384"/>
      <c r="QFX54" s="384"/>
      <c r="QFY54" s="384"/>
      <c r="QFZ54" s="384"/>
      <c r="QGA54" s="384"/>
      <c r="QGB54" s="384"/>
      <c r="QGC54" s="384"/>
      <c r="QGD54" s="384"/>
      <c r="QGE54" s="384"/>
      <c r="QGF54" s="384"/>
      <c r="QGG54" s="384"/>
      <c r="QGH54" s="384"/>
      <c r="QGI54" s="384"/>
      <c r="QGJ54" s="384"/>
      <c r="QGK54" s="384"/>
      <c r="QGL54" s="384"/>
      <c r="QGM54" s="384"/>
      <c r="QGN54" s="384"/>
      <c r="QGO54" s="384"/>
      <c r="QGP54" s="384"/>
      <c r="QGQ54" s="384"/>
      <c r="QGR54" s="384"/>
      <c r="QGS54" s="384"/>
      <c r="QGT54" s="384"/>
      <c r="QGU54" s="384"/>
      <c r="QGV54" s="384"/>
      <c r="QGW54" s="384"/>
      <c r="QGX54" s="384"/>
      <c r="QGY54" s="384"/>
      <c r="QGZ54" s="384"/>
      <c r="QHA54" s="384"/>
      <c r="QHB54" s="384"/>
      <c r="QHC54" s="384"/>
      <c r="QHD54" s="384"/>
      <c r="QHE54" s="384"/>
      <c r="QHF54" s="384"/>
      <c r="QHG54" s="384"/>
      <c r="QHH54" s="384"/>
      <c r="QHI54" s="384"/>
      <c r="QHJ54" s="384"/>
      <c r="QHK54" s="384"/>
      <c r="QHL54" s="384"/>
      <c r="QHM54" s="384"/>
      <c r="QHN54" s="384"/>
      <c r="QHO54" s="384"/>
      <c r="QHP54" s="384"/>
      <c r="QHQ54" s="384"/>
      <c r="QHR54" s="384"/>
      <c r="QHS54" s="384"/>
      <c r="QHT54" s="384"/>
      <c r="QHU54" s="384"/>
      <c r="QHV54" s="384"/>
      <c r="QHW54" s="384"/>
      <c r="QHX54" s="384"/>
      <c r="QHY54" s="384"/>
      <c r="QHZ54" s="384"/>
      <c r="QIA54" s="384"/>
      <c r="QIB54" s="384"/>
      <c r="QIC54" s="384"/>
      <c r="QID54" s="384"/>
      <c r="QIE54" s="384"/>
      <c r="QIF54" s="384"/>
      <c r="QIG54" s="384"/>
      <c r="QIH54" s="384"/>
      <c r="QII54" s="384"/>
      <c r="QIJ54" s="384"/>
      <c r="QIK54" s="384"/>
      <c r="QIL54" s="384"/>
      <c r="QIM54" s="384"/>
      <c r="QIN54" s="384"/>
      <c r="QIO54" s="384"/>
      <c r="QIP54" s="384"/>
      <c r="QIQ54" s="384"/>
      <c r="QIR54" s="384"/>
      <c r="QIS54" s="384"/>
      <c r="QIT54" s="384"/>
      <c r="QIU54" s="384"/>
      <c r="QIV54" s="384"/>
      <c r="QIW54" s="384"/>
      <c r="QIX54" s="384"/>
      <c r="QIY54" s="384"/>
      <c r="QIZ54" s="384"/>
      <c r="QJA54" s="384"/>
      <c r="QJB54" s="384"/>
      <c r="QJC54" s="384"/>
      <c r="QJD54" s="384"/>
      <c r="QJE54" s="384"/>
      <c r="QJF54" s="384"/>
      <c r="QJG54" s="384"/>
      <c r="QJH54" s="384"/>
      <c r="QJI54" s="384"/>
      <c r="QJJ54" s="384"/>
      <c r="QJK54" s="384"/>
      <c r="QJL54" s="384"/>
      <c r="QJM54" s="384"/>
      <c r="QJN54" s="384"/>
      <c r="QJO54" s="384"/>
      <c r="QJP54" s="384"/>
      <c r="QJQ54" s="384"/>
      <c r="QJR54" s="384"/>
      <c r="QJS54" s="384"/>
      <c r="QJT54" s="384"/>
      <c r="QJU54" s="384"/>
      <c r="QJV54" s="384"/>
      <c r="QJW54" s="384"/>
      <c r="QJX54" s="384"/>
      <c r="QJY54" s="384"/>
      <c r="QJZ54" s="384"/>
      <c r="QKA54" s="384"/>
      <c r="QKB54" s="384"/>
      <c r="QKC54" s="384"/>
      <c r="QKD54" s="384"/>
      <c r="QKE54" s="384"/>
      <c r="QKF54" s="384"/>
      <c r="QKG54" s="384"/>
      <c r="QKH54" s="384"/>
      <c r="QKI54" s="384"/>
      <c r="QKJ54" s="384"/>
      <c r="QKK54" s="384"/>
      <c r="QKL54" s="384"/>
      <c r="QKM54" s="384"/>
      <c r="QKN54" s="384"/>
      <c r="QKO54" s="384"/>
      <c r="QKP54" s="384"/>
      <c r="QKQ54" s="384"/>
      <c r="QKR54" s="384"/>
      <c r="QKS54" s="384"/>
      <c r="QKT54" s="384"/>
      <c r="QKU54" s="384"/>
      <c r="QKV54" s="384"/>
      <c r="QKW54" s="384"/>
      <c r="QKX54" s="384"/>
      <c r="QKY54" s="384"/>
      <c r="QKZ54" s="384"/>
      <c r="QLA54" s="384"/>
      <c r="QLB54" s="384"/>
      <c r="QLC54" s="384"/>
      <c r="QLD54" s="384"/>
      <c r="QLE54" s="384"/>
      <c r="QLF54" s="384"/>
      <c r="QLG54" s="384"/>
      <c r="QLH54" s="384"/>
      <c r="QLI54" s="384"/>
      <c r="QLJ54" s="384"/>
      <c r="QLK54" s="384"/>
      <c r="QLL54" s="384"/>
      <c r="QLM54" s="384"/>
      <c r="QLN54" s="384"/>
      <c r="QLO54" s="384"/>
      <c r="QLP54" s="384"/>
      <c r="QLQ54" s="384"/>
      <c r="QLR54" s="384"/>
      <c r="QLS54" s="384"/>
      <c r="QLT54" s="384"/>
      <c r="QLU54" s="384"/>
      <c r="QLV54" s="384"/>
      <c r="QLW54" s="384"/>
      <c r="QLX54" s="384"/>
      <c r="QLY54" s="384"/>
      <c r="QLZ54" s="384"/>
      <c r="QMA54" s="384"/>
      <c r="QMB54" s="384"/>
      <c r="QMC54" s="384"/>
      <c r="QMD54" s="384"/>
      <c r="QME54" s="384"/>
      <c r="QMF54" s="384"/>
      <c r="QMG54" s="384"/>
      <c r="QMH54" s="384"/>
      <c r="QMI54" s="384"/>
      <c r="QMJ54" s="384"/>
      <c r="QMK54" s="384"/>
      <c r="QML54" s="384"/>
      <c r="QMM54" s="384"/>
      <c r="QMN54" s="384"/>
      <c r="QMO54" s="384"/>
      <c r="QMP54" s="384"/>
      <c r="QMQ54" s="384"/>
      <c r="QMR54" s="384"/>
      <c r="QMS54" s="384"/>
      <c r="QMT54" s="384"/>
      <c r="QMU54" s="384"/>
      <c r="QMV54" s="384"/>
      <c r="QMW54" s="384"/>
      <c r="QMX54" s="384"/>
      <c r="QMY54" s="384"/>
      <c r="QMZ54" s="384"/>
      <c r="QNA54" s="384"/>
      <c r="QNB54" s="384"/>
      <c r="QNC54" s="384"/>
      <c r="QND54" s="384"/>
      <c r="QNE54" s="384"/>
      <c r="QNF54" s="384"/>
      <c r="QNG54" s="384"/>
      <c r="QNH54" s="384"/>
      <c r="QNI54" s="384"/>
      <c r="QNJ54" s="384"/>
      <c r="QNK54" s="384"/>
      <c r="QNL54" s="384"/>
      <c r="QNM54" s="384"/>
      <c r="QNN54" s="384"/>
      <c r="QNO54" s="384"/>
      <c r="QNP54" s="384"/>
      <c r="QNQ54" s="384"/>
      <c r="QNR54" s="384"/>
      <c r="QNS54" s="384"/>
      <c r="QNT54" s="384"/>
      <c r="QNU54" s="384"/>
      <c r="QNV54" s="384"/>
      <c r="QNW54" s="384"/>
      <c r="QNX54" s="384"/>
      <c r="QNY54" s="384"/>
      <c r="QNZ54" s="384"/>
      <c r="QOA54" s="384"/>
      <c r="QOB54" s="384"/>
      <c r="QOC54" s="384"/>
      <c r="QOD54" s="384"/>
      <c r="QOE54" s="384"/>
      <c r="QOF54" s="384"/>
      <c r="QOG54" s="384"/>
      <c r="QOH54" s="384"/>
      <c r="QOI54" s="384"/>
      <c r="QOJ54" s="384"/>
      <c r="QOK54" s="384"/>
      <c r="QOL54" s="384"/>
      <c r="QOM54" s="384"/>
      <c r="QON54" s="384"/>
      <c r="QOO54" s="384"/>
      <c r="QOP54" s="384"/>
      <c r="QOQ54" s="384"/>
      <c r="QOR54" s="384"/>
      <c r="QOS54" s="384"/>
      <c r="QOT54" s="384"/>
      <c r="QOU54" s="384"/>
      <c r="QOV54" s="384"/>
      <c r="QOW54" s="384"/>
      <c r="QOX54" s="384"/>
      <c r="QOY54" s="384"/>
      <c r="QOZ54" s="384"/>
      <c r="QPA54" s="384"/>
      <c r="QPB54" s="384"/>
      <c r="QPC54" s="384"/>
      <c r="QPD54" s="384"/>
      <c r="QPE54" s="384"/>
      <c r="QPF54" s="384"/>
      <c r="QPG54" s="384"/>
      <c r="QPH54" s="384"/>
      <c r="QPI54" s="384"/>
      <c r="QPJ54" s="384"/>
      <c r="QPK54" s="384"/>
      <c r="QPL54" s="384"/>
      <c r="QPM54" s="384"/>
      <c r="QPN54" s="384"/>
      <c r="QPO54" s="384"/>
      <c r="QPP54" s="384"/>
      <c r="QPQ54" s="384"/>
      <c r="QPR54" s="384"/>
      <c r="QPS54" s="384"/>
      <c r="QPT54" s="384"/>
      <c r="QPU54" s="384"/>
      <c r="QPV54" s="384"/>
      <c r="QPW54" s="384"/>
      <c r="QPX54" s="384"/>
      <c r="QPY54" s="384"/>
      <c r="QPZ54" s="384"/>
      <c r="QQA54" s="384"/>
      <c r="QQB54" s="384"/>
      <c r="QQC54" s="384"/>
      <c r="QQD54" s="384"/>
      <c r="QQE54" s="384"/>
      <c r="QQF54" s="384"/>
      <c r="QQG54" s="384"/>
      <c r="QQH54" s="384"/>
      <c r="QQI54" s="384"/>
      <c r="QQJ54" s="384"/>
      <c r="QQK54" s="384"/>
      <c r="QQL54" s="384"/>
      <c r="QQM54" s="384"/>
      <c r="QQN54" s="384"/>
      <c r="QQO54" s="384"/>
      <c r="QQP54" s="384"/>
      <c r="QQQ54" s="384"/>
      <c r="QQR54" s="384"/>
      <c r="QQS54" s="384"/>
      <c r="QQT54" s="384"/>
      <c r="QQU54" s="384"/>
      <c r="QQV54" s="384"/>
      <c r="QQW54" s="384"/>
      <c r="QQX54" s="384"/>
      <c r="QQY54" s="384"/>
      <c r="QQZ54" s="384"/>
      <c r="QRA54" s="384"/>
      <c r="QRB54" s="384"/>
      <c r="QRC54" s="384"/>
      <c r="QRD54" s="384"/>
      <c r="QRE54" s="384"/>
      <c r="QRF54" s="384"/>
      <c r="QRG54" s="384"/>
      <c r="QRH54" s="384"/>
      <c r="QRI54" s="384"/>
      <c r="QRJ54" s="384"/>
      <c r="QRK54" s="384"/>
      <c r="QRL54" s="384"/>
      <c r="QRM54" s="384"/>
      <c r="QRN54" s="384"/>
      <c r="QRO54" s="384"/>
      <c r="QRP54" s="384"/>
      <c r="QRQ54" s="384"/>
      <c r="QRR54" s="384"/>
      <c r="QRS54" s="384"/>
      <c r="QRT54" s="384"/>
      <c r="QRU54" s="384"/>
      <c r="QRV54" s="384"/>
      <c r="QRW54" s="384"/>
      <c r="QRX54" s="384"/>
      <c r="QRY54" s="384"/>
      <c r="QRZ54" s="384"/>
      <c r="QSA54" s="384"/>
      <c r="QSB54" s="384"/>
      <c r="QSC54" s="384"/>
      <c r="QSD54" s="384"/>
      <c r="QSE54" s="384"/>
      <c r="QSF54" s="384"/>
      <c r="QSG54" s="384"/>
      <c r="QSH54" s="384"/>
      <c r="QSI54" s="384"/>
      <c r="QSJ54" s="384"/>
      <c r="QSK54" s="384"/>
      <c r="QSL54" s="384"/>
      <c r="QSM54" s="384"/>
      <c r="QSN54" s="384"/>
      <c r="QSO54" s="384"/>
      <c r="QSP54" s="384"/>
      <c r="QSQ54" s="384"/>
      <c r="QSR54" s="384"/>
      <c r="QSS54" s="384"/>
      <c r="QST54" s="384"/>
      <c r="QSU54" s="384"/>
      <c r="QSV54" s="384"/>
      <c r="QSW54" s="384"/>
      <c r="QSX54" s="384"/>
      <c r="QSY54" s="384"/>
      <c r="QSZ54" s="384"/>
      <c r="QTA54" s="384"/>
      <c r="QTB54" s="384"/>
      <c r="QTC54" s="384"/>
      <c r="QTD54" s="384"/>
      <c r="QTE54" s="384"/>
      <c r="QTF54" s="384"/>
      <c r="QTG54" s="384"/>
      <c r="QTH54" s="384"/>
      <c r="QTI54" s="384"/>
      <c r="QTJ54" s="384"/>
      <c r="QTK54" s="384"/>
      <c r="QTL54" s="384"/>
      <c r="QTM54" s="384"/>
      <c r="QTN54" s="384"/>
      <c r="QTO54" s="384"/>
      <c r="QTP54" s="384"/>
      <c r="QTQ54" s="384"/>
      <c r="QTR54" s="384"/>
      <c r="QTS54" s="384"/>
      <c r="QTT54" s="384"/>
      <c r="QTU54" s="384"/>
      <c r="QTV54" s="384"/>
      <c r="QTW54" s="384"/>
      <c r="QTX54" s="384"/>
      <c r="QTY54" s="384"/>
      <c r="QTZ54" s="384"/>
      <c r="QUA54" s="384"/>
      <c r="QUB54" s="384"/>
      <c r="QUC54" s="384"/>
      <c r="QUD54" s="384"/>
      <c r="QUE54" s="384"/>
      <c r="QUF54" s="384"/>
      <c r="QUG54" s="384"/>
      <c r="QUH54" s="384"/>
      <c r="QUI54" s="384"/>
      <c r="QUJ54" s="384"/>
      <c r="QUK54" s="384"/>
      <c r="QUL54" s="384"/>
      <c r="QUM54" s="384"/>
      <c r="QUN54" s="384"/>
      <c r="QUO54" s="384"/>
      <c r="QUP54" s="384"/>
      <c r="QUQ54" s="384"/>
      <c r="QUR54" s="384"/>
      <c r="QUS54" s="384"/>
      <c r="QUT54" s="384"/>
      <c r="QUU54" s="384"/>
      <c r="QUV54" s="384"/>
      <c r="QUW54" s="384"/>
      <c r="QUX54" s="384"/>
      <c r="QUY54" s="384"/>
      <c r="QUZ54" s="384"/>
      <c r="QVA54" s="384"/>
      <c r="QVB54" s="384"/>
      <c r="QVC54" s="384"/>
      <c r="QVD54" s="384"/>
      <c r="QVE54" s="384"/>
      <c r="QVF54" s="384"/>
      <c r="QVG54" s="384"/>
      <c r="QVH54" s="384"/>
      <c r="QVI54" s="384"/>
      <c r="QVJ54" s="384"/>
      <c r="QVK54" s="384"/>
      <c r="QVL54" s="384"/>
      <c r="QVM54" s="384"/>
      <c r="QVN54" s="384"/>
      <c r="QVO54" s="384"/>
      <c r="QVP54" s="384"/>
      <c r="QVQ54" s="384"/>
      <c r="QVR54" s="384"/>
      <c r="QVS54" s="384"/>
      <c r="QVT54" s="384"/>
      <c r="QVU54" s="384"/>
      <c r="QVV54" s="384"/>
      <c r="QVW54" s="384"/>
      <c r="QVX54" s="384"/>
      <c r="QVY54" s="384"/>
      <c r="QVZ54" s="384"/>
      <c r="QWA54" s="384"/>
      <c r="QWB54" s="384"/>
      <c r="QWC54" s="384"/>
      <c r="QWD54" s="384"/>
      <c r="QWE54" s="384"/>
      <c r="QWF54" s="384"/>
      <c r="QWG54" s="384"/>
      <c r="QWH54" s="384"/>
      <c r="QWI54" s="384"/>
      <c r="QWJ54" s="384"/>
      <c r="QWK54" s="384"/>
      <c r="QWL54" s="384"/>
      <c r="QWM54" s="384"/>
      <c r="QWN54" s="384"/>
      <c r="QWO54" s="384"/>
      <c r="QWP54" s="384"/>
      <c r="QWQ54" s="384"/>
      <c r="QWR54" s="384"/>
      <c r="QWS54" s="384"/>
      <c r="QWT54" s="384"/>
      <c r="QWU54" s="384"/>
      <c r="QWV54" s="384"/>
      <c r="QWW54" s="384"/>
      <c r="QWX54" s="384"/>
      <c r="QWY54" s="384"/>
      <c r="QWZ54" s="384"/>
      <c r="QXA54" s="384"/>
      <c r="QXB54" s="384"/>
      <c r="QXC54" s="384"/>
      <c r="QXD54" s="384"/>
      <c r="QXE54" s="384"/>
      <c r="QXF54" s="384"/>
      <c r="QXG54" s="384"/>
      <c r="QXH54" s="384"/>
      <c r="QXI54" s="384"/>
      <c r="QXJ54" s="384"/>
      <c r="QXK54" s="384"/>
      <c r="QXL54" s="384"/>
      <c r="QXM54" s="384"/>
      <c r="QXN54" s="384"/>
      <c r="QXO54" s="384"/>
      <c r="QXP54" s="384"/>
      <c r="QXQ54" s="384"/>
      <c r="QXR54" s="384"/>
      <c r="QXS54" s="384"/>
      <c r="QXT54" s="384"/>
      <c r="QXU54" s="384"/>
      <c r="QXV54" s="384"/>
      <c r="QXW54" s="384"/>
      <c r="QXX54" s="384"/>
      <c r="QXY54" s="384"/>
      <c r="QXZ54" s="384"/>
      <c r="QYA54" s="384"/>
      <c r="QYB54" s="384"/>
      <c r="QYC54" s="384"/>
      <c r="QYD54" s="384"/>
      <c r="QYE54" s="384"/>
      <c r="QYF54" s="384"/>
      <c r="QYG54" s="384"/>
      <c r="QYH54" s="384"/>
      <c r="QYI54" s="384"/>
      <c r="QYJ54" s="384"/>
      <c r="QYK54" s="384"/>
      <c r="QYL54" s="384"/>
      <c r="QYM54" s="384"/>
      <c r="QYN54" s="384"/>
      <c r="QYO54" s="384"/>
      <c r="QYP54" s="384"/>
      <c r="QYQ54" s="384"/>
      <c r="QYR54" s="384"/>
      <c r="QYS54" s="384"/>
      <c r="QYT54" s="384"/>
      <c r="QYU54" s="384"/>
      <c r="QYV54" s="384"/>
      <c r="QYW54" s="384"/>
      <c r="QYX54" s="384"/>
      <c r="QYY54" s="384"/>
      <c r="QYZ54" s="384"/>
      <c r="QZA54" s="384"/>
      <c r="QZB54" s="384"/>
      <c r="QZC54" s="384"/>
      <c r="QZD54" s="384"/>
      <c r="QZE54" s="384"/>
      <c r="QZF54" s="384"/>
      <c r="QZG54" s="384"/>
      <c r="QZH54" s="384"/>
      <c r="QZI54" s="384"/>
      <c r="QZJ54" s="384"/>
      <c r="QZK54" s="384"/>
      <c r="QZL54" s="384"/>
      <c r="QZM54" s="384"/>
      <c r="QZN54" s="384"/>
      <c r="QZO54" s="384"/>
      <c r="QZP54" s="384"/>
      <c r="QZQ54" s="384"/>
      <c r="QZR54" s="384"/>
      <c r="QZS54" s="384"/>
      <c r="QZT54" s="384"/>
      <c r="QZU54" s="384"/>
      <c r="QZV54" s="384"/>
      <c r="QZW54" s="384"/>
      <c r="QZX54" s="384"/>
      <c r="QZY54" s="384"/>
      <c r="QZZ54" s="384"/>
      <c r="RAA54" s="384"/>
      <c r="RAB54" s="384"/>
      <c r="RAC54" s="384"/>
      <c r="RAD54" s="384"/>
      <c r="RAE54" s="384"/>
      <c r="RAF54" s="384"/>
      <c r="RAG54" s="384"/>
      <c r="RAH54" s="384"/>
      <c r="RAI54" s="384"/>
      <c r="RAJ54" s="384"/>
      <c r="RAK54" s="384"/>
      <c r="RAL54" s="384"/>
      <c r="RAM54" s="384"/>
      <c r="RAN54" s="384"/>
      <c r="RAO54" s="384"/>
      <c r="RAP54" s="384"/>
      <c r="RAQ54" s="384"/>
      <c r="RAR54" s="384"/>
      <c r="RAS54" s="384"/>
      <c r="RAT54" s="384"/>
      <c r="RAU54" s="384"/>
      <c r="RAV54" s="384"/>
      <c r="RAW54" s="384"/>
      <c r="RAX54" s="384"/>
      <c r="RAY54" s="384"/>
      <c r="RAZ54" s="384"/>
      <c r="RBA54" s="384"/>
      <c r="RBB54" s="384"/>
      <c r="RBC54" s="384"/>
      <c r="RBD54" s="384"/>
      <c r="RBE54" s="384"/>
      <c r="RBF54" s="384"/>
      <c r="RBG54" s="384"/>
      <c r="RBH54" s="384"/>
      <c r="RBI54" s="384"/>
      <c r="RBJ54" s="384"/>
      <c r="RBK54" s="384"/>
      <c r="RBL54" s="384"/>
      <c r="RBM54" s="384"/>
      <c r="RBN54" s="384"/>
      <c r="RBO54" s="384"/>
      <c r="RBP54" s="384"/>
      <c r="RBQ54" s="384"/>
      <c r="RBR54" s="384"/>
      <c r="RBS54" s="384"/>
      <c r="RBT54" s="384"/>
      <c r="RBU54" s="384"/>
      <c r="RBV54" s="384"/>
      <c r="RBW54" s="384"/>
      <c r="RBX54" s="384"/>
      <c r="RBY54" s="384"/>
      <c r="RBZ54" s="384"/>
      <c r="RCA54" s="384"/>
      <c r="RCB54" s="384"/>
      <c r="RCC54" s="384"/>
      <c r="RCD54" s="384"/>
      <c r="RCE54" s="384"/>
      <c r="RCF54" s="384"/>
      <c r="RCG54" s="384"/>
      <c r="RCH54" s="384"/>
      <c r="RCI54" s="384"/>
      <c r="RCJ54" s="384"/>
      <c r="RCK54" s="384"/>
      <c r="RCL54" s="384"/>
      <c r="RCM54" s="384"/>
      <c r="RCN54" s="384"/>
      <c r="RCO54" s="384"/>
      <c r="RCP54" s="384"/>
      <c r="RCQ54" s="384"/>
      <c r="RCR54" s="384"/>
      <c r="RCS54" s="384"/>
      <c r="RCT54" s="384"/>
      <c r="RCU54" s="384"/>
      <c r="RCV54" s="384"/>
      <c r="RCW54" s="384"/>
      <c r="RCX54" s="384"/>
      <c r="RCY54" s="384"/>
      <c r="RCZ54" s="384"/>
      <c r="RDA54" s="384"/>
      <c r="RDB54" s="384"/>
      <c r="RDC54" s="384"/>
      <c r="RDD54" s="384"/>
      <c r="RDE54" s="384"/>
      <c r="RDF54" s="384"/>
      <c r="RDG54" s="384"/>
      <c r="RDH54" s="384"/>
      <c r="RDI54" s="384"/>
      <c r="RDJ54" s="384"/>
      <c r="RDK54" s="384"/>
      <c r="RDL54" s="384"/>
      <c r="RDM54" s="384"/>
      <c r="RDN54" s="384"/>
      <c r="RDO54" s="384"/>
      <c r="RDP54" s="384"/>
      <c r="RDQ54" s="384"/>
      <c r="RDR54" s="384"/>
      <c r="RDS54" s="384"/>
      <c r="RDT54" s="384"/>
      <c r="RDU54" s="384"/>
      <c r="RDV54" s="384"/>
      <c r="RDW54" s="384"/>
      <c r="RDX54" s="384"/>
      <c r="RDY54" s="384"/>
      <c r="RDZ54" s="384"/>
      <c r="REA54" s="384"/>
      <c r="REB54" s="384"/>
      <c r="REC54" s="384"/>
      <c r="RED54" s="384"/>
      <c r="REE54" s="384"/>
      <c r="REF54" s="384"/>
      <c r="REG54" s="384"/>
      <c r="REH54" s="384"/>
      <c r="REI54" s="384"/>
      <c r="REJ54" s="384"/>
      <c r="REK54" s="384"/>
      <c r="REL54" s="384"/>
      <c r="REM54" s="384"/>
      <c r="REN54" s="384"/>
      <c r="REO54" s="384"/>
      <c r="REP54" s="384"/>
      <c r="REQ54" s="384"/>
      <c r="RER54" s="384"/>
      <c r="RES54" s="384"/>
      <c r="RET54" s="384"/>
      <c r="REU54" s="384"/>
      <c r="REV54" s="384"/>
      <c r="REW54" s="384"/>
      <c r="REX54" s="384"/>
      <c r="REY54" s="384"/>
      <c r="REZ54" s="384"/>
      <c r="RFA54" s="384"/>
      <c r="RFB54" s="384"/>
      <c r="RFC54" s="384"/>
      <c r="RFD54" s="384"/>
      <c r="RFE54" s="384"/>
      <c r="RFF54" s="384"/>
      <c r="RFG54" s="384"/>
      <c r="RFH54" s="384"/>
      <c r="RFI54" s="384"/>
      <c r="RFJ54" s="384"/>
      <c r="RFK54" s="384"/>
      <c r="RFL54" s="384"/>
      <c r="RFM54" s="384"/>
      <c r="RFN54" s="384"/>
      <c r="RFO54" s="384"/>
      <c r="RFP54" s="384"/>
      <c r="RFQ54" s="384"/>
      <c r="RFR54" s="384"/>
      <c r="RFS54" s="384"/>
      <c r="RFT54" s="384"/>
      <c r="RFU54" s="384"/>
      <c r="RFV54" s="384"/>
      <c r="RFW54" s="384"/>
      <c r="RFX54" s="384"/>
      <c r="RFY54" s="384"/>
      <c r="RFZ54" s="384"/>
      <c r="RGA54" s="384"/>
      <c r="RGB54" s="384"/>
      <c r="RGC54" s="384"/>
      <c r="RGD54" s="384"/>
      <c r="RGE54" s="384"/>
      <c r="RGF54" s="384"/>
      <c r="RGG54" s="384"/>
      <c r="RGH54" s="384"/>
      <c r="RGI54" s="384"/>
      <c r="RGJ54" s="384"/>
      <c r="RGK54" s="384"/>
      <c r="RGL54" s="384"/>
      <c r="RGM54" s="384"/>
      <c r="RGN54" s="384"/>
      <c r="RGO54" s="384"/>
      <c r="RGP54" s="384"/>
      <c r="RGQ54" s="384"/>
      <c r="RGR54" s="384"/>
      <c r="RGS54" s="384"/>
      <c r="RGT54" s="384"/>
      <c r="RGU54" s="384"/>
      <c r="RGV54" s="384"/>
      <c r="RGW54" s="384"/>
      <c r="RGX54" s="384"/>
      <c r="RGY54" s="384"/>
      <c r="RGZ54" s="384"/>
      <c r="RHA54" s="384"/>
      <c r="RHB54" s="384"/>
      <c r="RHC54" s="384"/>
      <c r="RHD54" s="384"/>
      <c r="RHE54" s="384"/>
      <c r="RHF54" s="384"/>
      <c r="RHG54" s="384"/>
      <c r="RHH54" s="384"/>
      <c r="RHI54" s="384"/>
      <c r="RHJ54" s="384"/>
      <c r="RHK54" s="384"/>
      <c r="RHL54" s="384"/>
      <c r="RHM54" s="384"/>
      <c r="RHN54" s="384"/>
      <c r="RHO54" s="384"/>
      <c r="RHP54" s="384"/>
      <c r="RHQ54" s="384"/>
      <c r="RHR54" s="384"/>
      <c r="RHS54" s="384"/>
      <c r="RHT54" s="384"/>
      <c r="RHU54" s="384"/>
      <c r="RHV54" s="384"/>
      <c r="RHW54" s="384"/>
      <c r="RHX54" s="384"/>
      <c r="RHY54" s="384"/>
      <c r="RHZ54" s="384"/>
      <c r="RIA54" s="384"/>
      <c r="RIB54" s="384"/>
      <c r="RIC54" s="384"/>
      <c r="RID54" s="384"/>
      <c r="RIE54" s="384"/>
      <c r="RIF54" s="384"/>
      <c r="RIG54" s="384"/>
      <c r="RIH54" s="384"/>
      <c r="RII54" s="384"/>
      <c r="RIJ54" s="384"/>
      <c r="RIK54" s="384"/>
      <c r="RIL54" s="384"/>
      <c r="RIM54" s="384"/>
      <c r="RIN54" s="384"/>
      <c r="RIO54" s="384"/>
      <c r="RIP54" s="384"/>
      <c r="RIQ54" s="384"/>
      <c r="RIR54" s="384"/>
      <c r="RIS54" s="384"/>
      <c r="RIT54" s="384"/>
      <c r="RIU54" s="384"/>
      <c r="RIV54" s="384"/>
      <c r="RIW54" s="384"/>
      <c r="RIX54" s="384"/>
      <c r="RIY54" s="384"/>
      <c r="RIZ54" s="384"/>
      <c r="RJA54" s="384"/>
      <c r="RJB54" s="384"/>
      <c r="RJC54" s="384"/>
      <c r="RJD54" s="384"/>
      <c r="RJE54" s="384"/>
      <c r="RJF54" s="384"/>
      <c r="RJG54" s="384"/>
      <c r="RJH54" s="384"/>
      <c r="RJI54" s="384"/>
      <c r="RJJ54" s="384"/>
      <c r="RJK54" s="384"/>
      <c r="RJL54" s="384"/>
      <c r="RJM54" s="384"/>
      <c r="RJN54" s="384"/>
      <c r="RJO54" s="384"/>
      <c r="RJP54" s="384"/>
      <c r="RJQ54" s="384"/>
      <c r="RJR54" s="384"/>
      <c r="RJS54" s="384"/>
      <c r="RJT54" s="384"/>
      <c r="RJU54" s="384"/>
      <c r="RJV54" s="384"/>
      <c r="RJW54" s="384"/>
      <c r="RJX54" s="384"/>
      <c r="RJY54" s="384"/>
      <c r="RJZ54" s="384"/>
      <c r="RKA54" s="384"/>
      <c r="RKB54" s="384"/>
      <c r="RKC54" s="384"/>
      <c r="RKD54" s="384"/>
      <c r="RKE54" s="384"/>
      <c r="RKF54" s="384"/>
      <c r="RKG54" s="384"/>
      <c r="RKH54" s="384"/>
      <c r="RKI54" s="384"/>
      <c r="RKJ54" s="384"/>
      <c r="RKK54" s="384"/>
      <c r="RKL54" s="384"/>
      <c r="RKM54" s="384"/>
      <c r="RKN54" s="384"/>
      <c r="RKO54" s="384"/>
      <c r="RKP54" s="384"/>
      <c r="RKQ54" s="384"/>
      <c r="RKR54" s="384"/>
      <c r="RKS54" s="384"/>
      <c r="RKT54" s="384"/>
      <c r="RKU54" s="384"/>
      <c r="RKV54" s="384"/>
      <c r="RKW54" s="384"/>
      <c r="RKX54" s="384"/>
      <c r="RKY54" s="384"/>
      <c r="RKZ54" s="384"/>
      <c r="RLA54" s="384"/>
      <c r="RLB54" s="384"/>
      <c r="RLC54" s="384"/>
      <c r="RLD54" s="384"/>
      <c r="RLE54" s="384"/>
      <c r="RLF54" s="384"/>
      <c r="RLG54" s="384"/>
      <c r="RLH54" s="384"/>
      <c r="RLI54" s="384"/>
      <c r="RLJ54" s="384"/>
      <c r="RLK54" s="384"/>
      <c r="RLL54" s="384"/>
      <c r="RLM54" s="384"/>
      <c r="RLN54" s="384"/>
      <c r="RLO54" s="384"/>
      <c r="RLP54" s="384"/>
      <c r="RLQ54" s="384"/>
      <c r="RLR54" s="384"/>
      <c r="RLS54" s="384"/>
      <c r="RLT54" s="384"/>
      <c r="RLU54" s="384"/>
      <c r="RLV54" s="384"/>
      <c r="RLW54" s="384"/>
      <c r="RLX54" s="384"/>
      <c r="RLY54" s="384"/>
      <c r="RLZ54" s="384"/>
      <c r="RMA54" s="384"/>
      <c r="RMB54" s="384"/>
      <c r="RMC54" s="384"/>
      <c r="RMD54" s="384"/>
      <c r="RME54" s="384"/>
      <c r="RMF54" s="384"/>
      <c r="RMG54" s="384"/>
      <c r="RMH54" s="384"/>
      <c r="RMI54" s="384"/>
      <c r="RMJ54" s="384"/>
      <c r="RMK54" s="384"/>
      <c r="RML54" s="384"/>
      <c r="RMM54" s="384"/>
      <c r="RMN54" s="384"/>
      <c r="RMO54" s="384"/>
      <c r="RMP54" s="384"/>
      <c r="RMQ54" s="384"/>
      <c r="RMR54" s="384"/>
      <c r="RMS54" s="384"/>
      <c r="RMT54" s="384"/>
      <c r="RMU54" s="384"/>
      <c r="RMV54" s="384"/>
      <c r="RMW54" s="384"/>
      <c r="RMX54" s="384"/>
      <c r="RMY54" s="384"/>
      <c r="RMZ54" s="384"/>
      <c r="RNA54" s="384"/>
      <c r="RNB54" s="384"/>
      <c r="RNC54" s="384"/>
      <c r="RND54" s="384"/>
      <c r="RNE54" s="384"/>
      <c r="RNF54" s="384"/>
      <c r="RNG54" s="384"/>
      <c r="RNH54" s="384"/>
      <c r="RNI54" s="384"/>
      <c r="RNJ54" s="384"/>
      <c r="RNK54" s="384"/>
      <c r="RNL54" s="384"/>
      <c r="RNM54" s="384"/>
      <c r="RNN54" s="384"/>
      <c r="RNO54" s="384"/>
      <c r="RNP54" s="384"/>
      <c r="RNQ54" s="384"/>
      <c r="RNR54" s="384"/>
      <c r="RNS54" s="384"/>
      <c r="RNT54" s="384"/>
      <c r="RNU54" s="384"/>
      <c r="RNV54" s="384"/>
      <c r="RNW54" s="384"/>
      <c r="RNX54" s="384"/>
      <c r="RNY54" s="384"/>
      <c r="RNZ54" s="384"/>
      <c r="ROA54" s="384"/>
      <c r="ROB54" s="384"/>
      <c r="ROC54" s="384"/>
      <c r="ROD54" s="384"/>
      <c r="ROE54" s="384"/>
      <c r="ROF54" s="384"/>
      <c r="ROG54" s="384"/>
      <c r="ROH54" s="384"/>
      <c r="ROI54" s="384"/>
      <c r="ROJ54" s="384"/>
      <c r="ROK54" s="384"/>
      <c r="ROL54" s="384"/>
      <c r="ROM54" s="384"/>
      <c r="RON54" s="384"/>
      <c r="ROO54" s="384"/>
      <c r="ROP54" s="384"/>
      <c r="ROQ54" s="384"/>
      <c r="ROR54" s="384"/>
      <c r="ROS54" s="384"/>
      <c r="ROT54" s="384"/>
      <c r="ROU54" s="384"/>
      <c r="ROV54" s="384"/>
      <c r="ROW54" s="384"/>
      <c r="ROX54" s="384"/>
      <c r="ROY54" s="384"/>
      <c r="ROZ54" s="384"/>
      <c r="RPA54" s="384"/>
      <c r="RPB54" s="384"/>
      <c r="RPC54" s="384"/>
      <c r="RPD54" s="384"/>
      <c r="RPE54" s="384"/>
      <c r="RPF54" s="384"/>
      <c r="RPG54" s="384"/>
      <c r="RPH54" s="384"/>
      <c r="RPI54" s="384"/>
      <c r="RPJ54" s="384"/>
      <c r="RPK54" s="384"/>
      <c r="RPL54" s="384"/>
      <c r="RPM54" s="384"/>
      <c r="RPN54" s="384"/>
      <c r="RPO54" s="384"/>
      <c r="RPP54" s="384"/>
      <c r="RPQ54" s="384"/>
      <c r="RPR54" s="384"/>
      <c r="RPS54" s="384"/>
      <c r="RPT54" s="384"/>
      <c r="RPU54" s="384"/>
      <c r="RPV54" s="384"/>
      <c r="RPW54" s="384"/>
      <c r="RPX54" s="384"/>
      <c r="RPY54" s="384"/>
      <c r="RPZ54" s="384"/>
      <c r="RQA54" s="384"/>
      <c r="RQB54" s="384"/>
      <c r="RQC54" s="384"/>
      <c r="RQD54" s="384"/>
      <c r="RQE54" s="384"/>
      <c r="RQF54" s="384"/>
      <c r="RQG54" s="384"/>
      <c r="RQH54" s="384"/>
      <c r="RQI54" s="384"/>
      <c r="RQJ54" s="384"/>
      <c r="RQK54" s="384"/>
      <c r="RQL54" s="384"/>
      <c r="RQM54" s="384"/>
      <c r="RQN54" s="384"/>
      <c r="RQO54" s="384"/>
      <c r="RQP54" s="384"/>
      <c r="RQQ54" s="384"/>
      <c r="RQR54" s="384"/>
      <c r="RQS54" s="384"/>
      <c r="RQT54" s="384"/>
      <c r="RQU54" s="384"/>
      <c r="RQV54" s="384"/>
      <c r="RQW54" s="384"/>
      <c r="RQX54" s="384"/>
      <c r="RQY54" s="384"/>
      <c r="RQZ54" s="384"/>
      <c r="RRA54" s="384"/>
      <c r="RRB54" s="384"/>
      <c r="RRC54" s="384"/>
      <c r="RRD54" s="384"/>
      <c r="RRE54" s="384"/>
      <c r="RRF54" s="384"/>
      <c r="RRG54" s="384"/>
      <c r="RRH54" s="384"/>
      <c r="RRI54" s="384"/>
      <c r="RRJ54" s="384"/>
      <c r="RRK54" s="384"/>
      <c r="RRL54" s="384"/>
      <c r="RRM54" s="384"/>
      <c r="RRN54" s="384"/>
      <c r="RRO54" s="384"/>
      <c r="RRP54" s="384"/>
      <c r="RRQ54" s="384"/>
      <c r="RRR54" s="384"/>
      <c r="RRS54" s="384"/>
      <c r="RRT54" s="384"/>
      <c r="RRU54" s="384"/>
      <c r="RRV54" s="384"/>
      <c r="RRW54" s="384"/>
      <c r="RRX54" s="384"/>
      <c r="RRY54" s="384"/>
      <c r="RRZ54" s="384"/>
      <c r="RSA54" s="384"/>
      <c r="RSB54" s="384"/>
      <c r="RSC54" s="384"/>
      <c r="RSD54" s="384"/>
      <c r="RSE54" s="384"/>
      <c r="RSF54" s="384"/>
      <c r="RSG54" s="384"/>
      <c r="RSH54" s="384"/>
      <c r="RSI54" s="384"/>
      <c r="RSJ54" s="384"/>
      <c r="RSK54" s="384"/>
      <c r="RSL54" s="384"/>
      <c r="RSM54" s="384"/>
      <c r="RSN54" s="384"/>
      <c r="RSO54" s="384"/>
      <c r="RSP54" s="384"/>
      <c r="RSQ54" s="384"/>
      <c r="RSR54" s="384"/>
      <c r="RSS54" s="384"/>
      <c r="RST54" s="384"/>
      <c r="RSU54" s="384"/>
      <c r="RSV54" s="384"/>
      <c r="RSW54" s="384"/>
      <c r="RSX54" s="384"/>
      <c r="RSY54" s="384"/>
      <c r="RSZ54" s="384"/>
      <c r="RTA54" s="384"/>
      <c r="RTB54" s="384"/>
      <c r="RTC54" s="384"/>
      <c r="RTD54" s="384"/>
      <c r="RTE54" s="384"/>
      <c r="RTF54" s="384"/>
      <c r="RTG54" s="384"/>
      <c r="RTH54" s="384"/>
      <c r="RTI54" s="384"/>
      <c r="RTJ54" s="384"/>
      <c r="RTK54" s="384"/>
      <c r="RTL54" s="384"/>
      <c r="RTM54" s="384"/>
      <c r="RTN54" s="384"/>
      <c r="RTO54" s="384"/>
      <c r="RTP54" s="384"/>
      <c r="RTQ54" s="384"/>
      <c r="RTR54" s="384"/>
      <c r="RTS54" s="384"/>
      <c r="RTT54" s="384"/>
      <c r="RTU54" s="384"/>
      <c r="RTV54" s="384"/>
      <c r="RTW54" s="384"/>
      <c r="RTX54" s="384"/>
      <c r="RTY54" s="384"/>
      <c r="RTZ54" s="384"/>
      <c r="RUA54" s="384"/>
      <c r="RUB54" s="384"/>
      <c r="RUC54" s="384"/>
      <c r="RUD54" s="384"/>
      <c r="RUE54" s="384"/>
      <c r="RUF54" s="384"/>
      <c r="RUG54" s="384"/>
      <c r="RUH54" s="384"/>
      <c r="RUI54" s="384"/>
      <c r="RUJ54" s="384"/>
      <c r="RUK54" s="384"/>
      <c r="RUL54" s="384"/>
      <c r="RUM54" s="384"/>
      <c r="RUN54" s="384"/>
      <c r="RUO54" s="384"/>
      <c r="RUP54" s="384"/>
      <c r="RUQ54" s="384"/>
      <c r="RUR54" s="384"/>
      <c r="RUS54" s="384"/>
      <c r="RUT54" s="384"/>
      <c r="RUU54" s="384"/>
      <c r="RUV54" s="384"/>
      <c r="RUW54" s="384"/>
      <c r="RUX54" s="384"/>
      <c r="RUY54" s="384"/>
      <c r="RUZ54" s="384"/>
      <c r="RVA54" s="384"/>
      <c r="RVB54" s="384"/>
      <c r="RVC54" s="384"/>
      <c r="RVD54" s="384"/>
      <c r="RVE54" s="384"/>
      <c r="RVF54" s="384"/>
      <c r="RVG54" s="384"/>
      <c r="RVH54" s="384"/>
      <c r="RVI54" s="384"/>
      <c r="RVJ54" s="384"/>
      <c r="RVK54" s="384"/>
      <c r="RVL54" s="384"/>
      <c r="RVM54" s="384"/>
      <c r="RVN54" s="384"/>
      <c r="RVO54" s="384"/>
      <c r="RVP54" s="384"/>
      <c r="RVQ54" s="384"/>
      <c r="RVR54" s="384"/>
      <c r="RVS54" s="384"/>
      <c r="RVT54" s="384"/>
      <c r="RVU54" s="384"/>
      <c r="RVV54" s="384"/>
      <c r="RVW54" s="384"/>
      <c r="RVX54" s="384"/>
      <c r="RVY54" s="384"/>
      <c r="RVZ54" s="384"/>
      <c r="RWA54" s="384"/>
      <c r="RWB54" s="384"/>
      <c r="RWC54" s="384"/>
      <c r="RWD54" s="384"/>
      <c r="RWE54" s="384"/>
      <c r="RWF54" s="384"/>
      <c r="RWG54" s="384"/>
      <c r="RWH54" s="384"/>
      <c r="RWI54" s="384"/>
      <c r="RWJ54" s="384"/>
      <c r="RWK54" s="384"/>
      <c r="RWL54" s="384"/>
      <c r="RWM54" s="384"/>
      <c r="RWN54" s="384"/>
      <c r="RWO54" s="384"/>
      <c r="RWP54" s="384"/>
      <c r="RWQ54" s="384"/>
      <c r="RWR54" s="384"/>
      <c r="RWS54" s="384"/>
      <c r="RWT54" s="384"/>
      <c r="RWU54" s="384"/>
      <c r="RWV54" s="384"/>
      <c r="RWW54" s="384"/>
      <c r="RWX54" s="384"/>
      <c r="RWY54" s="384"/>
      <c r="RWZ54" s="384"/>
      <c r="RXA54" s="384"/>
      <c r="RXB54" s="384"/>
      <c r="RXC54" s="384"/>
      <c r="RXD54" s="384"/>
      <c r="RXE54" s="384"/>
      <c r="RXF54" s="384"/>
      <c r="RXG54" s="384"/>
      <c r="RXH54" s="384"/>
      <c r="RXI54" s="384"/>
      <c r="RXJ54" s="384"/>
      <c r="RXK54" s="384"/>
      <c r="RXL54" s="384"/>
      <c r="RXM54" s="384"/>
      <c r="RXN54" s="384"/>
      <c r="RXO54" s="384"/>
      <c r="RXP54" s="384"/>
      <c r="RXQ54" s="384"/>
      <c r="RXR54" s="384"/>
      <c r="RXS54" s="384"/>
      <c r="RXT54" s="384"/>
      <c r="RXU54" s="384"/>
      <c r="RXV54" s="384"/>
      <c r="RXW54" s="384"/>
      <c r="RXX54" s="384"/>
      <c r="RXY54" s="384"/>
      <c r="RXZ54" s="384"/>
      <c r="RYA54" s="384"/>
      <c r="RYB54" s="384"/>
      <c r="RYC54" s="384"/>
      <c r="RYD54" s="384"/>
      <c r="RYE54" s="384"/>
      <c r="RYF54" s="384"/>
      <c r="RYG54" s="384"/>
      <c r="RYH54" s="384"/>
      <c r="RYI54" s="384"/>
      <c r="RYJ54" s="384"/>
      <c r="RYK54" s="384"/>
      <c r="RYL54" s="384"/>
      <c r="RYM54" s="384"/>
      <c r="RYN54" s="384"/>
      <c r="RYO54" s="384"/>
      <c r="RYP54" s="384"/>
      <c r="RYQ54" s="384"/>
      <c r="RYR54" s="384"/>
      <c r="RYS54" s="384"/>
      <c r="RYT54" s="384"/>
      <c r="RYU54" s="384"/>
      <c r="RYV54" s="384"/>
      <c r="RYW54" s="384"/>
      <c r="RYX54" s="384"/>
      <c r="RYY54" s="384"/>
      <c r="RYZ54" s="384"/>
      <c r="RZA54" s="384"/>
      <c r="RZB54" s="384"/>
      <c r="RZC54" s="384"/>
      <c r="RZD54" s="384"/>
      <c r="RZE54" s="384"/>
      <c r="RZF54" s="384"/>
      <c r="RZG54" s="384"/>
      <c r="RZH54" s="384"/>
      <c r="RZI54" s="384"/>
      <c r="RZJ54" s="384"/>
      <c r="RZK54" s="384"/>
      <c r="RZL54" s="384"/>
      <c r="RZM54" s="384"/>
      <c r="RZN54" s="384"/>
      <c r="RZO54" s="384"/>
      <c r="RZP54" s="384"/>
      <c r="RZQ54" s="384"/>
      <c r="RZR54" s="384"/>
      <c r="RZS54" s="384"/>
      <c r="RZT54" s="384"/>
      <c r="RZU54" s="384"/>
      <c r="RZV54" s="384"/>
      <c r="RZW54" s="384"/>
      <c r="RZX54" s="384"/>
      <c r="RZY54" s="384"/>
      <c r="RZZ54" s="384"/>
      <c r="SAA54" s="384"/>
      <c r="SAB54" s="384"/>
      <c r="SAC54" s="384"/>
      <c r="SAD54" s="384"/>
      <c r="SAE54" s="384"/>
      <c r="SAF54" s="384"/>
      <c r="SAG54" s="384"/>
      <c r="SAH54" s="384"/>
      <c r="SAI54" s="384"/>
      <c r="SAJ54" s="384"/>
      <c r="SAK54" s="384"/>
      <c r="SAL54" s="384"/>
      <c r="SAM54" s="384"/>
      <c r="SAN54" s="384"/>
      <c r="SAO54" s="384"/>
      <c r="SAP54" s="384"/>
      <c r="SAQ54" s="384"/>
      <c r="SAR54" s="384"/>
      <c r="SAS54" s="384"/>
      <c r="SAT54" s="384"/>
      <c r="SAU54" s="384"/>
      <c r="SAV54" s="384"/>
      <c r="SAW54" s="384"/>
      <c r="SAX54" s="384"/>
      <c r="SAY54" s="384"/>
      <c r="SAZ54" s="384"/>
      <c r="SBA54" s="384"/>
      <c r="SBB54" s="384"/>
      <c r="SBC54" s="384"/>
      <c r="SBD54" s="384"/>
      <c r="SBE54" s="384"/>
      <c r="SBF54" s="384"/>
      <c r="SBG54" s="384"/>
      <c r="SBH54" s="384"/>
      <c r="SBI54" s="384"/>
      <c r="SBJ54" s="384"/>
      <c r="SBK54" s="384"/>
      <c r="SBL54" s="384"/>
      <c r="SBM54" s="384"/>
      <c r="SBN54" s="384"/>
      <c r="SBO54" s="384"/>
      <c r="SBP54" s="384"/>
      <c r="SBQ54" s="384"/>
      <c r="SBR54" s="384"/>
      <c r="SBS54" s="384"/>
      <c r="SBT54" s="384"/>
      <c r="SBU54" s="384"/>
      <c r="SBV54" s="384"/>
      <c r="SBW54" s="384"/>
      <c r="SBX54" s="384"/>
      <c r="SBY54" s="384"/>
      <c r="SBZ54" s="384"/>
      <c r="SCA54" s="384"/>
      <c r="SCB54" s="384"/>
      <c r="SCC54" s="384"/>
      <c r="SCD54" s="384"/>
      <c r="SCE54" s="384"/>
      <c r="SCF54" s="384"/>
      <c r="SCG54" s="384"/>
      <c r="SCH54" s="384"/>
      <c r="SCI54" s="384"/>
      <c r="SCJ54" s="384"/>
      <c r="SCK54" s="384"/>
      <c r="SCL54" s="384"/>
      <c r="SCM54" s="384"/>
      <c r="SCN54" s="384"/>
      <c r="SCO54" s="384"/>
      <c r="SCP54" s="384"/>
      <c r="SCQ54" s="384"/>
      <c r="SCR54" s="384"/>
      <c r="SCS54" s="384"/>
      <c r="SCT54" s="384"/>
      <c r="SCU54" s="384"/>
      <c r="SCV54" s="384"/>
      <c r="SCW54" s="384"/>
      <c r="SCX54" s="384"/>
      <c r="SCY54" s="384"/>
      <c r="SCZ54" s="384"/>
      <c r="SDA54" s="384"/>
      <c r="SDB54" s="384"/>
      <c r="SDC54" s="384"/>
      <c r="SDD54" s="384"/>
      <c r="SDE54" s="384"/>
      <c r="SDF54" s="384"/>
      <c r="SDG54" s="384"/>
      <c r="SDH54" s="384"/>
      <c r="SDI54" s="384"/>
      <c r="SDJ54" s="384"/>
      <c r="SDK54" s="384"/>
      <c r="SDL54" s="384"/>
      <c r="SDM54" s="384"/>
      <c r="SDN54" s="384"/>
      <c r="SDO54" s="384"/>
      <c r="SDP54" s="384"/>
      <c r="SDQ54" s="384"/>
      <c r="SDR54" s="384"/>
      <c r="SDS54" s="384"/>
      <c r="SDT54" s="384"/>
      <c r="SDU54" s="384"/>
      <c r="SDV54" s="384"/>
      <c r="SDW54" s="384"/>
      <c r="SDX54" s="384"/>
      <c r="SDY54" s="384"/>
      <c r="SDZ54" s="384"/>
      <c r="SEA54" s="384"/>
      <c r="SEB54" s="384"/>
      <c r="SEC54" s="384"/>
      <c r="SED54" s="384"/>
      <c r="SEE54" s="384"/>
      <c r="SEF54" s="384"/>
      <c r="SEG54" s="384"/>
      <c r="SEH54" s="384"/>
      <c r="SEI54" s="384"/>
      <c r="SEJ54" s="384"/>
      <c r="SEK54" s="384"/>
      <c r="SEL54" s="384"/>
      <c r="SEM54" s="384"/>
      <c r="SEN54" s="384"/>
      <c r="SEO54" s="384"/>
      <c r="SEP54" s="384"/>
      <c r="SEQ54" s="384"/>
      <c r="SER54" s="384"/>
      <c r="SES54" s="384"/>
      <c r="SET54" s="384"/>
      <c r="SEU54" s="384"/>
      <c r="SEV54" s="384"/>
      <c r="SEW54" s="384"/>
      <c r="SEX54" s="384"/>
      <c r="SEY54" s="384"/>
      <c r="SEZ54" s="384"/>
      <c r="SFA54" s="384"/>
      <c r="SFB54" s="384"/>
      <c r="SFC54" s="384"/>
      <c r="SFD54" s="384"/>
      <c r="SFE54" s="384"/>
      <c r="SFF54" s="384"/>
      <c r="SFG54" s="384"/>
      <c r="SFH54" s="384"/>
      <c r="SFI54" s="384"/>
      <c r="SFJ54" s="384"/>
      <c r="SFK54" s="384"/>
      <c r="SFL54" s="384"/>
      <c r="SFM54" s="384"/>
      <c r="SFN54" s="384"/>
      <c r="SFO54" s="384"/>
      <c r="SFP54" s="384"/>
      <c r="SFQ54" s="384"/>
      <c r="SFR54" s="384"/>
      <c r="SFS54" s="384"/>
      <c r="SFT54" s="384"/>
      <c r="SFU54" s="384"/>
      <c r="SFV54" s="384"/>
      <c r="SFW54" s="384"/>
      <c r="SFX54" s="384"/>
      <c r="SFY54" s="384"/>
      <c r="SFZ54" s="384"/>
      <c r="SGA54" s="384"/>
      <c r="SGB54" s="384"/>
      <c r="SGC54" s="384"/>
      <c r="SGD54" s="384"/>
      <c r="SGE54" s="384"/>
      <c r="SGF54" s="384"/>
      <c r="SGG54" s="384"/>
      <c r="SGH54" s="384"/>
      <c r="SGI54" s="384"/>
      <c r="SGJ54" s="384"/>
      <c r="SGK54" s="384"/>
      <c r="SGL54" s="384"/>
      <c r="SGM54" s="384"/>
      <c r="SGN54" s="384"/>
      <c r="SGO54" s="384"/>
      <c r="SGP54" s="384"/>
      <c r="SGQ54" s="384"/>
      <c r="SGR54" s="384"/>
      <c r="SGS54" s="384"/>
      <c r="SGT54" s="384"/>
      <c r="SGU54" s="384"/>
      <c r="SGV54" s="384"/>
      <c r="SGW54" s="384"/>
      <c r="SGX54" s="384"/>
      <c r="SGY54" s="384"/>
      <c r="SGZ54" s="384"/>
      <c r="SHA54" s="384"/>
      <c r="SHB54" s="384"/>
      <c r="SHC54" s="384"/>
      <c r="SHD54" s="384"/>
      <c r="SHE54" s="384"/>
      <c r="SHF54" s="384"/>
      <c r="SHG54" s="384"/>
      <c r="SHH54" s="384"/>
      <c r="SHI54" s="384"/>
      <c r="SHJ54" s="384"/>
      <c r="SHK54" s="384"/>
      <c r="SHL54" s="384"/>
      <c r="SHM54" s="384"/>
      <c r="SHN54" s="384"/>
      <c r="SHO54" s="384"/>
      <c r="SHP54" s="384"/>
      <c r="SHQ54" s="384"/>
      <c r="SHR54" s="384"/>
      <c r="SHS54" s="384"/>
      <c r="SHT54" s="384"/>
      <c r="SHU54" s="384"/>
      <c r="SHV54" s="384"/>
      <c r="SHW54" s="384"/>
      <c r="SHX54" s="384"/>
      <c r="SHY54" s="384"/>
      <c r="SHZ54" s="384"/>
      <c r="SIA54" s="384"/>
      <c r="SIB54" s="384"/>
      <c r="SIC54" s="384"/>
      <c r="SID54" s="384"/>
      <c r="SIE54" s="384"/>
      <c r="SIF54" s="384"/>
      <c r="SIG54" s="384"/>
      <c r="SIH54" s="384"/>
      <c r="SII54" s="384"/>
      <c r="SIJ54" s="384"/>
      <c r="SIK54" s="384"/>
      <c r="SIL54" s="384"/>
      <c r="SIM54" s="384"/>
      <c r="SIN54" s="384"/>
      <c r="SIO54" s="384"/>
      <c r="SIP54" s="384"/>
      <c r="SIQ54" s="384"/>
      <c r="SIR54" s="384"/>
      <c r="SIS54" s="384"/>
      <c r="SIT54" s="384"/>
      <c r="SIU54" s="384"/>
      <c r="SIV54" s="384"/>
      <c r="SIW54" s="384"/>
      <c r="SIX54" s="384"/>
      <c r="SIY54" s="384"/>
      <c r="SIZ54" s="384"/>
      <c r="SJA54" s="384"/>
      <c r="SJB54" s="384"/>
      <c r="SJC54" s="384"/>
      <c r="SJD54" s="384"/>
      <c r="SJE54" s="384"/>
      <c r="SJF54" s="384"/>
      <c r="SJG54" s="384"/>
      <c r="SJH54" s="384"/>
      <c r="SJI54" s="384"/>
      <c r="SJJ54" s="384"/>
      <c r="SJK54" s="384"/>
      <c r="SJL54" s="384"/>
      <c r="SJM54" s="384"/>
      <c r="SJN54" s="384"/>
      <c r="SJO54" s="384"/>
      <c r="SJP54" s="384"/>
      <c r="SJQ54" s="384"/>
      <c r="SJR54" s="384"/>
      <c r="SJS54" s="384"/>
      <c r="SJT54" s="384"/>
      <c r="SJU54" s="384"/>
      <c r="SJV54" s="384"/>
      <c r="SJW54" s="384"/>
      <c r="SJX54" s="384"/>
      <c r="SJY54" s="384"/>
      <c r="SJZ54" s="384"/>
      <c r="SKA54" s="384"/>
      <c r="SKB54" s="384"/>
      <c r="SKC54" s="384"/>
      <c r="SKD54" s="384"/>
      <c r="SKE54" s="384"/>
      <c r="SKF54" s="384"/>
      <c r="SKG54" s="384"/>
      <c r="SKH54" s="384"/>
      <c r="SKI54" s="384"/>
      <c r="SKJ54" s="384"/>
      <c r="SKK54" s="384"/>
      <c r="SKL54" s="384"/>
      <c r="SKM54" s="384"/>
      <c r="SKN54" s="384"/>
      <c r="SKO54" s="384"/>
      <c r="SKP54" s="384"/>
      <c r="SKQ54" s="384"/>
      <c r="SKR54" s="384"/>
      <c r="SKS54" s="384"/>
      <c r="SKT54" s="384"/>
      <c r="SKU54" s="384"/>
      <c r="SKV54" s="384"/>
      <c r="SKW54" s="384"/>
      <c r="SKX54" s="384"/>
      <c r="SKY54" s="384"/>
      <c r="SKZ54" s="384"/>
      <c r="SLA54" s="384"/>
      <c r="SLB54" s="384"/>
      <c r="SLC54" s="384"/>
      <c r="SLD54" s="384"/>
      <c r="SLE54" s="384"/>
      <c r="SLF54" s="384"/>
      <c r="SLG54" s="384"/>
      <c r="SLH54" s="384"/>
      <c r="SLI54" s="384"/>
      <c r="SLJ54" s="384"/>
      <c r="SLK54" s="384"/>
      <c r="SLL54" s="384"/>
      <c r="SLM54" s="384"/>
      <c r="SLN54" s="384"/>
      <c r="SLO54" s="384"/>
      <c r="SLP54" s="384"/>
      <c r="SLQ54" s="384"/>
      <c r="SLR54" s="384"/>
      <c r="SLS54" s="384"/>
      <c r="SLT54" s="384"/>
      <c r="SLU54" s="384"/>
      <c r="SLV54" s="384"/>
      <c r="SLW54" s="384"/>
      <c r="SLX54" s="384"/>
      <c r="SLY54" s="384"/>
      <c r="SLZ54" s="384"/>
      <c r="SMA54" s="384"/>
      <c r="SMB54" s="384"/>
      <c r="SMC54" s="384"/>
      <c r="SMD54" s="384"/>
      <c r="SME54" s="384"/>
      <c r="SMF54" s="384"/>
      <c r="SMG54" s="384"/>
      <c r="SMH54" s="384"/>
      <c r="SMI54" s="384"/>
      <c r="SMJ54" s="384"/>
      <c r="SMK54" s="384"/>
      <c r="SML54" s="384"/>
      <c r="SMM54" s="384"/>
      <c r="SMN54" s="384"/>
      <c r="SMO54" s="384"/>
      <c r="SMP54" s="384"/>
      <c r="SMQ54" s="384"/>
      <c r="SMR54" s="384"/>
      <c r="SMS54" s="384"/>
      <c r="SMT54" s="384"/>
      <c r="SMU54" s="384"/>
      <c r="SMV54" s="384"/>
      <c r="SMW54" s="384"/>
      <c r="SMX54" s="384"/>
      <c r="SMY54" s="384"/>
      <c r="SMZ54" s="384"/>
      <c r="SNA54" s="384"/>
      <c r="SNB54" s="384"/>
      <c r="SNC54" s="384"/>
      <c r="SND54" s="384"/>
      <c r="SNE54" s="384"/>
      <c r="SNF54" s="384"/>
      <c r="SNG54" s="384"/>
      <c r="SNH54" s="384"/>
      <c r="SNI54" s="384"/>
      <c r="SNJ54" s="384"/>
      <c r="SNK54" s="384"/>
      <c r="SNL54" s="384"/>
      <c r="SNM54" s="384"/>
      <c r="SNN54" s="384"/>
      <c r="SNO54" s="384"/>
      <c r="SNP54" s="384"/>
      <c r="SNQ54" s="384"/>
      <c r="SNR54" s="384"/>
      <c r="SNS54" s="384"/>
      <c r="SNT54" s="384"/>
      <c r="SNU54" s="384"/>
      <c r="SNV54" s="384"/>
      <c r="SNW54" s="384"/>
      <c r="SNX54" s="384"/>
      <c r="SNY54" s="384"/>
      <c r="SNZ54" s="384"/>
      <c r="SOA54" s="384"/>
      <c r="SOB54" s="384"/>
      <c r="SOC54" s="384"/>
      <c r="SOD54" s="384"/>
      <c r="SOE54" s="384"/>
      <c r="SOF54" s="384"/>
      <c r="SOG54" s="384"/>
      <c r="SOH54" s="384"/>
      <c r="SOI54" s="384"/>
      <c r="SOJ54" s="384"/>
      <c r="SOK54" s="384"/>
      <c r="SOL54" s="384"/>
      <c r="SOM54" s="384"/>
      <c r="SON54" s="384"/>
      <c r="SOO54" s="384"/>
      <c r="SOP54" s="384"/>
      <c r="SOQ54" s="384"/>
      <c r="SOR54" s="384"/>
      <c r="SOS54" s="384"/>
      <c r="SOT54" s="384"/>
      <c r="SOU54" s="384"/>
      <c r="SOV54" s="384"/>
      <c r="SOW54" s="384"/>
      <c r="SOX54" s="384"/>
      <c r="SOY54" s="384"/>
      <c r="SOZ54" s="384"/>
      <c r="SPA54" s="384"/>
      <c r="SPB54" s="384"/>
      <c r="SPC54" s="384"/>
      <c r="SPD54" s="384"/>
      <c r="SPE54" s="384"/>
      <c r="SPF54" s="384"/>
      <c r="SPG54" s="384"/>
      <c r="SPH54" s="384"/>
      <c r="SPI54" s="384"/>
      <c r="SPJ54" s="384"/>
      <c r="SPK54" s="384"/>
      <c r="SPL54" s="384"/>
      <c r="SPM54" s="384"/>
      <c r="SPN54" s="384"/>
      <c r="SPO54" s="384"/>
      <c r="SPP54" s="384"/>
      <c r="SPQ54" s="384"/>
      <c r="SPR54" s="384"/>
      <c r="SPS54" s="384"/>
      <c r="SPT54" s="384"/>
      <c r="SPU54" s="384"/>
      <c r="SPV54" s="384"/>
      <c r="SPW54" s="384"/>
      <c r="SPX54" s="384"/>
      <c r="SPY54" s="384"/>
      <c r="SPZ54" s="384"/>
      <c r="SQA54" s="384"/>
      <c r="SQB54" s="384"/>
      <c r="SQC54" s="384"/>
      <c r="SQD54" s="384"/>
      <c r="SQE54" s="384"/>
      <c r="SQF54" s="384"/>
      <c r="SQG54" s="384"/>
      <c r="SQH54" s="384"/>
      <c r="SQI54" s="384"/>
      <c r="SQJ54" s="384"/>
      <c r="SQK54" s="384"/>
      <c r="SQL54" s="384"/>
      <c r="SQM54" s="384"/>
      <c r="SQN54" s="384"/>
      <c r="SQO54" s="384"/>
      <c r="SQP54" s="384"/>
      <c r="SQQ54" s="384"/>
      <c r="SQR54" s="384"/>
      <c r="SQS54" s="384"/>
      <c r="SQT54" s="384"/>
      <c r="SQU54" s="384"/>
      <c r="SQV54" s="384"/>
      <c r="SQW54" s="384"/>
      <c r="SQX54" s="384"/>
      <c r="SQY54" s="384"/>
      <c r="SQZ54" s="384"/>
      <c r="SRA54" s="384"/>
      <c r="SRB54" s="384"/>
      <c r="SRC54" s="384"/>
      <c r="SRD54" s="384"/>
      <c r="SRE54" s="384"/>
      <c r="SRF54" s="384"/>
      <c r="SRG54" s="384"/>
      <c r="SRH54" s="384"/>
      <c r="SRI54" s="384"/>
      <c r="SRJ54" s="384"/>
      <c r="SRK54" s="384"/>
      <c r="SRL54" s="384"/>
      <c r="SRM54" s="384"/>
      <c r="SRN54" s="384"/>
      <c r="SRO54" s="384"/>
      <c r="SRP54" s="384"/>
      <c r="SRQ54" s="384"/>
      <c r="SRR54" s="384"/>
      <c r="SRS54" s="384"/>
      <c r="SRT54" s="384"/>
      <c r="SRU54" s="384"/>
      <c r="SRV54" s="384"/>
      <c r="SRW54" s="384"/>
      <c r="SRX54" s="384"/>
      <c r="SRY54" s="384"/>
      <c r="SRZ54" s="384"/>
      <c r="SSA54" s="384"/>
      <c r="SSB54" s="384"/>
      <c r="SSC54" s="384"/>
      <c r="SSD54" s="384"/>
      <c r="SSE54" s="384"/>
      <c r="SSF54" s="384"/>
      <c r="SSG54" s="384"/>
      <c r="SSH54" s="384"/>
      <c r="SSI54" s="384"/>
      <c r="SSJ54" s="384"/>
      <c r="SSK54" s="384"/>
      <c r="SSL54" s="384"/>
      <c r="SSM54" s="384"/>
      <c r="SSN54" s="384"/>
      <c r="SSO54" s="384"/>
      <c r="SSP54" s="384"/>
      <c r="SSQ54" s="384"/>
      <c r="SSR54" s="384"/>
      <c r="SSS54" s="384"/>
      <c r="SST54" s="384"/>
      <c r="SSU54" s="384"/>
      <c r="SSV54" s="384"/>
      <c r="SSW54" s="384"/>
      <c r="SSX54" s="384"/>
      <c r="SSY54" s="384"/>
      <c r="SSZ54" s="384"/>
      <c r="STA54" s="384"/>
      <c r="STB54" s="384"/>
      <c r="STC54" s="384"/>
      <c r="STD54" s="384"/>
      <c r="STE54" s="384"/>
      <c r="STF54" s="384"/>
      <c r="STG54" s="384"/>
      <c r="STH54" s="384"/>
      <c r="STI54" s="384"/>
      <c r="STJ54" s="384"/>
      <c r="STK54" s="384"/>
      <c r="STL54" s="384"/>
      <c r="STM54" s="384"/>
      <c r="STN54" s="384"/>
      <c r="STO54" s="384"/>
      <c r="STP54" s="384"/>
      <c r="STQ54" s="384"/>
      <c r="STR54" s="384"/>
      <c r="STS54" s="384"/>
      <c r="STT54" s="384"/>
      <c r="STU54" s="384"/>
      <c r="STV54" s="384"/>
      <c r="STW54" s="384"/>
      <c r="STX54" s="384"/>
      <c r="STY54" s="384"/>
      <c r="STZ54" s="384"/>
      <c r="SUA54" s="384"/>
      <c r="SUB54" s="384"/>
      <c r="SUC54" s="384"/>
      <c r="SUD54" s="384"/>
      <c r="SUE54" s="384"/>
      <c r="SUF54" s="384"/>
      <c r="SUG54" s="384"/>
      <c r="SUH54" s="384"/>
      <c r="SUI54" s="384"/>
      <c r="SUJ54" s="384"/>
      <c r="SUK54" s="384"/>
      <c r="SUL54" s="384"/>
      <c r="SUM54" s="384"/>
      <c r="SUN54" s="384"/>
      <c r="SUO54" s="384"/>
      <c r="SUP54" s="384"/>
      <c r="SUQ54" s="384"/>
      <c r="SUR54" s="384"/>
      <c r="SUS54" s="384"/>
      <c r="SUT54" s="384"/>
      <c r="SUU54" s="384"/>
      <c r="SUV54" s="384"/>
      <c r="SUW54" s="384"/>
      <c r="SUX54" s="384"/>
      <c r="SUY54" s="384"/>
      <c r="SUZ54" s="384"/>
      <c r="SVA54" s="384"/>
      <c r="SVB54" s="384"/>
      <c r="SVC54" s="384"/>
      <c r="SVD54" s="384"/>
      <c r="SVE54" s="384"/>
      <c r="SVF54" s="384"/>
      <c r="SVG54" s="384"/>
      <c r="SVH54" s="384"/>
      <c r="SVI54" s="384"/>
      <c r="SVJ54" s="384"/>
      <c r="SVK54" s="384"/>
      <c r="SVL54" s="384"/>
      <c r="SVM54" s="384"/>
      <c r="SVN54" s="384"/>
      <c r="SVO54" s="384"/>
      <c r="SVP54" s="384"/>
      <c r="SVQ54" s="384"/>
      <c r="SVR54" s="384"/>
      <c r="SVS54" s="384"/>
      <c r="SVT54" s="384"/>
      <c r="SVU54" s="384"/>
      <c r="SVV54" s="384"/>
      <c r="SVW54" s="384"/>
      <c r="SVX54" s="384"/>
      <c r="SVY54" s="384"/>
      <c r="SVZ54" s="384"/>
      <c r="SWA54" s="384"/>
      <c r="SWB54" s="384"/>
      <c r="SWC54" s="384"/>
      <c r="SWD54" s="384"/>
      <c r="SWE54" s="384"/>
      <c r="SWF54" s="384"/>
      <c r="SWG54" s="384"/>
      <c r="SWH54" s="384"/>
      <c r="SWI54" s="384"/>
      <c r="SWJ54" s="384"/>
      <c r="SWK54" s="384"/>
      <c r="SWL54" s="384"/>
      <c r="SWM54" s="384"/>
      <c r="SWN54" s="384"/>
      <c r="SWO54" s="384"/>
      <c r="SWP54" s="384"/>
      <c r="SWQ54" s="384"/>
      <c r="SWR54" s="384"/>
      <c r="SWS54" s="384"/>
      <c r="SWT54" s="384"/>
      <c r="SWU54" s="384"/>
      <c r="SWV54" s="384"/>
      <c r="SWW54" s="384"/>
      <c r="SWX54" s="384"/>
      <c r="SWY54" s="384"/>
      <c r="SWZ54" s="384"/>
      <c r="SXA54" s="384"/>
      <c r="SXB54" s="384"/>
      <c r="SXC54" s="384"/>
      <c r="SXD54" s="384"/>
      <c r="SXE54" s="384"/>
      <c r="SXF54" s="384"/>
      <c r="SXG54" s="384"/>
      <c r="SXH54" s="384"/>
      <c r="SXI54" s="384"/>
      <c r="SXJ54" s="384"/>
      <c r="SXK54" s="384"/>
      <c r="SXL54" s="384"/>
      <c r="SXM54" s="384"/>
      <c r="SXN54" s="384"/>
      <c r="SXO54" s="384"/>
      <c r="SXP54" s="384"/>
      <c r="SXQ54" s="384"/>
      <c r="SXR54" s="384"/>
      <c r="SXS54" s="384"/>
      <c r="SXT54" s="384"/>
      <c r="SXU54" s="384"/>
      <c r="SXV54" s="384"/>
      <c r="SXW54" s="384"/>
      <c r="SXX54" s="384"/>
      <c r="SXY54" s="384"/>
      <c r="SXZ54" s="384"/>
      <c r="SYA54" s="384"/>
      <c r="SYB54" s="384"/>
      <c r="SYC54" s="384"/>
      <c r="SYD54" s="384"/>
      <c r="SYE54" s="384"/>
      <c r="SYF54" s="384"/>
      <c r="SYG54" s="384"/>
      <c r="SYH54" s="384"/>
      <c r="SYI54" s="384"/>
      <c r="SYJ54" s="384"/>
      <c r="SYK54" s="384"/>
      <c r="SYL54" s="384"/>
      <c r="SYM54" s="384"/>
      <c r="SYN54" s="384"/>
      <c r="SYO54" s="384"/>
      <c r="SYP54" s="384"/>
      <c r="SYQ54" s="384"/>
      <c r="SYR54" s="384"/>
      <c r="SYS54" s="384"/>
      <c r="SYT54" s="384"/>
      <c r="SYU54" s="384"/>
      <c r="SYV54" s="384"/>
      <c r="SYW54" s="384"/>
      <c r="SYX54" s="384"/>
      <c r="SYY54" s="384"/>
      <c r="SYZ54" s="384"/>
      <c r="SZA54" s="384"/>
      <c r="SZB54" s="384"/>
      <c r="SZC54" s="384"/>
      <c r="SZD54" s="384"/>
      <c r="SZE54" s="384"/>
      <c r="SZF54" s="384"/>
      <c r="SZG54" s="384"/>
      <c r="SZH54" s="384"/>
      <c r="SZI54" s="384"/>
      <c r="SZJ54" s="384"/>
      <c r="SZK54" s="384"/>
      <c r="SZL54" s="384"/>
      <c r="SZM54" s="384"/>
      <c r="SZN54" s="384"/>
      <c r="SZO54" s="384"/>
      <c r="SZP54" s="384"/>
      <c r="SZQ54" s="384"/>
      <c r="SZR54" s="384"/>
      <c r="SZS54" s="384"/>
      <c r="SZT54" s="384"/>
      <c r="SZU54" s="384"/>
      <c r="SZV54" s="384"/>
      <c r="SZW54" s="384"/>
      <c r="SZX54" s="384"/>
      <c r="SZY54" s="384"/>
      <c r="SZZ54" s="384"/>
      <c r="TAA54" s="384"/>
      <c r="TAB54" s="384"/>
      <c r="TAC54" s="384"/>
      <c r="TAD54" s="384"/>
      <c r="TAE54" s="384"/>
      <c r="TAF54" s="384"/>
      <c r="TAG54" s="384"/>
      <c r="TAH54" s="384"/>
      <c r="TAI54" s="384"/>
      <c r="TAJ54" s="384"/>
      <c r="TAK54" s="384"/>
      <c r="TAL54" s="384"/>
      <c r="TAM54" s="384"/>
      <c r="TAN54" s="384"/>
      <c r="TAO54" s="384"/>
      <c r="TAP54" s="384"/>
      <c r="TAQ54" s="384"/>
      <c r="TAR54" s="384"/>
      <c r="TAS54" s="384"/>
      <c r="TAT54" s="384"/>
      <c r="TAU54" s="384"/>
      <c r="TAV54" s="384"/>
      <c r="TAW54" s="384"/>
      <c r="TAX54" s="384"/>
      <c r="TAY54" s="384"/>
      <c r="TAZ54" s="384"/>
      <c r="TBA54" s="384"/>
      <c r="TBB54" s="384"/>
      <c r="TBC54" s="384"/>
      <c r="TBD54" s="384"/>
      <c r="TBE54" s="384"/>
      <c r="TBF54" s="384"/>
      <c r="TBG54" s="384"/>
      <c r="TBH54" s="384"/>
      <c r="TBI54" s="384"/>
      <c r="TBJ54" s="384"/>
      <c r="TBK54" s="384"/>
      <c r="TBL54" s="384"/>
      <c r="TBM54" s="384"/>
      <c r="TBN54" s="384"/>
      <c r="TBO54" s="384"/>
      <c r="TBP54" s="384"/>
      <c r="TBQ54" s="384"/>
      <c r="TBR54" s="384"/>
      <c r="TBS54" s="384"/>
      <c r="TBT54" s="384"/>
      <c r="TBU54" s="384"/>
      <c r="TBV54" s="384"/>
      <c r="TBW54" s="384"/>
      <c r="TBX54" s="384"/>
      <c r="TBY54" s="384"/>
      <c r="TBZ54" s="384"/>
      <c r="TCA54" s="384"/>
      <c r="TCB54" s="384"/>
      <c r="TCC54" s="384"/>
      <c r="TCD54" s="384"/>
      <c r="TCE54" s="384"/>
      <c r="TCF54" s="384"/>
      <c r="TCG54" s="384"/>
      <c r="TCH54" s="384"/>
      <c r="TCI54" s="384"/>
      <c r="TCJ54" s="384"/>
      <c r="TCK54" s="384"/>
      <c r="TCL54" s="384"/>
      <c r="TCM54" s="384"/>
      <c r="TCN54" s="384"/>
      <c r="TCO54" s="384"/>
      <c r="TCP54" s="384"/>
      <c r="TCQ54" s="384"/>
      <c r="TCR54" s="384"/>
      <c r="TCS54" s="384"/>
      <c r="TCT54" s="384"/>
      <c r="TCU54" s="384"/>
      <c r="TCV54" s="384"/>
      <c r="TCW54" s="384"/>
      <c r="TCX54" s="384"/>
      <c r="TCY54" s="384"/>
      <c r="TCZ54" s="384"/>
      <c r="TDA54" s="384"/>
      <c r="TDB54" s="384"/>
      <c r="TDC54" s="384"/>
      <c r="TDD54" s="384"/>
      <c r="TDE54" s="384"/>
      <c r="TDF54" s="384"/>
      <c r="TDG54" s="384"/>
      <c r="TDH54" s="384"/>
      <c r="TDI54" s="384"/>
      <c r="TDJ54" s="384"/>
      <c r="TDK54" s="384"/>
      <c r="TDL54" s="384"/>
      <c r="TDM54" s="384"/>
      <c r="TDN54" s="384"/>
      <c r="TDO54" s="384"/>
      <c r="TDP54" s="384"/>
      <c r="TDQ54" s="384"/>
      <c r="TDR54" s="384"/>
      <c r="TDS54" s="384"/>
      <c r="TDT54" s="384"/>
      <c r="TDU54" s="384"/>
      <c r="TDV54" s="384"/>
      <c r="TDW54" s="384"/>
      <c r="TDX54" s="384"/>
      <c r="TDY54" s="384"/>
      <c r="TDZ54" s="384"/>
      <c r="TEA54" s="384"/>
      <c r="TEB54" s="384"/>
      <c r="TEC54" s="384"/>
      <c r="TED54" s="384"/>
      <c r="TEE54" s="384"/>
      <c r="TEF54" s="384"/>
      <c r="TEG54" s="384"/>
      <c r="TEH54" s="384"/>
      <c r="TEI54" s="384"/>
      <c r="TEJ54" s="384"/>
      <c r="TEK54" s="384"/>
      <c r="TEL54" s="384"/>
      <c r="TEM54" s="384"/>
      <c r="TEN54" s="384"/>
      <c r="TEO54" s="384"/>
      <c r="TEP54" s="384"/>
      <c r="TEQ54" s="384"/>
      <c r="TER54" s="384"/>
      <c r="TES54" s="384"/>
      <c r="TET54" s="384"/>
      <c r="TEU54" s="384"/>
      <c r="TEV54" s="384"/>
      <c r="TEW54" s="384"/>
      <c r="TEX54" s="384"/>
      <c r="TEY54" s="384"/>
      <c r="TEZ54" s="384"/>
      <c r="TFA54" s="384"/>
      <c r="TFB54" s="384"/>
      <c r="TFC54" s="384"/>
      <c r="TFD54" s="384"/>
      <c r="TFE54" s="384"/>
      <c r="TFF54" s="384"/>
      <c r="TFG54" s="384"/>
      <c r="TFH54" s="384"/>
      <c r="TFI54" s="384"/>
      <c r="TFJ54" s="384"/>
      <c r="TFK54" s="384"/>
      <c r="TFL54" s="384"/>
      <c r="TFM54" s="384"/>
      <c r="TFN54" s="384"/>
      <c r="TFO54" s="384"/>
      <c r="TFP54" s="384"/>
      <c r="TFQ54" s="384"/>
      <c r="TFR54" s="384"/>
      <c r="TFS54" s="384"/>
      <c r="TFT54" s="384"/>
      <c r="TFU54" s="384"/>
      <c r="TFV54" s="384"/>
      <c r="TFW54" s="384"/>
      <c r="TFX54" s="384"/>
      <c r="TFY54" s="384"/>
      <c r="TFZ54" s="384"/>
      <c r="TGA54" s="384"/>
      <c r="TGB54" s="384"/>
      <c r="TGC54" s="384"/>
      <c r="TGD54" s="384"/>
      <c r="TGE54" s="384"/>
      <c r="TGF54" s="384"/>
      <c r="TGG54" s="384"/>
      <c r="TGH54" s="384"/>
      <c r="TGI54" s="384"/>
      <c r="TGJ54" s="384"/>
      <c r="TGK54" s="384"/>
      <c r="TGL54" s="384"/>
      <c r="TGM54" s="384"/>
      <c r="TGN54" s="384"/>
      <c r="TGO54" s="384"/>
      <c r="TGP54" s="384"/>
      <c r="TGQ54" s="384"/>
      <c r="TGR54" s="384"/>
      <c r="TGS54" s="384"/>
      <c r="TGT54" s="384"/>
      <c r="TGU54" s="384"/>
      <c r="TGV54" s="384"/>
      <c r="TGW54" s="384"/>
      <c r="TGX54" s="384"/>
      <c r="TGY54" s="384"/>
      <c r="TGZ54" s="384"/>
      <c r="THA54" s="384"/>
      <c r="THB54" s="384"/>
      <c r="THC54" s="384"/>
      <c r="THD54" s="384"/>
      <c r="THE54" s="384"/>
      <c r="THF54" s="384"/>
      <c r="THG54" s="384"/>
      <c r="THH54" s="384"/>
      <c r="THI54" s="384"/>
      <c r="THJ54" s="384"/>
      <c r="THK54" s="384"/>
      <c r="THL54" s="384"/>
      <c r="THM54" s="384"/>
      <c r="THN54" s="384"/>
      <c r="THO54" s="384"/>
      <c r="THP54" s="384"/>
      <c r="THQ54" s="384"/>
      <c r="THR54" s="384"/>
      <c r="THS54" s="384"/>
      <c r="THT54" s="384"/>
      <c r="THU54" s="384"/>
      <c r="THV54" s="384"/>
      <c r="THW54" s="384"/>
      <c r="THX54" s="384"/>
      <c r="THY54" s="384"/>
      <c r="THZ54" s="384"/>
      <c r="TIA54" s="384"/>
      <c r="TIB54" s="384"/>
      <c r="TIC54" s="384"/>
      <c r="TID54" s="384"/>
      <c r="TIE54" s="384"/>
      <c r="TIF54" s="384"/>
      <c r="TIG54" s="384"/>
      <c r="TIH54" s="384"/>
      <c r="TII54" s="384"/>
      <c r="TIJ54" s="384"/>
      <c r="TIK54" s="384"/>
      <c r="TIL54" s="384"/>
      <c r="TIM54" s="384"/>
      <c r="TIN54" s="384"/>
      <c r="TIO54" s="384"/>
      <c r="TIP54" s="384"/>
      <c r="TIQ54" s="384"/>
      <c r="TIR54" s="384"/>
      <c r="TIS54" s="384"/>
      <c r="TIT54" s="384"/>
      <c r="TIU54" s="384"/>
      <c r="TIV54" s="384"/>
      <c r="TIW54" s="384"/>
      <c r="TIX54" s="384"/>
      <c r="TIY54" s="384"/>
      <c r="TIZ54" s="384"/>
      <c r="TJA54" s="384"/>
      <c r="TJB54" s="384"/>
      <c r="TJC54" s="384"/>
      <c r="TJD54" s="384"/>
      <c r="TJE54" s="384"/>
      <c r="TJF54" s="384"/>
      <c r="TJG54" s="384"/>
      <c r="TJH54" s="384"/>
      <c r="TJI54" s="384"/>
      <c r="TJJ54" s="384"/>
      <c r="TJK54" s="384"/>
      <c r="TJL54" s="384"/>
      <c r="TJM54" s="384"/>
      <c r="TJN54" s="384"/>
      <c r="TJO54" s="384"/>
      <c r="TJP54" s="384"/>
      <c r="TJQ54" s="384"/>
      <c r="TJR54" s="384"/>
      <c r="TJS54" s="384"/>
      <c r="TJT54" s="384"/>
      <c r="TJU54" s="384"/>
      <c r="TJV54" s="384"/>
      <c r="TJW54" s="384"/>
      <c r="TJX54" s="384"/>
      <c r="TJY54" s="384"/>
      <c r="TJZ54" s="384"/>
      <c r="TKA54" s="384"/>
      <c r="TKB54" s="384"/>
      <c r="TKC54" s="384"/>
      <c r="TKD54" s="384"/>
      <c r="TKE54" s="384"/>
      <c r="TKF54" s="384"/>
      <c r="TKG54" s="384"/>
      <c r="TKH54" s="384"/>
      <c r="TKI54" s="384"/>
      <c r="TKJ54" s="384"/>
      <c r="TKK54" s="384"/>
      <c r="TKL54" s="384"/>
      <c r="TKM54" s="384"/>
      <c r="TKN54" s="384"/>
      <c r="TKO54" s="384"/>
      <c r="TKP54" s="384"/>
      <c r="TKQ54" s="384"/>
      <c r="TKR54" s="384"/>
      <c r="TKS54" s="384"/>
      <c r="TKT54" s="384"/>
      <c r="TKU54" s="384"/>
      <c r="TKV54" s="384"/>
      <c r="TKW54" s="384"/>
      <c r="TKX54" s="384"/>
      <c r="TKY54" s="384"/>
      <c r="TKZ54" s="384"/>
      <c r="TLA54" s="384"/>
      <c r="TLB54" s="384"/>
      <c r="TLC54" s="384"/>
      <c r="TLD54" s="384"/>
      <c r="TLE54" s="384"/>
      <c r="TLF54" s="384"/>
      <c r="TLG54" s="384"/>
      <c r="TLH54" s="384"/>
      <c r="TLI54" s="384"/>
      <c r="TLJ54" s="384"/>
      <c r="TLK54" s="384"/>
      <c r="TLL54" s="384"/>
      <c r="TLM54" s="384"/>
      <c r="TLN54" s="384"/>
      <c r="TLO54" s="384"/>
      <c r="TLP54" s="384"/>
      <c r="TLQ54" s="384"/>
      <c r="TLR54" s="384"/>
      <c r="TLS54" s="384"/>
      <c r="TLT54" s="384"/>
      <c r="TLU54" s="384"/>
      <c r="TLV54" s="384"/>
      <c r="TLW54" s="384"/>
      <c r="TLX54" s="384"/>
      <c r="TLY54" s="384"/>
      <c r="TLZ54" s="384"/>
      <c r="TMA54" s="384"/>
      <c r="TMB54" s="384"/>
      <c r="TMC54" s="384"/>
      <c r="TMD54" s="384"/>
      <c r="TME54" s="384"/>
      <c r="TMF54" s="384"/>
      <c r="TMG54" s="384"/>
      <c r="TMH54" s="384"/>
      <c r="TMI54" s="384"/>
      <c r="TMJ54" s="384"/>
      <c r="TMK54" s="384"/>
      <c r="TML54" s="384"/>
      <c r="TMM54" s="384"/>
      <c r="TMN54" s="384"/>
      <c r="TMO54" s="384"/>
      <c r="TMP54" s="384"/>
      <c r="TMQ54" s="384"/>
      <c r="TMR54" s="384"/>
      <c r="TMS54" s="384"/>
      <c r="TMT54" s="384"/>
      <c r="TMU54" s="384"/>
      <c r="TMV54" s="384"/>
      <c r="TMW54" s="384"/>
      <c r="TMX54" s="384"/>
      <c r="TMY54" s="384"/>
      <c r="TMZ54" s="384"/>
      <c r="TNA54" s="384"/>
      <c r="TNB54" s="384"/>
      <c r="TNC54" s="384"/>
      <c r="TND54" s="384"/>
      <c r="TNE54" s="384"/>
      <c r="TNF54" s="384"/>
      <c r="TNG54" s="384"/>
      <c r="TNH54" s="384"/>
      <c r="TNI54" s="384"/>
      <c r="TNJ54" s="384"/>
      <c r="TNK54" s="384"/>
      <c r="TNL54" s="384"/>
      <c r="TNM54" s="384"/>
      <c r="TNN54" s="384"/>
      <c r="TNO54" s="384"/>
      <c r="TNP54" s="384"/>
      <c r="TNQ54" s="384"/>
      <c r="TNR54" s="384"/>
      <c r="TNS54" s="384"/>
      <c r="TNT54" s="384"/>
      <c r="TNU54" s="384"/>
      <c r="TNV54" s="384"/>
      <c r="TNW54" s="384"/>
      <c r="TNX54" s="384"/>
      <c r="TNY54" s="384"/>
      <c r="TNZ54" s="384"/>
      <c r="TOA54" s="384"/>
      <c r="TOB54" s="384"/>
      <c r="TOC54" s="384"/>
      <c r="TOD54" s="384"/>
      <c r="TOE54" s="384"/>
      <c r="TOF54" s="384"/>
      <c r="TOG54" s="384"/>
      <c r="TOH54" s="384"/>
      <c r="TOI54" s="384"/>
      <c r="TOJ54" s="384"/>
      <c r="TOK54" s="384"/>
      <c r="TOL54" s="384"/>
      <c r="TOM54" s="384"/>
      <c r="TON54" s="384"/>
      <c r="TOO54" s="384"/>
      <c r="TOP54" s="384"/>
      <c r="TOQ54" s="384"/>
      <c r="TOR54" s="384"/>
      <c r="TOS54" s="384"/>
      <c r="TOT54" s="384"/>
      <c r="TOU54" s="384"/>
      <c r="TOV54" s="384"/>
      <c r="TOW54" s="384"/>
      <c r="TOX54" s="384"/>
      <c r="TOY54" s="384"/>
      <c r="TOZ54" s="384"/>
      <c r="TPA54" s="384"/>
      <c r="TPB54" s="384"/>
      <c r="TPC54" s="384"/>
      <c r="TPD54" s="384"/>
      <c r="TPE54" s="384"/>
      <c r="TPF54" s="384"/>
      <c r="TPG54" s="384"/>
      <c r="TPH54" s="384"/>
      <c r="TPI54" s="384"/>
      <c r="TPJ54" s="384"/>
      <c r="TPK54" s="384"/>
      <c r="TPL54" s="384"/>
      <c r="TPM54" s="384"/>
      <c r="TPN54" s="384"/>
      <c r="TPO54" s="384"/>
      <c r="TPP54" s="384"/>
      <c r="TPQ54" s="384"/>
      <c r="TPR54" s="384"/>
      <c r="TPS54" s="384"/>
      <c r="TPT54" s="384"/>
      <c r="TPU54" s="384"/>
      <c r="TPV54" s="384"/>
      <c r="TPW54" s="384"/>
      <c r="TPX54" s="384"/>
      <c r="TPY54" s="384"/>
      <c r="TPZ54" s="384"/>
      <c r="TQA54" s="384"/>
      <c r="TQB54" s="384"/>
      <c r="TQC54" s="384"/>
      <c r="TQD54" s="384"/>
      <c r="TQE54" s="384"/>
      <c r="TQF54" s="384"/>
      <c r="TQG54" s="384"/>
      <c r="TQH54" s="384"/>
      <c r="TQI54" s="384"/>
      <c r="TQJ54" s="384"/>
      <c r="TQK54" s="384"/>
      <c r="TQL54" s="384"/>
      <c r="TQM54" s="384"/>
      <c r="TQN54" s="384"/>
      <c r="TQO54" s="384"/>
      <c r="TQP54" s="384"/>
      <c r="TQQ54" s="384"/>
      <c r="TQR54" s="384"/>
      <c r="TQS54" s="384"/>
      <c r="TQT54" s="384"/>
      <c r="TQU54" s="384"/>
      <c r="TQV54" s="384"/>
      <c r="TQW54" s="384"/>
      <c r="TQX54" s="384"/>
      <c r="TQY54" s="384"/>
      <c r="TQZ54" s="384"/>
      <c r="TRA54" s="384"/>
      <c r="TRB54" s="384"/>
      <c r="TRC54" s="384"/>
      <c r="TRD54" s="384"/>
      <c r="TRE54" s="384"/>
      <c r="TRF54" s="384"/>
      <c r="TRG54" s="384"/>
      <c r="TRH54" s="384"/>
      <c r="TRI54" s="384"/>
      <c r="TRJ54" s="384"/>
      <c r="TRK54" s="384"/>
      <c r="TRL54" s="384"/>
      <c r="TRM54" s="384"/>
      <c r="TRN54" s="384"/>
      <c r="TRO54" s="384"/>
      <c r="TRP54" s="384"/>
      <c r="TRQ54" s="384"/>
      <c r="TRR54" s="384"/>
      <c r="TRS54" s="384"/>
      <c r="TRT54" s="384"/>
      <c r="TRU54" s="384"/>
      <c r="TRV54" s="384"/>
      <c r="TRW54" s="384"/>
      <c r="TRX54" s="384"/>
      <c r="TRY54" s="384"/>
      <c r="TRZ54" s="384"/>
      <c r="TSA54" s="384"/>
      <c r="TSB54" s="384"/>
      <c r="TSC54" s="384"/>
      <c r="TSD54" s="384"/>
      <c r="TSE54" s="384"/>
      <c r="TSF54" s="384"/>
      <c r="TSG54" s="384"/>
      <c r="TSH54" s="384"/>
      <c r="TSI54" s="384"/>
      <c r="TSJ54" s="384"/>
      <c r="TSK54" s="384"/>
      <c r="TSL54" s="384"/>
      <c r="TSM54" s="384"/>
      <c r="TSN54" s="384"/>
      <c r="TSO54" s="384"/>
      <c r="TSP54" s="384"/>
      <c r="TSQ54" s="384"/>
      <c r="TSR54" s="384"/>
      <c r="TSS54" s="384"/>
      <c r="TST54" s="384"/>
      <c r="TSU54" s="384"/>
      <c r="TSV54" s="384"/>
      <c r="TSW54" s="384"/>
      <c r="TSX54" s="384"/>
      <c r="TSY54" s="384"/>
      <c r="TSZ54" s="384"/>
      <c r="TTA54" s="384"/>
      <c r="TTB54" s="384"/>
      <c r="TTC54" s="384"/>
      <c r="TTD54" s="384"/>
      <c r="TTE54" s="384"/>
      <c r="TTF54" s="384"/>
      <c r="TTG54" s="384"/>
      <c r="TTH54" s="384"/>
      <c r="TTI54" s="384"/>
      <c r="TTJ54" s="384"/>
      <c r="TTK54" s="384"/>
      <c r="TTL54" s="384"/>
      <c r="TTM54" s="384"/>
      <c r="TTN54" s="384"/>
      <c r="TTO54" s="384"/>
      <c r="TTP54" s="384"/>
      <c r="TTQ54" s="384"/>
      <c r="TTR54" s="384"/>
      <c r="TTS54" s="384"/>
      <c r="TTT54" s="384"/>
      <c r="TTU54" s="384"/>
      <c r="TTV54" s="384"/>
      <c r="TTW54" s="384"/>
      <c r="TTX54" s="384"/>
      <c r="TTY54" s="384"/>
      <c r="TTZ54" s="384"/>
      <c r="TUA54" s="384"/>
      <c r="TUB54" s="384"/>
      <c r="TUC54" s="384"/>
      <c r="TUD54" s="384"/>
      <c r="TUE54" s="384"/>
      <c r="TUF54" s="384"/>
      <c r="TUG54" s="384"/>
      <c r="TUH54" s="384"/>
      <c r="TUI54" s="384"/>
      <c r="TUJ54" s="384"/>
      <c r="TUK54" s="384"/>
      <c r="TUL54" s="384"/>
      <c r="TUM54" s="384"/>
      <c r="TUN54" s="384"/>
      <c r="TUO54" s="384"/>
      <c r="TUP54" s="384"/>
      <c r="TUQ54" s="384"/>
      <c r="TUR54" s="384"/>
      <c r="TUS54" s="384"/>
      <c r="TUT54" s="384"/>
      <c r="TUU54" s="384"/>
      <c r="TUV54" s="384"/>
      <c r="TUW54" s="384"/>
      <c r="TUX54" s="384"/>
      <c r="TUY54" s="384"/>
      <c r="TUZ54" s="384"/>
      <c r="TVA54" s="384"/>
      <c r="TVB54" s="384"/>
      <c r="TVC54" s="384"/>
      <c r="TVD54" s="384"/>
      <c r="TVE54" s="384"/>
      <c r="TVF54" s="384"/>
      <c r="TVG54" s="384"/>
      <c r="TVH54" s="384"/>
      <c r="TVI54" s="384"/>
      <c r="TVJ54" s="384"/>
      <c r="TVK54" s="384"/>
      <c r="TVL54" s="384"/>
      <c r="TVM54" s="384"/>
      <c r="TVN54" s="384"/>
      <c r="TVO54" s="384"/>
      <c r="TVP54" s="384"/>
      <c r="TVQ54" s="384"/>
      <c r="TVR54" s="384"/>
      <c r="TVS54" s="384"/>
      <c r="TVT54" s="384"/>
      <c r="TVU54" s="384"/>
      <c r="TVV54" s="384"/>
      <c r="TVW54" s="384"/>
      <c r="TVX54" s="384"/>
      <c r="TVY54" s="384"/>
      <c r="TVZ54" s="384"/>
      <c r="TWA54" s="384"/>
      <c r="TWB54" s="384"/>
      <c r="TWC54" s="384"/>
      <c r="TWD54" s="384"/>
      <c r="TWE54" s="384"/>
      <c r="TWF54" s="384"/>
      <c r="TWG54" s="384"/>
      <c r="TWH54" s="384"/>
      <c r="TWI54" s="384"/>
      <c r="TWJ54" s="384"/>
      <c r="TWK54" s="384"/>
      <c r="TWL54" s="384"/>
      <c r="TWM54" s="384"/>
      <c r="TWN54" s="384"/>
      <c r="TWO54" s="384"/>
      <c r="TWP54" s="384"/>
      <c r="TWQ54" s="384"/>
      <c r="TWR54" s="384"/>
      <c r="TWS54" s="384"/>
      <c r="TWT54" s="384"/>
      <c r="TWU54" s="384"/>
      <c r="TWV54" s="384"/>
      <c r="TWW54" s="384"/>
      <c r="TWX54" s="384"/>
      <c r="TWY54" s="384"/>
      <c r="TWZ54" s="384"/>
      <c r="TXA54" s="384"/>
      <c r="TXB54" s="384"/>
      <c r="TXC54" s="384"/>
      <c r="TXD54" s="384"/>
      <c r="TXE54" s="384"/>
      <c r="TXF54" s="384"/>
      <c r="TXG54" s="384"/>
      <c r="TXH54" s="384"/>
      <c r="TXI54" s="384"/>
      <c r="TXJ54" s="384"/>
      <c r="TXK54" s="384"/>
      <c r="TXL54" s="384"/>
      <c r="TXM54" s="384"/>
      <c r="TXN54" s="384"/>
      <c r="TXO54" s="384"/>
      <c r="TXP54" s="384"/>
      <c r="TXQ54" s="384"/>
      <c r="TXR54" s="384"/>
      <c r="TXS54" s="384"/>
      <c r="TXT54" s="384"/>
      <c r="TXU54" s="384"/>
      <c r="TXV54" s="384"/>
      <c r="TXW54" s="384"/>
      <c r="TXX54" s="384"/>
      <c r="TXY54" s="384"/>
      <c r="TXZ54" s="384"/>
      <c r="TYA54" s="384"/>
      <c r="TYB54" s="384"/>
      <c r="TYC54" s="384"/>
      <c r="TYD54" s="384"/>
      <c r="TYE54" s="384"/>
      <c r="TYF54" s="384"/>
      <c r="TYG54" s="384"/>
      <c r="TYH54" s="384"/>
      <c r="TYI54" s="384"/>
      <c r="TYJ54" s="384"/>
      <c r="TYK54" s="384"/>
      <c r="TYL54" s="384"/>
      <c r="TYM54" s="384"/>
      <c r="TYN54" s="384"/>
      <c r="TYO54" s="384"/>
      <c r="TYP54" s="384"/>
      <c r="TYQ54" s="384"/>
      <c r="TYR54" s="384"/>
      <c r="TYS54" s="384"/>
      <c r="TYT54" s="384"/>
      <c r="TYU54" s="384"/>
      <c r="TYV54" s="384"/>
      <c r="TYW54" s="384"/>
      <c r="TYX54" s="384"/>
      <c r="TYY54" s="384"/>
      <c r="TYZ54" s="384"/>
      <c r="TZA54" s="384"/>
      <c r="TZB54" s="384"/>
      <c r="TZC54" s="384"/>
      <c r="TZD54" s="384"/>
      <c r="TZE54" s="384"/>
      <c r="TZF54" s="384"/>
      <c r="TZG54" s="384"/>
      <c r="TZH54" s="384"/>
      <c r="TZI54" s="384"/>
      <c r="TZJ54" s="384"/>
      <c r="TZK54" s="384"/>
      <c r="TZL54" s="384"/>
      <c r="TZM54" s="384"/>
      <c r="TZN54" s="384"/>
      <c r="TZO54" s="384"/>
      <c r="TZP54" s="384"/>
      <c r="TZQ54" s="384"/>
      <c r="TZR54" s="384"/>
      <c r="TZS54" s="384"/>
      <c r="TZT54" s="384"/>
      <c r="TZU54" s="384"/>
      <c r="TZV54" s="384"/>
      <c r="TZW54" s="384"/>
      <c r="TZX54" s="384"/>
      <c r="TZY54" s="384"/>
      <c r="TZZ54" s="384"/>
      <c r="UAA54" s="384"/>
      <c r="UAB54" s="384"/>
      <c r="UAC54" s="384"/>
      <c r="UAD54" s="384"/>
      <c r="UAE54" s="384"/>
      <c r="UAF54" s="384"/>
      <c r="UAG54" s="384"/>
      <c r="UAH54" s="384"/>
      <c r="UAI54" s="384"/>
      <c r="UAJ54" s="384"/>
      <c r="UAK54" s="384"/>
      <c r="UAL54" s="384"/>
      <c r="UAM54" s="384"/>
      <c r="UAN54" s="384"/>
      <c r="UAO54" s="384"/>
      <c r="UAP54" s="384"/>
      <c r="UAQ54" s="384"/>
      <c r="UAR54" s="384"/>
      <c r="UAS54" s="384"/>
      <c r="UAT54" s="384"/>
      <c r="UAU54" s="384"/>
      <c r="UAV54" s="384"/>
      <c r="UAW54" s="384"/>
      <c r="UAX54" s="384"/>
      <c r="UAY54" s="384"/>
      <c r="UAZ54" s="384"/>
      <c r="UBA54" s="384"/>
      <c r="UBB54" s="384"/>
      <c r="UBC54" s="384"/>
      <c r="UBD54" s="384"/>
      <c r="UBE54" s="384"/>
      <c r="UBF54" s="384"/>
      <c r="UBG54" s="384"/>
      <c r="UBH54" s="384"/>
      <c r="UBI54" s="384"/>
      <c r="UBJ54" s="384"/>
      <c r="UBK54" s="384"/>
      <c r="UBL54" s="384"/>
      <c r="UBM54" s="384"/>
      <c r="UBN54" s="384"/>
      <c r="UBO54" s="384"/>
      <c r="UBP54" s="384"/>
      <c r="UBQ54" s="384"/>
      <c r="UBR54" s="384"/>
      <c r="UBS54" s="384"/>
      <c r="UBT54" s="384"/>
      <c r="UBU54" s="384"/>
      <c r="UBV54" s="384"/>
      <c r="UBW54" s="384"/>
      <c r="UBX54" s="384"/>
      <c r="UBY54" s="384"/>
      <c r="UBZ54" s="384"/>
      <c r="UCA54" s="384"/>
      <c r="UCB54" s="384"/>
      <c r="UCC54" s="384"/>
      <c r="UCD54" s="384"/>
      <c r="UCE54" s="384"/>
      <c r="UCF54" s="384"/>
      <c r="UCG54" s="384"/>
      <c r="UCH54" s="384"/>
      <c r="UCI54" s="384"/>
      <c r="UCJ54" s="384"/>
      <c r="UCK54" s="384"/>
      <c r="UCL54" s="384"/>
      <c r="UCM54" s="384"/>
      <c r="UCN54" s="384"/>
      <c r="UCO54" s="384"/>
      <c r="UCP54" s="384"/>
      <c r="UCQ54" s="384"/>
      <c r="UCR54" s="384"/>
      <c r="UCS54" s="384"/>
      <c r="UCT54" s="384"/>
      <c r="UCU54" s="384"/>
      <c r="UCV54" s="384"/>
      <c r="UCW54" s="384"/>
      <c r="UCX54" s="384"/>
      <c r="UCY54" s="384"/>
      <c r="UCZ54" s="384"/>
      <c r="UDA54" s="384"/>
      <c r="UDB54" s="384"/>
      <c r="UDC54" s="384"/>
      <c r="UDD54" s="384"/>
      <c r="UDE54" s="384"/>
      <c r="UDF54" s="384"/>
      <c r="UDG54" s="384"/>
      <c r="UDH54" s="384"/>
      <c r="UDI54" s="384"/>
      <c r="UDJ54" s="384"/>
      <c r="UDK54" s="384"/>
      <c r="UDL54" s="384"/>
      <c r="UDM54" s="384"/>
      <c r="UDN54" s="384"/>
      <c r="UDO54" s="384"/>
      <c r="UDP54" s="384"/>
      <c r="UDQ54" s="384"/>
      <c r="UDR54" s="384"/>
      <c r="UDS54" s="384"/>
      <c r="UDT54" s="384"/>
      <c r="UDU54" s="384"/>
      <c r="UDV54" s="384"/>
      <c r="UDW54" s="384"/>
      <c r="UDX54" s="384"/>
      <c r="UDY54" s="384"/>
      <c r="UDZ54" s="384"/>
      <c r="UEA54" s="384"/>
      <c r="UEB54" s="384"/>
      <c r="UEC54" s="384"/>
      <c r="UED54" s="384"/>
      <c r="UEE54" s="384"/>
      <c r="UEF54" s="384"/>
      <c r="UEG54" s="384"/>
      <c r="UEH54" s="384"/>
      <c r="UEI54" s="384"/>
      <c r="UEJ54" s="384"/>
      <c r="UEK54" s="384"/>
      <c r="UEL54" s="384"/>
      <c r="UEM54" s="384"/>
      <c r="UEN54" s="384"/>
      <c r="UEO54" s="384"/>
      <c r="UEP54" s="384"/>
      <c r="UEQ54" s="384"/>
      <c r="UER54" s="384"/>
      <c r="UES54" s="384"/>
      <c r="UET54" s="384"/>
      <c r="UEU54" s="384"/>
      <c r="UEV54" s="384"/>
      <c r="UEW54" s="384"/>
      <c r="UEX54" s="384"/>
      <c r="UEY54" s="384"/>
      <c r="UEZ54" s="384"/>
      <c r="UFA54" s="384"/>
      <c r="UFB54" s="384"/>
      <c r="UFC54" s="384"/>
      <c r="UFD54" s="384"/>
      <c r="UFE54" s="384"/>
      <c r="UFF54" s="384"/>
      <c r="UFG54" s="384"/>
      <c r="UFH54" s="384"/>
      <c r="UFI54" s="384"/>
      <c r="UFJ54" s="384"/>
      <c r="UFK54" s="384"/>
      <c r="UFL54" s="384"/>
      <c r="UFM54" s="384"/>
      <c r="UFN54" s="384"/>
      <c r="UFO54" s="384"/>
      <c r="UFP54" s="384"/>
      <c r="UFQ54" s="384"/>
      <c r="UFR54" s="384"/>
      <c r="UFS54" s="384"/>
      <c r="UFT54" s="384"/>
      <c r="UFU54" s="384"/>
      <c r="UFV54" s="384"/>
      <c r="UFW54" s="384"/>
      <c r="UFX54" s="384"/>
      <c r="UFY54" s="384"/>
      <c r="UFZ54" s="384"/>
      <c r="UGA54" s="384"/>
      <c r="UGB54" s="384"/>
      <c r="UGC54" s="384"/>
      <c r="UGD54" s="384"/>
      <c r="UGE54" s="384"/>
      <c r="UGF54" s="384"/>
      <c r="UGG54" s="384"/>
      <c r="UGH54" s="384"/>
      <c r="UGI54" s="384"/>
      <c r="UGJ54" s="384"/>
      <c r="UGK54" s="384"/>
      <c r="UGL54" s="384"/>
      <c r="UGM54" s="384"/>
      <c r="UGN54" s="384"/>
      <c r="UGO54" s="384"/>
      <c r="UGP54" s="384"/>
      <c r="UGQ54" s="384"/>
      <c r="UGR54" s="384"/>
      <c r="UGS54" s="384"/>
      <c r="UGT54" s="384"/>
      <c r="UGU54" s="384"/>
      <c r="UGV54" s="384"/>
      <c r="UGW54" s="384"/>
      <c r="UGX54" s="384"/>
      <c r="UGY54" s="384"/>
      <c r="UGZ54" s="384"/>
      <c r="UHA54" s="384"/>
      <c r="UHB54" s="384"/>
      <c r="UHC54" s="384"/>
      <c r="UHD54" s="384"/>
      <c r="UHE54" s="384"/>
      <c r="UHF54" s="384"/>
      <c r="UHG54" s="384"/>
      <c r="UHH54" s="384"/>
      <c r="UHI54" s="384"/>
      <c r="UHJ54" s="384"/>
      <c r="UHK54" s="384"/>
      <c r="UHL54" s="384"/>
      <c r="UHM54" s="384"/>
      <c r="UHN54" s="384"/>
      <c r="UHO54" s="384"/>
      <c r="UHP54" s="384"/>
      <c r="UHQ54" s="384"/>
      <c r="UHR54" s="384"/>
      <c r="UHS54" s="384"/>
      <c r="UHT54" s="384"/>
      <c r="UHU54" s="384"/>
      <c r="UHV54" s="384"/>
      <c r="UHW54" s="384"/>
      <c r="UHX54" s="384"/>
      <c r="UHY54" s="384"/>
      <c r="UHZ54" s="384"/>
      <c r="UIA54" s="384"/>
      <c r="UIB54" s="384"/>
      <c r="UIC54" s="384"/>
      <c r="UID54" s="384"/>
      <c r="UIE54" s="384"/>
      <c r="UIF54" s="384"/>
      <c r="UIG54" s="384"/>
      <c r="UIH54" s="384"/>
      <c r="UII54" s="384"/>
      <c r="UIJ54" s="384"/>
      <c r="UIK54" s="384"/>
      <c r="UIL54" s="384"/>
      <c r="UIM54" s="384"/>
      <c r="UIN54" s="384"/>
      <c r="UIO54" s="384"/>
      <c r="UIP54" s="384"/>
      <c r="UIQ54" s="384"/>
      <c r="UIR54" s="384"/>
      <c r="UIS54" s="384"/>
      <c r="UIT54" s="384"/>
      <c r="UIU54" s="384"/>
      <c r="UIV54" s="384"/>
      <c r="UIW54" s="384"/>
      <c r="UIX54" s="384"/>
      <c r="UIY54" s="384"/>
      <c r="UIZ54" s="384"/>
      <c r="UJA54" s="384"/>
      <c r="UJB54" s="384"/>
      <c r="UJC54" s="384"/>
      <c r="UJD54" s="384"/>
      <c r="UJE54" s="384"/>
      <c r="UJF54" s="384"/>
      <c r="UJG54" s="384"/>
      <c r="UJH54" s="384"/>
      <c r="UJI54" s="384"/>
      <c r="UJJ54" s="384"/>
      <c r="UJK54" s="384"/>
      <c r="UJL54" s="384"/>
      <c r="UJM54" s="384"/>
      <c r="UJN54" s="384"/>
      <c r="UJO54" s="384"/>
      <c r="UJP54" s="384"/>
      <c r="UJQ54" s="384"/>
      <c r="UJR54" s="384"/>
      <c r="UJS54" s="384"/>
      <c r="UJT54" s="384"/>
      <c r="UJU54" s="384"/>
      <c r="UJV54" s="384"/>
      <c r="UJW54" s="384"/>
      <c r="UJX54" s="384"/>
      <c r="UJY54" s="384"/>
      <c r="UJZ54" s="384"/>
      <c r="UKA54" s="384"/>
      <c r="UKB54" s="384"/>
      <c r="UKC54" s="384"/>
      <c r="UKD54" s="384"/>
      <c r="UKE54" s="384"/>
      <c r="UKF54" s="384"/>
      <c r="UKG54" s="384"/>
      <c r="UKH54" s="384"/>
      <c r="UKI54" s="384"/>
      <c r="UKJ54" s="384"/>
      <c r="UKK54" s="384"/>
      <c r="UKL54" s="384"/>
      <c r="UKM54" s="384"/>
      <c r="UKN54" s="384"/>
      <c r="UKO54" s="384"/>
      <c r="UKP54" s="384"/>
      <c r="UKQ54" s="384"/>
      <c r="UKR54" s="384"/>
      <c r="UKS54" s="384"/>
      <c r="UKT54" s="384"/>
      <c r="UKU54" s="384"/>
      <c r="UKV54" s="384"/>
      <c r="UKW54" s="384"/>
      <c r="UKX54" s="384"/>
      <c r="UKY54" s="384"/>
      <c r="UKZ54" s="384"/>
      <c r="ULA54" s="384"/>
      <c r="ULB54" s="384"/>
      <c r="ULC54" s="384"/>
      <c r="ULD54" s="384"/>
      <c r="ULE54" s="384"/>
      <c r="ULF54" s="384"/>
      <c r="ULG54" s="384"/>
      <c r="ULH54" s="384"/>
      <c r="ULI54" s="384"/>
      <c r="ULJ54" s="384"/>
      <c r="ULK54" s="384"/>
      <c r="ULL54" s="384"/>
      <c r="ULM54" s="384"/>
      <c r="ULN54" s="384"/>
      <c r="ULO54" s="384"/>
      <c r="ULP54" s="384"/>
      <c r="ULQ54" s="384"/>
      <c r="ULR54" s="384"/>
      <c r="ULS54" s="384"/>
      <c r="ULT54" s="384"/>
      <c r="ULU54" s="384"/>
      <c r="ULV54" s="384"/>
      <c r="ULW54" s="384"/>
      <c r="ULX54" s="384"/>
      <c r="ULY54" s="384"/>
      <c r="ULZ54" s="384"/>
      <c r="UMA54" s="384"/>
      <c r="UMB54" s="384"/>
      <c r="UMC54" s="384"/>
      <c r="UMD54" s="384"/>
      <c r="UME54" s="384"/>
      <c r="UMF54" s="384"/>
      <c r="UMG54" s="384"/>
      <c r="UMH54" s="384"/>
      <c r="UMI54" s="384"/>
      <c r="UMJ54" s="384"/>
      <c r="UMK54" s="384"/>
      <c r="UML54" s="384"/>
      <c r="UMM54" s="384"/>
      <c r="UMN54" s="384"/>
      <c r="UMO54" s="384"/>
      <c r="UMP54" s="384"/>
      <c r="UMQ54" s="384"/>
      <c r="UMR54" s="384"/>
      <c r="UMS54" s="384"/>
      <c r="UMT54" s="384"/>
      <c r="UMU54" s="384"/>
      <c r="UMV54" s="384"/>
      <c r="UMW54" s="384"/>
      <c r="UMX54" s="384"/>
      <c r="UMY54" s="384"/>
      <c r="UMZ54" s="384"/>
      <c r="UNA54" s="384"/>
      <c r="UNB54" s="384"/>
      <c r="UNC54" s="384"/>
      <c r="UND54" s="384"/>
      <c r="UNE54" s="384"/>
      <c r="UNF54" s="384"/>
      <c r="UNG54" s="384"/>
      <c r="UNH54" s="384"/>
      <c r="UNI54" s="384"/>
      <c r="UNJ54" s="384"/>
      <c r="UNK54" s="384"/>
      <c r="UNL54" s="384"/>
      <c r="UNM54" s="384"/>
      <c r="UNN54" s="384"/>
      <c r="UNO54" s="384"/>
      <c r="UNP54" s="384"/>
      <c r="UNQ54" s="384"/>
      <c r="UNR54" s="384"/>
      <c r="UNS54" s="384"/>
      <c r="UNT54" s="384"/>
      <c r="UNU54" s="384"/>
      <c r="UNV54" s="384"/>
      <c r="UNW54" s="384"/>
      <c r="UNX54" s="384"/>
      <c r="UNY54" s="384"/>
      <c r="UNZ54" s="384"/>
      <c r="UOA54" s="384"/>
      <c r="UOB54" s="384"/>
      <c r="UOC54" s="384"/>
      <c r="UOD54" s="384"/>
      <c r="UOE54" s="384"/>
      <c r="UOF54" s="384"/>
      <c r="UOG54" s="384"/>
      <c r="UOH54" s="384"/>
      <c r="UOI54" s="384"/>
      <c r="UOJ54" s="384"/>
      <c r="UOK54" s="384"/>
      <c r="UOL54" s="384"/>
      <c r="UOM54" s="384"/>
      <c r="UON54" s="384"/>
      <c r="UOO54" s="384"/>
      <c r="UOP54" s="384"/>
      <c r="UOQ54" s="384"/>
      <c r="UOR54" s="384"/>
      <c r="UOS54" s="384"/>
      <c r="UOT54" s="384"/>
      <c r="UOU54" s="384"/>
      <c r="UOV54" s="384"/>
      <c r="UOW54" s="384"/>
      <c r="UOX54" s="384"/>
      <c r="UOY54" s="384"/>
      <c r="UOZ54" s="384"/>
      <c r="UPA54" s="384"/>
      <c r="UPB54" s="384"/>
      <c r="UPC54" s="384"/>
      <c r="UPD54" s="384"/>
      <c r="UPE54" s="384"/>
      <c r="UPF54" s="384"/>
      <c r="UPG54" s="384"/>
      <c r="UPH54" s="384"/>
      <c r="UPI54" s="384"/>
      <c r="UPJ54" s="384"/>
      <c r="UPK54" s="384"/>
      <c r="UPL54" s="384"/>
      <c r="UPM54" s="384"/>
      <c r="UPN54" s="384"/>
      <c r="UPO54" s="384"/>
      <c r="UPP54" s="384"/>
      <c r="UPQ54" s="384"/>
      <c r="UPR54" s="384"/>
      <c r="UPS54" s="384"/>
      <c r="UPT54" s="384"/>
      <c r="UPU54" s="384"/>
      <c r="UPV54" s="384"/>
      <c r="UPW54" s="384"/>
      <c r="UPX54" s="384"/>
      <c r="UPY54" s="384"/>
      <c r="UPZ54" s="384"/>
      <c r="UQA54" s="384"/>
      <c r="UQB54" s="384"/>
      <c r="UQC54" s="384"/>
      <c r="UQD54" s="384"/>
      <c r="UQE54" s="384"/>
      <c r="UQF54" s="384"/>
      <c r="UQG54" s="384"/>
      <c r="UQH54" s="384"/>
      <c r="UQI54" s="384"/>
      <c r="UQJ54" s="384"/>
      <c r="UQK54" s="384"/>
      <c r="UQL54" s="384"/>
      <c r="UQM54" s="384"/>
      <c r="UQN54" s="384"/>
      <c r="UQO54" s="384"/>
      <c r="UQP54" s="384"/>
      <c r="UQQ54" s="384"/>
      <c r="UQR54" s="384"/>
      <c r="UQS54" s="384"/>
      <c r="UQT54" s="384"/>
      <c r="UQU54" s="384"/>
      <c r="UQV54" s="384"/>
      <c r="UQW54" s="384"/>
      <c r="UQX54" s="384"/>
      <c r="UQY54" s="384"/>
      <c r="UQZ54" s="384"/>
      <c r="URA54" s="384"/>
      <c r="URB54" s="384"/>
      <c r="URC54" s="384"/>
      <c r="URD54" s="384"/>
      <c r="URE54" s="384"/>
      <c r="URF54" s="384"/>
      <c r="URG54" s="384"/>
      <c r="URH54" s="384"/>
      <c r="URI54" s="384"/>
      <c r="URJ54" s="384"/>
      <c r="URK54" s="384"/>
      <c r="URL54" s="384"/>
      <c r="URM54" s="384"/>
      <c r="URN54" s="384"/>
      <c r="URO54" s="384"/>
      <c r="URP54" s="384"/>
      <c r="URQ54" s="384"/>
      <c r="URR54" s="384"/>
      <c r="URS54" s="384"/>
      <c r="URT54" s="384"/>
      <c r="URU54" s="384"/>
      <c r="URV54" s="384"/>
      <c r="URW54" s="384"/>
      <c r="URX54" s="384"/>
      <c r="URY54" s="384"/>
      <c r="URZ54" s="384"/>
      <c r="USA54" s="384"/>
      <c r="USB54" s="384"/>
      <c r="USC54" s="384"/>
      <c r="USD54" s="384"/>
      <c r="USE54" s="384"/>
      <c r="USF54" s="384"/>
      <c r="USG54" s="384"/>
      <c r="USH54" s="384"/>
      <c r="USI54" s="384"/>
      <c r="USJ54" s="384"/>
      <c r="USK54" s="384"/>
      <c r="USL54" s="384"/>
      <c r="USM54" s="384"/>
      <c r="USN54" s="384"/>
      <c r="USO54" s="384"/>
      <c r="USP54" s="384"/>
      <c r="USQ54" s="384"/>
      <c r="USR54" s="384"/>
      <c r="USS54" s="384"/>
      <c r="UST54" s="384"/>
      <c r="USU54" s="384"/>
      <c r="USV54" s="384"/>
      <c r="USW54" s="384"/>
      <c r="USX54" s="384"/>
      <c r="USY54" s="384"/>
      <c r="USZ54" s="384"/>
      <c r="UTA54" s="384"/>
      <c r="UTB54" s="384"/>
      <c r="UTC54" s="384"/>
      <c r="UTD54" s="384"/>
      <c r="UTE54" s="384"/>
      <c r="UTF54" s="384"/>
      <c r="UTG54" s="384"/>
      <c r="UTH54" s="384"/>
      <c r="UTI54" s="384"/>
      <c r="UTJ54" s="384"/>
      <c r="UTK54" s="384"/>
      <c r="UTL54" s="384"/>
      <c r="UTM54" s="384"/>
      <c r="UTN54" s="384"/>
      <c r="UTO54" s="384"/>
      <c r="UTP54" s="384"/>
      <c r="UTQ54" s="384"/>
      <c r="UTR54" s="384"/>
      <c r="UTS54" s="384"/>
      <c r="UTT54" s="384"/>
      <c r="UTU54" s="384"/>
      <c r="UTV54" s="384"/>
      <c r="UTW54" s="384"/>
      <c r="UTX54" s="384"/>
      <c r="UTY54" s="384"/>
      <c r="UTZ54" s="384"/>
      <c r="UUA54" s="384"/>
      <c r="UUB54" s="384"/>
      <c r="UUC54" s="384"/>
      <c r="UUD54" s="384"/>
      <c r="UUE54" s="384"/>
      <c r="UUF54" s="384"/>
      <c r="UUG54" s="384"/>
      <c r="UUH54" s="384"/>
      <c r="UUI54" s="384"/>
      <c r="UUJ54" s="384"/>
      <c r="UUK54" s="384"/>
      <c r="UUL54" s="384"/>
      <c r="UUM54" s="384"/>
      <c r="UUN54" s="384"/>
      <c r="UUO54" s="384"/>
      <c r="UUP54" s="384"/>
      <c r="UUQ54" s="384"/>
      <c r="UUR54" s="384"/>
      <c r="UUS54" s="384"/>
      <c r="UUT54" s="384"/>
      <c r="UUU54" s="384"/>
      <c r="UUV54" s="384"/>
      <c r="UUW54" s="384"/>
      <c r="UUX54" s="384"/>
      <c r="UUY54" s="384"/>
      <c r="UUZ54" s="384"/>
      <c r="UVA54" s="384"/>
      <c r="UVB54" s="384"/>
      <c r="UVC54" s="384"/>
      <c r="UVD54" s="384"/>
      <c r="UVE54" s="384"/>
      <c r="UVF54" s="384"/>
      <c r="UVG54" s="384"/>
      <c r="UVH54" s="384"/>
      <c r="UVI54" s="384"/>
      <c r="UVJ54" s="384"/>
      <c r="UVK54" s="384"/>
      <c r="UVL54" s="384"/>
      <c r="UVM54" s="384"/>
      <c r="UVN54" s="384"/>
      <c r="UVO54" s="384"/>
      <c r="UVP54" s="384"/>
      <c r="UVQ54" s="384"/>
      <c r="UVR54" s="384"/>
      <c r="UVS54" s="384"/>
      <c r="UVT54" s="384"/>
      <c r="UVU54" s="384"/>
      <c r="UVV54" s="384"/>
      <c r="UVW54" s="384"/>
      <c r="UVX54" s="384"/>
      <c r="UVY54" s="384"/>
      <c r="UVZ54" s="384"/>
      <c r="UWA54" s="384"/>
      <c r="UWB54" s="384"/>
      <c r="UWC54" s="384"/>
      <c r="UWD54" s="384"/>
      <c r="UWE54" s="384"/>
      <c r="UWF54" s="384"/>
      <c r="UWG54" s="384"/>
      <c r="UWH54" s="384"/>
      <c r="UWI54" s="384"/>
      <c r="UWJ54" s="384"/>
      <c r="UWK54" s="384"/>
      <c r="UWL54" s="384"/>
      <c r="UWM54" s="384"/>
      <c r="UWN54" s="384"/>
      <c r="UWO54" s="384"/>
      <c r="UWP54" s="384"/>
      <c r="UWQ54" s="384"/>
      <c r="UWR54" s="384"/>
      <c r="UWS54" s="384"/>
      <c r="UWT54" s="384"/>
      <c r="UWU54" s="384"/>
      <c r="UWV54" s="384"/>
      <c r="UWW54" s="384"/>
      <c r="UWX54" s="384"/>
      <c r="UWY54" s="384"/>
      <c r="UWZ54" s="384"/>
      <c r="UXA54" s="384"/>
      <c r="UXB54" s="384"/>
      <c r="UXC54" s="384"/>
      <c r="UXD54" s="384"/>
      <c r="UXE54" s="384"/>
      <c r="UXF54" s="384"/>
      <c r="UXG54" s="384"/>
      <c r="UXH54" s="384"/>
      <c r="UXI54" s="384"/>
      <c r="UXJ54" s="384"/>
      <c r="UXK54" s="384"/>
      <c r="UXL54" s="384"/>
      <c r="UXM54" s="384"/>
      <c r="UXN54" s="384"/>
      <c r="UXO54" s="384"/>
      <c r="UXP54" s="384"/>
      <c r="UXQ54" s="384"/>
      <c r="UXR54" s="384"/>
      <c r="UXS54" s="384"/>
      <c r="UXT54" s="384"/>
      <c r="UXU54" s="384"/>
      <c r="UXV54" s="384"/>
      <c r="UXW54" s="384"/>
      <c r="UXX54" s="384"/>
      <c r="UXY54" s="384"/>
      <c r="UXZ54" s="384"/>
      <c r="UYA54" s="384"/>
      <c r="UYB54" s="384"/>
      <c r="UYC54" s="384"/>
      <c r="UYD54" s="384"/>
      <c r="UYE54" s="384"/>
      <c r="UYF54" s="384"/>
      <c r="UYG54" s="384"/>
      <c r="UYH54" s="384"/>
      <c r="UYI54" s="384"/>
      <c r="UYJ54" s="384"/>
      <c r="UYK54" s="384"/>
      <c r="UYL54" s="384"/>
      <c r="UYM54" s="384"/>
      <c r="UYN54" s="384"/>
      <c r="UYO54" s="384"/>
      <c r="UYP54" s="384"/>
      <c r="UYQ54" s="384"/>
      <c r="UYR54" s="384"/>
      <c r="UYS54" s="384"/>
      <c r="UYT54" s="384"/>
      <c r="UYU54" s="384"/>
      <c r="UYV54" s="384"/>
      <c r="UYW54" s="384"/>
      <c r="UYX54" s="384"/>
      <c r="UYY54" s="384"/>
      <c r="UYZ54" s="384"/>
      <c r="UZA54" s="384"/>
      <c r="UZB54" s="384"/>
      <c r="UZC54" s="384"/>
      <c r="UZD54" s="384"/>
      <c r="UZE54" s="384"/>
      <c r="UZF54" s="384"/>
      <c r="UZG54" s="384"/>
      <c r="UZH54" s="384"/>
      <c r="UZI54" s="384"/>
      <c r="UZJ54" s="384"/>
      <c r="UZK54" s="384"/>
      <c r="UZL54" s="384"/>
      <c r="UZM54" s="384"/>
      <c r="UZN54" s="384"/>
      <c r="UZO54" s="384"/>
      <c r="UZP54" s="384"/>
      <c r="UZQ54" s="384"/>
      <c r="UZR54" s="384"/>
      <c r="UZS54" s="384"/>
      <c r="UZT54" s="384"/>
      <c r="UZU54" s="384"/>
      <c r="UZV54" s="384"/>
      <c r="UZW54" s="384"/>
      <c r="UZX54" s="384"/>
      <c r="UZY54" s="384"/>
      <c r="UZZ54" s="384"/>
      <c r="VAA54" s="384"/>
      <c r="VAB54" s="384"/>
      <c r="VAC54" s="384"/>
      <c r="VAD54" s="384"/>
      <c r="VAE54" s="384"/>
      <c r="VAF54" s="384"/>
      <c r="VAG54" s="384"/>
      <c r="VAH54" s="384"/>
      <c r="VAI54" s="384"/>
      <c r="VAJ54" s="384"/>
      <c r="VAK54" s="384"/>
      <c r="VAL54" s="384"/>
      <c r="VAM54" s="384"/>
      <c r="VAN54" s="384"/>
      <c r="VAO54" s="384"/>
      <c r="VAP54" s="384"/>
      <c r="VAQ54" s="384"/>
      <c r="VAR54" s="384"/>
      <c r="VAS54" s="384"/>
      <c r="VAT54" s="384"/>
      <c r="VAU54" s="384"/>
      <c r="VAV54" s="384"/>
      <c r="VAW54" s="384"/>
      <c r="VAX54" s="384"/>
      <c r="VAY54" s="384"/>
      <c r="VAZ54" s="384"/>
      <c r="VBA54" s="384"/>
      <c r="VBB54" s="384"/>
      <c r="VBC54" s="384"/>
      <c r="VBD54" s="384"/>
      <c r="VBE54" s="384"/>
      <c r="VBF54" s="384"/>
      <c r="VBG54" s="384"/>
      <c r="VBH54" s="384"/>
      <c r="VBI54" s="384"/>
      <c r="VBJ54" s="384"/>
      <c r="VBK54" s="384"/>
      <c r="VBL54" s="384"/>
      <c r="VBM54" s="384"/>
      <c r="VBN54" s="384"/>
      <c r="VBO54" s="384"/>
      <c r="VBP54" s="384"/>
      <c r="VBQ54" s="384"/>
      <c r="VBR54" s="384"/>
      <c r="VBS54" s="384"/>
      <c r="VBT54" s="384"/>
      <c r="VBU54" s="384"/>
      <c r="VBV54" s="384"/>
      <c r="VBW54" s="384"/>
      <c r="VBX54" s="384"/>
      <c r="VBY54" s="384"/>
      <c r="VBZ54" s="384"/>
      <c r="VCA54" s="384"/>
      <c r="VCB54" s="384"/>
      <c r="VCC54" s="384"/>
      <c r="VCD54" s="384"/>
      <c r="VCE54" s="384"/>
      <c r="VCF54" s="384"/>
      <c r="VCG54" s="384"/>
      <c r="VCH54" s="384"/>
      <c r="VCI54" s="384"/>
      <c r="VCJ54" s="384"/>
      <c r="VCK54" s="384"/>
      <c r="VCL54" s="384"/>
      <c r="VCM54" s="384"/>
      <c r="VCN54" s="384"/>
      <c r="VCO54" s="384"/>
      <c r="VCP54" s="384"/>
      <c r="VCQ54" s="384"/>
      <c r="VCR54" s="384"/>
      <c r="VCS54" s="384"/>
      <c r="VCT54" s="384"/>
      <c r="VCU54" s="384"/>
      <c r="VCV54" s="384"/>
      <c r="VCW54" s="384"/>
      <c r="VCX54" s="384"/>
      <c r="VCY54" s="384"/>
      <c r="VCZ54" s="384"/>
      <c r="VDA54" s="384"/>
      <c r="VDB54" s="384"/>
      <c r="VDC54" s="384"/>
      <c r="VDD54" s="384"/>
      <c r="VDE54" s="384"/>
      <c r="VDF54" s="384"/>
      <c r="VDG54" s="384"/>
      <c r="VDH54" s="384"/>
      <c r="VDI54" s="384"/>
      <c r="VDJ54" s="384"/>
      <c r="VDK54" s="384"/>
      <c r="VDL54" s="384"/>
      <c r="VDM54" s="384"/>
      <c r="VDN54" s="384"/>
      <c r="VDO54" s="384"/>
      <c r="VDP54" s="384"/>
      <c r="VDQ54" s="384"/>
      <c r="VDR54" s="384"/>
      <c r="VDS54" s="384"/>
      <c r="VDT54" s="384"/>
      <c r="VDU54" s="384"/>
      <c r="VDV54" s="384"/>
      <c r="VDW54" s="384"/>
      <c r="VDX54" s="384"/>
      <c r="VDY54" s="384"/>
      <c r="VDZ54" s="384"/>
      <c r="VEA54" s="384"/>
      <c r="VEB54" s="384"/>
      <c r="VEC54" s="384"/>
      <c r="VED54" s="384"/>
      <c r="VEE54" s="384"/>
      <c r="VEF54" s="384"/>
      <c r="VEG54" s="384"/>
      <c r="VEH54" s="384"/>
      <c r="VEI54" s="384"/>
      <c r="VEJ54" s="384"/>
      <c r="VEK54" s="384"/>
      <c r="VEL54" s="384"/>
      <c r="VEM54" s="384"/>
      <c r="VEN54" s="384"/>
      <c r="VEO54" s="384"/>
      <c r="VEP54" s="384"/>
      <c r="VEQ54" s="384"/>
      <c r="VER54" s="384"/>
      <c r="VES54" s="384"/>
      <c r="VET54" s="384"/>
      <c r="VEU54" s="384"/>
      <c r="VEV54" s="384"/>
      <c r="VEW54" s="384"/>
      <c r="VEX54" s="384"/>
      <c r="VEY54" s="384"/>
      <c r="VEZ54" s="384"/>
      <c r="VFA54" s="384"/>
      <c r="VFB54" s="384"/>
      <c r="VFC54" s="384"/>
      <c r="VFD54" s="384"/>
      <c r="VFE54" s="384"/>
      <c r="VFF54" s="384"/>
      <c r="VFG54" s="384"/>
      <c r="VFH54" s="384"/>
      <c r="VFI54" s="384"/>
      <c r="VFJ54" s="384"/>
      <c r="VFK54" s="384"/>
      <c r="VFL54" s="384"/>
      <c r="VFM54" s="384"/>
      <c r="VFN54" s="384"/>
      <c r="VFO54" s="384"/>
      <c r="VFP54" s="384"/>
      <c r="VFQ54" s="384"/>
      <c r="VFR54" s="384"/>
      <c r="VFS54" s="384"/>
      <c r="VFT54" s="384"/>
      <c r="VFU54" s="384"/>
      <c r="VFV54" s="384"/>
      <c r="VFW54" s="384"/>
      <c r="VFX54" s="384"/>
      <c r="VFY54" s="384"/>
      <c r="VFZ54" s="384"/>
      <c r="VGA54" s="384"/>
      <c r="VGB54" s="384"/>
      <c r="VGC54" s="384"/>
      <c r="VGD54" s="384"/>
      <c r="VGE54" s="384"/>
      <c r="VGF54" s="384"/>
      <c r="VGG54" s="384"/>
      <c r="VGH54" s="384"/>
      <c r="VGI54" s="384"/>
      <c r="VGJ54" s="384"/>
      <c r="VGK54" s="384"/>
      <c r="VGL54" s="384"/>
      <c r="VGM54" s="384"/>
      <c r="VGN54" s="384"/>
      <c r="VGO54" s="384"/>
      <c r="VGP54" s="384"/>
      <c r="VGQ54" s="384"/>
      <c r="VGR54" s="384"/>
      <c r="VGS54" s="384"/>
      <c r="VGT54" s="384"/>
      <c r="VGU54" s="384"/>
      <c r="VGV54" s="384"/>
      <c r="VGW54" s="384"/>
      <c r="VGX54" s="384"/>
      <c r="VGY54" s="384"/>
      <c r="VGZ54" s="384"/>
      <c r="VHA54" s="384"/>
      <c r="VHB54" s="384"/>
      <c r="VHC54" s="384"/>
      <c r="VHD54" s="384"/>
      <c r="VHE54" s="384"/>
      <c r="VHF54" s="384"/>
      <c r="VHG54" s="384"/>
      <c r="VHH54" s="384"/>
      <c r="VHI54" s="384"/>
      <c r="VHJ54" s="384"/>
      <c r="VHK54" s="384"/>
      <c r="VHL54" s="384"/>
      <c r="VHM54" s="384"/>
      <c r="VHN54" s="384"/>
      <c r="VHO54" s="384"/>
      <c r="VHP54" s="384"/>
      <c r="VHQ54" s="384"/>
      <c r="VHR54" s="384"/>
      <c r="VHS54" s="384"/>
      <c r="VHT54" s="384"/>
      <c r="VHU54" s="384"/>
      <c r="VHV54" s="384"/>
      <c r="VHW54" s="384"/>
      <c r="VHX54" s="384"/>
      <c r="VHY54" s="384"/>
      <c r="VHZ54" s="384"/>
      <c r="VIA54" s="384"/>
      <c r="VIB54" s="384"/>
      <c r="VIC54" s="384"/>
      <c r="VID54" s="384"/>
      <c r="VIE54" s="384"/>
      <c r="VIF54" s="384"/>
      <c r="VIG54" s="384"/>
      <c r="VIH54" s="384"/>
      <c r="VII54" s="384"/>
      <c r="VIJ54" s="384"/>
      <c r="VIK54" s="384"/>
      <c r="VIL54" s="384"/>
      <c r="VIM54" s="384"/>
      <c r="VIN54" s="384"/>
      <c r="VIO54" s="384"/>
      <c r="VIP54" s="384"/>
      <c r="VIQ54" s="384"/>
      <c r="VIR54" s="384"/>
      <c r="VIS54" s="384"/>
      <c r="VIT54" s="384"/>
      <c r="VIU54" s="384"/>
      <c r="VIV54" s="384"/>
      <c r="VIW54" s="384"/>
      <c r="VIX54" s="384"/>
      <c r="VIY54" s="384"/>
      <c r="VIZ54" s="384"/>
      <c r="VJA54" s="384"/>
      <c r="VJB54" s="384"/>
      <c r="VJC54" s="384"/>
      <c r="VJD54" s="384"/>
      <c r="VJE54" s="384"/>
      <c r="VJF54" s="384"/>
      <c r="VJG54" s="384"/>
      <c r="VJH54" s="384"/>
      <c r="VJI54" s="384"/>
      <c r="VJJ54" s="384"/>
      <c r="VJK54" s="384"/>
      <c r="VJL54" s="384"/>
      <c r="VJM54" s="384"/>
      <c r="VJN54" s="384"/>
      <c r="VJO54" s="384"/>
      <c r="VJP54" s="384"/>
      <c r="VJQ54" s="384"/>
      <c r="VJR54" s="384"/>
      <c r="VJS54" s="384"/>
      <c r="VJT54" s="384"/>
      <c r="VJU54" s="384"/>
      <c r="VJV54" s="384"/>
      <c r="VJW54" s="384"/>
      <c r="VJX54" s="384"/>
      <c r="VJY54" s="384"/>
      <c r="VJZ54" s="384"/>
      <c r="VKA54" s="384"/>
      <c r="VKB54" s="384"/>
      <c r="VKC54" s="384"/>
      <c r="VKD54" s="384"/>
      <c r="VKE54" s="384"/>
      <c r="VKF54" s="384"/>
      <c r="VKG54" s="384"/>
      <c r="VKH54" s="384"/>
      <c r="VKI54" s="384"/>
      <c r="VKJ54" s="384"/>
      <c r="VKK54" s="384"/>
      <c r="VKL54" s="384"/>
      <c r="VKM54" s="384"/>
      <c r="VKN54" s="384"/>
      <c r="VKO54" s="384"/>
      <c r="VKP54" s="384"/>
      <c r="VKQ54" s="384"/>
      <c r="VKR54" s="384"/>
      <c r="VKS54" s="384"/>
      <c r="VKT54" s="384"/>
      <c r="VKU54" s="384"/>
      <c r="VKV54" s="384"/>
      <c r="VKW54" s="384"/>
      <c r="VKX54" s="384"/>
      <c r="VKY54" s="384"/>
      <c r="VKZ54" s="384"/>
      <c r="VLA54" s="384"/>
      <c r="VLB54" s="384"/>
      <c r="VLC54" s="384"/>
      <c r="VLD54" s="384"/>
      <c r="VLE54" s="384"/>
      <c r="VLF54" s="384"/>
      <c r="VLG54" s="384"/>
      <c r="VLH54" s="384"/>
      <c r="VLI54" s="384"/>
      <c r="VLJ54" s="384"/>
      <c r="VLK54" s="384"/>
      <c r="VLL54" s="384"/>
      <c r="VLM54" s="384"/>
      <c r="VLN54" s="384"/>
      <c r="VLO54" s="384"/>
      <c r="VLP54" s="384"/>
      <c r="VLQ54" s="384"/>
      <c r="VLR54" s="384"/>
      <c r="VLS54" s="384"/>
      <c r="VLT54" s="384"/>
      <c r="VLU54" s="384"/>
      <c r="VLV54" s="384"/>
      <c r="VLW54" s="384"/>
      <c r="VLX54" s="384"/>
      <c r="VLY54" s="384"/>
      <c r="VLZ54" s="384"/>
      <c r="VMA54" s="384"/>
      <c r="VMB54" s="384"/>
      <c r="VMC54" s="384"/>
      <c r="VMD54" s="384"/>
      <c r="VME54" s="384"/>
      <c r="VMF54" s="384"/>
      <c r="VMG54" s="384"/>
      <c r="VMH54" s="384"/>
      <c r="VMI54" s="384"/>
      <c r="VMJ54" s="384"/>
      <c r="VMK54" s="384"/>
      <c r="VML54" s="384"/>
      <c r="VMM54" s="384"/>
      <c r="VMN54" s="384"/>
      <c r="VMO54" s="384"/>
      <c r="VMP54" s="384"/>
      <c r="VMQ54" s="384"/>
      <c r="VMR54" s="384"/>
      <c r="VMS54" s="384"/>
      <c r="VMT54" s="384"/>
      <c r="VMU54" s="384"/>
      <c r="VMV54" s="384"/>
      <c r="VMW54" s="384"/>
      <c r="VMX54" s="384"/>
      <c r="VMY54" s="384"/>
      <c r="VMZ54" s="384"/>
      <c r="VNA54" s="384"/>
      <c r="VNB54" s="384"/>
      <c r="VNC54" s="384"/>
      <c r="VND54" s="384"/>
      <c r="VNE54" s="384"/>
      <c r="VNF54" s="384"/>
      <c r="VNG54" s="384"/>
      <c r="VNH54" s="384"/>
      <c r="VNI54" s="384"/>
      <c r="VNJ54" s="384"/>
      <c r="VNK54" s="384"/>
      <c r="VNL54" s="384"/>
      <c r="VNM54" s="384"/>
      <c r="VNN54" s="384"/>
      <c r="VNO54" s="384"/>
      <c r="VNP54" s="384"/>
      <c r="VNQ54" s="384"/>
      <c r="VNR54" s="384"/>
      <c r="VNS54" s="384"/>
      <c r="VNT54" s="384"/>
      <c r="VNU54" s="384"/>
      <c r="VNV54" s="384"/>
      <c r="VNW54" s="384"/>
      <c r="VNX54" s="384"/>
      <c r="VNY54" s="384"/>
      <c r="VNZ54" s="384"/>
      <c r="VOA54" s="384"/>
      <c r="VOB54" s="384"/>
      <c r="VOC54" s="384"/>
      <c r="VOD54" s="384"/>
      <c r="VOE54" s="384"/>
      <c r="VOF54" s="384"/>
      <c r="VOG54" s="384"/>
      <c r="VOH54" s="384"/>
      <c r="VOI54" s="384"/>
      <c r="VOJ54" s="384"/>
      <c r="VOK54" s="384"/>
      <c r="VOL54" s="384"/>
      <c r="VOM54" s="384"/>
      <c r="VON54" s="384"/>
      <c r="VOO54" s="384"/>
      <c r="VOP54" s="384"/>
      <c r="VOQ54" s="384"/>
      <c r="VOR54" s="384"/>
      <c r="VOS54" s="384"/>
      <c r="VOT54" s="384"/>
      <c r="VOU54" s="384"/>
      <c r="VOV54" s="384"/>
      <c r="VOW54" s="384"/>
      <c r="VOX54" s="384"/>
      <c r="VOY54" s="384"/>
      <c r="VOZ54" s="384"/>
      <c r="VPA54" s="384"/>
      <c r="VPB54" s="384"/>
      <c r="VPC54" s="384"/>
      <c r="VPD54" s="384"/>
      <c r="VPE54" s="384"/>
      <c r="VPF54" s="384"/>
      <c r="VPG54" s="384"/>
      <c r="VPH54" s="384"/>
      <c r="VPI54" s="384"/>
      <c r="VPJ54" s="384"/>
      <c r="VPK54" s="384"/>
      <c r="VPL54" s="384"/>
      <c r="VPM54" s="384"/>
      <c r="VPN54" s="384"/>
      <c r="VPO54" s="384"/>
      <c r="VPP54" s="384"/>
      <c r="VPQ54" s="384"/>
      <c r="VPR54" s="384"/>
      <c r="VPS54" s="384"/>
      <c r="VPT54" s="384"/>
      <c r="VPU54" s="384"/>
      <c r="VPV54" s="384"/>
      <c r="VPW54" s="384"/>
      <c r="VPX54" s="384"/>
      <c r="VPY54" s="384"/>
      <c r="VPZ54" s="384"/>
      <c r="VQA54" s="384"/>
      <c r="VQB54" s="384"/>
      <c r="VQC54" s="384"/>
      <c r="VQD54" s="384"/>
      <c r="VQE54" s="384"/>
      <c r="VQF54" s="384"/>
      <c r="VQG54" s="384"/>
      <c r="VQH54" s="384"/>
      <c r="VQI54" s="384"/>
      <c r="VQJ54" s="384"/>
      <c r="VQK54" s="384"/>
      <c r="VQL54" s="384"/>
      <c r="VQM54" s="384"/>
      <c r="VQN54" s="384"/>
      <c r="VQO54" s="384"/>
      <c r="VQP54" s="384"/>
      <c r="VQQ54" s="384"/>
      <c r="VQR54" s="384"/>
      <c r="VQS54" s="384"/>
      <c r="VQT54" s="384"/>
      <c r="VQU54" s="384"/>
      <c r="VQV54" s="384"/>
      <c r="VQW54" s="384"/>
      <c r="VQX54" s="384"/>
      <c r="VQY54" s="384"/>
      <c r="VQZ54" s="384"/>
      <c r="VRA54" s="384"/>
      <c r="VRB54" s="384"/>
      <c r="VRC54" s="384"/>
      <c r="VRD54" s="384"/>
      <c r="VRE54" s="384"/>
      <c r="VRF54" s="384"/>
      <c r="VRG54" s="384"/>
      <c r="VRH54" s="384"/>
      <c r="VRI54" s="384"/>
      <c r="VRJ54" s="384"/>
      <c r="VRK54" s="384"/>
      <c r="VRL54" s="384"/>
      <c r="VRM54" s="384"/>
      <c r="VRN54" s="384"/>
      <c r="VRO54" s="384"/>
      <c r="VRP54" s="384"/>
      <c r="VRQ54" s="384"/>
      <c r="VRR54" s="384"/>
      <c r="VRS54" s="384"/>
      <c r="VRT54" s="384"/>
      <c r="VRU54" s="384"/>
      <c r="VRV54" s="384"/>
      <c r="VRW54" s="384"/>
      <c r="VRX54" s="384"/>
      <c r="VRY54" s="384"/>
      <c r="VRZ54" s="384"/>
      <c r="VSA54" s="384"/>
      <c r="VSB54" s="384"/>
      <c r="VSC54" s="384"/>
      <c r="VSD54" s="384"/>
      <c r="VSE54" s="384"/>
      <c r="VSF54" s="384"/>
      <c r="VSG54" s="384"/>
      <c r="VSH54" s="384"/>
      <c r="VSI54" s="384"/>
      <c r="VSJ54" s="384"/>
      <c r="VSK54" s="384"/>
      <c r="VSL54" s="384"/>
      <c r="VSM54" s="384"/>
      <c r="VSN54" s="384"/>
      <c r="VSO54" s="384"/>
      <c r="VSP54" s="384"/>
      <c r="VSQ54" s="384"/>
      <c r="VSR54" s="384"/>
      <c r="VSS54" s="384"/>
      <c r="VST54" s="384"/>
      <c r="VSU54" s="384"/>
      <c r="VSV54" s="384"/>
      <c r="VSW54" s="384"/>
      <c r="VSX54" s="384"/>
      <c r="VSY54" s="384"/>
      <c r="VSZ54" s="384"/>
      <c r="VTA54" s="384"/>
      <c r="VTB54" s="384"/>
      <c r="VTC54" s="384"/>
      <c r="VTD54" s="384"/>
      <c r="VTE54" s="384"/>
      <c r="VTF54" s="384"/>
      <c r="VTG54" s="384"/>
      <c r="VTH54" s="384"/>
      <c r="VTI54" s="384"/>
      <c r="VTJ54" s="384"/>
      <c r="VTK54" s="384"/>
      <c r="VTL54" s="384"/>
      <c r="VTM54" s="384"/>
      <c r="VTN54" s="384"/>
      <c r="VTO54" s="384"/>
      <c r="VTP54" s="384"/>
      <c r="VTQ54" s="384"/>
      <c r="VTR54" s="384"/>
      <c r="VTS54" s="384"/>
      <c r="VTT54" s="384"/>
      <c r="VTU54" s="384"/>
      <c r="VTV54" s="384"/>
      <c r="VTW54" s="384"/>
      <c r="VTX54" s="384"/>
      <c r="VTY54" s="384"/>
      <c r="VTZ54" s="384"/>
      <c r="VUA54" s="384"/>
      <c r="VUB54" s="384"/>
      <c r="VUC54" s="384"/>
      <c r="VUD54" s="384"/>
      <c r="VUE54" s="384"/>
      <c r="VUF54" s="384"/>
      <c r="VUG54" s="384"/>
      <c r="VUH54" s="384"/>
      <c r="VUI54" s="384"/>
      <c r="VUJ54" s="384"/>
      <c r="VUK54" s="384"/>
      <c r="VUL54" s="384"/>
      <c r="VUM54" s="384"/>
      <c r="VUN54" s="384"/>
      <c r="VUO54" s="384"/>
      <c r="VUP54" s="384"/>
      <c r="VUQ54" s="384"/>
      <c r="VUR54" s="384"/>
      <c r="VUS54" s="384"/>
      <c r="VUT54" s="384"/>
      <c r="VUU54" s="384"/>
      <c r="VUV54" s="384"/>
      <c r="VUW54" s="384"/>
      <c r="VUX54" s="384"/>
      <c r="VUY54" s="384"/>
      <c r="VUZ54" s="384"/>
      <c r="VVA54" s="384"/>
      <c r="VVB54" s="384"/>
      <c r="VVC54" s="384"/>
      <c r="VVD54" s="384"/>
      <c r="VVE54" s="384"/>
      <c r="VVF54" s="384"/>
      <c r="VVG54" s="384"/>
      <c r="VVH54" s="384"/>
      <c r="VVI54" s="384"/>
      <c r="VVJ54" s="384"/>
      <c r="VVK54" s="384"/>
      <c r="VVL54" s="384"/>
      <c r="VVM54" s="384"/>
      <c r="VVN54" s="384"/>
      <c r="VVO54" s="384"/>
      <c r="VVP54" s="384"/>
      <c r="VVQ54" s="384"/>
      <c r="VVR54" s="384"/>
      <c r="VVS54" s="384"/>
      <c r="VVT54" s="384"/>
      <c r="VVU54" s="384"/>
      <c r="VVV54" s="384"/>
      <c r="VVW54" s="384"/>
      <c r="VVX54" s="384"/>
      <c r="VVY54" s="384"/>
      <c r="VVZ54" s="384"/>
      <c r="VWA54" s="384"/>
      <c r="VWB54" s="384"/>
      <c r="VWC54" s="384"/>
      <c r="VWD54" s="384"/>
      <c r="VWE54" s="384"/>
      <c r="VWF54" s="384"/>
      <c r="VWG54" s="384"/>
      <c r="VWH54" s="384"/>
      <c r="VWI54" s="384"/>
      <c r="VWJ54" s="384"/>
      <c r="VWK54" s="384"/>
      <c r="VWL54" s="384"/>
      <c r="VWM54" s="384"/>
      <c r="VWN54" s="384"/>
      <c r="VWO54" s="384"/>
      <c r="VWP54" s="384"/>
      <c r="VWQ54" s="384"/>
      <c r="VWR54" s="384"/>
      <c r="VWS54" s="384"/>
      <c r="VWT54" s="384"/>
      <c r="VWU54" s="384"/>
      <c r="VWV54" s="384"/>
      <c r="VWW54" s="384"/>
      <c r="VWX54" s="384"/>
      <c r="VWY54" s="384"/>
      <c r="VWZ54" s="384"/>
      <c r="VXA54" s="384"/>
      <c r="VXB54" s="384"/>
      <c r="VXC54" s="384"/>
      <c r="VXD54" s="384"/>
      <c r="VXE54" s="384"/>
      <c r="VXF54" s="384"/>
      <c r="VXG54" s="384"/>
      <c r="VXH54" s="384"/>
      <c r="VXI54" s="384"/>
      <c r="VXJ54" s="384"/>
      <c r="VXK54" s="384"/>
      <c r="VXL54" s="384"/>
      <c r="VXM54" s="384"/>
      <c r="VXN54" s="384"/>
      <c r="VXO54" s="384"/>
      <c r="VXP54" s="384"/>
      <c r="VXQ54" s="384"/>
      <c r="VXR54" s="384"/>
      <c r="VXS54" s="384"/>
      <c r="VXT54" s="384"/>
      <c r="VXU54" s="384"/>
      <c r="VXV54" s="384"/>
      <c r="VXW54" s="384"/>
      <c r="VXX54" s="384"/>
      <c r="VXY54" s="384"/>
      <c r="VXZ54" s="384"/>
      <c r="VYA54" s="384"/>
      <c r="VYB54" s="384"/>
      <c r="VYC54" s="384"/>
      <c r="VYD54" s="384"/>
      <c r="VYE54" s="384"/>
      <c r="VYF54" s="384"/>
      <c r="VYG54" s="384"/>
      <c r="VYH54" s="384"/>
      <c r="VYI54" s="384"/>
      <c r="VYJ54" s="384"/>
      <c r="VYK54" s="384"/>
      <c r="VYL54" s="384"/>
      <c r="VYM54" s="384"/>
      <c r="VYN54" s="384"/>
      <c r="VYO54" s="384"/>
      <c r="VYP54" s="384"/>
      <c r="VYQ54" s="384"/>
      <c r="VYR54" s="384"/>
      <c r="VYS54" s="384"/>
      <c r="VYT54" s="384"/>
      <c r="VYU54" s="384"/>
      <c r="VYV54" s="384"/>
      <c r="VYW54" s="384"/>
      <c r="VYX54" s="384"/>
      <c r="VYY54" s="384"/>
      <c r="VYZ54" s="384"/>
      <c r="VZA54" s="384"/>
      <c r="VZB54" s="384"/>
      <c r="VZC54" s="384"/>
      <c r="VZD54" s="384"/>
      <c r="VZE54" s="384"/>
      <c r="VZF54" s="384"/>
      <c r="VZG54" s="384"/>
      <c r="VZH54" s="384"/>
      <c r="VZI54" s="384"/>
      <c r="VZJ54" s="384"/>
      <c r="VZK54" s="384"/>
      <c r="VZL54" s="384"/>
      <c r="VZM54" s="384"/>
      <c r="VZN54" s="384"/>
      <c r="VZO54" s="384"/>
      <c r="VZP54" s="384"/>
      <c r="VZQ54" s="384"/>
      <c r="VZR54" s="384"/>
      <c r="VZS54" s="384"/>
      <c r="VZT54" s="384"/>
      <c r="VZU54" s="384"/>
      <c r="VZV54" s="384"/>
      <c r="VZW54" s="384"/>
      <c r="VZX54" s="384"/>
      <c r="VZY54" s="384"/>
      <c r="VZZ54" s="384"/>
      <c r="WAA54" s="384"/>
      <c r="WAB54" s="384"/>
      <c r="WAC54" s="384"/>
      <c r="WAD54" s="384"/>
      <c r="WAE54" s="384"/>
      <c r="WAF54" s="384"/>
      <c r="WAG54" s="384"/>
      <c r="WAH54" s="384"/>
      <c r="WAI54" s="384"/>
      <c r="WAJ54" s="384"/>
      <c r="WAK54" s="384"/>
      <c r="WAL54" s="384"/>
      <c r="WAM54" s="384"/>
      <c r="WAN54" s="384"/>
      <c r="WAO54" s="384"/>
      <c r="WAP54" s="384"/>
      <c r="WAQ54" s="384"/>
      <c r="WAR54" s="384"/>
      <c r="WAS54" s="384"/>
      <c r="WAT54" s="384"/>
      <c r="WAU54" s="384"/>
      <c r="WAV54" s="384"/>
      <c r="WAW54" s="384"/>
      <c r="WAX54" s="384"/>
      <c r="WAY54" s="384"/>
      <c r="WAZ54" s="384"/>
      <c r="WBA54" s="384"/>
      <c r="WBB54" s="384"/>
      <c r="WBC54" s="384"/>
      <c r="WBD54" s="384"/>
      <c r="WBE54" s="384"/>
      <c r="WBF54" s="384"/>
      <c r="WBG54" s="384"/>
      <c r="WBH54" s="384"/>
      <c r="WBI54" s="384"/>
      <c r="WBJ54" s="384"/>
      <c r="WBK54" s="384"/>
      <c r="WBL54" s="384"/>
      <c r="WBM54" s="384"/>
      <c r="WBN54" s="384"/>
      <c r="WBO54" s="384"/>
      <c r="WBP54" s="384"/>
      <c r="WBQ54" s="384"/>
      <c r="WBR54" s="384"/>
      <c r="WBS54" s="384"/>
      <c r="WBT54" s="384"/>
      <c r="WBU54" s="384"/>
      <c r="WBV54" s="384"/>
      <c r="WBW54" s="384"/>
      <c r="WBX54" s="384"/>
      <c r="WBY54" s="384"/>
      <c r="WBZ54" s="384"/>
      <c r="WCA54" s="384"/>
      <c r="WCB54" s="384"/>
      <c r="WCC54" s="384"/>
      <c r="WCD54" s="384"/>
      <c r="WCE54" s="384"/>
      <c r="WCF54" s="384"/>
      <c r="WCG54" s="384"/>
      <c r="WCH54" s="384"/>
      <c r="WCI54" s="384"/>
      <c r="WCJ54" s="384"/>
      <c r="WCK54" s="384"/>
      <c r="WCL54" s="384"/>
      <c r="WCM54" s="384"/>
      <c r="WCN54" s="384"/>
      <c r="WCO54" s="384"/>
      <c r="WCP54" s="384"/>
      <c r="WCQ54" s="384"/>
      <c r="WCR54" s="384"/>
      <c r="WCS54" s="384"/>
      <c r="WCT54" s="384"/>
      <c r="WCU54" s="384"/>
      <c r="WCV54" s="384"/>
      <c r="WCW54" s="384"/>
      <c r="WCX54" s="384"/>
      <c r="WCY54" s="384"/>
      <c r="WCZ54" s="384"/>
      <c r="WDA54" s="384"/>
      <c r="WDB54" s="384"/>
      <c r="WDC54" s="384"/>
      <c r="WDD54" s="384"/>
      <c r="WDE54" s="384"/>
      <c r="WDF54" s="384"/>
      <c r="WDG54" s="384"/>
      <c r="WDH54" s="384"/>
      <c r="WDI54" s="384"/>
      <c r="WDJ54" s="384"/>
      <c r="WDK54" s="384"/>
      <c r="WDL54" s="384"/>
      <c r="WDM54" s="384"/>
      <c r="WDN54" s="384"/>
      <c r="WDO54" s="384"/>
      <c r="WDP54" s="384"/>
      <c r="WDQ54" s="384"/>
      <c r="WDR54" s="384"/>
      <c r="WDS54" s="384"/>
      <c r="WDT54" s="384"/>
      <c r="WDU54" s="384"/>
      <c r="WDV54" s="384"/>
      <c r="WDW54" s="384"/>
      <c r="WDX54" s="384"/>
      <c r="WDY54" s="384"/>
      <c r="WDZ54" s="384"/>
      <c r="WEA54" s="384"/>
      <c r="WEB54" s="384"/>
      <c r="WEC54" s="384"/>
      <c r="WED54" s="384"/>
      <c r="WEE54" s="384"/>
      <c r="WEF54" s="384"/>
      <c r="WEG54" s="384"/>
      <c r="WEH54" s="384"/>
      <c r="WEI54" s="384"/>
      <c r="WEJ54" s="384"/>
      <c r="WEK54" s="384"/>
      <c r="WEL54" s="384"/>
      <c r="WEM54" s="384"/>
      <c r="WEN54" s="384"/>
      <c r="WEO54" s="384"/>
      <c r="WEP54" s="384"/>
      <c r="WEQ54" s="384"/>
      <c r="WER54" s="384"/>
      <c r="WES54" s="384"/>
      <c r="WET54" s="384"/>
      <c r="WEU54" s="384"/>
      <c r="WEV54" s="384"/>
      <c r="WEW54" s="384"/>
      <c r="WEX54" s="384"/>
      <c r="WEY54" s="384"/>
      <c r="WEZ54" s="384"/>
      <c r="WFA54" s="384"/>
      <c r="WFB54" s="384"/>
      <c r="WFC54" s="384"/>
      <c r="WFD54" s="384"/>
      <c r="WFE54" s="384"/>
      <c r="WFF54" s="384"/>
      <c r="WFG54" s="384"/>
      <c r="WFH54" s="384"/>
      <c r="WFI54" s="384"/>
      <c r="WFJ54" s="384"/>
      <c r="WFK54" s="384"/>
      <c r="WFL54" s="384"/>
      <c r="WFM54" s="384"/>
      <c r="WFN54" s="384"/>
      <c r="WFO54" s="384"/>
      <c r="WFP54" s="384"/>
      <c r="WFQ54" s="384"/>
      <c r="WFR54" s="384"/>
      <c r="WFS54" s="384"/>
      <c r="WFT54" s="384"/>
      <c r="WFU54" s="384"/>
      <c r="WFV54" s="384"/>
      <c r="WFW54" s="384"/>
      <c r="WFX54" s="384"/>
      <c r="WFY54" s="384"/>
      <c r="WFZ54" s="384"/>
      <c r="WGA54" s="384"/>
      <c r="WGB54" s="384"/>
      <c r="WGC54" s="384"/>
      <c r="WGD54" s="384"/>
      <c r="WGE54" s="384"/>
      <c r="WGF54" s="384"/>
      <c r="WGG54" s="384"/>
      <c r="WGH54" s="384"/>
      <c r="WGI54" s="384"/>
      <c r="WGJ54" s="384"/>
      <c r="WGK54" s="384"/>
      <c r="WGL54" s="384"/>
      <c r="WGM54" s="384"/>
      <c r="WGN54" s="384"/>
      <c r="WGO54" s="384"/>
      <c r="WGP54" s="384"/>
      <c r="WGQ54" s="384"/>
      <c r="WGR54" s="384"/>
      <c r="WGS54" s="384"/>
      <c r="WGT54" s="384"/>
      <c r="WGU54" s="384"/>
      <c r="WGV54" s="384"/>
      <c r="WGW54" s="384"/>
      <c r="WGX54" s="384"/>
      <c r="WGY54" s="384"/>
      <c r="WGZ54" s="384"/>
      <c r="WHA54" s="384"/>
      <c r="WHB54" s="384"/>
      <c r="WHC54" s="384"/>
      <c r="WHD54" s="384"/>
      <c r="WHE54" s="384"/>
      <c r="WHF54" s="384"/>
      <c r="WHG54" s="384"/>
      <c r="WHH54" s="384"/>
      <c r="WHI54" s="384"/>
      <c r="WHJ54" s="384"/>
      <c r="WHK54" s="384"/>
      <c r="WHL54" s="384"/>
      <c r="WHM54" s="384"/>
      <c r="WHN54" s="384"/>
      <c r="WHO54" s="384"/>
      <c r="WHP54" s="384"/>
      <c r="WHQ54" s="384"/>
      <c r="WHR54" s="384"/>
      <c r="WHS54" s="384"/>
      <c r="WHT54" s="384"/>
      <c r="WHU54" s="384"/>
      <c r="WHV54" s="384"/>
      <c r="WHW54" s="384"/>
      <c r="WHX54" s="384"/>
      <c r="WHY54" s="384"/>
      <c r="WHZ54" s="384"/>
      <c r="WIA54" s="384"/>
      <c r="WIB54" s="384"/>
      <c r="WIC54" s="384"/>
      <c r="WID54" s="384"/>
      <c r="WIE54" s="384"/>
      <c r="WIF54" s="384"/>
      <c r="WIG54" s="384"/>
      <c r="WIH54" s="384"/>
      <c r="WII54" s="384"/>
      <c r="WIJ54" s="384"/>
      <c r="WIK54" s="384"/>
      <c r="WIL54" s="384"/>
      <c r="WIM54" s="384"/>
      <c r="WIN54" s="384"/>
      <c r="WIO54" s="384"/>
      <c r="WIP54" s="384"/>
      <c r="WIQ54" s="384"/>
      <c r="WIR54" s="384"/>
      <c r="WIS54" s="384"/>
      <c r="WIT54" s="384"/>
      <c r="WIU54" s="384"/>
      <c r="WIV54" s="384"/>
      <c r="WIW54" s="384"/>
      <c r="WIX54" s="384"/>
      <c r="WIY54" s="384"/>
      <c r="WIZ54" s="384"/>
      <c r="WJA54" s="384"/>
      <c r="WJB54" s="384"/>
      <c r="WJC54" s="384"/>
      <c r="WJD54" s="384"/>
      <c r="WJE54" s="384"/>
      <c r="WJF54" s="384"/>
      <c r="WJG54" s="384"/>
      <c r="WJH54" s="384"/>
      <c r="WJI54" s="384"/>
      <c r="WJJ54" s="384"/>
      <c r="WJK54" s="384"/>
      <c r="WJL54" s="384"/>
      <c r="WJM54" s="384"/>
      <c r="WJN54" s="384"/>
      <c r="WJO54" s="384"/>
      <c r="WJP54" s="384"/>
      <c r="WJQ54" s="384"/>
      <c r="WJR54" s="384"/>
      <c r="WJS54" s="384"/>
      <c r="WJT54" s="384"/>
      <c r="WJU54" s="384"/>
      <c r="WJV54" s="384"/>
      <c r="WJW54" s="384"/>
      <c r="WJX54" s="384"/>
      <c r="WJY54" s="384"/>
      <c r="WJZ54" s="384"/>
      <c r="WKA54" s="384"/>
      <c r="WKB54" s="384"/>
      <c r="WKC54" s="384"/>
      <c r="WKD54" s="384"/>
      <c r="WKE54" s="384"/>
      <c r="WKF54" s="384"/>
      <c r="WKG54" s="384"/>
      <c r="WKH54" s="384"/>
      <c r="WKI54" s="384"/>
      <c r="WKJ54" s="384"/>
      <c r="WKK54" s="384"/>
      <c r="WKL54" s="384"/>
      <c r="WKM54" s="384"/>
      <c r="WKN54" s="384"/>
      <c r="WKO54" s="384"/>
      <c r="WKP54" s="384"/>
      <c r="WKQ54" s="384"/>
      <c r="WKR54" s="384"/>
      <c r="WKS54" s="384"/>
      <c r="WKT54" s="384"/>
      <c r="WKU54" s="384"/>
      <c r="WKV54" s="384"/>
      <c r="WKW54" s="384"/>
      <c r="WKX54" s="384"/>
      <c r="WKY54" s="384"/>
      <c r="WKZ54" s="384"/>
      <c r="WLA54" s="384"/>
      <c r="WLB54" s="384"/>
      <c r="WLC54" s="384"/>
      <c r="WLD54" s="384"/>
      <c r="WLE54" s="384"/>
      <c r="WLF54" s="384"/>
      <c r="WLG54" s="384"/>
      <c r="WLH54" s="384"/>
      <c r="WLI54" s="384"/>
      <c r="WLJ54" s="384"/>
      <c r="WLK54" s="384"/>
      <c r="WLL54" s="384"/>
      <c r="WLM54" s="384"/>
      <c r="WLN54" s="384"/>
      <c r="WLO54" s="384"/>
      <c r="WLP54" s="384"/>
      <c r="WLQ54" s="384"/>
      <c r="WLR54" s="384"/>
      <c r="WLS54" s="384"/>
      <c r="WLT54" s="384"/>
      <c r="WLU54" s="384"/>
      <c r="WLV54" s="384"/>
      <c r="WLW54" s="384"/>
      <c r="WLX54" s="384"/>
      <c r="WLY54" s="384"/>
      <c r="WLZ54" s="384"/>
      <c r="WMA54" s="384"/>
      <c r="WMB54" s="384"/>
      <c r="WMC54" s="384"/>
      <c r="WMD54" s="384"/>
      <c r="WME54" s="384"/>
      <c r="WMF54" s="384"/>
      <c r="WMG54" s="384"/>
      <c r="WMH54" s="384"/>
      <c r="WMI54" s="384"/>
      <c r="WMJ54" s="384"/>
      <c r="WMK54" s="384"/>
      <c r="WML54" s="384"/>
      <c r="WMM54" s="384"/>
      <c r="WMN54" s="384"/>
      <c r="WMO54" s="384"/>
      <c r="WMP54" s="384"/>
      <c r="WMQ54" s="384"/>
      <c r="WMR54" s="384"/>
      <c r="WMS54" s="384"/>
      <c r="WMT54" s="384"/>
      <c r="WMU54" s="384"/>
      <c r="WMV54" s="384"/>
      <c r="WMW54" s="384"/>
      <c r="WMX54" s="384"/>
      <c r="WMY54" s="384"/>
      <c r="WMZ54" s="384"/>
      <c r="WNA54" s="384"/>
      <c r="WNB54" s="384"/>
      <c r="WNC54" s="384"/>
      <c r="WND54" s="384"/>
      <c r="WNE54" s="384"/>
      <c r="WNF54" s="384"/>
      <c r="WNG54" s="384"/>
      <c r="WNH54" s="384"/>
      <c r="WNI54" s="384"/>
      <c r="WNJ54" s="384"/>
      <c r="WNK54" s="384"/>
      <c r="WNL54" s="384"/>
      <c r="WNM54" s="384"/>
      <c r="WNN54" s="384"/>
      <c r="WNO54" s="384"/>
      <c r="WNP54" s="384"/>
      <c r="WNQ54" s="384"/>
      <c r="WNR54" s="384"/>
      <c r="WNS54" s="384"/>
      <c r="WNT54" s="384"/>
      <c r="WNU54" s="384"/>
      <c r="WNV54" s="384"/>
      <c r="WNW54" s="384"/>
      <c r="WNX54" s="384"/>
      <c r="WNY54" s="384"/>
      <c r="WNZ54" s="384"/>
      <c r="WOA54" s="384"/>
      <c r="WOB54" s="384"/>
      <c r="WOC54" s="384"/>
      <c r="WOD54" s="384"/>
      <c r="WOE54" s="384"/>
      <c r="WOF54" s="384"/>
      <c r="WOG54" s="384"/>
      <c r="WOH54" s="384"/>
      <c r="WOI54" s="384"/>
      <c r="WOJ54" s="384"/>
      <c r="WOK54" s="384"/>
      <c r="WOL54" s="384"/>
      <c r="WOM54" s="384"/>
      <c r="WON54" s="384"/>
      <c r="WOO54" s="384"/>
      <c r="WOP54" s="384"/>
      <c r="WOQ54" s="384"/>
      <c r="WOR54" s="384"/>
      <c r="WOS54" s="384"/>
      <c r="WOT54" s="384"/>
      <c r="WOU54" s="384"/>
      <c r="WOV54" s="384"/>
      <c r="WOW54" s="384"/>
      <c r="WOX54" s="384"/>
      <c r="WOY54" s="384"/>
      <c r="WOZ54" s="384"/>
      <c r="WPA54" s="384"/>
      <c r="WPB54" s="384"/>
      <c r="WPC54" s="384"/>
      <c r="WPD54" s="384"/>
      <c r="WPE54" s="384"/>
      <c r="WPF54" s="384"/>
      <c r="WPG54" s="384"/>
      <c r="WPH54" s="384"/>
      <c r="WPI54" s="384"/>
      <c r="WPJ54" s="384"/>
      <c r="WPK54" s="384"/>
      <c r="WPL54" s="384"/>
      <c r="WPM54" s="384"/>
      <c r="WPN54" s="384"/>
      <c r="WPO54" s="384"/>
      <c r="WPP54" s="384"/>
      <c r="WPQ54" s="384"/>
      <c r="WPR54" s="384"/>
      <c r="WPS54" s="384"/>
      <c r="WPT54" s="384"/>
      <c r="WPU54" s="384"/>
      <c r="WPV54" s="384"/>
      <c r="WPW54" s="384"/>
      <c r="WPX54" s="384"/>
      <c r="WPY54" s="384"/>
      <c r="WPZ54" s="384"/>
      <c r="WQA54" s="384"/>
      <c r="WQB54" s="384"/>
      <c r="WQC54" s="384"/>
      <c r="WQD54" s="384"/>
      <c r="WQE54" s="384"/>
      <c r="WQF54" s="384"/>
      <c r="WQG54" s="384"/>
      <c r="WQH54" s="384"/>
      <c r="WQI54" s="384"/>
      <c r="WQJ54" s="384"/>
      <c r="WQK54" s="384"/>
      <c r="WQL54" s="384"/>
      <c r="WQM54" s="384"/>
      <c r="WQN54" s="384"/>
      <c r="WQO54" s="384"/>
      <c r="WQP54" s="384"/>
      <c r="WQQ54" s="384"/>
      <c r="WQR54" s="384"/>
      <c r="WQS54" s="384"/>
      <c r="WQT54" s="384"/>
      <c r="WQU54" s="384"/>
      <c r="WQV54" s="384"/>
      <c r="WQW54" s="384"/>
      <c r="WQX54" s="384"/>
      <c r="WQY54" s="384"/>
      <c r="WQZ54" s="384"/>
      <c r="WRA54" s="384"/>
      <c r="WRB54" s="384"/>
      <c r="WRC54" s="384"/>
      <c r="WRD54" s="384"/>
      <c r="WRE54" s="384"/>
      <c r="WRF54" s="384"/>
      <c r="WRG54" s="384"/>
      <c r="WRH54" s="384"/>
      <c r="WRI54" s="384"/>
      <c r="WRJ54" s="384"/>
      <c r="WRK54" s="384"/>
      <c r="WRL54" s="384"/>
      <c r="WRM54" s="384"/>
      <c r="WRN54" s="384"/>
      <c r="WRO54" s="384"/>
      <c r="WRP54" s="384"/>
      <c r="WRQ54" s="384"/>
      <c r="WRR54" s="384"/>
      <c r="WRS54" s="384"/>
      <c r="WRT54" s="384"/>
      <c r="WRU54" s="384"/>
      <c r="WRV54" s="384"/>
      <c r="WRW54" s="384"/>
      <c r="WRX54" s="384"/>
      <c r="WRY54" s="384"/>
      <c r="WRZ54" s="384"/>
      <c r="WSA54" s="384"/>
      <c r="WSB54" s="384"/>
      <c r="WSC54" s="384"/>
      <c r="WSD54" s="384"/>
      <c r="WSE54" s="384"/>
      <c r="WSF54" s="384"/>
      <c r="WSG54" s="384"/>
      <c r="WSH54" s="384"/>
      <c r="WSI54" s="384"/>
      <c r="WSJ54" s="384"/>
      <c r="WSK54" s="384"/>
      <c r="WSL54" s="384"/>
      <c r="WSM54" s="384"/>
      <c r="WSN54" s="384"/>
      <c r="WSO54" s="384"/>
      <c r="WSP54" s="384"/>
      <c r="WSQ54" s="384"/>
      <c r="WSR54" s="384"/>
      <c r="WSS54" s="384"/>
      <c r="WST54" s="384"/>
      <c r="WSU54" s="384"/>
      <c r="WSV54" s="384"/>
      <c r="WSW54" s="384"/>
      <c r="WSX54" s="384"/>
      <c r="WSY54" s="384"/>
      <c r="WSZ54" s="384"/>
      <c r="WTA54" s="384"/>
      <c r="WTB54" s="384"/>
      <c r="WTC54" s="384"/>
      <c r="WTD54" s="384"/>
      <c r="WTE54" s="384"/>
      <c r="WTF54" s="384"/>
      <c r="WTG54" s="384"/>
      <c r="WTH54" s="384"/>
      <c r="WTI54" s="384"/>
      <c r="WTJ54" s="384"/>
      <c r="WTK54" s="384"/>
      <c r="WTL54" s="384"/>
      <c r="WTM54" s="384"/>
      <c r="WTN54" s="384"/>
      <c r="WTO54" s="384"/>
      <c r="WTP54" s="384"/>
      <c r="WTQ54" s="384"/>
      <c r="WTR54" s="384"/>
      <c r="WTS54" s="384"/>
      <c r="WTT54" s="384"/>
      <c r="WTU54" s="384"/>
      <c r="WTV54" s="384"/>
      <c r="WTW54" s="384"/>
      <c r="WTX54" s="384"/>
      <c r="WTY54" s="384"/>
      <c r="WTZ54" s="384"/>
      <c r="WUA54" s="384"/>
      <c r="WUB54" s="384"/>
      <c r="WUC54" s="384"/>
      <c r="WUD54" s="384"/>
      <c r="WUE54" s="384"/>
      <c r="WUF54" s="384"/>
      <c r="WUG54" s="384"/>
      <c r="WUH54" s="384"/>
      <c r="WUI54" s="384"/>
      <c r="WUJ54" s="384"/>
      <c r="WUK54" s="384"/>
      <c r="WUL54" s="384"/>
      <c r="WUM54" s="384"/>
      <c r="WUN54" s="384"/>
      <c r="WUO54" s="384"/>
      <c r="WUP54" s="384"/>
      <c r="WUQ54" s="384"/>
      <c r="WUR54" s="384"/>
      <c r="WUS54" s="384"/>
      <c r="WUT54" s="384"/>
      <c r="WUU54" s="384"/>
      <c r="WUV54" s="384"/>
      <c r="WUW54" s="384"/>
      <c r="WUX54" s="384"/>
      <c r="WUY54" s="384"/>
      <c r="WUZ54" s="384"/>
      <c r="WVA54" s="384"/>
      <c r="WVB54" s="384"/>
      <c r="WVC54" s="384"/>
      <c r="WVD54" s="384"/>
      <c r="WVE54" s="384"/>
      <c r="WVF54" s="384"/>
      <c r="WVG54" s="384"/>
      <c r="WVH54" s="384"/>
      <c r="WVI54" s="384"/>
      <c r="WVJ54" s="384"/>
      <c r="WVK54" s="384"/>
      <c r="WVL54" s="384"/>
      <c r="WVM54" s="384"/>
      <c r="WVN54" s="384"/>
      <c r="WVO54" s="384"/>
      <c r="WVP54" s="384"/>
      <c r="WVQ54" s="384"/>
      <c r="WVR54" s="384"/>
      <c r="WVS54" s="384"/>
      <c r="WVT54" s="384"/>
      <c r="WVU54" s="384"/>
      <c r="WVV54" s="384"/>
      <c r="WVW54" s="384"/>
      <c r="WVX54" s="384"/>
      <c r="WVY54" s="384"/>
      <c r="WVZ54" s="384"/>
      <c r="WWA54" s="384"/>
      <c r="WWB54" s="384"/>
      <c r="WWC54" s="384"/>
      <c r="WWD54" s="384"/>
      <c r="WWE54" s="384"/>
      <c r="WWF54" s="384"/>
      <c r="WWG54" s="384"/>
      <c r="WWH54" s="384"/>
      <c r="WWI54" s="384"/>
      <c r="WWJ54" s="384"/>
      <c r="WWK54" s="384"/>
      <c r="WWL54" s="384"/>
      <c r="WWM54" s="384"/>
      <c r="WWN54" s="384"/>
      <c r="WWO54" s="384"/>
      <c r="WWP54" s="384"/>
      <c r="WWQ54" s="384"/>
      <c r="WWR54" s="384"/>
      <c r="WWS54" s="384"/>
      <c r="WWT54" s="384"/>
      <c r="WWU54" s="384"/>
      <c r="WWV54" s="384"/>
      <c r="WWW54" s="384"/>
      <c r="WWX54" s="384"/>
      <c r="WWY54" s="384"/>
      <c r="WWZ54" s="384"/>
      <c r="WXA54" s="384"/>
      <c r="WXB54" s="384"/>
      <c r="WXC54" s="384"/>
      <c r="WXD54" s="384"/>
      <c r="WXE54" s="384"/>
      <c r="WXF54" s="384"/>
      <c r="WXG54" s="384"/>
      <c r="WXH54" s="384"/>
      <c r="WXI54" s="384"/>
      <c r="WXJ54" s="384"/>
      <c r="WXK54" s="384"/>
      <c r="WXL54" s="384"/>
      <c r="WXM54" s="384"/>
      <c r="WXN54" s="384"/>
      <c r="WXO54" s="384"/>
      <c r="WXP54" s="384"/>
      <c r="WXQ54" s="384"/>
      <c r="WXR54" s="384"/>
      <c r="WXS54" s="384"/>
      <c r="WXT54" s="384"/>
      <c r="WXU54" s="384"/>
      <c r="WXV54" s="384"/>
      <c r="WXW54" s="384"/>
      <c r="WXX54" s="384"/>
      <c r="WXY54" s="384"/>
      <c r="WXZ54" s="384"/>
      <c r="WYA54" s="384"/>
      <c r="WYB54" s="384"/>
      <c r="WYC54" s="384"/>
      <c r="WYD54" s="384"/>
      <c r="WYE54" s="384"/>
      <c r="WYF54" s="384"/>
      <c r="WYG54" s="384"/>
      <c r="WYH54" s="384"/>
      <c r="WYI54" s="384"/>
      <c r="WYJ54" s="384"/>
      <c r="WYK54" s="384"/>
      <c r="WYL54" s="384"/>
      <c r="WYM54" s="384"/>
      <c r="WYN54" s="384"/>
      <c r="WYO54" s="384"/>
      <c r="WYP54" s="384"/>
      <c r="WYQ54" s="384"/>
      <c r="WYR54" s="384"/>
      <c r="WYS54" s="384"/>
      <c r="WYT54" s="384"/>
      <c r="WYU54" s="384"/>
      <c r="WYV54" s="384"/>
      <c r="WYW54" s="384"/>
      <c r="WYX54" s="384"/>
      <c r="WYY54" s="384"/>
      <c r="WYZ54" s="384"/>
      <c r="WZA54" s="384"/>
      <c r="WZB54" s="384"/>
      <c r="WZC54" s="384"/>
      <c r="WZD54" s="384"/>
      <c r="WZE54" s="384"/>
      <c r="WZF54" s="384"/>
      <c r="WZG54" s="384"/>
      <c r="WZH54" s="384"/>
      <c r="WZI54" s="384"/>
      <c r="WZJ54" s="384"/>
      <c r="WZK54" s="384"/>
      <c r="WZL54" s="384"/>
      <c r="WZM54" s="384"/>
      <c r="WZN54" s="384"/>
      <c r="WZO54" s="384"/>
      <c r="WZP54" s="384"/>
      <c r="WZQ54" s="384"/>
      <c r="WZR54" s="384"/>
      <c r="WZS54" s="384"/>
      <c r="WZT54" s="384"/>
      <c r="WZU54" s="384"/>
      <c r="WZV54" s="384"/>
      <c r="WZW54" s="384"/>
      <c r="WZX54" s="384"/>
      <c r="WZY54" s="384"/>
      <c r="WZZ54" s="384"/>
      <c r="XAA54" s="384"/>
      <c r="XAB54" s="384"/>
      <c r="XAC54" s="384"/>
      <c r="XAD54" s="384"/>
      <c r="XAE54" s="384"/>
      <c r="XAF54" s="384"/>
      <c r="XAG54" s="384"/>
      <c r="XAH54" s="384"/>
      <c r="XAI54" s="384"/>
      <c r="XAJ54" s="384"/>
      <c r="XAK54" s="384"/>
      <c r="XAL54" s="384"/>
      <c r="XAM54" s="384"/>
      <c r="XAN54" s="384"/>
      <c r="XAO54" s="384"/>
      <c r="XAP54" s="384"/>
      <c r="XAQ54" s="384"/>
      <c r="XAR54" s="384"/>
      <c r="XAS54" s="384"/>
      <c r="XAT54" s="384"/>
      <c r="XAU54" s="384"/>
      <c r="XAV54" s="384"/>
      <c r="XAW54" s="384"/>
      <c r="XAX54" s="384"/>
      <c r="XAY54" s="384"/>
      <c r="XAZ54" s="384"/>
      <c r="XBA54" s="384"/>
      <c r="XBB54" s="384"/>
      <c r="XBC54" s="384"/>
      <c r="XBD54" s="384"/>
      <c r="XBE54" s="384"/>
      <c r="XBF54" s="384"/>
      <c r="XBG54" s="384"/>
      <c r="XBH54" s="384"/>
      <c r="XBI54" s="384"/>
      <c r="XBJ54" s="384"/>
      <c r="XBK54" s="384"/>
      <c r="XBL54" s="384"/>
      <c r="XBM54" s="384"/>
      <c r="XBN54" s="384"/>
      <c r="XBO54" s="384"/>
      <c r="XBP54" s="384"/>
      <c r="XBQ54" s="384"/>
      <c r="XBR54" s="384"/>
      <c r="XBS54" s="384"/>
      <c r="XBT54" s="384"/>
      <c r="XBU54" s="384"/>
      <c r="XBV54" s="384"/>
      <c r="XBW54" s="384"/>
      <c r="XBX54" s="384"/>
      <c r="XBY54" s="384"/>
      <c r="XBZ54" s="384"/>
      <c r="XCA54" s="384"/>
      <c r="XCB54" s="384"/>
      <c r="XCC54" s="384"/>
      <c r="XCD54" s="384"/>
      <c r="XCE54" s="384"/>
      <c r="XCF54" s="384"/>
      <c r="XCG54" s="384"/>
      <c r="XCH54" s="384"/>
      <c r="XCI54" s="384"/>
      <c r="XCJ54" s="384"/>
      <c r="XCK54" s="384"/>
      <c r="XCL54" s="384"/>
      <c r="XCM54" s="384"/>
      <c r="XCN54" s="384"/>
      <c r="XCO54" s="384"/>
      <c r="XCP54" s="384"/>
      <c r="XCQ54" s="384"/>
      <c r="XCR54" s="384"/>
      <c r="XCS54" s="384"/>
      <c r="XCT54" s="384"/>
      <c r="XCU54" s="384"/>
      <c r="XCV54" s="384"/>
      <c r="XCW54" s="384"/>
      <c r="XCX54" s="384"/>
      <c r="XCY54" s="384"/>
      <c r="XCZ54" s="384"/>
      <c r="XDA54" s="384"/>
      <c r="XDB54" s="384"/>
      <c r="XDC54" s="384"/>
      <c r="XDD54" s="384"/>
      <c r="XDE54" s="384"/>
      <c r="XDF54" s="384"/>
      <c r="XDG54" s="384"/>
      <c r="XDH54" s="384"/>
      <c r="XDI54" s="384"/>
      <c r="XDJ54" s="384"/>
      <c r="XDK54" s="384"/>
      <c r="XDL54" s="384"/>
      <c r="XDM54" s="384"/>
      <c r="XDN54" s="384"/>
      <c r="XDO54" s="384"/>
      <c r="XDP54" s="384"/>
      <c r="XDQ54" s="384"/>
      <c r="XDR54" s="384"/>
      <c r="XDS54" s="384"/>
      <c r="XDT54" s="384"/>
      <c r="XDU54" s="384"/>
      <c r="XDV54" s="384"/>
      <c r="XDW54" s="384"/>
      <c r="XDX54" s="384"/>
      <c r="XDY54" s="384"/>
      <c r="XDZ54" s="384"/>
      <c r="XEA54" s="384"/>
      <c r="XEB54" s="384"/>
      <c r="XEC54" s="384"/>
      <c r="XED54" s="384"/>
      <c r="XEE54" s="384"/>
      <c r="XEF54" s="384"/>
      <c r="XEG54" s="384"/>
      <c r="XEH54" s="384"/>
      <c r="XEI54" s="384"/>
      <c r="XEJ54" s="384"/>
      <c r="XEK54" s="384"/>
      <c r="XEL54" s="384"/>
      <c r="XEM54" s="384"/>
      <c r="XEN54" s="384"/>
      <c r="XEO54" s="384"/>
      <c r="XEP54" s="384"/>
      <c r="XEQ54" s="384"/>
      <c r="XER54" s="384"/>
      <c r="XES54" s="384"/>
      <c r="XET54" s="384"/>
      <c r="XEU54" s="384"/>
      <c r="XEV54" s="384"/>
      <c r="XEW54" s="384"/>
      <c r="XEX54" s="384"/>
      <c r="XEY54" s="384"/>
      <c r="XEZ54" s="384"/>
      <c r="XFA54" s="384"/>
    </row>
    <row r="55" s="339" customFormat="1" ht="29.25" customHeight="1" spans="1:1024 1025:16381">
      <c r="A55" s="384"/>
      <c r="B55" s="385">
        <v>44</v>
      </c>
      <c r="C55" s="386">
        <f>_xlfn.XLOOKUP(D55,商品汇总表!$B:$B,商品汇总表!$A:$A,"")</f>
        <v>0</v>
      </c>
      <c r="D55" s="387"/>
      <c r="E55" s="388">
        <f>_xlfn.XLOOKUP(D55,商品汇总表!$B:$B,商品汇总表!$D:$D,"")</f>
        <v>0</v>
      </c>
      <c r="F55" s="389">
        <f>SUMIFS('5.21出货明细'!$K:$K,'5.21出货明细'!$E:$E,$D55,'5.21出货明细'!$AR:$AR,$D$56)</f>
        <v>0</v>
      </c>
      <c r="G55" s="390">
        <f>_xlfn.XLOOKUP(_xlfn.XLOOKUP($D55,'5.21出货明细'!$E:$E,'5.21出货明细'!$J:$J,""),单位对照!$A:$A,单位对照!$B:$B,"未匹配")</f>
        <v>0</v>
      </c>
      <c r="H55" s="391">
        <f>SUMIFS('5.21出货明细'!$AO:$AO,'5.21出货明细'!$E:$E,$D55,'5.21出货明细'!$AR:$AR,$D$56)</f>
        <v>0</v>
      </c>
      <c r="I55" s="392">
        <f>SUMIFS('5.21出货明细'!$AA:$AA,'5.21出货明细'!$E:$E,$D55,'5.21出货明细'!$AR:$AR,$D$56)</f>
        <v>0</v>
      </c>
      <c r="J55" s="393">
        <f>SUMIFS('5.21出货明细'!$P:$P,'5.21出货明细'!$E:$E,$D55,'5.21出货明细'!$AR:$AR,$D$56)</f>
        <v>0</v>
      </c>
      <c r="K55" s="394">
        <f>SUMIFS('5.21出货明细'!$Q:$Q,'5.21出货明细'!$E:$E,$D55,'5.21出货明细'!$AR:$AR,$D$56)</f>
        <v>0</v>
      </c>
      <c r="L55" s="395">
        <f>SUMIFS('5.21出货明细'!$AT:$AT,'5.21出货明细'!$E:$E,$D55,'5.21出货明细'!$AR:$AR,$D$56)</f>
        <v>0</v>
      </c>
      <c r="M55" s="390" t="s">
        <v>2953</v>
      </c>
      <c r="N55" s="396"/>
      <c r="O55" s="396"/>
      <c r="P55" s="397"/>
      <c r="Q55" s="398"/>
      <c r="R55" s="398"/>
      <c r="S55" s="398"/>
      <c r="T55" s="398"/>
      <c r="U55" s="384"/>
      <c r="V55" s="384"/>
      <c r="W55" s="384"/>
      <c r="X55" s="384"/>
      <c r="Y55" s="384"/>
      <c r="Z55" s="384"/>
      <c r="AA55" s="384"/>
      <c r="AB55" s="384"/>
      <c r="AC55" s="384"/>
      <c r="AD55" s="384"/>
      <c r="AE55" s="384"/>
      <c r="AF55" s="384"/>
      <c r="AG55" s="384"/>
      <c r="AH55" s="384"/>
      <c r="AI55" s="384"/>
      <c r="AJ55" s="384"/>
      <c r="AK55" s="384"/>
      <c r="AL55" s="384"/>
      <c r="AM55" s="384"/>
      <c r="AN55" s="384"/>
      <c r="AO55" s="384"/>
      <c r="AP55" s="384"/>
      <c r="AQ55" s="384"/>
      <c r="AR55" s="384"/>
      <c r="AS55" s="384"/>
      <c r="AT55" s="384"/>
      <c r="AU55" s="384"/>
      <c r="AV55" s="384"/>
      <c r="AW55" s="384"/>
      <c r="AX55" s="384"/>
      <c r="AY55" s="384"/>
      <c r="AZ55" s="384"/>
      <c r="BA55" s="384"/>
      <c r="BB55" s="384"/>
      <c r="BC55" s="384"/>
      <c r="BD55" s="384"/>
      <c r="BE55" s="384"/>
      <c r="BF55" s="384"/>
      <c r="BG55" s="384"/>
      <c r="BH55" s="384"/>
      <c r="BI55" s="384"/>
      <c r="BJ55" s="384"/>
      <c r="BK55" s="384"/>
      <c r="BL55" s="384"/>
      <c r="BM55" s="384"/>
      <c r="BN55" s="384"/>
      <c r="BO55" s="384"/>
      <c r="BP55" s="384"/>
      <c r="BQ55" s="384"/>
      <c r="BR55" s="384"/>
      <c r="BS55" s="384"/>
      <c r="BT55" s="384"/>
      <c r="BU55" s="384"/>
      <c r="BV55" s="384"/>
      <c r="BW55" s="384"/>
      <c r="BX55" s="384"/>
      <c r="BY55" s="384"/>
      <c r="BZ55" s="384"/>
      <c r="CA55" s="384"/>
      <c r="CB55" s="384"/>
      <c r="CC55" s="384"/>
      <c r="CD55" s="384"/>
      <c r="CE55" s="384"/>
      <c r="CF55" s="384"/>
      <c r="CG55" s="384"/>
      <c r="CH55" s="384"/>
      <c r="CI55" s="384"/>
      <c r="CJ55" s="384"/>
      <c r="CK55" s="384"/>
      <c r="CL55" s="384"/>
      <c r="CM55" s="384"/>
      <c r="CN55" s="384"/>
      <c r="CO55" s="384"/>
      <c r="CP55" s="384"/>
      <c r="CQ55" s="384"/>
      <c r="CR55" s="384"/>
      <c r="CS55" s="384"/>
      <c r="CT55" s="384"/>
      <c r="CU55" s="384"/>
      <c r="CV55" s="384"/>
      <c r="CW55" s="384"/>
      <c r="CX55" s="384"/>
      <c r="CY55" s="384"/>
      <c r="CZ55" s="384"/>
      <c r="DA55" s="384"/>
      <c r="DB55" s="384"/>
      <c r="DC55" s="384"/>
      <c r="DD55" s="384"/>
      <c r="DE55" s="384"/>
      <c r="DF55" s="384"/>
      <c r="DG55" s="384"/>
      <c r="DH55" s="384"/>
      <c r="DI55" s="384"/>
      <c r="DJ55" s="384"/>
      <c r="DK55" s="384"/>
      <c r="DL55" s="384"/>
      <c r="DM55" s="384"/>
      <c r="DN55" s="384"/>
      <c r="DO55" s="384"/>
      <c r="DP55" s="384"/>
      <c r="DQ55" s="384"/>
      <c r="DR55" s="384"/>
      <c r="DS55" s="384"/>
      <c r="DT55" s="384"/>
      <c r="DU55" s="384"/>
      <c r="DV55" s="384"/>
      <c r="DW55" s="384"/>
      <c r="DX55" s="384"/>
      <c r="DY55" s="384"/>
      <c r="DZ55" s="384"/>
      <c r="EA55" s="384"/>
      <c r="EB55" s="384"/>
      <c r="EC55" s="384"/>
      <c r="ED55" s="384"/>
      <c r="EE55" s="384"/>
      <c r="EF55" s="384"/>
      <c r="EG55" s="384"/>
      <c r="EH55" s="384"/>
      <c r="EI55" s="384"/>
      <c r="EJ55" s="384"/>
      <c r="EK55" s="384"/>
      <c r="EL55" s="384"/>
      <c r="EM55" s="384"/>
      <c r="EN55" s="384"/>
      <c r="EO55" s="384"/>
      <c r="EP55" s="384"/>
      <c r="EQ55" s="384"/>
      <c r="ER55" s="384"/>
      <c r="ES55" s="384"/>
      <c r="ET55" s="384"/>
      <c r="EU55" s="384"/>
      <c r="EV55" s="384"/>
      <c r="EW55" s="384"/>
      <c r="EX55" s="384"/>
      <c r="EY55" s="384"/>
      <c r="EZ55" s="384"/>
      <c r="FA55" s="384"/>
      <c r="FB55" s="384"/>
      <c r="FC55" s="384"/>
      <c r="FD55" s="384"/>
      <c r="FE55" s="384"/>
      <c r="FF55" s="384"/>
      <c r="FG55" s="384"/>
      <c r="FH55" s="384"/>
      <c r="FI55" s="384"/>
      <c r="FJ55" s="384"/>
      <c r="FK55" s="384"/>
      <c r="FL55" s="384"/>
      <c r="FM55" s="384"/>
      <c r="FN55" s="384"/>
      <c r="FO55" s="384"/>
      <c r="FP55" s="384"/>
      <c r="FQ55" s="384"/>
      <c r="FR55" s="384"/>
      <c r="FS55" s="384"/>
      <c r="FT55" s="384"/>
      <c r="FU55" s="384"/>
      <c r="FV55" s="384"/>
      <c r="FW55" s="384"/>
      <c r="FX55" s="384"/>
      <c r="FY55" s="384"/>
      <c r="FZ55" s="384"/>
      <c r="GA55" s="384"/>
      <c r="GB55" s="384"/>
      <c r="GC55" s="384"/>
      <c r="GD55" s="384"/>
      <c r="GE55" s="384"/>
      <c r="GF55" s="384"/>
      <c r="GG55" s="384"/>
      <c r="GH55" s="384"/>
      <c r="GI55" s="384"/>
      <c r="GJ55" s="384"/>
      <c r="GK55" s="384"/>
      <c r="GL55" s="384"/>
      <c r="GM55" s="384"/>
      <c r="GN55" s="384"/>
      <c r="GO55" s="384"/>
      <c r="GP55" s="384"/>
      <c r="GQ55" s="384"/>
      <c r="GR55" s="384"/>
      <c r="GS55" s="384"/>
      <c r="GT55" s="384"/>
      <c r="GU55" s="384"/>
      <c r="GV55" s="384"/>
      <c r="GW55" s="384"/>
      <c r="GX55" s="384"/>
      <c r="GY55" s="384"/>
      <c r="GZ55" s="384"/>
      <c r="HA55" s="384"/>
      <c r="HB55" s="384"/>
      <c r="HC55" s="384"/>
      <c r="HD55" s="384"/>
      <c r="HE55" s="384"/>
      <c r="HF55" s="384"/>
      <c r="HG55" s="384"/>
      <c r="HH55" s="384"/>
      <c r="HI55" s="384"/>
      <c r="HJ55" s="384"/>
      <c r="HK55" s="384"/>
      <c r="HL55" s="384"/>
      <c r="HM55" s="384"/>
      <c r="HN55" s="384"/>
      <c r="HO55" s="384"/>
      <c r="HP55" s="384"/>
      <c r="HQ55" s="384"/>
      <c r="HR55" s="384"/>
      <c r="HS55" s="384"/>
      <c r="HT55" s="384"/>
      <c r="HU55" s="384"/>
      <c r="HV55" s="384"/>
      <c r="HW55" s="384"/>
      <c r="HX55" s="384"/>
      <c r="HY55" s="384"/>
      <c r="HZ55" s="384"/>
      <c r="IA55" s="384"/>
      <c r="IB55" s="384"/>
      <c r="IC55" s="384"/>
      <c r="ID55" s="384"/>
      <c r="IE55" s="384"/>
      <c r="IF55" s="384"/>
      <c r="IG55" s="384"/>
      <c r="IH55" s="384"/>
      <c r="II55" s="384"/>
      <c r="IJ55" s="384"/>
      <c r="IK55" s="384"/>
      <c r="IL55" s="384"/>
      <c r="IM55" s="384"/>
      <c r="IN55" s="384"/>
      <c r="IO55" s="384"/>
      <c r="IP55" s="384"/>
      <c r="IQ55" s="384"/>
      <c r="IR55" s="384"/>
      <c r="IS55" s="384"/>
      <c r="IT55" s="384"/>
      <c r="IU55" s="384"/>
      <c r="IV55" s="384"/>
      <c r="IW55" s="384"/>
      <c r="IX55" s="384"/>
      <c r="IY55" s="384"/>
      <c r="IZ55" s="384"/>
      <c r="JA55" s="384"/>
      <c r="JB55" s="384"/>
      <c r="JC55" s="384"/>
      <c r="JD55" s="384"/>
      <c r="JE55" s="384"/>
      <c r="JF55" s="384"/>
      <c r="JG55" s="384"/>
      <c r="JH55" s="384"/>
      <c r="JI55" s="384"/>
      <c r="JJ55" s="384"/>
      <c r="JK55" s="384"/>
      <c r="JL55" s="384"/>
      <c r="JM55" s="384"/>
      <c r="JN55" s="384"/>
      <c r="JO55" s="384"/>
      <c r="JP55" s="384"/>
      <c r="JQ55" s="384"/>
      <c r="JR55" s="384"/>
      <c r="JS55" s="384"/>
      <c r="JT55" s="384"/>
      <c r="JU55" s="384"/>
      <c r="JV55" s="384"/>
      <c r="JW55" s="384"/>
      <c r="JX55" s="384"/>
      <c r="JY55" s="384"/>
      <c r="JZ55" s="384"/>
      <c r="KA55" s="384"/>
      <c r="KB55" s="384"/>
      <c r="KC55" s="384"/>
      <c r="KD55" s="384"/>
      <c r="KE55" s="384"/>
      <c r="KF55" s="384"/>
      <c r="KG55" s="384"/>
      <c r="KH55" s="384"/>
      <c r="KI55" s="384"/>
      <c r="KJ55" s="384"/>
      <c r="KK55" s="384"/>
      <c r="KL55" s="384"/>
      <c r="KM55" s="384"/>
      <c r="KN55" s="384"/>
      <c r="KO55" s="384"/>
      <c r="KP55" s="384"/>
      <c r="KQ55" s="384"/>
      <c r="KR55" s="384"/>
      <c r="KS55" s="384"/>
      <c r="KT55" s="384"/>
      <c r="KU55" s="384"/>
      <c r="KV55" s="384"/>
      <c r="KW55" s="384"/>
      <c r="KX55" s="384"/>
      <c r="KY55" s="384"/>
      <c r="KZ55" s="384"/>
      <c r="LA55" s="384"/>
      <c r="LB55" s="384"/>
      <c r="LC55" s="384"/>
      <c r="LD55" s="384"/>
      <c r="LE55" s="384"/>
      <c r="LF55" s="384"/>
      <c r="LG55" s="384"/>
      <c r="LH55" s="384"/>
      <c r="LI55" s="384"/>
      <c r="LJ55" s="384"/>
      <c r="LK55" s="384"/>
      <c r="LL55" s="384"/>
      <c r="LM55" s="384"/>
      <c r="LN55" s="384"/>
      <c r="LO55" s="384"/>
      <c r="LP55" s="384"/>
      <c r="LQ55" s="384"/>
      <c r="LR55" s="384"/>
      <c r="LS55" s="384"/>
      <c r="LT55" s="384"/>
      <c r="LU55" s="384"/>
      <c r="LV55" s="384"/>
      <c r="LW55" s="384"/>
      <c r="LX55" s="384"/>
      <c r="LY55" s="384"/>
      <c r="LZ55" s="384"/>
      <c r="MA55" s="384"/>
      <c r="MB55" s="384"/>
      <c r="MC55" s="384"/>
      <c r="MD55" s="384"/>
      <c r="ME55" s="384"/>
      <c r="MF55" s="384"/>
      <c r="MG55" s="384"/>
      <c r="MH55" s="384"/>
      <c r="MI55" s="384"/>
      <c r="MJ55" s="384"/>
      <c r="MK55" s="384"/>
      <c r="ML55" s="384"/>
      <c r="MM55" s="384"/>
      <c r="MN55" s="384"/>
      <c r="MO55" s="384"/>
      <c r="MP55" s="384"/>
      <c r="MQ55" s="384"/>
      <c r="MR55" s="384"/>
      <c r="MS55" s="384"/>
      <c r="MT55" s="384"/>
      <c r="MU55" s="384"/>
      <c r="MV55" s="384"/>
      <c r="MW55" s="384"/>
      <c r="MX55" s="384"/>
      <c r="MY55" s="384"/>
      <c r="MZ55" s="384"/>
      <c r="NA55" s="384"/>
      <c r="NB55" s="384"/>
      <c r="NC55" s="384"/>
      <c r="ND55" s="384"/>
      <c r="NE55" s="384"/>
      <c r="NF55" s="384"/>
      <c r="NG55" s="384"/>
      <c r="NH55" s="384"/>
      <c r="NI55" s="384"/>
      <c r="NJ55" s="384"/>
      <c r="NK55" s="384"/>
      <c r="NL55" s="384"/>
      <c r="NM55" s="384"/>
      <c r="NN55" s="384"/>
      <c r="NO55" s="384"/>
      <c r="NP55" s="384"/>
      <c r="NQ55" s="384"/>
      <c r="NR55" s="384"/>
      <c r="NS55" s="384"/>
      <c r="NT55" s="384"/>
      <c r="NU55" s="384"/>
      <c r="NV55" s="384"/>
      <c r="NW55" s="384"/>
      <c r="NX55" s="384"/>
      <c r="NY55" s="384"/>
      <c r="NZ55" s="384"/>
      <c r="OA55" s="384"/>
      <c r="OB55" s="384"/>
      <c r="OC55" s="384"/>
      <c r="OD55" s="384"/>
      <c r="OE55" s="384"/>
      <c r="OF55" s="384"/>
      <c r="OG55" s="384"/>
      <c r="OH55" s="384"/>
      <c r="OI55" s="384"/>
      <c r="OJ55" s="384"/>
      <c r="OK55" s="384"/>
      <c r="OL55" s="384"/>
      <c r="OM55" s="384"/>
      <c r="ON55" s="384"/>
      <c r="OO55" s="384"/>
      <c r="OP55" s="384"/>
      <c r="OQ55" s="384"/>
      <c r="OR55" s="384"/>
      <c r="OS55" s="384"/>
      <c r="OT55" s="384"/>
      <c r="OU55" s="384"/>
      <c r="OV55" s="384"/>
      <c r="OW55" s="384"/>
      <c r="OX55" s="384"/>
      <c r="OY55" s="384"/>
      <c r="OZ55" s="384"/>
      <c r="PA55" s="384"/>
      <c r="PB55" s="384"/>
      <c r="PC55" s="384"/>
      <c r="PD55" s="384"/>
      <c r="PE55" s="384"/>
      <c r="PF55" s="384"/>
      <c r="PG55" s="384"/>
      <c r="PH55" s="384"/>
      <c r="PI55" s="384"/>
      <c r="PJ55" s="384"/>
      <c r="PK55" s="384"/>
      <c r="PL55" s="384"/>
      <c r="PM55" s="384"/>
      <c r="PN55" s="384"/>
      <c r="PO55" s="384"/>
      <c r="PP55" s="384"/>
      <c r="PQ55" s="384"/>
      <c r="PR55" s="384"/>
      <c r="PS55" s="384"/>
      <c r="PT55" s="384"/>
      <c r="PU55" s="384"/>
      <c r="PV55" s="384"/>
      <c r="PW55" s="384"/>
      <c r="PX55" s="384"/>
      <c r="PY55" s="384"/>
      <c r="PZ55" s="384"/>
      <c r="QA55" s="384"/>
      <c r="QB55" s="384"/>
      <c r="QC55" s="384"/>
      <c r="QD55" s="384"/>
      <c r="QE55" s="384"/>
      <c r="QF55" s="384"/>
      <c r="QG55" s="384"/>
      <c r="QH55" s="384"/>
      <c r="QI55" s="384"/>
      <c r="QJ55" s="384"/>
      <c r="QK55" s="384"/>
      <c r="QL55" s="384"/>
      <c r="QM55" s="384"/>
      <c r="QN55" s="384"/>
      <c r="QO55" s="384"/>
      <c r="QP55" s="384"/>
      <c r="QQ55" s="384"/>
      <c r="QR55" s="384"/>
      <c r="QS55" s="384"/>
      <c r="QT55" s="384"/>
      <c r="QU55" s="384"/>
      <c r="QV55" s="384"/>
      <c r="QW55" s="384"/>
      <c r="QX55" s="384"/>
      <c r="QY55" s="384"/>
      <c r="QZ55" s="384"/>
      <c r="RA55" s="384"/>
      <c r="RB55" s="384"/>
      <c r="RC55" s="384"/>
      <c r="RD55" s="384"/>
      <c r="RE55" s="384"/>
      <c r="RF55" s="384"/>
      <c r="RG55" s="384"/>
      <c r="RH55" s="384"/>
      <c r="RI55" s="384"/>
      <c r="RJ55" s="384"/>
      <c r="RK55" s="384"/>
      <c r="RL55" s="384"/>
      <c r="RM55" s="384"/>
      <c r="RN55" s="384"/>
      <c r="RO55" s="384"/>
      <c r="RP55" s="384"/>
      <c r="RQ55" s="384"/>
      <c r="RR55" s="384"/>
      <c r="RS55" s="384"/>
      <c r="RT55" s="384"/>
      <c r="RU55" s="384"/>
      <c r="RV55" s="384"/>
      <c r="RW55" s="384"/>
      <c r="RX55" s="384"/>
      <c r="RY55" s="384"/>
      <c r="RZ55" s="384"/>
      <c r="SA55" s="384"/>
      <c r="SB55" s="384"/>
      <c r="SC55" s="384"/>
      <c r="SD55" s="384"/>
      <c r="SE55" s="384"/>
      <c r="SF55" s="384"/>
      <c r="SG55" s="384"/>
      <c r="SH55" s="384"/>
      <c r="SI55" s="384"/>
      <c r="SJ55" s="384"/>
      <c r="SK55" s="384"/>
      <c r="SL55" s="384"/>
      <c r="SM55" s="384"/>
      <c r="SN55" s="384"/>
      <c r="SO55" s="384"/>
      <c r="SP55" s="384"/>
      <c r="SQ55" s="384"/>
      <c r="SR55" s="384"/>
      <c r="SS55" s="384"/>
      <c r="ST55" s="384"/>
      <c r="SU55" s="384"/>
      <c r="SV55" s="384"/>
      <c r="SW55" s="384"/>
      <c r="SX55" s="384"/>
      <c r="SY55" s="384"/>
      <c r="SZ55" s="384"/>
      <c r="TA55" s="384"/>
      <c r="TB55" s="384"/>
      <c r="TC55" s="384"/>
      <c r="TD55" s="384"/>
      <c r="TE55" s="384"/>
      <c r="TF55" s="384"/>
      <c r="TG55" s="384"/>
      <c r="TH55" s="384"/>
      <c r="TI55" s="384"/>
      <c r="TJ55" s="384"/>
      <c r="TK55" s="384"/>
      <c r="TL55" s="384"/>
      <c r="TM55" s="384"/>
      <c r="TN55" s="384"/>
      <c r="TO55" s="384"/>
      <c r="TP55" s="384"/>
      <c r="TQ55" s="384"/>
      <c r="TR55" s="384"/>
      <c r="TS55" s="384"/>
      <c r="TT55" s="384"/>
      <c r="TU55" s="384"/>
      <c r="TV55" s="384"/>
      <c r="TW55" s="384"/>
      <c r="TX55" s="384"/>
      <c r="TY55" s="384"/>
      <c r="TZ55" s="384"/>
      <c r="UA55" s="384"/>
      <c r="UB55" s="384"/>
      <c r="UC55" s="384"/>
      <c r="UD55" s="384"/>
      <c r="UE55" s="384"/>
      <c r="UF55" s="384"/>
      <c r="UG55" s="384"/>
      <c r="UH55" s="384"/>
      <c r="UI55" s="384"/>
      <c r="UJ55" s="384"/>
      <c r="UK55" s="384"/>
      <c r="UL55" s="384"/>
      <c r="UM55" s="384"/>
      <c r="UN55" s="384"/>
      <c r="UO55" s="384"/>
      <c r="UP55" s="384"/>
      <c r="UQ55" s="384"/>
      <c r="UR55" s="384"/>
      <c r="US55" s="384"/>
      <c r="UT55" s="384"/>
      <c r="UU55" s="384"/>
      <c r="UV55" s="384"/>
      <c r="UW55" s="384"/>
      <c r="UX55" s="384"/>
      <c r="UY55" s="384"/>
      <c r="UZ55" s="384"/>
      <c r="VA55" s="384"/>
      <c r="VB55" s="384"/>
      <c r="VC55" s="384"/>
      <c r="VD55" s="384"/>
      <c r="VE55" s="384"/>
      <c r="VF55" s="384"/>
      <c r="VG55" s="384"/>
      <c r="VH55" s="384"/>
      <c r="VI55" s="384"/>
      <c r="VJ55" s="384"/>
      <c r="VK55" s="384"/>
      <c r="VL55" s="384"/>
      <c r="VM55" s="384"/>
      <c r="VN55" s="384"/>
      <c r="VO55" s="384"/>
      <c r="VP55" s="384"/>
      <c r="VQ55" s="384"/>
      <c r="VR55" s="384"/>
      <c r="VS55" s="384"/>
      <c r="VT55" s="384"/>
      <c r="VU55" s="384"/>
      <c r="VV55" s="384"/>
      <c r="VW55" s="384"/>
      <c r="VX55" s="384"/>
      <c r="VY55" s="384"/>
      <c r="VZ55" s="384"/>
      <c r="WA55" s="384"/>
      <c r="WB55" s="384"/>
      <c r="WC55" s="384"/>
      <c r="WD55" s="384"/>
      <c r="WE55" s="384"/>
      <c r="WF55" s="384"/>
      <c r="WG55" s="384"/>
      <c r="WH55" s="384"/>
      <c r="WI55" s="384"/>
      <c r="WJ55" s="384"/>
      <c r="WK55" s="384"/>
      <c r="WL55" s="384"/>
      <c r="WM55" s="384"/>
      <c r="WN55" s="384"/>
      <c r="WO55" s="384"/>
      <c r="WP55" s="384"/>
      <c r="WQ55" s="384"/>
      <c r="WR55" s="384"/>
      <c r="WS55" s="384"/>
      <c r="WT55" s="384"/>
      <c r="WU55" s="384"/>
      <c r="WV55" s="384"/>
      <c r="WW55" s="384"/>
      <c r="WX55" s="384"/>
      <c r="WY55" s="384"/>
      <c r="WZ55" s="384"/>
      <c r="XA55" s="384"/>
      <c r="XB55" s="384"/>
      <c r="XC55" s="384"/>
      <c r="XD55" s="384"/>
      <c r="XE55" s="384"/>
      <c r="XF55" s="384"/>
      <c r="XG55" s="384"/>
      <c r="XH55" s="384"/>
      <c r="XI55" s="384"/>
      <c r="XJ55" s="384"/>
      <c r="XK55" s="384"/>
      <c r="XL55" s="384"/>
      <c r="XM55" s="384"/>
      <c r="XN55" s="384"/>
      <c r="XO55" s="384"/>
      <c r="XP55" s="384"/>
      <c r="XQ55" s="384"/>
      <c r="XR55" s="384"/>
      <c r="XS55" s="384"/>
      <c r="XT55" s="384"/>
      <c r="XU55" s="384"/>
      <c r="XV55" s="384"/>
      <c r="XW55" s="384"/>
      <c r="XX55" s="384"/>
      <c r="XY55" s="384"/>
      <c r="XZ55" s="384"/>
      <c r="YA55" s="384"/>
      <c r="YB55" s="384"/>
      <c r="YC55" s="384"/>
      <c r="YD55" s="384"/>
      <c r="YE55" s="384"/>
      <c r="YF55" s="384"/>
      <c r="YG55" s="384"/>
      <c r="YH55" s="384"/>
      <c r="YI55" s="384"/>
      <c r="YJ55" s="384"/>
      <c r="YK55" s="384"/>
      <c r="YL55" s="384"/>
      <c r="YM55" s="384"/>
      <c r="YN55" s="384"/>
      <c r="YO55" s="384"/>
      <c r="YP55" s="384"/>
      <c r="YQ55" s="384"/>
      <c r="YR55" s="384"/>
      <c r="YS55" s="384"/>
      <c r="YT55" s="384"/>
      <c r="YU55" s="384"/>
      <c r="YV55" s="384"/>
      <c r="YW55" s="384"/>
      <c r="YX55" s="384"/>
      <c r="YY55" s="384"/>
      <c r="YZ55" s="384"/>
      <c r="ZA55" s="384"/>
      <c r="ZB55" s="384"/>
      <c r="ZC55" s="384"/>
      <c r="ZD55" s="384"/>
      <c r="ZE55" s="384"/>
      <c r="ZF55" s="384"/>
      <c r="ZG55" s="384"/>
      <c r="ZH55" s="384"/>
      <c r="ZI55" s="384"/>
      <c r="ZJ55" s="384"/>
      <c r="ZK55" s="384"/>
      <c r="ZL55" s="384"/>
      <c r="ZM55" s="384"/>
      <c r="ZN55" s="384"/>
      <c r="ZO55" s="384"/>
      <c r="ZP55" s="384"/>
      <c r="ZQ55" s="384"/>
      <c r="ZR55" s="384"/>
      <c r="ZS55" s="384"/>
      <c r="ZT55" s="384"/>
      <c r="ZU55" s="384"/>
      <c r="ZV55" s="384"/>
      <c r="ZW55" s="384"/>
      <c r="ZX55" s="384"/>
      <c r="ZY55" s="384"/>
      <c r="ZZ55" s="384"/>
      <c r="AAA55" s="384"/>
      <c r="AAB55" s="384"/>
      <c r="AAC55" s="384"/>
      <c r="AAD55" s="384"/>
      <c r="AAE55" s="384"/>
      <c r="AAF55" s="384"/>
      <c r="AAG55" s="384"/>
      <c r="AAH55" s="384"/>
      <c r="AAI55" s="384"/>
      <c r="AAJ55" s="384"/>
      <c r="AAK55" s="384"/>
      <c r="AAL55" s="384"/>
      <c r="AAM55" s="384"/>
      <c r="AAN55" s="384"/>
      <c r="AAO55" s="384"/>
      <c r="AAP55" s="384"/>
      <c r="AAQ55" s="384"/>
      <c r="AAR55" s="384"/>
      <c r="AAS55" s="384"/>
      <c r="AAT55" s="384"/>
      <c r="AAU55" s="384"/>
      <c r="AAV55" s="384"/>
      <c r="AAW55" s="384"/>
      <c r="AAX55" s="384"/>
      <c r="AAY55" s="384"/>
      <c r="AAZ55" s="384"/>
      <c r="ABA55" s="384"/>
      <c r="ABB55" s="384"/>
      <c r="ABC55" s="384"/>
      <c r="ABD55" s="384"/>
      <c r="ABE55" s="384"/>
      <c r="ABF55" s="384"/>
      <c r="ABG55" s="384"/>
      <c r="ABH55" s="384"/>
      <c r="ABI55" s="384"/>
      <c r="ABJ55" s="384"/>
      <c r="ABK55" s="384"/>
      <c r="ABL55" s="384"/>
      <c r="ABM55" s="384"/>
      <c r="ABN55" s="384"/>
      <c r="ABO55" s="384"/>
      <c r="ABP55" s="384"/>
      <c r="ABQ55" s="384"/>
      <c r="ABR55" s="384"/>
      <c r="ABS55" s="384"/>
      <c r="ABT55" s="384"/>
      <c r="ABU55" s="384"/>
      <c r="ABV55" s="384"/>
      <c r="ABW55" s="384"/>
      <c r="ABX55" s="384"/>
      <c r="ABY55" s="384"/>
      <c r="ABZ55" s="384"/>
      <c r="ACA55" s="384"/>
      <c r="ACB55" s="384"/>
      <c r="ACC55" s="384"/>
      <c r="ACD55" s="384"/>
      <c r="ACE55" s="384"/>
      <c r="ACF55" s="384"/>
      <c r="ACG55" s="384"/>
      <c r="ACH55" s="384"/>
      <c r="ACI55" s="384"/>
      <c r="ACJ55" s="384"/>
      <c r="ACK55" s="384"/>
      <c r="ACL55" s="384"/>
      <c r="ACM55" s="384"/>
      <c r="ACN55" s="384"/>
      <c r="ACO55" s="384"/>
      <c r="ACP55" s="384"/>
      <c r="ACQ55" s="384"/>
      <c r="ACR55" s="384"/>
      <c r="ACS55" s="384"/>
      <c r="ACT55" s="384"/>
      <c r="ACU55" s="384"/>
      <c r="ACV55" s="384"/>
      <c r="ACW55" s="384"/>
      <c r="ACX55" s="384"/>
      <c r="ACY55" s="384"/>
      <c r="ACZ55" s="384"/>
      <c r="ADA55" s="384"/>
      <c r="ADB55" s="384"/>
      <c r="ADC55" s="384"/>
      <c r="ADD55" s="384"/>
      <c r="ADE55" s="384"/>
      <c r="ADF55" s="384"/>
      <c r="ADG55" s="384"/>
      <c r="ADH55" s="384"/>
      <c r="ADI55" s="384"/>
      <c r="ADJ55" s="384"/>
      <c r="ADK55" s="384"/>
      <c r="ADL55" s="384"/>
      <c r="ADM55" s="384"/>
      <c r="ADN55" s="384"/>
      <c r="ADO55" s="384"/>
      <c r="ADP55" s="384"/>
      <c r="ADQ55" s="384"/>
      <c r="ADR55" s="384"/>
      <c r="ADS55" s="384"/>
      <c r="ADT55" s="384"/>
      <c r="ADU55" s="384"/>
      <c r="ADV55" s="384"/>
      <c r="ADW55" s="384"/>
      <c r="ADX55" s="384"/>
      <c r="ADY55" s="384"/>
      <c r="ADZ55" s="384"/>
      <c r="AEA55" s="384"/>
      <c r="AEB55" s="384"/>
      <c r="AEC55" s="384"/>
      <c r="AED55" s="384"/>
      <c r="AEE55" s="384"/>
      <c r="AEF55" s="384"/>
      <c r="AEG55" s="384"/>
      <c r="AEH55" s="384"/>
      <c r="AEI55" s="384"/>
      <c r="AEJ55" s="384"/>
      <c r="AEK55" s="384"/>
      <c r="AEL55" s="384"/>
      <c r="AEM55" s="384"/>
      <c r="AEN55" s="384"/>
      <c r="AEO55" s="384"/>
      <c r="AEP55" s="384"/>
      <c r="AEQ55" s="384"/>
      <c r="AER55" s="384"/>
      <c r="AES55" s="384"/>
      <c r="AET55" s="384"/>
      <c r="AEU55" s="384"/>
      <c r="AEV55" s="384"/>
      <c r="AEW55" s="384"/>
      <c r="AEX55" s="384"/>
      <c r="AEY55" s="384"/>
      <c r="AEZ55" s="384"/>
      <c r="AFA55" s="384"/>
      <c r="AFB55" s="384"/>
      <c r="AFC55" s="384"/>
      <c r="AFD55" s="384"/>
      <c r="AFE55" s="384"/>
      <c r="AFF55" s="384"/>
      <c r="AFG55" s="384"/>
      <c r="AFH55" s="384"/>
      <c r="AFI55" s="384"/>
      <c r="AFJ55" s="384"/>
      <c r="AFK55" s="384"/>
      <c r="AFL55" s="384"/>
      <c r="AFM55" s="384"/>
      <c r="AFN55" s="384"/>
      <c r="AFO55" s="384"/>
      <c r="AFP55" s="384"/>
      <c r="AFQ55" s="384"/>
      <c r="AFR55" s="384"/>
      <c r="AFS55" s="384"/>
      <c r="AFT55" s="384"/>
      <c r="AFU55" s="384"/>
      <c r="AFV55" s="384"/>
      <c r="AFW55" s="384"/>
      <c r="AFX55" s="384"/>
      <c r="AFY55" s="384"/>
      <c r="AFZ55" s="384"/>
      <c r="AGA55" s="384"/>
      <c r="AGB55" s="384"/>
      <c r="AGC55" s="384"/>
      <c r="AGD55" s="384"/>
      <c r="AGE55" s="384"/>
      <c r="AGF55" s="384"/>
      <c r="AGG55" s="384"/>
      <c r="AGH55" s="384"/>
      <c r="AGI55" s="384"/>
      <c r="AGJ55" s="384"/>
      <c r="AGK55" s="384"/>
      <c r="AGL55" s="384"/>
      <c r="AGM55" s="384"/>
      <c r="AGN55" s="384"/>
      <c r="AGO55" s="384"/>
      <c r="AGP55" s="384"/>
      <c r="AGQ55" s="384"/>
      <c r="AGR55" s="384"/>
      <c r="AGS55" s="384"/>
      <c r="AGT55" s="384"/>
      <c r="AGU55" s="384"/>
      <c r="AGV55" s="384"/>
      <c r="AGW55" s="384"/>
      <c r="AGX55" s="384"/>
      <c r="AGY55" s="384"/>
      <c r="AGZ55" s="384"/>
      <c r="AHA55" s="384"/>
      <c r="AHB55" s="384"/>
      <c r="AHC55" s="384"/>
      <c r="AHD55" s="384"/>
      <c r="AHE55" s="384"/>
      <c r="AHF55" s="384"/>
      <c r="AHG55" s="384"/>
      <c r="AHH55" s="384"/>
      <c r="AHI55" s="384"/>
      <c r="AHJ55" s="384"/>
      <c r="AHK55" s="384"/>
      <c r="AHL55" s="384"/>
      <c r="AHM55" s="384"/>
      <c r="AHN55" s="384"/>
      <c r="AHO55" s="384"/>
      <c r="AHP55" s="384"/>
      <c r="AHQ55" s="384"/>
      <c r="AHR55" s="384"/>
      <c r="AHS55" s="384"/>
      <c r="AHT55" s="384"/>
      <c r="AHU55" s="384"/>
      <c r="AHV55" s="384"/>
      <c r="AHW55" s="384"/>
      <c r="AHX55" s="384"/>
      <c r="AHY55" s="384"/>
      <c r="AHZ55" s="384"/>
      <c r="AIA55" s="384"/>
      <c r="AIB55" s="384"/>
      <c r="AIC55" s="384"/>
      <c r="AID55" s="384"/>
      <c r="AIE55" s="384"/>
      <c r="AIF55" s="384"/>
      <c r="AIG55" s="384"/>
      <c r="AIH55" s="384"/>
      <c r="AII55" s="384"/>
      <c r="AIJ55" s="384"/>
      <c r="AIK55" s="384"/>
      <c r="AIL55" s="384"/>
      <c r="AIM55" s="384"/>
      <c r="AIN55" s="384"/>
      <c r="AIO55" s="384"/>
      <c r="AIP55" s="384"/>
      <c r="AIQ55" s="384"/>
      <c r="AIR55" s="384"/>
      <c r="AIS55" s="384"/>
      <c r="AIT55" s="384"/>
      <c r="AIU55" s="384"/>
      <c r="AIV55" s="384"/>
      <c r="AIW55" s="384"/>
      <c r="AIX55" s="384"/>
      <c r="AIY55" s="384"/>
      <c r="AIZ55" s="384"/>
      <c r="AJA55" s="384"/>
      <c r="AJB55" s="384"/>
      <c r="AJC55" s="384"/>
      <c r="AJD55" s="384"/>
      <c r="AJE55" s="384"/>
      <c r="AJF55" s="384"/>
      <c r="AJG55" s="384"/>
      <c r="AJH55" s="384"/>
      <c r="AJI55" s="384"/>
      <c r="AJJ55" s="384"/>
      <c r="AJK55" s="384"/>
      <c r="AJL55" s="384"/>
      <c r="AJM55" s="384"/>
      <c r="AJN55" s="384"/>
      <c r="AJO55" s="384"/>
      <c r="AJP55" s="384"/>
      <c r="AJQ55" s="384"/>
      <c r="AJR55" s="384"/>
      <c r="AJS55" s="384"/>
      <c r="AJT55" s="384"/>
      <c r="AJU55" s="384"/>
      <c r="AJV55" s="384"/>
      <c r="AJW55" s="384"/>
      <c r="AJX55" s="384"/>
      <c r="AJY55" s="384"/>
      <c r="AJZ55" s="384"/>
      <c r="AKA55" s="384"/>
      <c r="AKB55" s="384"/>
      <c r="AKC55" s="384"/>
      <c r="AKD55" s="384"/>
      <c r="AKE55" s="384"/>
      <c r="AKF55" s="384"/>
      <c r="AKG55" s="384"/>
      <c r="AKH55" s="384"/>
      <c r="AKI55" s="384"/>
      <c r="AKJ55" s="384"/>
      <c r="AKK55" s="384"/>
      <c r="AKL55" s="384"/>
      <c r="AKM55" s="384"/>
      <c r="AKN55" s="384"/>
      <c r="AKO55" s="384"/>
      <c r="AKP55" s="384"/>
      <c r="AKQ55" s="384"/>
      <c r="AKR55" s="384"/>
      <c r="AKS55" s="384"/>
      <c r="AKT55" s="384"/>
      <c r="AKU55" s="384"/>
      <c r="AKV55" s="384"/>
      <c r="AKW55" s="384"/>
      <c r="AKX55" s="384"/>
      <c r="AKY55" s="384"/>
      <c r="AKZ55" s="384"/>
      <c r="ALA55" s="384"/>
      <c r="ALB55" s="384"/>
      <c r="ALC55" s="384"/>
      <c r="ALD55" s="384"/>
      <c r="ALE55" s="384"/>
      <c r="ALF55" s="384"/>
      <c r="ALG55" s="384"/>
      <c r="ALH55" s="384"/>
      <c r="ALI55" s="384"/>
      <c r="ALJ55" s="384"/>
      <c r="ALK55" s="384"/>
      <c r="ALL55" s="384"/>
      <c r="ALM55" s="384"/>
      <c r="ALN55" s="384"/>
      <c r="ALO55" s="384"/>
      <c r="ALP55" s="384"/>
      <c r="ALQ55" s="384"/>
      <c r="ALR55" s="384"/>
      <c r="ALS55" s="384"/>
      <c r="ALT55" s="384"/>
      <c r="ALU55" s="384"/>
      <c r="ALV55" s="384"/>
      <c r="ALW55" s="384"/>
      <c r="ALX55" s="384"/>
      <c r="ALY55" s="384"/>
      <c r="ALZ55" s="384"/>
      <c r="AMA55" s="384"/>
      <c r="AMB55" s="384"/>
      <c r="AMC55" s="384"/>
      <c r="AMD55" s="384"/>
      <c r="AME55" s="384"/>
      <c r="AMF55" s="384"/>
      <c r="AMG55" s="384"/>
      <c r="AMH55" s="384"/>
      <c r="AMI55" s="384"/>
      <c r="AMJ55" s="384"/>
      <c r="AMK55" s="384"/>
      <c r="AML55" s="384"/>
      <c r="AMM55" s="384"/>
      <c r="AMN55" s="384"/>
      <c r="AMO55" s="384"/>
      <c r="AMP55" s="384"/>
      <c r="AMQ55" s="384"/>
      <c r="AMR55" s="384"/>
      <c r="AMS55" s="384"/>
      <c r="AMT55" s="384"/>
      <c r="AMU55" s="384"/>
      <c r="AMV55" s="384"/>
      <c r="AMW55" s="384"/>
      <c r="AMX55" s="384"/>
      <c r="AMY55" s="384"/>
      <c r="AMZ55" s="384"/>
      <c r="ANA55" s="384"/>
      <c r="ANB55" s="384"/>
      <c r="ANC55" s="384"/>
      <c r="AND55" s="384"/>
      <c r="ANE55" s="384"/>
      <c r="ANF55" s="384"/>
      <c r="ANG55" s="384"/>
      <c r="ANH55" s="384"/>
      <c r="ANI55" s="384"/>
      <c r="ANJ55" s="384"/>
      <c r="ANK55" s="384"/>
      <c r="ANL55" s="384"/>
      <c r="ANM55" s="384"/>
      <c r="ANN55" s="384"/>
      <c r="ANO55" s="384"/>
      <c r="ANP55" s="384"/>
      <c r="ANQ55" s="384"/>
      <c r="ANR55" s="384"/>
      <c r="ANS55" s="384"/>
      <c r="ANT55" s="384"/>
      <c r="ANU55" s="384"/>
      <c r="ANV55" s="384"/>
      <c r="ANW55" s="384"/>
      <c r="ANX55" s="384"/>
      <c r="ANY55" s="384"/>
      <c r="ANZ55" s="384"/>
      <c r="AOA55" s="384"/>
      <c r="AOB55" s="384"/>
      <c r="AOC55" s="384"/>
      <c r="AOD55" s="384"/>
      <c r="AOE55" s="384"/>
      <c r="AOF55" s="384"/>
      <c r="AOG55" s="384"/>
      <c r="AOH55" s="384"/>
      <c r="AOI55" s="384"/>
      <c r="AOJ55" s="384"/>
      <c r="AOK55" s="384"/>
      <c r="AOL55" s="384"/>
      <c r="AOM55" s="384"/>
      <c r="AON55" s="384"/>
      <c r="AOO55" s="384"/>
      <c r="AOP55" s="384"/>
      <c r="AOQ55" s="384"/>
      <c r="AOR55" s="384"/>
      <c r="AOS55" s="384"/>
      <c r="AOT55" s="384"/>
      <c r="AOU55" s="384"/>
      <c r="AOV55" s="384"/>
      <c r="AOW55" s="384"/>
      <c r="AOX55" s="384"/>
      <c r="AOY55" s="384"/>
      <c r="AOZ55" s="384"/>
      <c r="APA55" s="384"/>
      <c r="APB55" s="384"/>
      <c r="APC55" s="384"/>
      <c r="APD55" s="384"/>
      <c r="APE55" s="384"/>
      <c r="APF55" s="384"/>
      <c r="APG55" s="384"/>
      <c r="APH55" s="384"/>
      <c r="API55" s="384"/>
      <c r="APJ55" s="384"/>
      <c r="APK55" s="384"/>
      <c r="APL55" s="384"/>
      <c r="APM55" s="384"/>
      <c r="APN55" s="384"/>
      <c r="APO55" s="384"/>
      <c r="APP55" s="384"/>
      <c r="APQ55" s="384"/>
      <c r="APR55" s="384"/>
      <c r="APS55" s="384"/>
      <c r="APT55" s="384"/>
      <c r="APU55" s="384"/>
      <c r="APV55" s="384"/>
      <c r="APW55" s="384"/>
      <c r="APX55" s="384"/>
      <c r="APY55" s="384"/>
      <c r="APZ55" s="384"/>
      <c r="AQA55" s="384"/>
      <c r="AQB55" s="384"/>
      <c r="AQC55" s="384"/>
      <c r="AQD55" s="384"/>
      <c r="AQE55" s="384"/>
      <c r="AQF55" s="384"/>
      <c r="AQG55" s="384"/>
      <c r="AQH55" s="384"/>
      <c r="AQI55" s="384"/>
      <c r="AQJ55" s="384"/>
      <c r="AQK55" s="384"/>
      <c r="AQL55" s="384"/>
      <c r="AQM55" s="384"/>
      <c r="AQN55" s="384"/>
      <c r="AQO55" s="384"/>
      <c r="AQP55" s="384"/>
      <c r="AQQ55" s="384"/>
      <c r="AQR55" s="384"/>
      <c r="AQS55" s="384"/>
      <c r="AQT55" s="384"/>
      <c r="AQU55" s="384"/>
      <c r="AQV55" s="384"/>
      <c r="AQW55" s="384"/>
      <c r="AQX55" s="384"/>
      <c r="AQY55" s="384"/>
      <c r="AQZ55" s="384"/>
      <c r="ARA55" s="384"/>
      <c r="ARB55" s="384"/>
      <c r="ARC55" s="384"/>
      <c r="ARD55" s="384"/>
      <c r="ARE55" s="384"/>
      <c r="ARF55" s="384"/>
      <c r="ARG55" s="384"/>
      <c r="ARH55" s="384"/>
      <c r="ARI55" s="384"/>
      <c r="ARJ55" s="384"/>
      <c r="ARK55" s="384"/>
      <c r="ARL55" s="384"/>
      <c r="ARM55" s="384"/>
      <c r="ARN55" s="384"/>
      <c r="ARO55" s="384"/>
      <c r="ARP55" s="384"/>
      <c r="ARQ55" s="384"/>
      <c r="ARR55" s="384"/>
      <c r="ARS55" s="384"/>
      <c r="ART55" s="384"/>
      <c r="ARU55" s="384"/>
      <c r="ARV55" s="384"/>
      <c r="ARW55" s="384"/>
      <c r="ARX55" s="384"/>
      <c r="ARY55" s="384"/>
      <c r="ARZ55" s="384"/>
      <c r="ASA55" s="384"/>
      <c r="ASB55" s="384"/>
      <c r="ASC55" s="384"/>
      <c r="ASD55" s="384"/>
      <c r="ASE55" s="384"/>
      <c r="ASF55" s="384"/>
      <c r="ASG55" s="384"/>
      <c r="ASH55" s="384"/>
      <c r="ASI55" s="384"/>
      <c r="ASJ55" s="384"/>
      <c r="ASK55" s="384"/>
      <c r="ASL55" s="384"/>
      <c r="ASM55" s="384"/>
      <c r="ASN55" s="384"/>
      <c r="ASO55" s="384"/>
      <c r="ASP55" s="384"/>
      <c r="ASQ55" s="384"/>
      <c r="ASR55" s="384"/>
      <c r="ASS55" s="384"/>
      <c r="AST55" s="384"/>
      <c r="ASU55" s="384"/>
      <c r="ASV55" s="384"/>
      <c r="ASW55" s="384"/>
      <c r="ASX55" s="384"/>
      <c r="ASY55" s="384"/>
      <c r="ASZ55" s="384"/>
      <c r="ATA55" s="384"/>
      <c r="ATB55" s="384"/>
      <c r="ATC55" s="384"/>
      <c r="ATD55" s="384"/>
      <c r="ATE55" s="384"/>
      <c r="ATF55" s="384"/>
      <c r="ATG55" s="384"/>
      <c r="ATH55" s="384"/>
      <c r="ATI55" s="384"/>
      <c r="ATJ55" s="384"/>
      <c r="ATK55" s="384"/>
      <c r="ATL55" s="384"/>
      <c r="ATM55" s="384"/>
      <c r="ATN55" s="384"/>
      <c r="ATO55" s="384"/>
      <c r="ATP55" s="384"/>
      <c r="ATQ55" s="384"/>
      <c r="ATR55" s="384"/>
      <c r="ATS55" s="384"/>
      <c r="ATT55" s="384"/>
      <c r="ATU55" s="384"/>
      <c r="ATV55" s="384"/>
      <c r="ATW55" s="384"/>
      <c r="ATX55" s="384"/>
      <c r="ATY55" s="384"/>
      <c r="ATZ55" s="384"/>
      <c r="AUA55" s="384"/>
      <c r="AUB55" s="384"/>
      <c r="AUC55" s="384"/>
      <c r="AUD55" s="384"/>
      <c r="AUE55" s="384"/>
      <c r="AUF55" s="384"/>
      <c r="AUG55" s="384"/>
      <c r="AUH55" s="384"/>
      <c r="AUI55" s="384"/>
      <c r="AUJ55" s="384"/>
      <c r="AUK55" s="384"/>
      <c r="AUL55" s="384"/>
      <c r="AUM55" s="384"/>
      <c r="AUN55" s="384"/>
      <c r="AUO55" s="384"/>
      <c r="AUP55" s="384"/>
      <c r="AUQ55" s="384"/>
      <c r="AUR55" s="384"/>
      <c r="AUS55" s="384"/>
      <c r="AUT55" s="384"/>
      <c r="AUU55" s="384"/>
      <c r="AUV55" s="384"/>
      <c r="AUW55" s="384"/>
      <c r="AUX55" s="384"/>
      <c r="AUY55" s="384"/>
      <c r="AUZ55" s="384"/>
      <c r="AVA55" s="384"/>
      <c r="AVB55" s="384"/>
      <c r="AVC55" s="384"/>
      <c r="AVD55" s="384"/>
      <c r="AVE55" s="384"/>
      <c r="AVF55" s="384"/>
      <c r="AVG55" s="384"/>
      <c r="AVH55" s="384"/>
      <c r="AVI55" s="384"/>
      <c r="AVJ55" s="384"/>
      <c r="AVK55" s="384"/>
      <c r="AVL55" s="384"/>
      <c r="AVM55" s="384"/>
      <c r="AVN55" s="384"/>
      <c r="AVO55" s="384"/>
      <c r="AVP55" s="384"/>
      <c r="AVQ55" s="384"/>
      <c r="AVR55" s="384"/>
      <c r="AVS55" s="384"/>
      <c r="AVT55" s="384"/>
      <c r="AVU55" s="384"/>
      <c r="AVV55" s="384"/>
      <c r="AVW55" s="384"/>
      <c r="AVX55" s="384"/>
      <c r="AVY55" s="384"/>
      <c r="AVZ55" s="384"/>
      <c r="AWA55" s="384"/>
      <c r="AWB55" s="384"/>
      <c r="AWC55" s="384"/>
      <c r="AWD55" s="384"/>
      <c r="AWE55" s="384"/>
      <c r="AWF55" s="384"/>
      <c r="AWG55" s="384"/>
      <c r="AWH55" s="384"/>
      <c r="AWI55" s="384"/>
      <c r="AWJ55" s="384"/>
      <c r="AWK55" s="384"/>
      <c r="AWL55" s="384"/>
      <c r="AWM55" s="384"/>
      <c r="AWN55" s="384"/>
      <c r="AWO55" s="384"/>
      <c r="AWP55" s="384"/>
      <c r="AWQ55" s="384"/>
      <c r="AWR55" s="384"/>
      <c r="AWS55" s="384"/>
      <c r="AWT55" s="384"/>
      <c r="AWU55" s="384"/>
      <c r="AWV55" s="384"/>
      <c r="AWW55" s="384"/>
      <c r="AWX55" s="384"/>
      <c r="AWY55" s="384"/>
      <c r="AWZ55" s="384"/>
      <c r="AXA55" s="384"/>
      <c r="AXB55" s="384"/>
      <c r="AXC55" s="384"/>
      <c r="AXD55" s="384"/>
      <c r="AXE55" s="384"/>
      <c r="AXF55" s="384"/>
      <c r="AXG55" s="384"/>
      <c r="AXH55" s="384"/>
      <c r="AXI55" s="384"/>
      <c r="AXJ55" s="384"/>
      <c r="AXK55" s="384"/>
      <c r="AXL55" s="384"/>
      <c r="AXM55" s="384"/>
      <c r="AXN55" s="384"/>
      <c r="AXO55" s="384"/>
      <c r="AXP55" s="384"/>
      <c r="AXQ55" s="384"/>
      <c r="AXR55" s="384"/>
      <c r="AXS55" s="384"/>
      <c r="AXT55" s="384"/>
      <c r="AXU55" s="384"/>
      <c r="AXV55" s="384"/>
      <c r="AXW55" s="384"/>
      <c r="AXX55" s="384"/>
      <c r="AXY55" s="384"/>
      <c r="AXZ55" s="384"/>
      <c r="AYA55" s="384"/>
      <c r="AYB55" s="384"/>
      <c r="AYC55" s="384"/>
      <c r="AYD55" s="384"/>
      <c r="AYE55" s="384"/>
      <c r="AYF55" s="384"/>
      <c r="AYG55" s="384"/>
      <c r="AYH55" s="384"/>
      <c r="AYI55" s="384"/>
      <c r="AYJ55" s="384"/>
      <c r="AYK55" s="384"/>
      <c r="AYL55" s="384"/>
      <c r="AYM55" s="384"/>
      <c r="AYN55" s="384"/>
      <c r="AYO55" s="384"/>
      <c r="AYP55" s="384"/>
      <c r="AYQ55" s="384"/>
      <c r="AYR55" s="384"/>
      <c r="AYS55" s="384"/>
      <c r="AYT55" s="384"/>
      <c r="AYU55" s="384"/>
      <c r="AYV55" s="384"/>
      <c r="AYW55" s="384"/>
      <c r="AYX55" s="384"/>
      <c r="AYY55" s="384"/>
      <c r="AYZ55" s="384"/>
      <c r="AZA55" s="384"/>
      <c r="AZB55" s="384"/>
      <c r="AZC55" s="384"/>
      <c r="AZD55" s="384"/>
      <c r="AZE55" s="384"/>
      <c r="AZF55" s="384"/>
      <c r="AZG55" s="384"/>
      <c r="AZH55" s="384"/>
      <c r="AZI55" s="384"/>
      <c r="AZJ55" s="384"/>
      <c r="AZK55" s="384"/>
      <c r="AZL55" s="384"/>
      <c r="AZM55" s="384"/>
      <c r="AZN55" s="384"/>
      <c r="AZO55" s="384"/>
      <c r="AZP55" s="384"/>
      <c r="AZQ55" s="384"/>
      <c r="AZR55" s="384"/>
      <c r="AZS55" s="384"/>
      <c r="AZT55" s="384"/>
      <c r="AZU55" s="384"/>
      <c r="AZV55" s="384"/>
      <c r="AZW55" s="384"/>
      <c r="AZX55" s="384"/>
      <c r="AZY55" s="384"/>
      <c r="AZZ55" s="384"/>
      <c r="BAA55" s="384"/>
      <c r="BAB55" s="384"/>
      <c r="BAC55" s="384"/>
      <c r="BAD55" s="384"/>
      <c r="BAE55" s="384"/>
      <c r="BAF55" s="384"/>
      <c r="BAG55" s="384"/>
      <c r="BAH55" s="384"/>
      <c r="BAI55" s="384"/>
      <c r="BAJ55" s="384"/>
      <c r="BAK55" s="384"/>
      <c r="BAL55" s="384"/>
      <c r="BAM55" s="384"/>
      <c r="BAN55" s="384"/>
      <c r="BAO55" s="384"/>
      <c r="BAP55" s="384"/>
      <c r="BAQ55" s="384"/>
      <c r="BAR55" s="384"/>
      <c r="BAS55" s="384"/>
      <c r="BAT55" s="384"/>
      <c r="BAU55" s="384"/>
      <c r="BAV55" s="384"/>
      <c r="BAW55" s="384"/>
      <c r="BAX55" s="384"/>
      <c r="BAY55" s="384"/>
      <c r="BAZ55" s="384"/>
      <c r="BBA55" s="384"/>
      <c r="BBB55" s="384"/>
      <c r="BBC55" s="384"/>
      <c r="BBD55" s="384"/>
      <c r="BBE55" s="384"/>
      <c r="BBF55" s="384"/>
      <c r="BBG55" s="384"/>
      <c r="BBH55" s="384"/>
      <c r="BBI55" s="384"/>
      <c r="BBJ55" s="384"/>
      <c r="BBK55" s="384"/>
      <c r="BBL55" s="384"/>
      <c r="BBM55" s="384"/>
      <c r="BBN55" s="384"/>
      <c r="BBO55" s="384"/>
      <c r="BBP55" s="384"/>
      <c r="BBQ55" s="384"/>
      <c r="BBR55" s="384"/>
      <c r="BBS55" s="384"/>
      <c r="BBT55" s="384"/>
      <c r="BBU55" s="384"/>
      <c r="BBV55" s="384"/>
      <c r="BBW55" s="384"/>
      <c r="BBX55" s="384"/>
      <c r="BBY55" s="384"/>
      <c r="BBZ55" s="384"/>
      <c r="BCA55" s="384"/>
      <c r="BCB55" s="384"/>
      <c r="BCC55" s="384"/>
      <c r="BCD55" s="384"/>
      <c r="BCE55" s="384"/>
      <c r="BCF55" s="384"/>
      <c r="BCG55" s="384"/>
      <c r="BCH55" s="384"/>
      <c r="BCI55" s="384"/>
      <c r="BCJ55" s="384"/>
      <c r="BCK55" s="384"/>
      <c r="BCL55" s="384"/>
      <c r="BCM55" s="384"/>
      <c r="BCN55" s="384"/>
      <c r="BCO55" s="384"/>
      <c r="BCP55" s="384"/>
      <c r="BCQ55" s="384"/>
      <c r="BCR55" s="384"/>
      <c r="BCS55" s="384"/>
      <c r="BCT55" s="384"/>
      <c r="BCU55" s="384"/>
      <c r="BCV55" s="384"/>
      <c r="BCW55" s="384"/>
      <c r="BCX55" s="384"/>
      <c r="BCY55" s="384"/>
      <c r="BCZ55" s="384"/>
      <c r="BDA55" s="384"/>
      <c r="BDB55" s="384"/>
      <c r="BDC55" s="384"/>
      <c r="BDD55" s="384"/>
      <c r="BDE55" s="384"/>
      <c r="BDF55" s="384"/>
      <c r="BDG55" s="384"/>
      <c r="BDH55" s="384"/>
      <c r="BDI55" s="384"/>
      <c r="BDJ55" s="384"/>
      <c r="BDK55" s="384"/>
      <c r="BDL55" s="384"/>
      <c r="BDM55" s="384"/>
      <c r="BDN55" s="384"/>
      <c r="BDO55" s="384"/>
      <c r="BDP55" s="384"/>
      <c r="BDQ55" s="384"/>
      <c r="BDR55" s="384"/>
      <c r="BDS55" s="384"/>
      <c r="BDT55" s="384"/>
      <c r="BDU55" s="384"/>
      <c r="BDV55" s="384"/>
      <c r="BDW55" s="384"/>
      <c r="BDX55" s="384"/>
      <c r="BDY55" s="384"/>
      <c r="BDZ55" s="384"/>
      <c r="BEA55" s="384"/>
      <c r="BEB55" s="384"/>
      <c r="BEC55" s="384"/>
      <c r="BED55" s="384"/>
      <c r="BEE55" s="384"/>
      <c r="BEF55" s="384"/>
      <c r="BEG55" s="384"/>
      <c r="BEH55" s="384"/>
      <c r="BEI55" s="384"/>
      <c r="BEJ55" s="384"/>
      <c r="BEK55" s="384"/>
      <c r="BEL55" s="384"/>
      <c r="BEM55" s="384"/>
      <c r="BEN55" s="384"/>
      <c r="BEO55" s="384"/>
      <c r="BEP55" s="384"/>
      <c r="BEQ55" s="384"/>
      <c r="BER55" s="384"/>
      <c r="BES55" s="384"/>
      <c r="BET55" s="384"/>
      <c r="BEU55" s="384"/>
      <c r="BEV55" s="384"/>
      <c r="BEW55" s="384"/>
      <c r="BEX55" s="384"/>
      <c r="BEY55" s="384"/>
      <c r="BEZ55" s="384"/>
      <c r="BFA55" s="384"/>
      <c r="BFB55" s="384"/>
      <c r="BFC55" s="384"/>
      <c r="BFD55" s="384"/>
      <c r="BFE55" s="384"/>
      <c r="BFF55" s="384"/>
      <c r="BFG55" s="384"/>
      <c r="BFH55" s="384"/>
      <c r="BFI55" s="384"/>
      <c r="BFJ55" s="384"/>
      <c r="BFK55" s="384"/>
      <c r="BFL55" s="384"/>
      <c r="BFM55" s="384"/>
      <c r="BFN55" s="384"/>
      <c r="BFO55" s="384"/>
      <c r="BFP55" s="384"/>
      <c r="BFQ55" s="384"/>
      <c r="BFR55" s="384"/>
      <c r="BFS55" s="384"/>
      <c r="BFT55" s="384"/>
      <c r="BFU55" s="384"/>
      <c r="BFV55" s="384"/>
      <c r="BFW55" s="384"/>
      <c r="BFX55" s="384"/>
      <c r="BFY55" s="384"/>
      <c r="BFZ55" s="384"/>
      <c r="BGA55" s="384"/>
      <c r="BGB55" s="384"/>
      <c r="BGC55" s="384"/>
      <c r="BGD55" s="384"/>
      <c r="BGE55" s="384"/>
      <c r="BGF55" s="384"/>
      <c r="BGG55" s="384"/>
      <c r="BGH55" s="384"/>
      <c r="BGI55" s="384"/>
      <c r="BGJ55" s="384"/>
      <c r="BGK55" s="384"/>
      <c r="BGL55" s="384"/>
      <c r="BGM55" s="384"/>
      <c r="BGN55" s="384"/>
      <c r="BGO55" s="384"/>
      <c r="BGP55" s="384"/>
      <c r="BGQ55" s="384"/>
      <c r="BGR55" s="384"/>
      <c r="BGS55" s="384"/>
      <c r="BGT55" s="384"/>
      <c r="BGU55" s="384"/>
      <c r="BGV55" s="384"/>
      <c r="BGW55" s="384"/>
      <c r="BGX55" s="384"/>
      <c r="BGY55" s="384"/>
      <c r="BGZ55" s="384"/>
      <c r="BHA55" s="384"/>
      <c r="BHB55" s="384"/>
      <c r="BHC55" s="384"/>
      <c r="BHD55" s="384"/>
      <c r="BHE55" s="384"/>
      <c r="BHF55" s="384"/>
      <c r="BHG55" s="384"/>
      <c r="BHH55" s="384"/>
      <c r="BHI55" s="384"/>
      <c r="BHJ55" s="384"/>
      <c r="BHK55" s="384"/>
      <c r="BHL55" s="384"/>
      <c r="BHM55" s="384"/>
      <c r="BHN55" s="384"/>
      <c r="BHO55" s="384"/>
      <c r="BHP55" s="384"/>
      <c r="BHQ55" s="384"/>
      <c r="BHR55" s="384"/>
      <c r="BHS55" s="384"/>
      <c r="BHT55" s="384"/>
      <c r="BHU55" s="384"/>
      <c r="BHV55" s="384"/>
      <c r="BHW55" s="384"/>
      <c r="BHX55" s="384"/>
      <c r="BHY55" s="384"/>
      <c r="BHZ55" s="384"/>
      <c r="BIA55" s="384"/>
      <c r="BIB55" s="384"/>
      <c r="BIC55" s="384"/>
      <c r="BID55" s="384"/>
      <c r="BIE55" s="384"/>
      <c r="BIF55" s="384"/>
      <c r="BIG55" s="384"/>
      <c r="BIH55" s="384"/>
      <c r="BII55" s="384"/>
      <c r="BIJ55" s="384"/>
      <c r="BIK55" s="384"/>
      <c r="BIL55" s="384"/>
      <c r="BIM55" s="384"/>
      <c r="BIN55" s="384"/>
      <c r="BIO55" s="384"/>
      <c r="BIP55" s="384"/>
      <c r="BIQ55" s="384"/>
      <c r="BIR55" s="384"/>
      <c r="BIS55" s="384"/>
      <c r="BIT55" s="384"/>
      <c r="BIU55" s="384"/>
      <c r="BIV55" s="384"/>
      <c r="BIW55" s="384"/>
      <c r="BIX55" s="384"/>
      <c r="BIY55" s="384"/>
      <c r="BIZ55" s="384"/>
      <c r="BJA55" s="384"/>
      <c r="BJB55" s="384"/>
      <c r="BJC55" s="384"/>
      <c r="BJD55" s="384"/>
      <c r="BJE55" s="384"/>
      <c r="BJF55" s="384"/>
      <c r="BJG55" s="384"/>
      <c r="BJH55" s="384"/>
      <c r="BJI55" s="384"/>
      <c r="BJJ55" s="384"/>
      <c r="BJK55" s="384"/>
      <c r="BJL55" s="384"/>
      <c r="BJM55" s="384"/>
      <c r="BJN55" s="384"/>
      <c r="BJO55" s="384"/>
      <c r="BJP55" s="384"/>
      <c r="BJQ55" s="384"/>
      <c r="BJR55" s="384"/>
      <c r="BJS55" s="384"/>
      <c r="BJT55" s="384"/>
      <c r="BJU55" s="384"/>
      <c r="BJV55" s="384"/>
      <c r="BJW55" s="384"/>
      <c r="BJX55" s="384"/>
      <c r="BJY55" s="384"/>
      <c r="BJZ55" s="384"/>
      <c r="BKA55" s="384"/>
      <c r="BKB55" s="384"/>
      <c r="BKC55" s="384"/>
      <c r="BKD55" s="384"/>
      <c r="BKE55" s="384"/>
      <c r="BKF55" s="384"/>
      <c r="BKG55" s="384"/>
      <c r="BKH55" s="384"/>
      <c r="BKI55" s="384"/>
      <c r="BKJ55" s="384"/>
      <c r="BKK55" s="384"/>
      <c r="BKL55" s="384"/>
      <c r="BKM55" s="384"/>
      <c r="BKN55" s="384"/>
      <c r="BKO55" s="384"/>
      <c r="BKP55" s="384"/>
      <c r="BKQ55" s="384"/>
      <c r="BKR55" s="384"/>
      <c r="BKS55" s="384"/>
      <c r="BKT55" s="384"/>
      <c r="BKU55" s="384"/>
      <c r="BKV55" s="384"/>
      <c r="BKW55" s="384"/>
      <c r="BKX55" s="384"/>
      <c r="BKY55" s="384"/>
      <c r="BKZ55" s="384"/>
      <c r="BLA55" s="384"/>
      <c r="BLB55" s="384"/>
      <c r="BLC55" s="384"/>
      <c r="BLD55" s="384"/>
      <c r="BLE55" s="384"/>
      <c r="BLF55" s="384"/>
      <c r="BLG55" s="384"/>
      <c r="BLH55" s="384"/>
      <c r="BLI55" s="384"/>
      <c r="BLJ55" s="384"/>
      <c r="BLK55" s="384"/>
      <c r="BLL55" s="384"/>
      <c r="BLM55" s="384"/>
      <c r="BLN55" s="384"/>
      <c r="BLO55" s="384"/>
      <c r="BLP55" s="384"/>
      <c r="BLQ55" s="384"/>
      <c r="BLR55" s="384"/>
      <c r="BLS55" s="384"/>
      <c r="BLT55" s="384"/>
      <c r="BLU55" s="384"/>
      <c r="BLV55" s="384"/>
      <c r="BLW55" s="384"/>
      <c r="BLX55" s="384"/>
      <c r="BLY55" s="384"/>
      <c r="BLZ55" s="384"/>
      <c r="BMA55" s="384"/>
      <c r="BMB55" s="384"/>
      <c r="BMC55" s="384"/>
      <c r="BMD55" s="384"/>
      <c r="BME55" s="384"/>
      <c r="BMF55" s="384"/>
      <c r="BMG55" s="384"/>
      <c r="BMH55" s="384"/>
      <c r="BMI55" s="384"/>
      <c r="BMJ55" s="384"/>
      <c r="BMK55" s="384"/>
      <c r="BML55" s="384"/>
      <c r="BMM55" s="384"/>
      <c r="BMN55" s="384"/>
      <c r="BMO55" s="384"/>
      <c r="BMP55" s="384"/>
      <c r="BMQ55" s="384"/>
      <c r="BMR55" s="384"/>
      <c r="BMS55" s="384"/>
      <c r="BMT55" s="384"/>
      <c r="BMU55" s="384"/>
      <c r="BMV55" s="384"/>
      <c r="BMW55" s="384"/>
      <c r="BMX55" s="384"/>
      <c r="BMY55" s="384"/>
      <c r="BMZ55" s="384"/>
      <c r="BNA55" s="384"/>
      <c r="BNB55" s="384"/>
      <c r="BNC55" s="384"/>
      <c r="BND55" s="384"/>
      <c r="BNE55" s="384"/>
      <c r="BNF55" s="384"/>
      <c r="BNG55" s="384"/>
      <c r="BNH55" s="384"/>
      <c r="BNI55" s="384"/>
      <c r="BNJ55" s="384"/>
      <c r="BNK55" s="384"/>
      <c r="BNL55" s="384"/>
      <c r="BNM55" s="384"/>
      <c r="BNN55" s="384"/>
      <c r="BNO55" s="384"/>
      <c r="BNP55" s="384"/>
      <c r="BNQ55" s="384"/>
      <c r="BNR55" s="384"/>
      <c r="BNS55" s="384"/>
      <c r="BNT55" s="384"/>
      <c r="BNU55" s="384"/>
      <c r="BNV55" s="384"/>
      <c r="BNW55" s="384"/>
      <c r="BNX55" s="384"/>
      <c r="BNY55" s="384"/>
      <c r="BNZ55" s="384"/>
      <c r="BOA55" s="384"/>
      <c r="BOB55" s="384"/>
      <c r="BOC55" s="384"/>
      <c r="BOD55" s="384"/>
      <c r="BOE55" s="384"/>
      <c r="BOF55" s="384"/>
      <c r="BOG55" s="384"/>
      <c r="BOH55" s="384"/>
      <c r="BOI55" s="384"/>
      <c r="BOJ55" s="384"/>
      <c r="BOK55" s="384"/>
      <c r="BOL55" s="384"/>
      <c r="BOM55" s="384"/>
      <c r="BON55" s="384"/>
      <c r="BOO55" s="384"/>
      <c r="BOP55" s="384"/>
      <c r="BOQ55" s="384"/>
      <c r="BOR55" s="384"/>
      <c r="BOS55" s="384"/>
      <c r="BOT55" s="384"/>
      <c r="BOU55" s="384"/>
      <c r="BOV55" s="384"/>
      <c r="BOW55" s="384"/>
      <c r="BOX55" s="384"/>
      <c r="BOY55" s="384"/>
      <c r="BOZ55" s="384"/>
      <c r="BPA55" s="384"/>
      <c r="BPB55" s="384"/>
      <c r="BPC55" s="384"/>
      <c r="BPD55" s="384"/>
      <c r="BPE55" s="384"/>
      <c r="BPF55" s="384"/>
      <c r="BPG55" s="384"/>
      <c r="BPH55" s="384"/>
      <c r="BPI55" s="384"/>
      <c r="BPJ55" s="384"/>
      <c r="BPK55" s="384"/>
      <c r="BPL55" s="384"/>
      <c r="BPM55" s="384"/>
      <c r="BPN55" s="384"/>
      <c r="BPO55" s="384"/>
      <c r="BPP55" s="384"/>
      <c r="BPQ55" s="384"/>
      <c r="BPR55" s="384"/>
      <c r="BPS55" s="384"/>
      <c r="BPT55" s="384"/>
      <c r="BPU55" s="384"/>
      <c r="BPV55" s="384"/>
      <c r="BPW55" s="384"/>
      <c r="BPX55" s="384"/>
      <c r="BPY55" s="384"/>
      <c r="BPZ55" s="384"/>
      <c r="BQA55" s="384"/>
      <c r="BQB55" s="384"/>
      <c r="BQC55" s="384"/>
      <c r="BQD55" s="384"/>
      <c r="BQE55" s="384"/>
      <c r="BQF55" s="384"/>
      <c r="BQG55" s="384"/>
      <c r="BQH55" s="384"/>
      <c r="BQI55" s="384"/>
      <c r="BQJ55" s="384"/>
      <c r="BQK55" s="384"/>
      <c r="BQL55" s="384"/>
      <c r="BQM55" s="384"/>
      <c r="BQN55" s="384"/>
      <c r="BQO55" s="384"/>
      <c r="BQP55" s="384"/>
      <c r="BQQ55" s="384"/>
      <c r="BQR55" s="384"/>
      <c r="BQS55" s="384"/>
      <c r="BQT55" s="384"/>
      <c r="BQU55" s="384"/>
      <c r="BQV55" s="384"/>
      <c r="BQW55" s="384"/>
      <c r="BQX55" s="384"/>
      <c r="BQY55" s="384"/>
      <c r="BQZ55" s="384"/>
      <c r="BRA55" s="384"/>
      <c r="BRB55" s="384"/>
      <c r="BRC55" s="384"/>
      <c r="BRD55" s="384"/>
      <c r="BRE55" s="384"/>
      <c r="BRF55" s="384"/>
      <c r="BRG55" s="384"/>
      <c r="BRH55" s="384"/>
      <c r="BRI55" s="384"/>
      <c r="BRJ55" s="384"/>
      <c r="BRK55" s="384"/>
      <c r="BRL55" s="384"/>
      <c r="BRM55" s="384"/>
      <c r="BRN55" s="384"/>
      <c r="BRO55" s="384"/>
      <c r="BRP55" s="384"/>
      <c r="BRQ55" s="384"/>
      <c r="BRR55" s="384"/>
      <c r="BRS55" s="384"/>
      <c r="BRT55" s="384"/>
      <c r="BRU55" s="384"/>
      <c r="BRV55" s="384"/>
      <c r="BRW55" s="384"/>
      <c r="BRX55" s="384"/>
      <c r="BRY55" s="384"/>
      <c r="BRZ55" s="384"/>
      <c r="BSA55" s="384"/>
      <c r="BSB55" s="384"/>
      <c r="BSC55" s="384"/>
      <c r="BSD55" s="384"/>
      <c r="BSE55" s="384"/>
      <c r="BSF55" s="384"/>
      <c r="BSG55" s="384"/>
      <c r="BSH55" s="384"/>
      <c r="BSI55" s="384"/>
      <c r="BSJ55" s="384"/>
      <c r="BSK55" s="384"/>
      <c r="BSL55" s="384"/>
      <c r="BSM55" s="384"/>
      <c r="BSN55" s="384"/>
      <c r="BSO55" s="384"/>
      <c r="BSP55" s="384"/>
      <c r="BSQ55" s="384"/>
      <c r="BSR55" s="384"/>
      <c r="BSS55" s="384"/>
      <c r="BST55" s="384"/>
      <c r="BSU55" s="384"/>
      <c r="BSV55" s="384"/>
      <c r="BSW55" s="384"/>
      <c r="BSX55" s="384"/>
      <c r="BSY55" s="384"/>
      <c r="BSZ55" s="384"/>
      <c r="BTA55" s="384"/>
      <c r="BTB55" s="384"/>
      <c r="BTC55" s="384"/>
      <c r="BTD55" s="384"/>
      <c r="BTE55" s="384"/>
      <c r="BTF55" s="384"/>
      <c r="BTG55" s="384"/>
      <c r="BTH55" s="384"/>
      <c r="BTI55" s="384"/>
      <c r="BTJ55" s="384"/>
      <c r="BTK55" s="384"/>
      <c r="BTL55" s="384"/>
      <c r="BTM55" s="384"/>
      <c r="BTN55" s="384"/>
      <c r="BTO55" s="384"/>
      <c r="BTP55" s="384"/>
      <c r="BTQ55" s="384"/>
      <c r="BTR55" s="384"/>
      <c r="BTS55" s="384"/>
      <c r="BTT55" s="384"/>
      <c r="BTU55" s="384"/>
      <c r="BTV55" s="384"/>
      <c r="BTW55" s="384"/>
      <c r="BTX55" s="384"/>
      <c r="BTY55" s="384"/>
      <c r="BTZ55" s="384"/>
      <c r="BUA55" s="384"/>
      <c r="BUB55" s="384"/>
      <c r="BUC55" s="384"/>
      <c r="BUD55" s="384"/>
      <c r="BUE55" s="384"/>
      <c r="BUF55" s="384"/>
      <c r="BUG55" s="384"/>
      <c r="BUH55" s="384"/>
      <c r="BUI55" s="384"/>
      <c r="BUJ55" s="384"/>
      <c r="BUK55" s="384"/>
      <c r="BUL55" s="384"/>
      <c r="BUM55" s="384"/>
      <c r="BUN55" s="384"/>
      <c r="BUO55" s="384"/>
      <c r="BUP55" s="384"/>
      <c r="BUQ55" s="384"/>
      <c r="BUR55" s="384"/>
      <c r="BUS55" s="384"/>
      <c r="BUT55" s="384"/>
      <c r="BUU55" s="384"/>
      <c r="BUV55" s="384"/>
      <c r="BUW55" s="384"/>
      <c r="BUX55" s="384"/>
      <c r="BUY55" s="384"/>
      <c r="BUZ55" s="384"/>
      <c r="BVA55" s="384"/>
      <c r="BVB55" s="384"/>
      <c r="BVC55" s="384"/>
      <c r="BVD55" s="384"/>
      <c r="BVE55" s="384"/>
      <c r="BVF55" s="384"/>
      <c r="BVG55" s="384"/>
      <c r="BVH55" s="384"/>
      <c r="BVI55" s="384"/>
      <c r="BVJ55" s="384"/>
      <c r="BVK55" s="384"/>
      <c r="BVL55" s="384"/>
      <c r="BVM55" s="384"/>
      <c r="BVN55" s="384"/>
      <c r="BVO55" s="384"/>
      <c r="BVP55" s="384"/>
      <c r="BVQ55" s="384"/>
      <c r="BVR55" s="384"/>
      <c r="BVS55" s="384"/>
      <c r="BVT55" s="384"/>
      <c r="BVU55" s="384"/>
      <c r="BVV55" s="384"/>
      <c r="BVW55" s="384"/>
      <c r="BVX55" s="384"/>
      <c r="BVY55" s="384"/>
      <c r="BVZ55" s="384"/>
      <c r="BWA55" s="384"/>
      <c r="BWB55" s="384"/>
      <c r="BWC55" s="384"/>
      <c r="BWD55" s="384"/>
      <c r="BWE55" s="384"/>
      <c r="BWF55" s="384"/>
      <c r="BWG55" s="384"/>
      <c r="BWH55" s="384"/>
      <c r="BWI55" s="384"/>
      <c r="BWJ55" s="384"/>
      <c r="BWK55" s="384"/>
      <c r="BWL55" s="384"/>
      <c r="BWM55" s="384"/>
      <c r="BWN55" s="384"/>
      <c r="BWO55" s="384"/>
      <c r="BWP55" s="384"/>
      <c r="BWQ55" s="384"/>
      <c r="BWR55" s="384"/>
      <c r="BWS55" s="384"/>
      <c r="BWT55" s="384"/>
      <c r="BWU55" s="384"/>
      <c r="BWV55" s="384"/>
      <c r="BWW55" s="384"/>
      <c r="BWX55" s="384"/>
      <c r="BWY55" s="384"/>
      <c r="BWZ55" s="384"/>
      <c r="BXA55" s="384"/>
      <c r="BXB55" s="384"/>
      <c r="BXC55" s="384"/>
      <c r="BXD55" s="384"/>
      <c r="BXE55" s="384"/>
      <c r="BXF55" s="384"/>
      <c r="BXG55" s="384"/>
      <c r="BXH55" s="384"/>
      <c r="BXI55" s="384"/>
      <c r="BXJ55" s="384"/>
      <c r="BXK55" s="384"/>
      <c r="BXL55" s="384"/>
      <c r="BXM55" s="384"/>
      <c r="BXN55" s="384"/>
      <c r="BXO55" s="384"/>
      <c r="BXP55" s="384"/>
      <c r="BXQ55" s="384"/>
      <c r="BXR55" s="384"/>
      <c r="BXS55" s="384"/>
      <c r="BXT55" s="384"/>
      <c r="BXU55" s="384"/>
      <c r="BXV55" s="384"/>
      <c r="BXW55" s="384"/>
      <c r="BXX55" s="384"/>
      <c r="BXY55" s="384"/>
      <c r="BXZ55" s="384"/>
      <c r="BYA55" s="384"/>
      <c r="BYB55" s="384"/>
      <c r="BYC55" s="384"/>
      <c r="BYD55" s="384"/>
      <c r="BYE55" s="384"/>
      <c r="BYF55" s="384"/>
      <c r="BYG55" s="384"/>
      <c r="BYH55" s="384"/>
      <c r="BYI55" s="384"/>
      <c r="BYJ55" s="384"/>
      <c r="BYK55" s="384"/>
      <c r="BYL55" s="384"/>
      <c r="BYM55" s="384"/>
      <c r="BYN55" s="384"/>
      <c r="BYO55" s="384"/>
      <c r="BYP55" s="384"/>
      <c r="BYQ55" s="384"/>
      <c r="BYR55" s="384"/>
      <c r="BYS55" s="384"/>
      <c r="BYT55" s="384"/>
      <c r="BYU55" s="384"/>
      <c r="BYV55" s="384"/>
      <c r="BYW55" s="384"/>
      <c r="BYX55" s="384"/>
      <c r="BYY55" s="384"/>
      <c r="BYZ55" s="384"/>
      <c r="BZA55" s="384"/>
      <c r="BZB55" s="384"/>
      <c r="BZC55" s="384"/>
      <c r="BZD55" s="384"/>
      <c r="BZE55" s="384"/>
      <c r="BZF55" s="384"/>
      <c r="BZG55" s="384"/>
      <c r="BZH55" s="384"/>
      <c r="BZI55" s="384"/>
      <c r="BZJ55" s="384"/>
      <c r="BZK55" s="384"/>
      <c r="BZL55" s="384"/>
      <c r="BZM55" s="384"/>
      <c r="BZN55" s="384"/>
      <c r="BZO55" s="384"/>
      <c r="BZP55" s="384"/>
      <c r="BZQ55" s="384"/>
      <c r="BZR55" s="384"/>
      <c r="BZS55" s="384"/>
      <c r="BZT55" s="384"/>
      <c r="BZU55" s="384"/>
      <c r="BZV55" s="384"/>
      <c r="BZW55" s="384"/>
      <c r="BZX55" s="384"/>
      <c r="BZY55" s="384"/>
      <c r="BZZ55" s="384"/>
      <c r="CAA55" s="384"/>
      <c r="CAB55" s="384"/>
      <c r="CAC55" s="384"/>
      <c r="CAD55" s="384"/>
      <c r="CAE55" s="384"/>
      <c r="CAF55" s="384"/>
      <c r="CAG55" s="384"/>
      <c r="CAH55" s="384"/>
      <c r="CAI55" s="384"/>
      <c r="CAJ55" s="384"/>
      <c r="CAK55" s="384"/>
      <c r="CAL55" s="384"/>
      <c r="CAM55" s="384"/>
      <c r="CAN55" s="384"/>
      <c r="CAO55" s="384"/>
      <c r="CAP55" s="384"/>
      <c r="CAQ55" s="384"/>
      <c r="CAR55" s="384"/>
      <c r="CAS55" s="384"/>
      <c r="CAT55" s="384"/>
      <c r="CAU55" s="384"/>
      <c r="CAV55" s="384"/>
      <c r="CAW55" s="384"/>
      <c r="CAX55" s="384"/>
      <c r="CAY55" s="384"/>
      <c r="CAZ55" s="384"/>
      <c r="CBA55" s="384"/>
      <c r="CBB55" s="384"/>
      <c r="CBC55" s="384"/>
      <c r="CBD55" s="384"/>
      <c r="CBE55" s="384"/>
      <c r="CBF55" s="384"/>
      <c r="CBG55" s="384"/>
      <c r="CBH55" s="384"/>
      <c r="CBI55" s="384"/>
      <c r="CBJ55" s="384"/>
      <c r="CBK55" s="384"/>
      <c r="CBL55" s="384"/>
      <c r="CBM55" s="384"/>
      <c r="CBN55" s="384"/>
      <c r="CBO55" s="384"/>
      <c r="CBP55" s="384"/>
      <c r="CBQ55" s="384"/>
      <c r="CBR55" s="384"/>
      <c r="CBS55" s="384"/>
      <c r="CBT55" s="384"/>
      <c r="CBU55" s="384"/>
      <c r="CBV55" s="384"/>
      <c r="CBW55" s="384"/>
      <c r="CBX55" s="384"/>
      <c r="CBY55" s="384"/>
      <c r="CBZ55" s="384"/>
      <c r="CCA55" s="384"/>
      <c r="CCB55" s="384"/>
      <c r="CCC55" s="384"/>
      <c r="CCD55" s="384"/>
      <c r="CCE55" s="384"/>
      <c r="CCF55" s="384"/>
      <c r="CCG55" s="384"/>
      <c r="CCH55" s="384"/>
      <c r="CCI55" s="384"/>
      <c r="CCJ55" s="384"/>
      <c r="CCK55" s="384"/>
      <c r="CCL55" s="384"/>
      <c r="CCM55" s="384"/>
      <c r="CCN55" s="384"/>
      <c r="CCO55" s="384"/>
      <c r="CCP55" s="384"/>
      <c r="CCQ55" s="384"/>
      <c r="CCR55" s="384"/>
      <c r="CCS55" s="384"/>
      <c r="CCT55" s="384"/>
      <c r="CCU55" s="384"/>
      <c r="CCV55" s="384"/>
      <c r="CCW55" s="384"/>
      <c r="CCX55" s="384"/>
      <c r="CCY55" s="384"/>
      <c r="CCZ55" s="384"/>
      <c r="CDA55" s="384"/>
      <c r="CDB55" s="384"/>
      <c r="CDC55" s="384"/>
      <c r="CDD55" s="384"/>
      <c r="CDE55" s="384"/>
      <c r="CDF55" s="384"/>
      <c r="CDG55" s="384"/>
      <c r="CDH55" s="384"/>
      <c r="CDI55" s="384"/>
      <c r="CDJ55" s="384"/>
      <c r="CDK55" s="384"/>
      <c r="CDL55" s="384"/>
      <c r="CDM55" s="384"/>
      <c r="CDN55" s="384"/>
      <c r="CDO55" s="384"/>
      <c r="CDP55" s="384"/>
      <c r="CDQ55" s="384"/>
      <c r="CDR55" s="384"/>
      <c r="CDS55" s="384"/>
      <c r="CDT55" s="384"/>
      <c r="CDU55" s="384"/>
      <c r="CDV55" s="384"/>
      <c r="CDW55" s="384"/>
      <c r="CDX55" s="384"/>
      <c r="CDY55" s="384"/>
      <c r="CDZ55" s="384"/>
      <c r="CEA55" s="384"/>
      <c r="CEB55" s="384"/>
      <c r="CEC55" s="384"/>
      <c r="CED55" s="384"/>
      <c r="CEE55" s="384"/>
      <c r="CEF55" s="384"/>
      <c r="CEG55" s="384"/>
      <c r="CEH55" s="384"/>
      <c r="CEI55" s="384"/>
      <c r="CEJ55" s="384"/>
      <c r="CEK55" s="384"/>
      <c r="CEL55" s="384"/>
      <c r="CEM55" s="384"/>
      <c r="CEN55" s="384"/>
      <c r="CEO55" s="384"/>
      <c r="CEP55" s="384"/>
      <c r="CEQ55" s="384"/>
      <c r="CER55" s="384"/>
      <c r="CES55" s="384"/>
      <c r="CET55" s="384"/>
      <c r="CEU55" s="384"/>
      <c r="CEV55" s="384"/>
      <c r="CEW55" s="384"/>
      <c r="CEX55" s="384"/>
      <c r="CEY55" s="384"/>
      <c r="CEZ55" s="384"/>
      <c r="CFA55" s="384"/>
      <c r="CFB55" s="384"/>
      <c r="CFC55" s="384"/>
      <c r="CFD55" s="384"/>
      <c r="CFE55" s="384"/>
      <c r="CFF55" s="384"/>
      <c r="CFG55" s="384"/>
      <c r="CFH55" s="384"/>
      <c r="CFI55" s="384"/>
      <c r="CFJ55" s="384"/>
      <c r="CFK55" s="384"/>
      <c r="CFL55" s="384"/>
      <c r="CFM55" s="384"/>
      <c r="CFN55" s="384"/>
      <c r="CFO55" s="384"/>
      <c r="CFP55" s="384"/>
      <c r="CFQ55" s="384"/>
      <c r="CFR55" s="384"/>
      <c r="CFS55" s="384"/>
      <c r="CFT55" s="384"/>
      <c r="CFU55" s="384"/>
      <c r="CFV55" s="384"/>
      <c r="CFW55" s="384"/>
      <c r="CFX55" s="384"/>
      <c r="CFY55" s="384"/>
      <c r="CFZ55" s="384"/>
      <c r="CGA55" s="384"/>
      <c r="CGB55" s="384"/>
      <c r="CGC55" s="384"/>
      <c r="CGD55" s="384"/>
      <c r="CGE55" s="384"/>
      <c r="CGF55" s="384"/>
      <c r="CGG55" s="384"/>
      <c r="CGH55" s="384"/>
      <c r="CGI55" s="384"/>
      <c r="CGJ55" s="384"/>
      <c r="CGK55" s="384"/>
      <c r="CGL55" s="384"/>
      <c r="CGM55" s="384"/>
      <c r="CGN55" s="384"/>
      <c r="CGO55" s="384"/>
      <c r="CGP55" s="384"/>
      <c r="CGQ55" s="384"/>
      <c r="CGR55" s="384"/>
      <c r="CGS55" s="384"/>
      <c r="CGT55" s="384"/>
      <c r="CGU55" s="384"/>
      <c r="CGV55" s="384"/>
      <c r="CGW55" s="384"/>
      <c r="CGX55" s="384"/>
      <c r="CGY55" s="384"/>
      <c r="CGZ55" s="384"/>
      <c r="CHA55" s="384"/>
      <c r="CHB55" s="384"/>
      <c r="CHC55" s="384"/>
      <c r="CHD55" s="384"/>
      <c r="CHE55" s="384"/>
      <c r="CHF55" s="384"/>
      <c r="CHG55" s="384"/>
      <c r="CHH55" s="384"/>
      <c r="CHI55" s="384"/>
      <c r="CHJ55" s="384"/>
      <c r="CHK55" s="384"/>
      <c r="CHL55" s="384"/>
      <c r="CHM55" s="384"/>
      <c r="CHN55" s="384"/>
      <c r="CHO55" s="384"/>
      <c r="CHP55" s="384"/>
      <c r="CHQ55" s="384"/>
      <c r="CHR55" s="384"/>
      <c r="CHS55" s="384"/>
      <c r="CHT55" s="384"/>
      <c r="CHU55" s="384"/>
      <c r="CHV55" s="384"/>
      <c r="CHW55" s="384"/>
      <c r="CHX55" s="384"/>
      <c r="CHY55" s="384"/>
      <c r="CHZ55" s="384"/>
      <c r="CIA55" s="384"/>
      <c r="CIB55" s="384"/>
      <c r="CIC55" s="384"/>
      <c r="CID55" s="384"/>
      <c r="CIE55" s="384"/>
      <c r="CIF55" s="384"/>
      <c r="CIG55" s="384"/>
      <c r="CIH55" s="384"/>
      <c r="CII55" s="384"/>
      <c r="CIJ55" s="384"/>
      <c r="CIK55" s="384"/>
      <c r="CIL55" s="384"/>
      <c r="CIM55" s="384"/>
      <c r="CIN55" s="384"/>
      <c r="CIO55" s="384"/>
      <c r="CIP55" s="384"/>
      <c r="CIQ55" s="384"/>
      <c r="CIR55" s="384"/>
      <c r="CIS55" s="384"/>
      <c r="CIT55" s="384"/>
      <c r="CIU55" s="384"/>
      <c r="CIV55" s="384"/>
      <c r="CIW55" s="384"/>
      <c r="CIX55" s="384"/>
      <c r="CIY55" s="384"/>
      <c r="CIZ55" s="384"/>
      <c r="CJA55" s="384"/>
      <c r="CJB55" s="384"/>
      <c r="CJC55" s="384"/>
      <c r="CJD55" s="384"/>
      <c r="CJE55" s="384"/>
      <c r="CJF55" s="384"/>
      <c r="CJG55" s="384"/>
      <c r="CJH55" s="384"/>
      <c r="CJI55" s="384"/>
      <c r="CJJ55" s="384"/>
      <c r="CJK55" s="384"/>
      <c r="CJL55" s="384"/>
      <c r="CJM55" s="384"/>
      <c r="CJN55" s="384"/>
      <c r="CJO55" s="384"/>
      <c r="CJP55" s="384"/>
      <c r="CJQ55" s="384"/>
      <c r="CJR55" s="384"/>
      <c r="CJS55" s="384"/>
      <c r="CJT55" s="384"/>
      <c r="CJU55" s="384"/>
      <c r="CJV55" s="384"/>
      <c r="CJW55" s="384"/>
      <c r="CJX55" s="384"/>
      <c r="CJY55" s="384"/>
      <c r="CJZ55" s="384"/>
      <c r="CKA55" s="384"/>
      <c r="CKB55" s="384"/>
      <c r="CKC55" s="384"/>
      <c r="CKD55" s="384"/>
      <c r="CKE55" s="384"/>
      <c r="CKF55" s="384"/>
      <c r="CKG55" s="384"/>
      <c r="CKH55" s="384"/>
      <c r="CKI55" s="384"/>
      <c r="CKJ55" s="384"/>
      <c r="CKK55" s="384"/>
      <c r="CKL55" s="384"/>
      <c r="CKM55" s="384"/>
      <c r="CKN55" s="384"/>
      <c r="CKO55" s="384"/>
      <c r="CKP55" s="384"/>
      <c r="CKQ55" s="384"/>
      <c r="CKR55" s="384"/>
      <c r="CKS55" s="384"/>
      <c r="CKT55" s="384"/>
      <c r="CKU55" s="384"/>
      <c r="CKV55" s="384"/>
      <c r="CKW55" s="384"/>
      <c r="CKX55" s="384"/>
      <c r="CKY55" s="384"/>
      <c r="CKZ55" s="384"/>
      <c r="CLA55" s="384"/>
      <c r="CLB55" s="384"/>
      <c r="CLC55" s="384"/>
      <c r="CLD55" s="384"/>
      <c r="CLE55" s="384"/>
      <c r="CLF55" s="384"/>
      <c r="CLG55" s="384"/>
      <c r="CLH55" s="384"/>
      <c r="CLI55" s="384"/>
      <c r="CLJ55" s="384"/>
      <c r="CLK55" s="384"/>
      <c r="CLL55" s="384"/>
      <c r="CLM55" s="384"/>
      <c r="CLN55" s="384"/>
      <c r="CLO55" s="384"/>
      <c r="CLP55" s="384"/>
      <c r="CLQ55" s="384"/>
      <c r="CLR55" s="384"/>
      <c r="CLS55" s="384"/>
      <c r="CLT55" s="384"/>
      <c r="CLU55" s="384"/>
      <c r="CLV55" s="384"/>
      <c r="CLW55" s="384"/>
      <c r="CLX55" s="384"/>
      <c r="CLY55" s="384"/>
      <c r="CLZ55" s="384"/>
      <c r="CMA55" s="384"/>
      <c r="CMB55" s="384"/>
      <c r="CMC55" s="384"/>
      <c r="CMD55" s="384"/>
      <c r="CME55" s="384"/>
      <c r="CMF55" s="384"/>
      <c r="CMG55" s="384"/>
      <c r="CMH55" s="384"/>
      <c r="CMI55" s="384"/>
      <c r="CMJ55" s="384"/>
      <c r="CMK55" s="384"/>
      <c r="CML55" s="384"/>
      <c r="CMM55" s="384"/>
      <c r="CMN55" s="384"/>
      <c r="CMO55" s="384"/>
      <c r="CMP55" s="384"/>
      <c r="CMQ55" s="384"/>
      <c r="CMR55" s="384"/>
      <c r="CMS55" s="384"/>
      <c r="CMT55" s="384"/>
      <c r="CMU55" s="384"/>
      <c r="CMV55" s="384"/>
      <c r="CMW55" s="384"/>
      <c r="CMX55" s="384"/>
      <c r="CMY55" s="384"/>
      <c r="CMZ55" s="384"/>
      <c r="CNA55" s="384"/>
      <c r="CNB55" s="384"/>
      <c r="CNC55" s="384"/>
      <c r="CND55" s="384"/>
      <c r="CNE55" s="384"/>
      <c r="CNF55" s="384"/>
      <c r="CNG55" s="384"/>
      <c r="CNH55" s="384"/>
      <c r="CNI55" s="384"/>
      <c r="CNJ55" s="384"/>
      <c r="CNK55" s="384"/>
      <c r="CNL55" s="384"/>
      <c r="CNM55" s="384"/>
      <c r="CNN55" s="384"/>
      <c r="CNO55" s="384"/>
      <c r="CNP55" s="384"/>
      <c r="CNQ55" s="384"/>
      <c r="CNR55" s="384"/>
      <c r="CNS55" s="384"/>
      <c r="CNT55" s="384"/>
      <c r="CNU55" s="384"/>
      <c r="CNV55" s="384"/>
      <c r="CNW55" s="384"/>
      <c r="CNX55" s="384"/>
      <c r="CNY55" s="384"/>
      <c r="CNZ55" s="384"/>
      <c r="COA55" s="384"/>
      <c r="COB55" s="384"/>
      <c r="COC55" s="384"/>
      <c r="COD55" s="384"/>
      <c r="COE55" s="384"/>
      <c r="COF55" s="384"/>
      <c r="COG55" s="384"/>
      <c r="COH55" s="384"/>
      <c r="COI55" s="384"/>
      <c r="COJ55" s="384"/>
      <c r="COK55" s="384"/>
      <c r="COL55" s="384"/>
      <c r="COM55" s="384"/>
      <c r="CON55" s="384"/>
      <c r="COO55" s="384"/>
      <c r="COP55" s="384"/>
      <c r="COQ55" s="384"/>
      <c r="COR55" s="384"/>
      <c r="COS55" s="384"/>
      <c r="COT55" s="384"/>
      <c r="COU55" s="384"/>
      <c r="COV55" s="384"/>
      <c r="COW55" s="384"/>
      <c r="COX55" s="384"/>
      <c r="COY55" s="384"/>
      <c r="COZ55" s="384"/>
      <c r="CPA55" s="384"/>
      <c r="CPB55" s="384"/>
      <c r="CPC55" s="384"/>
      <c r="CPD55" s="384"/>
      <c r="CPE55" s="384"/>
      <c r="CPF55" s="384"/>
      <c r="CPG55" s="384"/>
      <c r="CPH55" s="384"/>
      <c r="CPI55" s="384"/>
      <c r="CPJ55" s="384"/>
      <c r="CPK55" s="384"/>
      <c r="CPL55" s="384"/>
      <c r="CPM55" s="384"/>
      <c r="CPN55" s="384"/>
      <c r="CPO55" s="384"/>
      <c r="CPP55" s="384"/>
      <c r="CPQ55" s="384"/>
      <c r="CPR55" s="384"/>
      <c r="CPS55" s="384"/>
      <c r="CPT55" s="384"/>
      <c r="CPU55" s="384"/>
      <c r="CPV55" s="384"/>
      <c r="CPW55" s="384"/>
      <c r="CPX55" s="384"/>
      <c r="CPY55" s="384"/>
      <c r="CPZ55" s="384"/>
      <c r="CQA55" s="384"/>
      <c r="CQB55" s="384"/>
      <c r="CQC55" s="384"/>
      <c r="CQD55" s="384"/>
      <c r="CQE55" s="384"/>
      <c r="CQF55" s="384"/>
      <c r="CQG55" s="384"/>
      <c r="CQH55" s="384"/>
      <c r="CQI55" s="384"/>
      <c r="CQJ55" s="384"/>
      <c r="CQK55" s="384"/>
      <c r="CQL55" s="384"/>
      <c r="CQM55" s="384"/>
      <c r="CQN55" s="384"/>
      <c r="CQO55" s="384"/>
      <c r="CQP55" s="384"/>
      <c r="CQQ55" s="384"/>
      <c r="CQR55" s="384"/>
      <c r="CQS55" s="384"/>
      <c r="CQT55" s="384"/>
      <c r="CQU55" s="384"/>
      <c r="CQV55" s="384"/>
      <c r="CQW55" s="384"/>
      <c r="CQX55" s="384"/>
      <c r="CQY55" s="384"/>
      <c r="CQZ55" s="384"/>
      <c r="CRA55" s="384"/>
      <c r="CRB55" s="384"/>
      <c r="CRC55" s="384"/>
      <c r="CRD55" s="384"/>
      <c r="CRE55" s="384"/>
      <c r="CRF55" s="384"/>
      <c r="CRG55" s="384"/>
      <c r="CRH55" s="384"/>
      <c r="CRI55" s="384"/>
      <c r="CRJ55" s="384"/>
      <c r="CRK55" s="384"/>
      <c r="CRL55" s="384"/>
      <c r="CRM55" s="384"/>
      <c r="CRN55" s="384"/>
      <c r="CRO55" s="384"/>
      <c r="CRP55" s="384"/>
      <c r="CRQ55" s="384"/>
      <c r="CRR55" s="384"/>
      <c r="CRS55" s="384"/>
      <c r="CRT55" s="384"/>
      <c r="CRU55" s="384"/>
      <c r="CRV55" s="384"/>
      <c r="CRW55" s="384"/>
      <c r="CRX55" s="384"/>
      <c r="CRY55" s="384"/>
      <c r="CRZ55" s="384"/>
      <c r="CSA55" s="384"/>
      <c r="CSB55" s="384"/>
      <c r="CSC55" s="384"/>
      <c r="CSD55" s="384"/>
      <c r="CSE55" s="384"/>
      <c r="CSF55" s="384"/>
      <c r="CSG55" s="384"/>
      <c r="CSH55" s="384"/>
      <c r="CSI55" s="384"/>
      <c r="CSJ55" s="384"/>
      <c r="CSK55" s="384"/>
      <c r="CSL55" s="384"/>
      <c r="CSM55" s="384"/>
      <c r="CSN55" s="384"/>
      <c r="CSO55" s="384"/>
      <c r="CSP55" s="384"/>
      <c r="CSQ55" s="384"/>
      <c r="CSR55" s="384"/>
      <c r="CSS55" s="384"/>
      <c r="CST55" s="384"/>
      <c r="CSU55" s="384"/>
      <c r="CSV55" s="384"/>
      <c r="CSW55" s="384"/>
      <c r="CSX55" s="384"/>
      <c r="CSY55" s="384"/>
      <c r="CSZ55" s="384"/>
      <c r="CTA55" s="384"/>
      <c r="CTB55" s="384"/>
      <c r="CTC55" s="384"/>
      <c r="CTD55" s="384"/>
      <c r="CTE55" s="384"/>
      <c r="CTF55" s="384"/>
      <c r="CTG55" s="384"/>
      <c r="CTH55" s="384"/>
      <c r="CTI55" s="384"/>
      <c r="CTJ55" s="384"/>
      <c r="CTK55" s="384"/>
      <c r="CTL55" s="384"/>
      <c r="CTM55" s="384"/>
      <c r="CTN55" s="384"/>
      <c r="CTO55" s="384"/>
      <c r="CTP55" s="384"/>
      <c r="CTQ55" s="384"/>
      <c r="CTR55" s="384"/>
      <c r="CTS55" s="384"/>
      <c r="CTT55" s="384"/>
      <c r="CTU55" s="384"/>
      <c r="CTV55" s="384"/>
      <c r="CTW55" s="384"/>
      <c r="CTX55" s="384"/>
      <c r="CTY55" s="384"/>
      <c r="CTZ55" s="384"/>
      <c r="CUA55" s="384"/>
      <c r="CUB55" s="384"/>
      <c r="CUC55" s="384"/>
      <c r="CUD55" s="384"/>
      <c r="CUE55" s="384"/>
      <c r="CUF55" s="384"/>
      <c r="CUG55" s="384"/>
      <c r="CUH55" s="384"/>
      <c r="CUI55" s="384"/>
      <c r="CUJ55" s="384"/>
      <c r="CUK55" s="384"/>
      <c r="CUL55" s="384"/>
      <c r="CUM55" s="384"/>
      <c r="CUN55" s="384"/>
      <c r="CUO55" s="384"/>
      <c r="CUP55" s="384"/>
      <c r="CUQ55" s="384"/>
      <c r="CUR55" s="384"/>
      <c r="CUS55" s="384"/>
      <c r="CUT55" s="384"/>
      <c r="CUU55" s="384"/>
      <c r="CUV55" s="384"/>
      <c r="CUW55" s="384"/>
      <c r="CUX55" s="384"/>
      <c r="CUY55" s="384"/>
      <c r="CUZ55" s="384"/>
      <c r="CVA55" s="384"/>
      <c r="CVB55" s="384"/>
      <c r="CVC55" s="384"/>
      <c r="CVD55" s="384"/>
      <c r="CVE55" s="384"/>
      <c r="CVF55" s="384"/>
      <c r="CVG55" s="384"/>
      <c r="CVH55" s="384"/>
      <c r="CVI55" s="384"/>
      <c r="CVJ55" s="384"/>
      <c r="CVK55" s="384"/>
      <c r="CVL55" s="384"/>
      <c r="CVM55" s="384"/>
      <c r="CVN55" s="384"/>
      <c r="CVO55" s="384"/>
      <c r="CVP55" s="384"/>
      <c r="CVQ55" s="384"/>
      <c r="CVR55" s="384"/>
      <c r="CVS55" s="384"/>
      <c r="CVT55" s="384"/>
      <c r="CVU55" s="384"/>
      <c r="CVV55" s="384"/>
      <c r="CVW55" s="384"/>
      <c r="CVX55" s="384"/>
      <c r="CVY55" s="384"/>
      <c r="CVZ55" s="384"/>
      <c r="CWA55" s="384"/>
      <c r="CWB55" s="384"/>
      <c r="CWC55" s="384"/>
      <c r="CWD55" s="384"/>
      <c r="CWE55" s="384"/>
      <c r="CWF55" s="384"/>
      <c r="CWG55" s="384"/>
      <c r="CWH55" s="384"/>
      <c r="CWI55" s="384"/>
      <c r="CWJ55" s="384"/>
      <c r="CWK55" s="384"/>
      <c r="CWL55" s="384"/>
      <c r="CWM55" s="384"/>
      <c r="CWN55" s="384"/>
      <c r="CWO55" s="384"/>
      <c r="CWP55" s="384"/>
      <c r="CWQ55" s="384"/>
      <c r="CWR55" s="384"/>
      <c r="CWS55" s="384"/>
      <c r="CWT55" s="384"/>
      <c r="CWU55" s="384"/>
      <c r="CWV55" s="384"/>
      <c r="CWW55" s="384"/>
      <c r="CWX55" s="384"/>
      <c r="CWY55" s="384"/>
      <c r="CWZ55" s="384"/>
      <c r="CXA55" s="384"/>
      <c r="CXB55" s="384"/>
      <c r="CXC55" s="384"/>
      <c r="CXD55" s="384"/>
      <c r="CXE55" s="384"/>
      <c r="CXF55" s="384"/>
      <c r="CXG55" s="384"/>
      <c r="CXH55" s="384"/>
      <c r="CXI55" s="384"/>
      <c r="CXJ55" s="384"/>
      <c r="CXK55" s="384"/>
      <c r="CXL55" s="384"/>
      <c r="CXM55" s="384"/>
      <c r="CXN55" s="384"/>
      <c r="CXO55" s="384"/>
      <c r="CXP55" s="384"/>
      <c r="CXQ55" s="384"/>
      <c r="CXR55" s="384"/>
      <c r="CXS55" s="384"/>
      <c r="CXT55" s="384"/>
      <c r="CXU55" s="384"/>
      <c r="CXV55" s="384"/>
      <c r="CXW55" s="384"/>
      <c r="CXX55" s="384"/>
      <c r="CXY55" s="384"/>
      <c r="CXZ55" s="384"/>
      <c r="CYA55" s="384"/>
      <c r="CYB55" s="384"/>
      <c r="CYC55" s="384"/>
      <c r="CYD55" s="384"/>
      <c r="CYE55" s="384"/>
      <c r="CYF55" s="384"/>
      <c r="CYG55" s="384"/>
      <c r="CYH55" s="384"/>
      <c r="CYI55" s="384"/>
      <c r="CYJ55" s="384"/>
      <c r="CYK55" s="384"/>
      <c r="CYL55" s="384"/>
      <c r="CYM55" s="384"/>
      <c r="CYN55" s="384"/>
      <c r="CYO55" s="384"/>
      <c r="CYP55" s="384"/>
      <c r="CYQ55" s="384"/>
      <c r="CYR55" s="384"/>
      <c r="CYS55" s="384"/>
      <c r="CYT55" s="384"/>
      <c r="CYU55" s="384"/>
      <c r="CYV55" s="384"/>
      <c r="CYW55" s="384"/>
      <c r="CYX55" s="384"/>
      <c r="CYY55" s="384"/>
      <c r="CYZ55" s="384"/>
      <c r="CZA55" s="384"/>
      <c r="CZB55" s="384"/>
      <c r="CZC55" s="384"/>
      <c r="CZD55" s="384"/>
      <c r="CZE55" s="384"/>
      <c r="CZF55" s="384"/>
      <c r="CZG55" s="384"/>
      <c r="CZH55" s="384"/>
      <c r="CZI55" s="384"/>
      <c r="CZJ55" s="384"/>
      <c r="CZK55" s="384"/>
      <c r="CZL55" s="384"/>
      <c r="CZM55" s="384"/>
      <c r="CZN55" s="384"/>
      <c r="CZO55" s="384"/>
      <c r="CZP55" s="384"/>
      <c r="CZQ55" s="384"/>
      <c r="CZR55" s="384"/>
      <c r="CZS55" s="384"/>
      <c r="CZT55" s="384"/>
      <c r="CZU55" s="384"/>
      <c r="CZV55" s="384"/>
      <c r="CZW55" s="384"/>
      <c r="CZX55" s="384"/>
      <c r="CZY55" s="384"/>
      <c r="CZZ55" s="384"/>
      <c r="DAA55" s="384"/>
      <c r="DAB55" s="384"/>
      <c r="DAC55" s="384"/>
      <c r="DAD55" s="384"/>
      <c r="DAE55" s="384"/>
      <c r="DAF55" s="384"/>
      <c r="DAG55" s="384"/>
      <c r="DAH55" s="384"/>
      <c r="DAI55" s="384"/>
      <c r="DAJ55" s="384"/>
      <c r="DAK55" s="384"/>
      <c r="DAL55" s="384"/>
      <c r="DAM55" s="384"/>
      <c r="DAN55" s="384"/>
      <c r="DAO55" s="384"/>
      <c r="DAP55" s="384"/>
      <c r="DAQ55" s="384"/>
      <c r="DAR55" s="384"/>
      <c r="DAS55" s="384"/>
      <c r="DAT55" s="384"/>
      <c r="DAU55" s="384"/>
      <c r="DAV55" s="384"/>
      <c r="DAW55" s="384"/>
      <c r="DAX55" s="384"/>
      <c r="DAY55" s="384"/>
      <c r="DAZ55" s="384"/>
      <c r="DBA55" s="384"/>
      <c r="DBB55" s="384"/>
      <c r="DBC55" s="384"/>
      <c r="DBD55" s="384"/>
      <c r="DBE55" s="384"/>
      <c r="DBF55" s="384"/>
      <c r="DBG55" s="384"/>
      <c r="DBH55" s="384"/>
      <c r="DBI55" s="384"/>
      <c r="DBJ55" s="384"/>
      <c r="DBK55" s="384"/>
      <c r="DBL55" s="384"/>
      <c r="DBM55" s="384"/>
      <c r="DBN55" s="384"/>
      <c r="DBO55" s="384"/>
      <c r="DBP55" s="384"/>
      <c r="DBQ55" s="384"/>
      <c r="DBR55" s="384"/>
      <c r="DBS55" s="384"/>
      <c r="DBT55" s="384"/>
      <c r="DBU55" s="384"/>
      <c r="DBV55" s="384"/>
      <c r="DBW55" s="384"/>
      <c r="DBX55" s="384"/>
      <c r="DBY55" s="384"/>
      <c r="DBZ55" s="384"/>
      <c r="DCA55" s="384"/>
      <c r="DCB55" s="384"/>
      <c r="DCC55" s="384"/>
      <c r="DCD55" s="384"/>
      <c r="DCE55" s="384"/>
      <c r="DCF55" s="384"/>
      <c r="DCG55" s="384"/>
      <c r="DCH55" s="384"/>
      <c r="DCI55" s="384"/>
      <c r="DCJ55" s="384"/>
      <c r="DCK55" s="384"/>
      <c r="DCL55" s="384"/>
      <c r="DCM55" s="384"/>
      <c r="DCN55" s="384"/>
      <c r="DCO55" s="384"/>
      <c r="DCP55" s="384"/>
      <c r="DCQ55" s="384"/>
      <c r="DCR55" s="384"/>
      <c r="DCS55" s="384"/>
      <c r="DCT55" s="384"/>
      <c r="DCU55" s="384"/>
      <c r="DCV55" s="384"/>
      <c r="DCW55" s="384"/>
      <c r="DCX55" s="384"/>
      <c r="DCY55" s="384"/>
      <c r="DCZ55" s="384"/>
      <c r="DDA55" s="384"/>
      <c r="DDB55" s="384"/>
      <c r="DDC55" s="384"/>
      <c r="DDD55" s="384"/>
      <c r="DDE55" s="384"/>
      <c r="DDF55" s="384"/>
      <c r="DDG55" s="384"/>
      <c r="DDH55" s="384"/>
      <c r="DDI55" s="384"/>
      <c r="DDJ55" s="384"/>
      <c r="DDK55" s="384"/>
      <c r="DDL55" s="384"/>
      <c r="DDM55" s="384"/>
      <c r="DDN55" s="384"/>
      <c r="DDO55" s="384"/>
      <c r="DDP55" s="384"/>
      <c r="DDQ55" s="384"/>
      <c r="DDR55" s="384"/>
      <c r="DDS55" s="384"/>
      <c r="DDT55" s="384"/>
      <c r="DDU55" s="384"/>
      <c r="DDV55" s="384"/>
      <c r="DDW55" s="384"/>
      <c r="DDX55" s="384"/>
      <c r="DDY55" s="384"/>
      <c r="DDZ55" s="384"/>
      <c r="DEA55" s="384"/>
      <c r="DEB55" s="384"/>
      <c r="DEC55" s="384"/>
      <c r="DED55" s="384"/>
      <c r="DEE55" s="384"/>
      <c r="DEF55" s="384"/>
      <c r="DEG55" s="384"/>
      <c r="DEH55" s="384"/>
      <c r="DEI55" s="384"/>
      <c r="DEJ55" s="384"/>
      <c r="DEK55" s="384"/>
      <c r="DEL55" s="384"/>
      <c r="DEM55" s="384"/>
      <c r="DEN55" s="384"/>
      <c r="DEO55" s="384"/>
      <c r="DEP55" s="384"/>
      <c r="DEQ55" s="384"/>
      <c r="DER55" s="384"/>
      <c r="DES55" s="384"/>
      <c r="DET55" s="384"/>
      <c r="DEU55" s="384"/>
      <c r="DEV55" s="384"/>
      <c r="DEW55" s="384"/>
      <c r="DEX55" s="384"/>
      <c r="DEY55" s="384"/>
      <c r="DEZ55" s="384"/>
      <c r="DFA55" s="384"/>
      <c r="DFB55" s="384"/>
      <c r="DFC55" s="384"/>
      <c r="DFD55" s="384"/>
      <c r="DFE55" s="384"/>
      <c r="DFF55" s="384"/>
      <c r="DFG55" s="384"/>
      <c r="DFH55" s="384"/>
      <c r="DFI55" s="384"/>
      <c r="DFJ55" s="384"/>
      <c r="DFK55" s="384"/>
      <c r="DFL55" s="384"/>
      <c r="DFM55" s="384"/>
      <c r="DFN55" s="384"/>
      <c r="DFO55" s="384"/>
      <c r="DFP55" s="384"/>
      <c r="DFQ55" s="384"/>
      <c r="DFR55" s="384"/>
      <c r="DFS55" s="384"/>
      <c r="DFT55" s="384"/>
      <c r="DFU55" s="384"/>
      <c r="DFV55" s="384"/>
      <c r="DFW55" s="384"/>
      <c r="DFX55" s="384"/>
      <c r="DFY55" s="384"/>
      <c r="DFZ55" s="384"/>
      <c r="DGA55" s="384"/>
      <c r="DGB55" s="384"/>
      <c r="DGC55" s="384"/>
      <c r="DGD55" s="384"/>
      <c r="DGE55" s="384"/>
      <c r="DGF55" s="384"/>
      <c r="DGG55" s="384"/>
      <c r="DGH55" s="384"/>
      <c r="DGI55" s="384"/>
      <c r="DGJ55" s="384"/>
      <c r="DGK55" s="384"/>
      <c r="DGL55" s="384"/>
      <c r="DGM55" s="384"/>
      <c r="DGN55" s="384"/>
      <c r="DGO55" s="384"/>
      <c r="DGP55" s="384"/>
      <c r="DGQ55" s="384"/>
      <c r="DGR55" s="384"/>
      <c r="DGS55" s="384"/>
      <c r="DGT55" s="384"/>
      <c r="DGU55" s="384"/>
      <c r="DGV55" s="384"/>
      <c r="DGW55" s="384"/>
      <c r="DGX55" s="384"/>
      <c r="DGY55" s="384"/>
      <c r="DGZ55" s="384"/>
      <c r="DHA55" s="384"/>
      <c r="DHB55" s="384"/>
      <c r="DHC55" s="384"/>
      <c r="DHD55" s="384"/>
      <c r="DHE55" s="384"/>
      <c r="DHF55" s="384"/>
      <c r="DHG55" s="384"/>
      <c r="DHH55" s="384"/>
      <c r="DHI55" s="384"/>
      <c r="DHJ55" s="384"/>
      <c r="DHK55" s="384"/>
      <c r="DHL55" s="384"/>
      <c r="DHM55" s="384"/>
      <c r="DHN55" s="384"/>
      <c r="DHO55" s="384"/>
      <c r="DHP55" s="384"/>
      <c r="DHQ55" s="384"/>
      <c r="DHR55" s="384"/>
      <c r="DHS55" s="384"/>
      <c r="DHT55" s="384"/>
      <c r="DHU55" s="384"/>
      <c r="DHV55" s="384"/>
      <c r="DHW55" s="384"/>
      <c r="DHX55" s="384"/>
      <c r="DHY55" s="384"/>
      <c r="DHZ55" s="384"/>
      <c r="DIA55" s="384"/>
      <c r="DIB55" s="384"/>
      <c r="DIC55" s="384"/>
      <c r="DID55" s="384"/>
      <c r="DIE55" s="384"/>
      <c r="DIF55" s="384"/>
      <c r="DIG55" s="384"/>
      <c r="DIH55" s="384"/>
      <c r="DII55" s="384"/>
      <c r="DIJ55" s="384"/>
      <c r="DIK55" s="384"/>
      <c r="DIL55" s="384"/>
      <c r="DIM55" s="384"/>
      <c r="DIN55" s="384"/>
      <c r="DIO55" s="384"/>
      <c r="DIP55" s="384"/>
      <c r="DIQ55" s="384"/>
      <c r="DIR55" s="384"/>
      <c r="DIS55" s="384"/>
      <c r="DIT55" s="384"/>
      <c r="DIU55" s="384"/>
      <c r="DIV55" s="384"/>
      <c r="DIW55" s="384"/>
      <c r="DIX55" s="384"/>
      <c r="DIY55" s="384"/>
      <c r="DIZ55" s="384"/>
      <c r="DJA55" s="384"/>
      <c r="DJB55" s="384"/>
      <c r="DJC55" s="384"/>
      <c r="DJD55" s="384"/>
      <c r="DJE55" s="384"/>
      <c r="DJF55" s="384"/>
      <c r="DJG55" s="384"/>
      <c r="DJH55" s="384"/>
      <c r="DJI55" s="384"/>
      <c r="DJJ55" s="384"/>
      <c r="DJK55" s="384"/>
      <c r="DJL55" s="384"/>
      <c r="DJM55" s="384"/>
      <c r="DJN55" s="384"/>
      <c r="DJO55" s="384"/>
      <c r="DJP55" s="384"/>
      <c r="DJQ55" s="384"/>
      <c r="DJR55" s="384"/>
      <c r="DJS55" s="384"/>
      <c r="DJT55" s="384"/>
      <c r="DJU55" s="384"/>
      <c r="DJV55" s="384"/>
      <c r="DJW55" s="384"/>
      <c r="DJX55" s="384"/>
      <c r="DJY55" s="384"/>
      <c r="DJZ55" s="384"/>
      <c r="DKA55" s="384"/>
      <c r="DKB55" s="384"/>
      <c r="DKC55" s="384"/>
      <c r="DKD55" s="384"/>
      <c r="DKE55" s="384"/>
      <c r="DKF55" s="384"/>
      <c r="DKG55" s="384"/>
      <c r="DKH55" s="384"/>
      <c r="DKI55" s="384"/>
      <c r="DKJ55" s="384"/>
      <c r="DKK55" s="384"/>
      <c r="DKL55" s="384"/>
      <c r="DKM55" s="384"/>
      <c r="DKN55" s="384"/>
      <c r="DKO55" s="384"/>
      <c r="DKP55" s="384"/>
      <c r="DKQ55" s="384"/>
      <c r="DKR55" s="384"/>
      <c r="DKS55" s="384"/>
      <c r="DKT55" s="384"/>
      <c r="DKU55" s="384"/>
      <c r="DKV55" s="384"/>
      <c r="DKW55" s="384"/>
      <c r="DKX55" s="384"/>
      <c r="DKY55" s="384"/>
      <c r="DKZ55" s="384"/>
      <c r="DLA55" s="384"/>
      <c r="DLB55" s="384"/>
      <c r="DLC55" s="384"/>
      <c r="DLD55" s="384"/>
      <c r="DLE55" s="384"/>
      <c r="DLF55" s="384"/>
      <c r="DLG55" s="384"/>
      <c r="DLH55" s="384"/>
      <c r="DLI55" s="384"/>
      <c r="DLJ55" s="384"/>
      <c r="DLK55" s="384"/>
      <c r="DLL55" s="384"/>
      <c r="DLM55" s="384"/>
      <c r="DLN55" s="384"/>
      <c r="DLO55" s="384"/>
      <c r="DLP55" s="384"/>
      <c r="DLQ55" s="384"/>
      <c r="DLR55" s="384"/>
      <c r="DLS55" s="384"/>
      <c r="DLT55" s="384"/>
      <c r="DLU55" s="384"/>
      <c r="DLV55" s="384"/>
      <c r="DLW55" s="384"/>
      <c r="DLX55" s="384"/>
      <c r="DLY55" s="384"/>
      <c r="DLZ55" s="384"/>
      <c r="DMA55" s="384"/>
      <c r="DMB55" s="384"/>
      <c r="DMC55" s="384"/>
      <c r="DMD55" s="384"/>
      <c r="DME55" s="384"/>
      <c r="DMF55" s="384"/>
      <c r="DMG55" s="384"/>
      <c r="DMH55" s="384"/>
      <c r="DMI55" s="384"/>
      <c r="DMJ55" s="384"/>
      <c r="DMK55" s="384"/>
      <c r="DML55" s="384"/>
      <c r="DMM55" s="384"/>
      <c r="DMN55" s="384"/>
      <c r="DMO55" s="384"/>
      <c r="DMP55" s="384"/>
      <c r="DMQ55" s="384"/>
      <c r="DMR55" s="384"/>
      <c r="DMS55" s="384"/>
      <c r="DMT55" s="384"/>
      <c r="DMU55" s="384"/>
      <c r="DMV55" s="384"/>
      <c r="DMW55" s="384"/>
      <c r="DMX55" s="384"/>
      <c r="DMY55" s="384"/>
      <c r="DMZ55" s="384"/>
      <c r="DNA55" s="384"/>
      <c r="DNB55" s="384"/>
      <c r="DNC55" s="384"/>
      <c r="DND55" s="384"/>
      <c r="DNE55" s="384"/>
      <c r="DNF55" s="384"/>
      <c r="DNG55" s="384"/>
      <c r="DNH55" s="384"/>
      <c r="DNI55" s="384"/>
      <c r="DNJ55" s="384"/>
      <c r="DNK55" s="384"/>
      <c r="DNL55" s="384"/>
      <c r="DNM55" s="384"/>
      <c r="DNN55" s="384"/>
      <c r="DNO55" s="384"/>
      <c r="DNP55" s="384"/>
      <c r="DNQ55" s="384"/>
      <c r="DNR55" s="384"/>
      <c r="DNS55" s="384"/>
      <c r="DNT55" s="384"/>
      <c r="DNU55" s="384"/>
      <c r="DNV55" s="384"/>
      <c r="DNW55" s="384"/>
      <c r="DNX55" s="384"/>
      <c r="DNY55" s="384"/>
      <c r="DNZ55" s="384"/>
      <c r="DOA55" s="384"/>
      <c r="DOB55" s="384"/>
      <c r="DOC55" s="384"/>
      <c r="DOD55" s="384"/>
      <c r="DOE55" s="384"/>
      <c r="DOF55" s="384"/>
      <c r="DOG55" s="384"/>
      <c r="DOH55" s="384"/>
      <c r="DOI55" s="384"/>
      <c r="DOJ55" s="384"/>
      <c r="DOK55" s="384"/>
      <c r="DOL55" s="384"/>
      <c r="DOM55" s="384"/>
      <c r="DON55" s="384"/>
      <c r="DOO55" s="384"/>
      <c r="DOP55" s="384"/>
      <c r="DOQ55" s="384"/>
      <c r="DOR55" s="384"/>
      <c r="DOS55" s="384"/>
      <c r="DOT55" s="384"/>
      <c r="DOU55" s="384"/>
      <c r="DOV55" s="384"/>
      <c r="DOW55" s="384"/>
      <c r="DOX55" s="384"/>
      <c r="DOY55" s="384"/>
      <c r="DOZ55" s="384"/>
      <c r="DPA55" s="384"/>
      <c r="DPB55" s="384"/>
      <c r="DPC55" s="384"/>
      <c r="DPD55" s="384"/>
      <c r="DPE55" s="384"/>
      <c r="DPF55" s="384"/>
      <c r="DPG55" s="384"/>
      <c r="DPH55" s="384"/>
      <c r="DPI55" s="384"/>
      <c r="DPJ55" s="384"/>
      <c r="DPK55" s="384"/>
      <c r="DPL55" s="384"/>
      <c r="DPM55" s="384"/>
      <c r="DPN55" s="384"/>
      <c r="DPO55" s="384"/>
      <c r="DPP55" s="384"/>
      <c r="DPQ55" s="384"/>
      <c r="DPR55" s="384"/>
      <c r="DPS55" s="384"/>
      <c r="DPT55" s="384"/>
      <c r="DPU55" s="384"/>
      <c r="DPV55" s="384"/>
      <c r="DPW55" s="384"/>
      <c r="DPX55" s="384"/>
      <c r="DPY55" s="384"/>
      <c r="DPZ55" s="384"/>
      <c r="DQA55" s="384"/>
      <c r="DQB55" s="384"/>
      <c r="DQC55" s="384"/>
      <c r="DQD55" s="384"/>
      <c r="DQE55" s="384"/>
      <c r="DQF55" s="384"/>
      <c r="DQG55" s="384"/>
      <c r="DQH55" s="384"/>
      <c r="DQI55" s="384"/>
      <c r="DQJ55" s="384"/>
      <c r="DQK55" s="384"/>
      <c r="DQL55" s="384"/>
      <c r="DQM55" s="384"/>
      <c r="DQN55" s="384"/>
      <c r="DQO55" s="384"/>
      <c r="DQP55" s="384"/>
      <c r="DQQ55" s="384"/>
      <c r="DQR55" s="384"/>
      <c r="DQS55" s="384"/>
      <c r="DQT55" s="384"/>
      <c r="DQU55" s="384"/>
      <c r="DQV55" s="384"/>
      <c r="DQW55" s="384"/>
      <c r="DQX55" s="384"/>
      <c r="DQY55" s="384"/>
      <c r="DQZ55" s="384"/>
      <c r="DRA55" s="384"/>
      <c r="DRB55" s="384"/>
      <c r="DRC55" s="384"/>
      <c r="DRD55" s="384"/>
      <c r="DRE55" s="384"/>
      <c r="DRF55" s="384"/>
      <c r="DRG55" s="384"/>
      <c r="DRH55" s="384"/>
      <c r="DRI55" s="384"/>
      <c r="DRJ55" s="384"/>
      <c r="DRK55" s="384"/>
      <c r="DRL55" s="384"/>
      <c r="DRM55" s="384"/>
      <c r="DRN55" s="384"/>
      <c r="DRO55" s="384"/>
      <c r="DRP55" s="384"/>
      <c r="DRQ55" s="384"/>
      <c r="DRR55" s="384"/>
      <c r="DRS55" s="384"/>
      <c r="DRT55" s="384"/>
      <c r="DRU55" s="384"/>
      <c r="DRV55" s="384"/>
      <c r="DRW55" s="384"/>
      <c r="DRX55" s="384"/>
      <c r="DRY55" s="384"/>
      <c r="DRZ55" s="384"/>
      <c r="DSA55" s="384"/>
      <c r="DSB55" s="384"/>
      <c r="DSC55" s="384"/>
      <c r="DSD55" s="384"/>
      <c r="DSE55" s="384"/>
      <c r="DSF55" s="384"/>
      <c r="DSG55" s="384"/>
      <c r="DSH55" s="384"/>
      <c r="DSI55" s="384"/>
      <c r="DSJ55" s="384"/>
      <c r="DSK55" s="384"/>
      <c r="DSL55" s="384"/>
      <c r="DSM55" s="384"/>
      <c r="DSN55" s="384"/>
      <c r="DSO55" s="384"/>
      <c r="DSP55" s="384"/>
      <c r="DSQ55" s="384"/>
      <c r="DSR55" s="384"/>
      <c r="DSS55" s="384"/>
      <c r="DST55" s="384"/>
      <c r="DSU55" s="384"/>
      <c r="DSV55" s="384"/>
      <c r="DSW55" s="384"/>
      <c r="DSX55" s="384"/>
      <c r="DSY55" s="384"/>
      <c r="DSZ55" s="384"/>
      <c r="DTA55" s="384"/>
      <c r="DTB55" s="384"/>
      <c r="DTC55" s="384"/>
      <c r="DTD55" s="384"/>
      <c r="DTE55" s="384"/>
      <c r="DTF55" s="384"/>
      <c r="DTG55" s="384"/>
      <c r="DTH55" s="384"/>
      <c r="DTI55" s="384"/>
      <c r="DTJ55" s="384"/>
      <c r="DTK55" s="384"/>
      <c r="DTL55" s="384"/>
      <c r="DTM55" s="384"/>
      <c r="DTN55" s="384"/>
      <c r="DTO55" s="384"/>
      <c r="DTP55" s="384"/>
      <c r="DTQ55" s="384"/>
      <c r="DTR55" s="384"/>
      <c r="DTS55" s="384"/>
      <c r="DTT55" s="384"/>
      <c r="DTU55" s="384"/>
      <c r="DTV55" s="384"/>
      <c r="DTW55" s="384"/>
      <c r="DTX55" s="384"/>
      <c r="DTY55" s="384"/>
      <c r="DTZ55" s="384"/>
      <c r="DUA55" s="384"/>
      <c r="DUB55" s="384"/>
      <c r="DUC55" s="384"/>
      <c r="DUD55" s="384"/>
      <c r="DUE55" s="384"/>
      <c r="DUF55" s="384"/>
      <c r="DUG55" s="384"/>
      <c r="DUH55" s="384"/>
      <c r="DUI55" s="384"/>
      <c r="DUJ55" s="384"/>
      <c r="DUK55" s="384"/>
      <c r="DUL55" s="384"/>
      <c r="DUM55" s="384"/>
      <c r="DUN55" s="384"/>
      <c r="DUO55" s="384"/>
      <c r="DUP55" s="384"/>
      <c r="DUQ55" s="384"/>
      <c r="DUR55" s="384"/>
      <c r="DUS55" s="384"/>
      <c r="DUT55" s="384"/>
      <c r="DUU55" s="384"/>
      <c r="DUV55" s="384"/>
      <c r="DUW55" s="384"/>
      <c r="DUX55" s="384"/>
      <c r="DUY55" s="384"/>
      <c r="DUZ55" s="384"/>
      <c r="DVA55" s="384"/>
      <c r="DVB55" s="384"/>
      <c r="DVC55" s="384"/>
      <c r="DVD55" s="384"/>
      <c r="DVE55" s="384"/>
      <c r="DVF55" s="384"/>
      <c r="DVG55" s="384"/>
      <c r="DVH55" s="384"/>
      <c r="DVI55" s="384"/>
      <c r="DVJ55" s="384"/>
      <c r="DVK55" s="384"/>
      <c r="DVL55" s="384"/>
      <c r="DVM55" s="384"/>
      <c r="DVN55" s="384"/>
      <c r="DVO55" s="384"/>
      <c r="DVP55" s="384"/>
      <c r="DVQ55" s="384"/>
      <c r="DVR55" s="384"/>
      <c r="DVS55" s="384"/>
      <c r="DVT55" s="384"/>
      <c r="DVU55" s="384"/>
      <c r="DVV55" s="384"/>
      <c r="DVW55" s="384"/>
      <c r="DVX55" s="384"/>
      <c r="DVY55" s="384"/>
      <c r="DVZ55" s="384"/>
      <c r="DWA55" s="384"/>
      <c r="DWB55" s="384"/>
      <c r="DWC55" s="384"/>
      <c r="DWD55" s="384"/>
      <c r="DWE55" s="384"/>
      <c r="DWF55" s="384"/>
      <c r="DWG55" s="384"/>
      <c r="DWH55" s="384"/>
      <c r="DWI55" s="384"/>
      <c r="DWJ55" s="384"/>
      <c r="DWK55" s="384"/>
      <c r="DWL55" s="384"/>
      <c r="DWM55" s="384"/>
      <c r="DWN55" s="384"/>
      <c r="DWO55" s="384"/>
      <c r="DWP55" s="384"/>
      <c r="DWQ55" s="384"/>
      <c r="DWR55" s="384"/>
      <c r="DWS55" s="384"/>
      <c r="DWT55" s="384"/>
      <c r="DWU55" s="384"/>
      <c r="DWV55" s="384"/>
      <c r="DWW55" s="384"/>
      <c r="DWX55" s="384"/>
      <c r="DWY55" s="384"/>
      <c r="DWZ55" s="384"/>
      <c r="DXA55" s="384"/>
      <c r="DXB55" s="384"/>
      <c r="DXC55" s="384"/>
      <c r="DXD55" s="384"/>
      <c r="DXE55" s="384"/>
      <c r="DXF55" s="384"/>
      <c r="DXG55" s="384"/>
      <c r="DXH55" s="384"/>
      <c r="DXI55" s="384"/>
      <c r="DXJ55" s="384"/>
      <c r="DXK55" s="384"/>
      <c r="DXL55" s="384"/>
      <c r="DXM55" s="384"/>
      <c r="DXN55" s="384"/>
      <c r="DXO55" s="384"/>
      <c r="DXP55" s="384"/>
      <c r="DXQ55" s="384"/>
      <c r="DXR55" s="384"/>
      <c r="DXS55" s="384"/>
      <c r="DXT55" s="384"/>
      <c r="DXU55" s="384"/>
      <c r="DXV55" s="384"/>
      <c r="DXW55" s="384"/>
      <c r="DXX55" s="384"/>
      <c r="DXY55" s="384"/>
      <c r="DXZ55" s="384"/>
      <c r="DYA55" s="384"/>
      <c r="DYB55" s="384"/>
      <c r="DYC55" s="384"/>
      <c r="DYD55" s="384"/>
      <c r="DYE55" s="384"/>
      <c r="DYF55" s="384"/>
      <c r="DYG55" s="384"/>
      <c r="DYH55" s="384"/>
      <c r="DYI55" s="384"/>
      <c r="DYJ55" s="384"/>
      <c r="DYK55" s="384"/>
      <c r="DYL55" s="384"/>
      <c r="DYM55" s="384"/>
      <c r="DYN55" s="384"/>
      <c r="DYO55" s="384"/>
      <c r="DYP55" s="384"/>
      <c r="DYQ55" s="384"/>
      <c r="DYR55" s="384"/>
      <c r="DYS55" s="384"/>
      <c r="DYT55" s="384"/>
      <c r="DYU55" s="384"/>
      <c r="DYV55" s="384"/>
      <c r="DYW55" s="384"/>
      <c r="DYX55" s="384"/>
      <c r="DYY55" s="384"/>
      <c r="DYZ55" s="384"/>
      <c r="DZA55" s="384"/>
      <c r="DZB55" s="384"/>
      <c r="DZC55" s="384"/>
      <c r="DZD55" s="384"/>
      <c r="DZE55" s="384"/>
      <c r="DZF55" s="384"/>
      <c r="DZG55" s="384"/>
      <c r="DZH55" s="384"/>
      <c r="DZI55" s="384"/>
      <c r="DZJ55" s="384"/>
      <c r="DZK55" s="384"/>
      <c r="DZL55" s="384"/>
      <c r="DZM55" s="384"/>
      <c r="DZN55" s="384"/>
      <c r="DZO55" s="384"/>
      <c r="DZP55" s="384"/>
      <c r="DZQ55" s="384"/>
      <c r="DZR55" s="384"/>
      <c r="DZS55" s="384"/>
      <c r="DZT55" s="384"/>
      <c r="DZU55" s="384"/>
      <c r="DZV55" s="384"/>
      <c r="DZW55" s="384"/>
      <c r="DZX55" s="384"/>
      <c r="DZY55" s="384"/>
      <c r="DZZ55" s="384"/>
      <c r="EAA55" s="384"/>
      <c r="EAB55" s="384"/>
      <c r="EAC55" s="384"/>
      <c r="EAD55" s="384"/>
      <c r="EAE55" s="384"/>
      <c r="EAF55" s="384"/>
      <c r="EAG55" s="384"/>
      <c r="EAH55" s="384"/>
      <c r="EAI55" s="384"/>
      <c r="EAJ55" s="384"/>
      <c r="EAK55" s="384"/>
      <c r="EAL55" s="384"/>
      <c r="EAM55" s="384"/>
      <c r="EAN55" s="384"/>
      <c r="EAO55" s="384"/>
      <c r="EAP55" s="384"/>
      <c r="EAQ55" s="384"/>
      <c r="EAR55" s="384"/>
      <c r="EAS55" s="384"/>
      <c r="EAT55" s="384"/>
      <c r="EAU55" s="384"/>
      <c r="EAV55" s="384"/>
      <c r="EAW55" s="384"/>
      <c r="EAX55" s="384"/>
      <c r="EAY55" s="384"/>
      <c r="EAZ55" s="384"/>
      <c r="EBA55" s="384"/>
      <c r="EBB55" s="384"/>
      <c r="EBC55" s="384"/>
      <c r="EBD55" s="384"/>
      <c r="EBE55" s="384"/>
      <c r="EBF55" s="384"/>
      <c r="EBG55" s="384"/>
      <c r="EBH55" s="384"/>
      <c r="EBI55" s="384"/>
      <c r="EBJ55" s="384"/>
      <c r="EBK55" s="384"/>
      <c r="EBL55" s="384"/>
      <c r="EBM55" s="384"/>
      <c r="EBN55" s="384"/>
      <c r="EBO55" s="384"/>
      <c r="EBP55" s="384"/>
      <c r="EBQ55" s="384"/>
      <c r="EBR55" s="384"/>
      <c r="EBS55" s="384"/>
      <c r="EBT55" s="384"/>
      <c r="EBU55" s="384"/>
      <c r="EBV55" s="384"/>
      <c r="EBW55" s="384"/>
      <c r="EBX55" s="384"/>
      <c r="EBY55" s="384"/>
      <c r="EBZ55" s="384"/>
      <c r="ECA55" s="384"/>
      <c r="ECB55" s="384"/>
      <c r="ECC55" s="384"/>
      <c r="ECD55" s="384"/>
      <c r="ECE55" s="384"/>
      <c r="ECF55" s="384"/>
      <c r="ECG55" s="384"/>
      <c r="ECH55" s="384"/>
      <c r="ECI55" s="384"/>
      <c r="ECJ55" s="384"/>
      <c r="ECK55" s="384"/>
      <c r="ECL55" s="384"/>
      <c r="ECM55" s="384"/>
      <c r="ECN55" s="384"/>
      <c r="ECO55" s="384"/>
      <c r="ECP55" s="384"/>
      <c r="ECQ55" s="384"/>
      <c r="ECR55" s="384"/>
      <c r="ECS55" s="384"/>
      <c r="ECT55" s="384"/>
      <c r="ECU55" s="384"/>
      <c r="ECV55" s="384"/>
      <c r="ECW55" s="384"/>
      <c r="ECX55" s="384"/>
      <c r="ECY55" s="384"/>
      <c r="ECZ55" s="384"/>
      <c r="EDA55" s="384"/>
      <c r="EDB55" s="384"/>
      <c r="EDC55" s="384"/>
      <c r="EDD55" s="384"/>
      <c r="EDE55" s="384"/>
      <c r="EDF55" s="384"/>
      <c r="EDG55" s="384"/>
      <c r="EDH55" s="384"/>
      <c r="EDI55" s="384"/>
      <c r="EDJ55" s="384"/>
      <c r="EDK55" s="384"/>
      <c r="EDL55" s="384"/>
      <c r="EDM55" s="384"/>
      <c r="EDN55" s="384"/>
      <c r="EDO55" s="384"/>
      <c r="EDP55" s="384"/>
      <c r="EDQ55" s="384"/>
      <c r="EDR55" s="384"/>
      <c r="EDS55" s="384"/>
      <c r="EDT55" s="384"/>
      <c r="EDU55" s="384"/>
      <c r="EDV55" s="384"/>
      <c r="EDW55" s="384"/>
      <c r="EDX55" s="384"/>
      <c r="EDY55" s="384"/>
      <c r="EDZ55" s="384"/>
      <c r="EEA55" s="384"/>
      <c r="EEB55" s="384"/>
      <c r="EEC55" s="384"/>
      <c r="EED55" s="384"/>
      <c r="EEE55" s="384"/>
      <c r="EEF55" s="384"/>
      <c r="EEG55" s="384"/>
      <c r="EEH55" s="384"/>
      <c r="EEI55" s="384"/>
      <c r="EEJ55" s="384"/>
      <c r="EEK55" s="384"/>
      <c r="EEL55" s="384"/>
      <c r="EEM55" s="384"/>
      <c r="EEN55" s="384"/>
      <c r="EEO55" s="384"/>
      <c r="EEP55" s="384"/>
      <c r="EEQ55" s="384"/>
      <c r="EER55" s="384"/>
      <c r="EES55" s="384"/>
      <c r="EET55" s="384"/>
      <c r="EEU55" s="384"/>
      <c r="EEV55" s="384"/>
      <c r="EEW55" s="384"/>
      <c r="EEX55" s="384"/>
      <c r="EEY55" s="384"/>
      <c r="EEZ55" s="384"/>
      <c r="EFA55" s="384"/>
      <c r="EFB55" s="384"/>
      <c r="EFC55" s="384"/>
      <c r="EFD55" s="384"/>
      <c r="EFE55" s="384"/>
      <c r="EFF55" s="384"/>
      <c r="EFG55" s="384"/>
      <c r="EFH55" s="384"/>
      <c r="EFI55" s="384"/>
      <c r="EFJ55" s="384"/>
      <c r="EFK55" s="384"/>
      <c r="EFL55" s="384"/>
      <c r="EFM55" s="384"/>
      <c r="EFN55" s="384"/>
      <c r="EFO55" s="384"/>
      <c r="EFP55" s="384"/>
      <c r="EFQ55" s="384"/>
      <c r="EFR55" s="384"/>
      <c r="EFS55" s="384"/>
      <c r="EFT55" s="384"/>
      <c r="EFU55" s="384"/>
      <c r="EFV55" s="384"/>
      <c r="EFW55" s="384"/>
      <c r="EFX55" s="384"/>
      <c r="EFY55" s="384"/>
      <c r="EFZ55" s="384"/>
      <c r="EGA55" s="384"/>
      <c r="EGB55" s="384"/>
      <c r="EGC55" s="384"/>
      <c r="EGD55" s="384"/>
      <c r="EGE55" s="384"/>
      <c r="EGF55" s="384"/>
      <c r="EGG55" s="384"/>
      <c r="EGH55" s="384"/>
      <c r="EGI55" s="384"/>
      <c r="EGJ55" s="384"/>
      <c r="EGK55" s="384"/>
      <c r="EGL55" s="384"/>
      <c r="EGM55" s="384"/>
      <c r="EGN55" s="384"/>
      <c r="EGO55" s="384"/>
      <c r="EGP55" s="384"/>
      <c r="EGQ55" s="384"/>
      <c r="EGR55" s="384"/>
      <c r="EGS55" s="384"/>
      <c r="EGT55" s="384"/>
      <c r="EGU55" s="384"/>
      <c r="EGV55" s="384"/>
      <c r="EGW55" s="384"/>
      <c r="EGX55" s="384"/>
      <c r="EGY55" s="384"/>
      <c r="EGZ55" s="384"/>
      <c r="EHA55" s="384"/>
      <c r="EHB55" s="384"/>
      <c r="EHC55" s="384"/>
      <c r="EHD55" s="384"/>
      <c r="EHE55" s="384"/>
      <c r="EHF55" s="384"/>
      <c r="EHG55" s="384"/>
      <c r="EHH55" s="384"/>
      <c r="EHI55" s="384"/>
      <c r="EHJ55" s="384"/>
      <c r="EHK55" s="384"/>
      <c r="EHL55" s="384"/>
      <c r="EHM55" s="384"/>
      <c r="EHN55" s="384"/>
      <c r="EHO55" s="384"/>
      <c r="EHP55" s="384"/>
      <c r="EHQ55" s="384"/>
      <c r="EHR55" s="384"/>
      <c r="EHS55" s="384"/>
      <c r="EHT55" s="384"/>
      <c r="EHU55" s="384"/>
      <c r="EHV55" s="384"/>
      <c r="EHW55" s="384"/>
      <c r="EHX55" s="384"/>
      <c r="EHY55" s="384"/>
      <c r="EHZ55" s="384"/>
      <c r="EIA55" s="384"/>
      <c r="EIB55" s="384"/>
      <c r="EIC55" s="384"/>
      <c r="EID55" s="384"/>
      <c r="EIE55" s="384"/>
      <c r="EIF55" s="384"/>
      <c r="EIG55" s="384"/>
      <c r="EIH55" s="384"/>
      <c r="EII55" s="384"/>
      <c r="EIJ55" s="384"/>
      <c r="EIK55" s="384"/>
      <c r="EIL55" s="384"/>
      <c r="EIM55" s="384"/>
      <c r="EIN55" s="384"/>
      <c r="EIO55" s="384"/>
      <c r="EIP55" s="384"/>
      <c r="EIQ55" s="384"/>
      <c r="EIR55" s="384"/>
      <c r="EIS55" s="384"/>
      <c r="EIT55" s="384"/>
      <c r="EIU55" s="384"/>
      <c r="EIV55" s="384"/>
      <c r="EIW55" s="384"/>
      <c r="EIX55" s="384"/>
      <c r="EIY55" s="384"/>
      <c r="EIZ55" s="384"/>
      <c r="EJA55" s="384"/>
      <c r="EJB55" s="384"/>
      <c r="EJC55" s="384"/>
      <c r="EJD55" s="384"/>
      <c r="EJE55" s="384"/>
      <c r="EJF55" s="384"/>
      <c r="EJG55" s="384"/>
      <c r="EJH55" s="384"/>
      <c r="EJI55" s="384"/>
      <c r="EJJ55" s="384"/>
      <c r="EJK55" s="384"/>
      <c r="EJL55" s="384"/>
      <c r="EJM55" s="384"/>
      <c r="EJN55" s="384"/>
      <c r="EJO55" s="384"/>
      <c r="EJP55" s="384"/>
      <c r="EJQ55" s="384"/>
      <c r="EJR55" s="384"/>
      <c r="EJS55" s="384"/>
      <c r="EJT55" s="384"/>
      <c r="EJU55" s="384"/>
      <c r="EJV55" s="384"/>
      <c r="EJW55" s="384"/>
      <c r="EJX55" s="384"/>
      <c r="EJY55" s="384"/>
      <c r="EJZ55" s="384"/>
      <c r="EKA55" s="384"/>
      <c r="EKB55" s="384"/>
      <c r="EKC55" s="384"/>
      <c r="EKD55" s="384"/>
      <c r="EKE55" s="384"/>
      <c r="EKF55" s="384"/>
      <c r="EKG55" s="384"/>
      <c r="EKH55" s="384"/>
      <c r="EKI55" s="384"/>
      <c r="EKJ55" s="384"/>
      <c r="EKK55" s="384"/>
      <c r="EKL55" s="384"/>
      <c r="EKM55" s="384"/>
      <c r="EKN55" s="384"/>
      <c r="EKO55" s="384"/>
      <c r="EKP55" s="384"/>
      <c r="EKQ55" s="384"/>
      <c r="EKR55" s="384"/>
      <c r="EKS55" s="384"/>
      <c r="EKT55" s="384"/>
      <c r="EKU55" s="384"/>
      <c r="EKV55" s="384"/>
      <c r="EKW55" s="384"/>
      <c r="EKX55" s="384"/>
      <c r="EKY55" s="384"/>
      <c r="EKZ55" s="384"/>
      <c r="ELA55" s="384"/>
      <c r="ELB55" s="384"/>
      <c r="ELC55" s="384"/>
      <c r="ELD55" s="384"/>
      <c r="ELE55" s="384"/>
      <c r="ELF55" s="384"/>
      <c r="ELG55" s="384"/>
      <c r="ELH55" s="384"/>
      <c r="ELI55" s="384"/>
      <c r="ELJ55" s="384"/>
      <c r="ELK55" s="384"/>
      <c r="ELL55" s="384"/>
      <c r="ELM55" s="384"/>
      <c r="ELN55" s="384"/>
      <c r="ELO55" s="384"/>
      <c r="ELP55" s="384"/>
      <c r="ELQ55" s="384"/>
      <c r="ELR55" s="384"/>
      <c r="ELS55" s="384"/>
      <c r="ELT55" s="384"/>
      <c r="ELU55" s="384"/>
      <c r="ELV55" s="384"/>
      <c r="ELW55" s="384"/>
      <c r="ELX55" s="384"/>
      <c r="ELY55" s="384"/>
      <c r="ELZ55" s="384"/>
      <c r="EMA55" s="384"/>
      <c r="EMB55" s="384"/>
      <c r="EMC55" s="384"/>
      <c r="EMD55" s="384"/>
      <c r="EME55" s="384"/>
      <c r="EMF55" s="384"/>
      <c r="EMG55" s="384"/>
      <c r="EMH55" s="384"/>
      <c r="EMI55" s="384"/>
      <c r="EMJ55" s="384"/>
      <c r="EMK55" s="384"/>
      <c r="EML55" s="384"/>
      <c r="EMM55" s="384"/>
      <c r="EMN55" s="384"/>
      <c r="EMO55" s="384"/>
      <c r="EMP55" s="384"/>
      <c r="EMQ55" s="384"/>
      <c r="EMR55" s="384"/>
      <c r="EMS55" s="384"/>
      <c r="EMT55" s="384"/>
      <c r="EMU55" s="384"/>
      <c r="EMV55" s="384"/>
      <c r="EMW55" s="384"/>
      <c r="EMX55" s="384"/>
      <c r="EMY55" s="384"/>
      <c r="EMZ55" s="384"/>
      <c r="ENA55" s="384"/>
      <c r="ENB55" s="384"/>
      <c r="ENC55" s="384"/>
      <c r="END55" s="384"/>
      <c r="ENE55" s="384"/>
      <c r="ENF55" s="384"/>
      <c r="ENG55" s="384"/>
      <c r="ENH55" s="384"/>
      <c r="ENI55" s="384"/>
      <c r="ENJ55" s="384"/>
      <c r="ENK55" s="384"/>
      <c r="ENL55" s="384"/>
      <c r="ENM55" s="384"/>
      <c r="ENN55" s="384"/>
      <c r="ENO55" s="384"/>
      <c r="ENP55" s="384"/>
      <c r="ENQ55" s="384"/>
      <c r="ENR55" s="384"/>
      <c r="ENS55" s="384"/>
      <c r="ENT55" s="384"/>
      <c r="ENU55" s="384"/>
      <c r="ENV55" s="384"/>
      <c r="ENW55" s="384"/>
      <c r="ENX55" s="384"/>
      <c r="ENY55" s="384"/>
      <c r="ENZ55" s="384"/>
      <c r="EOA55" s="384"/>
      <c r="EOB55" s="384"/>
      <c r="EOC55" s="384"/>
      <c r="EOD55" s="384"/>
      <c r="EOE55" s="384"/>
      <c r="EOF55" s="384"/>
      <c r="EOG55" s="384"/>
      <c r="EOH55" s="384"/>
      <c r="EOI55" s="384"/>
      <c r="EOJ55" s="384"/>
      <c r="EOK55" s="384"/>
      <c r="EOL55" s="384"/>
      <c r="EOM55" s="384"/>
      <c r="EON55" s="384"/>
      <c r="EOO55" s="384"/>
      <c r="EOP55" s="384"/>
      <c r="EOQ55" s="384"/>
      <c r="EOR55" s="384"/>
      <c r="EOS55" s="384"/>
      <c r="EOT55" s="384"/>
      <c r="EOU55" s="384"/>
      <c r="EOV55" s="384"/>
      <c r="EOW55" s="384"/>
      <c r="EOX55" s="384"/>
      <c r="EOY55" s="384"/>
      <c r="EOZ55" s="384"/>
      <c r="EPA55" s="384"/>
      <c r="EPB55" s="384"/>
      <c r="EPC55" s="384"/>
      <c r="EPD55" s="384"/>
      <c r="EPE55" s="384"/>
      <c r="EPF55" s="384"/>
      <c r="EPG55" s="384"/>
      <c r="EPH55" s="384"/>
      <c r="EPI55" s="384"/>
      <c r="EPJ55" s="384"/>
      <c r="EPK55" s="384"/>
      <c r="EPL55" s="384"/>
      <c r="EPM55" s="384"/>
      <c r="EPN55" s="384"/>
      <c r="EPO55" s="384"/>
      <c r="EPP55" s="384"/>
      <c r="EPQ55" s="384"/>
      <c r="EPR55" s="384"/>
      <c r="EPS55" s="384"/>
      <c r="EPT55" s="384"/>
      <c r="EPU55" s="384"/>
      <c r="EPV55" s="384"/>
      <c r="EPW55" s="384"/>
      <c r="EPX55" s="384"/>
      <c r="EPY55" s="384"/>
      <c r="EPZ55" s="384"/>
      <c r="EQA55" s="384"/>
      <c r="EQB55" s="384"/>
      <c r="EQC55" s="384"/>
      <c r="EQD55" s="384"/>
      <c r="EQE55" s="384"/>
      <c r="EQF55" s="384"/>
      <c r="EQG55" s="384"/>
      <c r="EQH55" s="384"/>
      <c r="EQI55" s="384"/>
      <c r="EQJ55" s="384"/>
      <c r="EQK55" s="384"/>
      <c r="EQL55" s="384"/>
      <c r="EQM55" s="384"/>
      <c r="EQN55" s="384"/>
      <c r="EQO55" s="384"/>
      <c r="EQP55" s="384"/>
      <c r="EQQ55" s="384"/>
      <c r="EQR55" s="384"/>
      <c r="EQS55" s="384"/>
      <c r="EQT55" s="384"/>
      <c r="EQU55" s="384"/>
      <c r="EQV55" s="384"/>
      <c r="EQW55" s="384"/>
      <c r="EQX55" s="384"/>
      <c r="EQY55" s="384"/>
      <c r="EQZ55" s="384"/>
      <c r="ERA55" s="384"/>
      <c r="ERB55" s="384"/>
      <c r="ERC55" s="384"/>
      <c r="ERD55" s="384"/>
      <c r="ERE55" s="384"/>
      <c r="ERF55" s="384"/>
      <c r="ERG55" s="384"/>
      <c r="ERH55" s="384"/>
      <c r="ERI55" s="384"/>
      <c r="ERJ55" s="384"/>
      <c r="ERK55" s="384"/>
      <c r="ERL55" s="384"/>
      <c r="ERM55" s="384"/>
      <c r="ERN55" s="384"/>
      <c r="ERO55" s="384"/>
      <c r="ERP55" s="384"/>
      <c r="ERQ55" s="384"/>
      <c r="ERR55" s="384"/>
      <c r="ERS55" s="384"/>
      <c r="ERT55" s="384"/>
      <c r="ERU55" s="384"/>
      <c r="ERV55" s="384"/>
      <c r="ERW55" s="384"/>
      <c r="ERX55" s="384"/>
      <c r="ERY55" s="384"/>
      <c r="ERZ55" s="384"/>
      <c r="ESA55" s="384"/>
      <c r="ESB55" s="384"/>
      <c r="ESC55" s="384"/>
      <c r="ESD55" s="384"/>
      <c r="ESE55" s="384"/>
      <c r="ESF55" s="384"/>
      <c r="ESG55" s="384"/>
      <c r="ESH55" s="384"/>
      <c r="ESI55" s="384"/>
      <c r="ESJ55" s="384"/>
      <c r="ESK55" s="384"/>
      <c r="ESL55" s="384"/>
      <c r="ESM55" s="384"/>
      <c r="ESN55" s="384"/>
      <c r="ESO55" s="384"/>
      <c r="ESP55" s="384"/>
      <c r="ESQ55" s="384"/>
      <c r="ESR55" s="384"/>
      <c r="ESS55" s="384"/>
      <c r="EST55" s="384"/>
      <c r="ESU55" s="384"/>
      <c r="ESV55" s="384"/>
      <c r="ESW55" s="384"/>
      <c r="ESX55" s="384"/>
      <c r="ESY55" s="384"/>
      <c r="ESZ55" s="384"/>
      <c r="ETA55" s="384"/>
      <c r="ETB55" s="384"/>
      <c r="ETC55" s="384"/>
      <c r="ETD55" s="384"/>
      <c r="ETE55" s="384"/>
      <c r="ETF55" s="384"/>
      <c r="ETG55" s="384"/>
      <c r="ETH55" s="384"/>
      <c r="ETI55" s="384"/>
      <c r="ETJ55" s="384"/>
      <c r="ETK55" s="384"/>
      <c r="ETL55" s="384"/>
      <c r="ETM55" s="384"/>
      <c r="ETN55" s="384"/>
      <c r="ETO55" s="384"/>
      <c r="ETP55" s="384"/>
      <c r="ETQ55" s="384"/>
      <c r="ETR55" s="384"/>
      <c r="ETS55" s="384"/>
      <c r="ETT55" s="384"/>
      <c r="ETU55" s="384"/>
      <c r="ETV55" s="384"/>
      <c r="ETW55" s="384"/>
      <c r="ETX55" s="384"/>
      <c r="ETY55" s="384"/>
      <c r="ETZ55" s="384"/>
      <c r="EUA55" s="384"/>
      <c r="EUB55" s="384"/>
      <c r="EUC55" s="384"/>
      <c r="EUD55" s="384"/>
      <c r="EUE55" s="384"/>
      <c r="EUF55" s="384"/>
      <c r="EUG55" s="384"/>
      <c r="EUH55" s="384"/>
      <c r="EUI55" s="384"/>
      <c r="EUJ55" s="384"/>
      <c r="EUK55" s="384"/>
      <c r="EUL55" s="384"/>
      <c r="EUM55" s="384"/>
      <c r="EUN55" s="384"/>
      <c r="EUO55" s="384"/>
      <c r="EUP55" s="384"/>
      <c r="EUQ55" s="384"/>
      <c r="EUR55" s="384"/>
      <c r="EUS55" s="384"/>
      <c r="EUT55" s="384"/>
      <c r="EUU55" s="384"/>
      <c r="EUV55" s="384"/>
      <c r="EUW55" s="384"/>
      <c r="EUX55" s="384"/>
      <c r="EUY55" s="384"/>
      <c r="EUZ55" s="384"/>
      <c r="EVA55" s="384"/>
      <c r="EVB55" s="384"/>
      <c r="EVC55" s="384"/>
      <c r="EVD55" s="384"/>
      <c r="EVE55" s="384"/>
      <c r="EVF55" s="384"/>
      <c r="EVG55" s="384"/>
      <c r="EVH55" s="384"/>
      <c r="EVI55" s="384"/>
      <c r="EVJ55" s="384"/>
      <c r="EVK55" s="384"/>
      <c r="EVL55" s="384"/>
      <c r="EVM55" s="384"/>
      <c r="EVN55" s="384"/>
      <c r="EVO55" s="384"/>
      <c r="EVP55" s="384"/>
      <c r="EVQ55" s="384"/>
      <c r="EVR55" s="384"/>
      <c r="EVS55" s="384"/>
      <c r="EVT55" s="384"/>
      <c r="EVU55" s="384"/>
      <c r="EVV55" s="384"/>
      <c r="EVW55" s="384"/>
      <c r="EVX55" s="384"/>
      <c r="EVY55" s="384"/>
      <c r="EVZ55" s="384"/>
      <c r="EWA55" s="384"/>
      <c r="EWB55" s="384"/>
      <c r="EWC55" s="384"/>
      <c r="EWD55" s="384"/>
      <c r="EWE55" s="384"/>
      <c r="EWF55" s="384"/>
      <c r="EWG55" s="384"/>
      <c r="EWH55" s="384"/>
      <c r="EWI55" s="384"/>
      <c r="EWJ55" s="384"/>
      <c r="EWK55" s="384"/>
      <c r="EWL55" s="384"/>
      <c r="EWM55" s="384"/>
      <c r="EWN55" s="384"/>
      <c r="EWO55" s="384"/>
      <c r="EWP55" s="384"/>
      <c r="EWQ55" s="384"/>
      <c r="EWR55" s="384"/>
      <c r="EWS55" s="384"/>
      <c r="EWT55" s="384"/>
      <c r="EWU55" s="384"/>
      <c r="EWV55" s="384"/>
      <c r="EWW55" s="384"/>
      <c r="EWX55" s="384"/>
      <c r="EWY55" s="384"/>
      <c r="EWZ55" s="384"/>
      <c r="EXA55" s="384"/>
      <c r="EXB55" s="384"/>
      <c r="EXC55" s="384"/>
      <c r="EXD55" s="384"/>
      <c r="EXE55" s="384"/>
      <c r="EXF55" s="384"/>
      <c r="EXG55" s="384"/>
      <c r="EXH55" s="384"/>
      <c r="EXI55" s="384"/>
      <c r="EXJ55" s="384"/>
      <c r="EXK55" s="384"/>
      <c r="EXL55" s="384"/>
      <c r="EXM55" s="384"/>
      <c r="EXN55" s="384"/>
      <c r="EXO55" s="384"/>
      <c r="EXP55" s="384"/>
      <c r="EXQ55" s="384"/>
      <c r="EXR55" s="384"/>
      <c r="EXS55" s="384"/>
      <c r="EXT55" s="384"/>
      <c r="EXU55" s="384"/>
      <c r="EXV55" s="384"/>
      <c r="EXW55" s="384"/>
      <c r="EXX55" s="384"/>
      <c r="EXY55" s="384"/>
      <c r="EXZ55" s="384"/>
      <c r="EYA55" s="384"/>
      <c r="EYB55" s="384"/>
      <c r="EYC55" s="384"/>
      <c r="EYD55" s="384"/>
      <c r="EYE55" s="384"/>
      <c r="EYF55" s="384"/>
      <c r="EYG55" s="384"/>
      <c r="EYH55" s="384"/>
      <c r="EYI55" s="384"/>
      <c r="EYJ55" s="384"/>
      <c r="EYK55" s="384"/>
      <c r="EYL55" s="384"/>
      <c r="EYM55" s="384"/>
      <c r="EYN55" s="384"/>
      <c r="EYO55" s="384"/>
      <c r="EYP55" s="384"/>
      <c r="EYQ55" s="384"/>
      <c r="EYR55" s="384"/>
      <c r="EYS55" s="384"/>
      <c r="EYT55" s="384"/>
      <c r="EYU55" s="384"/>
      <c r="EYV55" s="384"/>
      <c r="EYW55" s="384"/>
      <c r="EYX55" s="384"/>
      <c r="EYY55" s="384"/>
      <c r="EYZ55" s="384"/>
      <c r="EZA55" s="384"/>
      <c r="EZB55" s="384"/>
      <c r="EZC55" s="384"/>
      <c r="EZD55" s="384"/>
      <c r="EZE55" s="384"/>
      <c r="EZF55" s="384"/>
      <c r="EZG55" s="384"/>
      <c r="EZH55" s="384"/>
      <c r="EZI55" s="384"/>
      <c r="EZJ55" s="384"/>
      <c r="EZK55" s="384"/>
      <c r="EZL55" s="384"/>
      <c r="EZM55" s="384"/>
      <c r="EZN55" s="384"/>
      <c r="EZO55" s="384"/>
      <c r="EZP55" s="384"/>
      <c r="EZQ55" s="384"/>
      <c r="EZR55" s="384"/>
      <c r="EZS55" s="384"/>
      <c r="EZT55" s="384"/>
      <c r="EZU55" s="384"/>
      <c r="EZV55" s="384"/>
      <c r="EZW55" s="384"/>
      <c r="EZX55" s="384"/>
      <c r="EZY55" s="384"/>
      <c r="EZZ55" s="384"/>
      <c r="FAA55" s="384"/>
      <c r="FAB55" s="384"/>
      <c r="FAC55" s="384"/>
      <c r="FAD55" s="384"/>
      <c r="FAE55" s="384"/>
      <c r="FAF55" s="384"/>
      <c r="FAG55" s="384"/>
      <c r="FAH55" s="384"/>
      <c r="FAI55" s="384"/>
      <c r="FAJ55" s="384"/>
      <c r="FAK55" s="384"/>
      <c r="FAL55" s="384"/>
      <c r="FAM55" s="384"/>
      <c r="FAN55" s="384"/>
      <c r="FAO55" s="384"/>
      <c r="FAP55" s="384"/>
      <c r="FAQ55" s="384"/>
      <c r="FAR55" s="384"/>
      <c r="FAS55" s="384"/>
      <c r="FAT55" s="384"/>
      <c r="FAU55" s="384"/>
      <c r="FAV55" s="384"/>
      <c r="FAW55" s="384"/>
      <c r="FAX55" s="384"/>
      <c r="FAY55" s="384"/>
      <c r="FAZ55" s="384"/>
      <c r="FBA55" s="384"/>
      <c r="FBB55" s="384"/>
      <c r="FBC55" s="384"/>
      <c r="FBD55" s="384"/>
      <c r="FBE55" s="384"/>
      <c r="FBF55" s="384"/>
      <c r="FBG55" s="384"/>
      <c r="FBH55" s="384"/>
      <c r="FBI55" s="384"/>
      <c r="FBJ55" s="384"/>
      <c r="FBK55" s="384"/>
      <c r="FBL55" s="384"/>
      <c r="FBM55" s="384"/>
      <c r="FBN55" s="384"/>
      <c r="FBO55" s="384"/>
      <c r="FBP55" s="384"/>
      <c r="FBQ55" s="384"/>
      <c r="FBR55" s="384"/>
      <c r="FBS55" s="384"/>
      <c r="FBT55" s="384"/>
      <c r="FBU55" s="384"/>
      <c r="FBV55" s="384"/>
      <c r="FBW55" s="384"/>
      <c r="FBX55" s="384"/>
      <c r="FBY55" s="384"/>
      <c r="FBZ55" s="384"/>
      <c r="FCA55" s="384"/>
      <c r="FCB55" s="384"/>
      <c r="FCC55" s="384"/>
      <c r="FCD55" s="384"/>
      <c r="FCE55" s="384"/>
      <c r="FCF55" s="384"/>
      <c r="FCG55" s="384"/>
      <c r="FCH55" s="384"/>
      <c r="FCI55" s="384"/>
      <c r="FCJ55" s="384"/>
      <c r="FCK55" s="384"/>
      <c r="FCL55" s="384"/>
      <c r="FCM55" s="384"/>
      <c r="FCN55" s="384"/>
      <c r="FCO55" s="384"/>
      <c r="FCP55" s="384"/>
      <c r="FCQ55" s="384"/>
      <c r="FCR55" s="384"/>
      <c r="FCS55" s="384"/>
      <c r="FCT55" s="384"/>
      <c r="FCU55" s="384"/>
      <c r="FCV55" s="384"/>
      <c r="FCW55" s="384"/>
      <c r="FCX55" s="384"/>
      <c r="FCY55" s="384"/>
      <c r="FCZ55" s="384"/>
      <c r="FDA55" s="384"/>
      <c r="FDB55" s="384"/>
      <c r="FDC55" s="384"/>
      <c r="FDD55" s="384"/>
      <c r="FDE55" s="384"/>
      <c r="FDF55" s="384"/>
      <c r="FDG55" s="384"/>
      <c r="FDH55" s="384"/>
      <c r="FDI55" s="384"/>
      <c r="FDJ55" s="384"/>
      <c r="FDK55" s="384"/>
      <c r="FDL55" s="384"/>
      <c r="FDM55" s="384"/>
      <c r="FDN55" s="384"/>
      <c r="FDO55" s="384"/>
      <c r="FDP55" s="384"/>
      <c r="FDQ55" s="384"/>
      <c r="FDR55" s="384"/>
      <c r="FDS55" s="384"/>
      <c r="FDT55" s="384"/>
      <c r="FDU55" s="384"/>
      <c r="FDV55" s="384"/>
      <c r="FDW55" s="384"/>
      <c r="FDX55" s="384"/>
      <c r="FDY55" s="384"/>
      <c r="FDZ55" s="384"/>
      <c r="FEA55" s="384"/>
      <c r="FEB55" s="384"/>
      <c r="FEC55" s="384"/>
      <c r="FED55" s="384"/>
      <c r="FEE55" s="384"/>
      <c r="FEF55" s="384"/>
      <c r="FEG55" s="384"/>
      <c r="FEH55" s="384"/>
      <c r="FEI55" s="384"/>
      <c r="FEJ55" s="384"/>
      <c r="FEK55" s="384"/>
      <c r="FEL55" s="384"/>
      <c r="FEM55" s="384"/>
      <c r="FEN55" s="384"/>
      <c r="FEO55" s="384"/>
      <c r="FEP55" s="384"/>
      <c r="FEQ55" s="384"/>
      <c r="FER55" s="384"/>
      <c r="FES55" s="384"/>
      <c r="FET55" s="384"/>
      <c r="FEU55" s="384"/>
      <c r="FEV55" s="384"/>
      <c r="FEW55" s="384"/>
      <c r="FEX55" s="384"/>
      <c r="FEY55" s="384"/>
      <c r="FEZ55" s="384"/>
      <c r="FFA55" s="384"/>
      <c r="FFB55" s="384"/>
      <c r="FFC55" s="384"/>
      <c r="FFD55" s="384"/>
      <c r="FFE55" s="384"/>
      <c r="FFF55" s="384"/>
      <c r="FFG55" s="384"/>
      <c r="FFH55" s="384"/>
      <c r="FFI55" s="384"/>
      <c r="FFJ55" s="384"/>
      <c r="FFK55" s="384"/>
      <c r="FFL55" s="384"/>
      <c r="FFM55" s="384"/>
      <c r="FFN55" s="384"/>
      <c r="FFO55" s="384"/>
      <c r="FFP55" s="384"/>
      <c r="FFQ55" s="384"/>
      <c r="FFR55" s="384"/>
      <c r="FFS55" s="384"/>
      <c r="FFT55" s="384"/>
      <c r="FFU55" s="384"/>
      <c r="FFV55" s="384"/>
      <c r="FFW55" s="384"/>
      <c r="FFX55" s="384"/>
      <c r="FFY55" s="384"/>
      <c r="FFZ55" s="384"/>
      <c r="FGA55" s="384"/>
      <c r="FGB55" s="384"/>
      <c r="FGC55" s="384"/>
      <c r="FGD55" s="384"/>
      <c r="FGE55" s="384"/>
      <c r="FGF55" s="384"/>
      <c r="FGG55" s="384"/>
      <c r="FGH55" s="384"/>
      <c r="FGI55" s="384"/>
      <c r="FGJ55" s="384"/>
      <c r="FGK55" s="384"/>
      <c r="FGL55" s="384"/>
      <c r="FGM55" s="384"/>
      <c r="FGN55" s="384"/>
      <c r="FGO55" s="384"/>
      <c r="FGP55" s="384"/>
      <c r="FGQ55" s="384"/>
      <c r="FGR55" s="384"/>
      <c r="FGS55" s="384"/>
      <c r="FGT55" s="384"/>
      <c r="FGU55" s="384"/>
      <c r="FGV55" s="384"/>
      <c r="FGW55" s="384"/>
      <c r="FGX55" s="384"/>
      <c r="FGY55" s="384"/>
      <c r="FGZ55" s="384"/>
      <c r="FHA55" s="384"/>
      <c r="FHB55" s="384"/>
      <c r="FHC55" s="384"/>
      <c r="FHD55" s="384"/>
      <c r="FHE55" s="384"/>
      <c r="FHF55" s="384"/>
      <c r="FHG55" s="384"/>
      <c r="FHH55" s="384"/>
      <c r="FHI55" s="384"/>
      <c r="FHJ55" s="384"/>
      <c r="FHK55" s="384"/>
      <c r="FHL55" s="384"/>
      <c r="FHM55" s="384"/>
      <c r="FHN55" s="384"/>
      <c r="FHO55" s="384"/>
      <c r="FHP55" s="384"/>
      <c r="FHQ55" s="384"/>
      <c r="FHR55" s="384"/>
      <c r="FHS55" s="384"/>
      <c r="FHT55" s="384"/>
      <c r="FHU55" s="384"/>
      <c r="FHV55" s="384"/>
      <c r="FHW55" s="384"/>
      <c r="FHX55" s="384"/>
      <c r="FHY55" s="384"/>
      <c r="FHZ55" s="384"/>
      <c r="FIA55" s="384"/>
      <c r="FIB55" s="384"/>
      <c r="FIC55" s="384"/>
      <c r="FID55" s="384"/>
      <c r="FIE55" s="384"/>
      <c r="FIF55" s="384"/>
      <c r="FIG55" s="384"/>
      <c r="FIH55" s="384"/>
      <c r="FII55" s="384"/>
      <c r="FIJ55" s="384"/>
      <c r="FIK55" s="384"/>
      <c r="FIL55" s="384"/>
      <c r="FIM55" s="384"/>
      <c r="FIN55" s="384"/>
      <c r="FIO55" s="384"/>
      <c r="FIP55" s="384"/>
      <c r="FIQ55" s="384"/>
      <c r="FIR55" s="384"/>
      <c r="FIS55" s="384"/>
      <c r="FIT55" s="384"/>
      <c r="FIU55" s="384"/>
      <c r="FIV55" s="384"/>
      <c r="FIW55" s="384"/>
      <c r="FIX55" s="384"/>
      <c r="FIY55" s="384"/>
      <c r="FIZ55" s="384"/>
      <c r="FJA55" s="384"/>
      <c r="FJB55" s="384"/>
      <c r="FJC55" s="384"/>
      <c r="FJD55" s="384"/>
      <c r="FJE55" s="384"/>
      <c r="FJF55" s="384"/>
      <c r="FJG55" s="384"/>
      <c r="FJH55" s="384"/>
      <c r="FJI55" s="384"/>
      <c r="FJJ55" s="384"/>
      <c r="FJK55" s="384"/>
      <c r="FJL55" s="384"/>
      <c r="FJM55" s="384"/>
      <c r="FJN55" s="384"/>
      <c r="FJO55" s="384"/>
      <c r="FJP55" s="384"/>
      <c r="FJQ55" s="384"/>
      <c r="FJR55" s="384"/>
      <c r="FJS55" s="384"/>
      <c r="FJT55" s="384"/>
      <c r="FJU55" s="384"/>
      <c r="FJV55" s="384"/>
      <c r="FJW55" s="384"/>
      <c r="FJX55" s="384"/>
      <c r="FJY55" s="384"/>
      <c r="FJZ55" s="384"/>
      <c r="FKA55" s="384"/>
      <c r="FKB55" s="384"/>
      <c r="FKC55" s="384"/>
      <c r="FKD55" s="384"/>
      <c r="FKE55" s="384"/>
      <c r="FKF55" s="384"/>
      <c r="FKG55" s="384"/>
      <c r="FKH55" s="384"/>
      <c r="FKI55" s="384"/>
      <c r="FKJ55" s="384"/>
      <c r="FKK55" s="384"/>
      <c r="FKL55" s="384"/>
      <c r="FKM55" s="384"/>
      <c r="FKN55" s="384"/>
      <c r="FKO55" s="384"/>
      <c r="FKP55" s="384"/>
      <c r="FKQ55" s="384"/>
      <c r="FKR55" s="384"/>
      <c r="FKS55" s="384"/>
      <c r="FKT55" s="384"/>
      <c r="FKU55" s="384"/>
      <c r="FKV55" s="384"/>
      <c r="FKW55" s="384"/>
      <c r="FKX55" s="384"/>
      <c r="FKY55" s="384"/>
      <c r="FKZ55" s="384"/>
      <c r="FLA55" s="384"/>
      <c r="FLB55" s="384"/>
      <c r="FLC55" s="384"/>
      <c r="FLD55" s="384"/>
      <c r="FLE55" s="384"/>
      <c r="FLF55" s="384"/>
      <c r="FLG55" s="384"/>
      <c r="FLH55" s="384"/>
      <c r="FLI55" s="384"/>
      <c r="FLJ55" s="384"/>
      <c r="FLK55" s="384"/>
      <c r="FLL55" s="384"/>
      <c r="FLM55" s="384"/>
      <c r="FLN55" s="384"/>
      <c r="FLO55" s="384"/>
      <c r="FLP55" s="384"/>
      <c r="FLQ55" s="384"/>
      <c r="FLR55" s="384"/>
      <c r="FLS55" s="384"/>
      <c r="FLT55" s="384"/>
      <c r="FLU55" s="384"/>
      <c r="FLV55" s="384"/>
      <c r="FLW55" s="384"/>
      <c r="FLX55" s="384"/>
      <c r="FLY55" s="384"/>
      <c r="FLZ55" s="384"/>
      <c r="FMA55" s="384"/>
      <c r="FMB55" s="384"/>
      <c r="FMC55" s="384"/>
      <c r="FMD55" s="384"/>
      <c r="FME55" s="384"/>
      <c r="FMF55" s="384"/>
      <c r="FMG55" s="384"/>
      <c r="FMH55" s="384"/>
      <c r="FMI55" s="384"/>
      <c r="FMJ55" s="384"/>
      <c r="FMK55" s="384"/>
      <c r="FML55" s="384"/>
      <c r="FMM55" s="384"/>
      <c r="FMN55" s="384"/>
      <c r="FMO55" s="384"/>
      <c r="FMP55" s="384"/>
      <c r="FMQ55" s="384"/>
      <c r="FMR55" s="384"/>
      <c r="FMS55" s="384"/>
      <c r="FMT55" s="384"/>
      <c r="FMU55" s="384"/>
      <c r="FMV55" s="384"/>
      <c r="FMW55" s="384"/>
      <c r="FMX55" s="384"/>
      <c r="FMY55" s="384"/>
      <c r="FMZ55" s="384"/>
      <c r="FNA55" s="384"/>
      <c r="FNB55" s="384"/>
      <c r="FNC55" s="384"/>
      <c r="FND55" s="384"/>
      <c r="FNE55" s="384"/>
      <c r="FNF55" s="384"/>
      <c r="FNG55" s="384"/>
      <c r="FNH55" s="384"/>
      <c r="FNI55" s="384"/>
      <c r="FNJ55" s="384"/>
      <c r="FNK55" s="384"/>
      <c r="FNL55" s="384"/>
      <c r="FNM55" s="384"/>
      <c r="FNN55" s="384"/>
      <c r="FNO55" s="384"/>
      <c r="FNP55" s="384"/>
      <c r="FNQ55" s="384"/>
      <c r="FNR55" s="384"/>
      <c r="FNS55" s="384"/>
      <c r="FNT55" s="384"/>
      <c r="FNU55" s="384"/>
      <c r="FNV55" s="384"/>
      <c r="FNW55" s="384"/>
      <c r="FNX55" s="384"/>
      <c r="FNY55" s="384"/>
      <c r="FNZ55" s="384"/>
      <c r="FOA55" s="384"/>
      <c r="FOB55" s="384"/>
      <c r="FOC55" s="384"/>
      <c r="FOD55" s="384"/>
      <c r="FOE55" s="384"/>
      <c r="FOF55" s="384"/>
      <c r="FOG55" s="384"/>
      <c r="FOH55" s="384"/>
      <c r="FOI55" s="384"/>
      <c r="FOJ55" s="384"/>
      <c r="FOK55" s="384"/>
      <c r="FOL55" s="384"/>
      <c r="FOM55" s="384"/>
      <c r="FON55" s="384"/>
      <c r="FOO55" s="384"/>
      <c r="FOP55" s="384"/>
      <c r="FOQ55" s="384"/>
      <c r="FOR55" s="384"/>
      <c r="FOS55" s="384"/>
      <c r="FOT55" s="384"/>
      <c r="FOU55" s="384"/>
      <c r="FOV55" s="384"/>
      <c r="FOW55" s="384"/>
      <c r="FOX55" s="384"/>
      <c r="FOY55" s="384"/>
      <c r="FOZ55" s="384"/>
      <c r="FPA55" s="384"/>
      <c r="FPB55" s="384"/>
      <c r="FPC55" s="384"/>
      <c r="FPD55" s="384"/>
      <c r="FPE55" s="384"/>
      <c r="FPF55" s="384"/>
      <c r="FPG55" s="384"/>
      <c r="FPH55" s="384"/>
      <c r="FPI55" s="384"/>
      <c r="FPJ55" s="384"/>
      <c r="FPK55" s="384"/>
      <c r="FPL55" s="384"/>
      <c r="FPM55" s="384"/>
      <c r="FPN55" s="384"/>
      <c r="FPO55" s="384"/>
      <c r="FPP55" s="384"/>
      <c r="FPQ55" s="384"/>
      <c r="FPR55" s="384"/>
      <c r="FPS55" s="384"/>
      <c r="FPT55" s="384"/>
      <c r="FPU55" s="384"/>
      <c r="FPV55" s="384"/>
      <c r="FPW55" s="384"/>
      <c r="FPX55" s="384"/>
      <c r="FPY55" s="384"/>
      <c r="FPZ55" s="384"/>
      <c r="FQA55" s="384"/>
      <c r="FQB55" s="384"/>
      <c r="FQC55" s="384"/>
      <c r="FQD55" s="384"/>
      <c r="FQE55" s="384"/>
      <c r="FQF55" s="384"/>
      <c r="FQG55" s="384"/>
      <c r="FQH55" s="384"/>
      <c r="FQI55" s="384"/>
      <c r="FQJ55" s="384"/>
      <c r="FQK55" s="384"/>
      <c r="FQL55" s="384"/>
      <c r="FQM55" s="384"/>
      <c r="FQN55" s="384"/>
      <c r="FQO55" s="384"/>
      <c r="FQP55" s="384"/>
      <c r="FQQ55" s="384"/>
      <c r="FQR55" s="384"/>
      <c r="FQS55" s="384"/>
      <c r="FQT55" s="384"/>
      <c r="FQU55" s="384"/>
      <c r="FQV55" s="384"/>
      <c r="FQW55" s="384"/>
      <c r="FQX55" s="384"/>
      <c r="FQY55" s="384"/>
      <c r="FQZ55" s="384"/>
      <c r="FRA55" s="384"/>
      <c r="FRB55" s="384"/>
      <c r="FRC55" s="384"/>
      <c r="FRD55" s="384"/>
      <c r="FRE55" s="384"/>
      <c r="FRF55" s="384"/>
      <c r="FRG55" s="384"/>
      <c r="FRH55" s="384"/>
      <c r="FRI55" s="384"/>
      <c r="FRJ55" s="384"/>
      <c r="FRK55" s="384"/>
      <c r="FRL55" s="384"/>
      <c r="FRM55" s="384"/>
      <c r="FRN55" s="384"/>
      <c r="FRO55" s="384"/>
      <c r="FRP55" s="384"/>
      <c r="FRQ55" s="384"/>
      <c r="FRR55" s="384"/>
      <c r="FRS55" s="384"/>
      <c r="FRT55" s="384"/>
      <c r="FRU55" s="384"/>
      <c r="FRV55" s="384"/>
      <c r="FRW55" s="384"/>
      <c r="FRX55" s="384"/>
      <c r="FRY55" s="384"/>
      <c r="FRZ55" s="384"/>
      <c r="FSA55" s="384"/>
      <c r="FSB55" s="384"/>
      <c r="FSC55" s="384"/>
      <c r="FSD55" s="384"/>
      <c r="FSE55" s="384"/>
      <c r="FSF55" s="384"/>
      <c r="FSG55" s="384"/>
      <c r="FSH55" s="384"/>
      <c r="FSI55" s="384"/>
      <c r="FSJ55" s="384"/>
      <c r="FSK55" s="384"/>
      <c r="FSL55" s="384"/>
      <c r="FSM55" s="384"/>
      <c r="FSN55" s="384"/>
      <c r="FSO55" s="384"/>
      <c r="FSP55" s="384"/>
      <c r="FSQ55" s="384"/>
      <c r="FSR55" s="384"/>
      <c r="FSS55" s="384"/>
      <c r="FST55" s="384"/>
      <c r="FSU55" s="384"/>
      <c r="FSV55" s="384"/>
      <c r="FSW55" s="384"/>
      <c r="FSX55" s="384"/>
      <c r="FSY55" s="384"/>
      <c r="FSZ55" s="384"/>
      <c r="FTA55" s="384"/>
      <c r="FTB55" s="384"/>
      <c r="FTC55" s="384"/>
      <c r="FTD55" s="384"/>
      <c r="FTE55" s="384"/>
      <c r="FTF55" s="384"/>
      <c r="FTG55" s="384"/>
      <c r="FTH55" s="384"/>
      <c r="FTI55" s="384"/>
      <c r="FTJ55" s="384"/>
      <c r="FTK55" s="384"/>
      <c r="FTL55" s="384"/>
      <c r="FTM55" s="384"/>
      <c r="FTN55" s="384"/>
      <c r="FTO55" s="384"/>
      <c r="FTP55" s="384"/>
      <c r="FTQ55" s="384"/>
      <c r="FTR55" s="384"/>
      <c r="FTS55" s="384"/>
      <c r="FTT55" s="384"/>
      <c r="FTU55" s="384"/>
      <c r="FTV55" s="384"/>
      <c r="FTW55" s="384"/>
      <c r="FTX55" s="384"/>
      <c r="FTY55" s="384"/>
      <c r="FTZ55" s="384"/>
      <c r="FUA55" s="384"/>
      <c r="FUB55" s="384"/>
      <c r="FUC55" s="384"/>
      <c r="FUD55" s="384"/>
      <c r="FUE55" s="384"/>
      <c r="FUF55" s="384"/>
      <c r="FUG55" s="384"/>
      <c r="FUH55" s="384"/>
      <c r="FUI55" s="384"/>
      <c r="FUJ55" s="384"/>
      <c r="FUK55" s="384"/>
      <c r="FUL55" s="384"/>
      <c r="FUM55" s="384"/>
      <c r="FUN55" s="384"/>
      <c r="FUO55" s="384"/>
      <c r="FUP55" s="384"/>
      <c r="FUQ55" s="384"/>
      <c r="FUR55" s="384"/>
      <c r="FUS55" s="384"/>
      <c r="FUT55" s="384"/>
      <c r="FUU55" s="384"/>
      <c r="FUV55" s="384"/>
      <c r="FUW55" s="384"/>
      <c r="FUX55" s="384"/>
      <c r="FUY55" s="384"/>
      <c r="FUZ55" s="384"/>
      <c r="FVA55" s="384"/>
      <c r="FVB55" s="384"/>
      <c r="FVC55" s="384"/>
      <c r="FVD55" s="384"/>
      <c r="FVE55" s="384"/>
      <c r="FVF55" s="384"/>
      <c r="FVG55" s="384"/>
      <c r="FVH55" s="384"/>
      <c r="FVI55" s="384"/>
      <c r="FVJ55" s="384"/>
      <c r="FVK55" s="384"/>
      <c r="FVL55" s="384"/>
      <c r="FVM55" s="384"/>
      <c r="FVN55" s="384"/>
      <c r="FVO55" s="384"/>
      <c r="FVP55" s="384"/>
      <c r="FVQ55" s="384"/>
      <c r="FVR55" s="384"/>
      <c r="FVS55" s="384"/>
      <c r="FVT55" s="384"/>
      <c r="FVU55" s="384"/>
      <c r="FVV55" s="384"/>
      <c r="FVW55" s="384"/>
      <c r="FVX55" s="384"/>
      <c r="FVY55" s="384"/>
      <c r="FVZ55" s="384"/>
      <c r="FWA55" s="384"/>
      <c r="FWB55" s="384"/>
      <c r="FWC55" s="384"/>
      <c r="FWD55" s="384"/>
      <c r="FWE55" s="384"/>
      <c r="FWF55" s="384"/>
      <c r="FWG55" s="384"/>
      <c r="FWH55" s="384"/>
      <c r="FWI55" s="384"/>
      <c r="FWJ55" s="384"/>
      <c r="FWK55" s="384"/>
      <c r="FWL55" s="384"/>
      <c r="FWM55" s="384"/>
      <c r="FWN55" s="384"/>
      <c r="FWO55" s="384"/>
      <c r="FWP55" s="384"/>
      <c r="FWQ55" s="384"/>
      <c r="FWR55" s="384"/>
      <c r="FWS55" s="384"/>
      <c r="FWT55" s="384"/>
      <c r="FWU55" s="384"/>
      <c r="FWV55" s="384"/>
      <c r="FWW55" s="384"/>
      <c r="FWX55" s="384"/>
      <c r="FWY55" s="384"/>
      <c r="FWZ55" s="384"/>
      <c r="FXA55" s="384"/>
      <c r="FXB55" s="384"/>
      <c r="FXC55" s="384"/>
      <c r="FXD55" s="384"/>
      <c r="FXE55" s="384"/>
      <c r="FXF55" s="384"/>
      <c r="FXG55" s="384"/>
      <c r="FXH55" s="384"/>
      <c r="FXI55" s="384"/>
      <c r="FXJ55" s="384"/>
      <c r="FXK55" s="384"/>
      <c r="FXL55" s="384"/>
      <c r="FXM55" s="384"/>
      <c r="FXN55" s="384"/>
      <c r="FXO55" s="384"/>
      <c r="FXP55" s="384"/>
      <c r="FXQ55" s="384"/>
      <c r="FXR55" s="384"/>
      <c r="FXS55" s="384"/>
      <c r="FXT55" s="384"/>
      <c r="FXU55" s="384"/>
      <c r="FXV55" s="384"/>
      <c r="FXW55" s="384"/>
      <c r="FXX55" s="384"/>
      <c r="FXY55" s="384"/>
      <c r="FXZ55" s="384"/>
      <c r="FYA55" s="384"/>
      <c r="FYB55" s="384"/>
      <c r="FYC55" s="384"/>
      <c r="FYD55" s="384"/>
      <c r="FYE55" s="384"/>
      <c r="FYF55" s="384"/>
      <c r="FYG55" s="384"/>
      <c r="FYH55" s="384"/>
      <c r="FYI55" s="384"/>
      <c r="FYJ55" s="384"/>
      <c r="FYK55" s="384"/>
      <c r="FYL55" s="384"/>
      <c r="FYM55" s="384"/>
      <c r="FYN55" s="384"/>
      <c r="FYO55" s="384"/>
      <c r="FYP55" s="384"/>
      <c r="FYQ55" s="384"/>
      <c r="FYR55" s="384"/>
      <c r="FYS55" s="384"/>
      <c r="FYT55" s="384"/>
      <c r="FYU55" s="384"/>
      <c r="FYV55" s="384"/>
      <c r="FYW55" s="384"/>
      <c r="FYX55" s="384"/>
      <c r="FYY55" s="384"/>
      <c r="FYZ55" s="384"/>
      <c r="FZA55" s="384"/>
      <c r="FZB55" s="384"/>
      <c r="FZC55" s="384"/>
      <c r="FZD55" s="384"/>
      <c r="FZE55" s="384"/>
      <c r="FZF55" s="384"/>
      <c r="FZG55" s="384"/>
      <c r="FZH55" s="384"/>
      <c r="FZI55" s="384"/>
      <c r="FZJ55" s="384"/>
      <c r="FZK55" s="384"/>
      <c r="FZL55" s="384"/>
      <c r="FZM55" s="384"/>
      <c r="FZN55" s="384"/>
      <c r="FZO55" s="384"/>
      <c r="FZP55" s="384"/>
      <c r="FZQ55" s="384"/>
      <c r="FZR55" s="384"/>
      <c r="FZS55" s="384"/>
      <c r="FZT55" s="384"/>
      <c r="FZU55" s="384"/>
      <c r="FZV55" s="384"/>
      <c r="FZW55" s="384"/>
      <c r="FZX55" s="384"/>
      <c r="FZY55" s="384"/>
      <c r="FZZ55" s="384"/>
      <c r="GAA55" s="384"/>
      <c r="GAB55" s="384"/>
      <c r="GAC55" s="384"/>
      <c r="GAD55" s="384"/>
      <c r="GAE55" s="384"/>
      <c r="GAF55" s="384"/>
      <c r="GAG55" s="384"/>
      <c r="GAH55" s="384"/>
      <c r="GAI55" s="384"/>
      <c r="GAJ55" s="384"/>
      <c r="GAK55" s="384"/>
      <c r="GAL55" s="384"/>
      <c r="GAM55" s="384"/>
      <c r="GAN55" s="384"/>
      <c r="GAO55" s="384"/>
      <c r="GAP55" s="384"/>
      <c r="GAQ55" s="384"/>
      <c r="GAR55" s="384"/>
      <c r="GAS55" s="384"/>
      <c r="GAT55" s="384"/>
      <c r="GAU55" s="384"/>
      <c r="GAV55" s="384"/>
      <c r="GAW55" s="384"/>
      <c r="GAX55" s="384"/>
      <c r="GAY55" s="384"/>
      <c r="GAZ55" s="384"/>
      <c r="GBA55" s="384"/>
      <c r="GBB55" s="384"/>
      <c r="GBC55" s="384"/>
      <c r="GBD55" s="384"/>
      <c r="GBE55" s="384"/>
      <c r="GBF55" s="384"/>
      <c r="GBG55" s="384"/>
      <c r="GBH55" s="384"/>
      <c r="GBI55" s="384"/>
      <c r="GBJ55" s="384"/>
      <c r="GBK55" s="384"/>
      <c r="GBL55" s="384"/>
      <c r="GBM55" s="384"/>
      <c r="GBN55" s="384"/>
      <c r="GBO55" s="384"/>
      <c r="GBP55" s="384"/>
      <c r="GBQ55" s="384"/>
      <c r="GBR55" s="384"/>
      <c r="GBS55" s="384"/>
      <c r="GBT55" s="384"/>
      <c r="GBU55" s="384"/>
      <c r="GBV55" s="384"/>
      <c r="GBW55" s="384"/>
      <c r="GBX55" s="384"/>
      <c r="GBY55" s="384"/>
      <c r="GBZ55" s="384"/>
      <c r="GCA55" s="384"/>
      <c r="GCB55" s="384"/>
      <c r="GCC55" s="384"/>
      <c r="GCD55" s="384"/>
      <c r="GCE55" s="384"/>
      <c r="GCF55" s="384"/>
      <c r="GCG55" s="384"/>
      <c r="GCH55" s="384"/>
      <c r="GCI55" s="384"/>
      <c r="GCJ55" s="384"/>
      <c r="GCK55" s="384"/>
      <c r="GCL55" s="384"/>
      <c r="GCM55" s="384"/>
      <c r="GCN55" s="384"/>
      <c r="GCO55" s="384"/>
      <c r="GCP55" s="384"/>
      <c r="GCQ55" s="384"/>
      <c r="GCR55" s="384"/>
      <c r="GCS55" s="384"/>
      <c r="GCT55" s="384"/>
      <c r="GCU55" s="384"/>
      <c r="GCV55" s="384"/>
      <c r="GCW55" s="384"/>
      <c r="GCX55" s="384"/>
      <c r="GCY55" s="384"/>
      <c r="GCZ55" s="384"/>
      <c r="GDA55" s="384"/>
      <c r="GDB55" s="384"/>
      <c r="GDC55" s="384"/>
      <c r="GDD55" s="384"/>
      <c r="GDE55" s="384"/>
      <c r="GDF55" s="384"/>
      <c r="GDG55" s="384"/>
      <c r="GDH55" s="384"/>
      <c r="GDI55" s="384"/>
      <c r="GDJ55" s="384"/>
      <c r="GDK55" s="384"/>
      <c r="GDL55" s="384"/>
      <c r="GDM55" s="384"/>
      <c r="GDN55" s="384"/>
      <c r="GDO55" s="384"/>
      <c r="GDP55" s="384"/>
      <c r="GDQ55" s="384"/>
      <c r="GDR55" s="384"/>
      <c r="GDS55" s="384"/>
      <c r="GDT55" s="384"/>
      <c r="GDU55" s="384"/>
      <c r="GDV55" s="384"/>
      <c r="GDW55" s="384"/>
      <c r="GDX55" s="384"/>
      <c r="GDY55" s="384"/>
      <c r="GDZ55" s="384"/>
      <c r="GEA55" s="384"/>
      <c r="GEB55" s="384"/>
      <c r="GEC55" s="384"/>
      <c r="GED55" s="384"/>
      <c r="GEE55" s="384"/>
      <c r="GEF55" s="384"/>
      <c r="GEG55" s="384"/>
      <c r="GEH55" s="384"/>
      <c r="GEI55" s="384"/>
      <c r="GEJ55" s="384"/>
      <c r="GEK55" s="384"/>
      <c r="GEL55" s="384"/>
      <c r="GEM55" s="384"/>
      <c r="GEN55" s="384"/>
      <c r="GEO55" s="384"/>
      <c r="GEP55" s="384"/>
      <c r="GEQ55" s="384"/>
      <c r="GER55" s="384"/>
      <c r="GES55" s="384"/>
      <c r="GET55" s="384"/>
      <c r="GEU55" s="384"/>
      <c r="GEV55" s="384"/>
      <c r="GEW55" s="384"/>
      <c r="GEX55" s="384"/>
      <c r="GEY55" s="384"/>
      <c r="GEZ55" s="384"/>
      <c r="GFA55" s="384"/>
      <c r="GFB55" s="384"/>
      <c r="GFC55" s="384"/>
      <c r="GFD55" s="384"/>
      <c r="GFE55" s="384"/>
      <c r="GFF55" s="384"/>
      <c r="GFG55" s="384"/>
      <c r="GFH55" s="384"/>
      <c r="GFI55" s="384"/>
      <c r="GFJ55" s="384"/>
      <c r="GFK55" s="384"/>
      <c r="GFL55" s="384"/>
      <c r="GFM55" s="384"/>
      <c r="GFN55" s="384"/>
      <c r="GFO55" s="384"/>
      <c r="GFP55" s="384"/>
      <c r="GFQ55" s="384"/>
      <c r="GFR55" s="384"/>
      <c r="GFS55" s="384"/>
      <c r="GFT55" s="384"/>
      <c r="GFU55" s="384"/>
      <c r="GFV55" s="384"/>
      <c r="GFW55" s="384"/>
      <c r="GFX55" s="384"/>
      <c r="GFY55" s="384"/>
      <c r="GFZ55" s="384"/>
      <c r="GGA55" s="384"/>
      <c r="GGB55" s="384"/>
      <c r="GGC55" s="384"/>
      <c r="GGD55" s="384"/>
      <c r="GGE55" s="384"/>
      <c r="GGF55" s="384"/>
      <c r="GGG55" s="384"/>
      <c r="GGH55" s="384"/>
      <c r="GGI55" s="384"/>
      <c r="GGJ55" s="384"/>
      <c r="GGK55" s="384"/>
      <c r="GGL55" s="384"/>
      <c r="GGM55" s="384"/>
      <c r="GGN55" s="384"/>
      <c r="GGO55" s="384"/>
      <c r="GGP55" s="384"/>
      <c r="GGQ55" s="384"/>
      <c r="GGR55" s="384"/>
      <c r="GGS55" s="384"/>
      <c r="GGT55" s="384"/>
      <c r="GGU55" s="384"/>
      <c r="GGV55" s="384"/>
      <c r="GGW55" s="384"/>
      <c r="GGX55" s="384"/>
      <c r="GGY55" s="384"/>
      <c r="GGZ55" s="384"/>
      <c r="GHA55" s="384"/>
      <c r="GHB55" s="384"/>
      <c r="GHC55" s="384"/>
      <c r="GHD55" s="384"/>
      <c r="GHE55" s="384"/>
      <c r="GHF55" s="384"/>
      <c r="GHG55" s="384"/>
      <c r="GHH55" s="384"/>
      <c r="GHI55" s="384"/>
      <c r="GHJ55" s="384"/>
      <c r="GHK55" s="384"/>
      <c r="GHL55" s="384"/>
      <c r="GHM55" s="384"/>
      <c r="GHN55" s="384"/>
      <c r="GHO55" s="384"/>
      <c r="GHP55" s="384"/>
      <c r="GHQ55" s="384"/>
      <c r="GHR55" s="384"/>
      <c r="GHS55" s="384"/>
      <c r="GHT55" s="384"/>
      <c r="GHU55" s="384"/>
      <c r="GHV55" s="384"/>
      <c r="GHW55" s="384"/>
      <c r="GHX55" s="384"/>
      <c r="GHY55" s="384"/>
      <c r="GHZ55" s="384"/>
      <c r="GIA55" s="384"/>
      <c r="GIB55" s="384"/>
      <c r="GIC55" s="384"/>
      <c r="GID55" s="384"/>
      <c r="GIE55" s="384"/>
      <c r="GIF55" s="384"/>
      <c r="GIG55" s="384"/>
      <c r="GIH55" s="384"/>
      <c r="GII55" s="384"/>
      <c r="GIJ55" s="384"/>
      <c r="GIK55" s="384"/>
      <c r="GIL55" s="384"/>
      <c r="GIM55" s="384"/>
      <c r="GIN55" s="384"/>
      <c r="GIO55" s="384"/>
      <c r="GIP55" s="384"/>
      <c r="GIQ55" s="384"/>
      <c r="GIR55" s="384"/>
      <c r="GIS55" s="384"/>
      <c r="GIT55" s="384"/>
      <c r="GIU55" s="384"/>
      <c r="GIV55" s="384"/>
      <c r="GIW55" s="384"/>
      <c r="GIX55" s="384"/>
      <c r="GIY55" s="384"/>
      <c r="GIZ55" s="384"/>
      <c r="GJA55" s="384"/>
      <c r="GJB55" s="384"/>
      <c r="GJC55" s="384"/>
      <c r="GJD55" s="384"/>
      <c r="GJE55" s="384"/>
      <c r="GJF55" s="384"/>
      <c r="GJG55" s="384"/>
      <c r="GJH55" s="384"/>
      <c r="GJI55" s="384"/>
      <c r="GJJ55" s="384"/>
      <c r="GJK55" s="384"/>
      <c r="GJL55" s="384"/>
      <c r="GJM55" s="384"/>
      <c r="GJN55" s="384"/>
      <c r="GJO55" s="384"/>
      <c r="GJP55" s="384"/>
      <c r="GJQ55" s="384"/>
      <c r="GJR55" s="384"/>
      <c r="GJS55" s="384"/>
      <c r="GJT55" s="384"/>
      <c r="GJU55" s="384"/>
      <c r="GJV55" s="384"/>
      <c r="GJW55" s="384"/>
      <c r="GJX55" s="384"/>
      <c r="GJY55" s="384"/>
      <c r="GJZ55" s="384"/>
      <c r="GKA55" s="384"/>
      <c r="GKB55" s="384"/>
      <c r="GKC55" s="384"/>
      <c r="GKD55" s="384"/>
      <c r="GKE55" s="384"/>
      <c r="GKF55" s="384"/>
      <c r="GKG55" s="384"/>
      <c r="GKH55" s="384"/>
      <c r="GKI55" s="384"/>
      <c r="GKJ55" s="384"/>
      <c r="GKK55" s="384"/>
      <c r="GKL55" s="384"/>
      <c r="GKM55" s="384"/>
      <c r="GKN55" s="384"/>
      <c r="GKO55" s="384"/>
      <c r="GKP55" s="384"/>
      <c r="GKQ55" s="384"/>
      <c r="GKR55" s="384"/>
      <c r="GKS55" s="384"/>
      <c r="GKT55" s="384"/>
      <c r="GKU55" s="384"/>
      <c r="GKV55" s="384"/>
      <c r="GKW55" s="384"/>
      <c r="GKX55" s="384"/>
      <c r="GKY55" s="384"/>
      <c r="GKZ55" s="384"/>
      <c r="GLA55" s="384"/>
      <c r="GLB55" s="384"/>
      <c r="GLC55" s="384"/>
      <c r="GLD55" s="384"/>
      <c r="GLE55" s="384"/>
      <c r="GLF55" s="384"/>
      <c r="GLG55" s="384"/>
      <c r="GLH55" s="384"/>
      <c r="GLI55" s="384"/>
      <c r="GLJ55" s="384"/>
      <c r="GLK55" s="384"/>
      <c r="GLL55" s="384"/>
      <c r="GLM55" s="384"/>
      <c r="GLN55" s="384"/>
      <c r="GLO55" s="384"/>
      <c r="GLP55" s="384"/>
      <c r="GLQ55" s="384"/>
      <c r="GLR55" s="384"/>
      <c r="GLS55" s="384"/>
      <c r="GLT55" s="384"/>
      <c r="GLU55" s="384"/>
      <c r="GLV55" s="384"/>
      <c r="GLW55" s="384"/>
      <c r="GLX55" s="384"/>
      <c r="GLY55" s="384"/>
      <c r="GLZ55" s="384"/>
      <c r="GMA55" s="384"/>
      <c r="GMB55" s="384"/>
      <c r="GMC55" s="384"/>
      <c r="GMD55" s="384"/>
      <c r="GME55" s="384"/>
      <c r="GMF55" s="384"/>
      <c r="GMG55" s="384"/>
      <c r="GMH55" s="384"/>
      <c r="GMI55" s="384"/>
      <c r="GMJ55" s="384"/>
      <c r="GMK55" s="384"/>
      <c r="GML55" s="384"/>
      <c r="GMM55" s="384"/>
      <c r="GMN55" s="384"/>
      <c r="GMO55" s="384"/>
      <c r="GMP55" s="384"/>
      <c r="GMQ55" s="384"/>
      <c r="GMR55" s="384"/>
      <c r="GMS55" s="384"/>
      <c r="GMT55" s="384"/>
      <c r="GMU55" s="384"/>
      <c r="GMV55" s="384"/>
      <c r="GMW55" s="384"/>
      <c r="GMX55" s="384"/>
      <c r="GMY55" s="384"/>
      <c r="GMZ55" s="384"/>
      <c r="GNA55" s="384"/>
      <c r="GNB55" s="384"/>
      <c r="GNC55" s="384"/>
      <c r="GND55" s="384"/>
      <c r="GNE55" s="384"/>
      <c r="GNF55" s="384"/>
      <c r="GNG55" s="384"/>
      <c r="GNH55" s="384"/>
      <c r="GNI55" s="384"/>
      <c r="GNJ55" s="384"/>
      <c r="GNK55" s="384"/>
      <c r="GNL55" s="384"/>
      <c r="GNM55" s="384"/>
      <c r="GNN55" s="384"/>
      <c r="GNO55" s="384"/>
      <c r="GNP55" s="384"/>
      <c r="GNQ55" s="384"/>
      <c r="GNR55" s="384"/>
      <c r="GNS55" s="384"/>
      <c r="GNT55" s="384"/>
      <c r="GNU55" s="384"/>
      <c r="GNV55" s="384"/>
      <c r="GNW55" s="384"/>
      <c r="GNX55" s="384"/>
      <c r="GNY55" s="384"/>
      <c r="GNZ55" s="384"/>
      <c r="GOA55" s="384"/>
      <c r="GOB55" s="384"/>
      <c r="GOC55" s="384"/>
      <c r="GOD55" s="384"/>
      <c r="GOE55" s="384"/>
      <c r="GOF55" s="384"/>
      <c r="GOG55" s="384"/>
      <c r="GOH55" s="384"/>
      <c r="GOI55" s="384"/>
      <c r="GOJ55" s="384"/>
      <c r="GOK55" s="384"/>
      <c r="GOL55" s="384"/>
      <c r="GOM55" s="384"/>
      <c r="GON55" s="384"/>
      <c r="GOO55" s="384"/>
      <c r="GOP55" s="384"/>
      <c r="GOQ55" s="384"/>
      <c r="GOR55" s="384"/>
      <c r="GOS55" s="384"/>
      <c r="GOT55" s="384"/>
      <c r="GOU55" s="384"/>
      <c r="GOV55" s="384"/>
      <c r="GOW55" s="384"/>
      <c r="GOX55" s="384"/>
      <c r="GOY55" s="384"/>
      <c r="GOZ55" s="384"/>
      <c r="GPA55" s="384"/>
      <c r="GPB55" s="384"/>
      <c r="GPC55" s="384"/>
      <c r="GPD55" s="384"/>
      <c r="GPE55" s="384"/>
      <c r="GPF55" s="384"/>
      <c r="GPG55" s="384"/>
      <c r="GPH55" s="384"/>
      <c r="GPI55" s="384"/>
      <c r="GPJ55" s="384"/>
      <c r="GPK55" s="384"/>
      <c r="GPL55" s="384"/>
      <c r="GPM55" s="384"/>
      <c r="GPN55" s="384"/>
      <c r="GPO55" s="384"/>
      <c r="GPP55" s="384"/>
      <c r="GPQ55" s="384"/>
      <c r="GPR55" s="384"/>
      <c r="GPS55" s="384"/>
      <c r="GPT55" s="384"/>
      <c r="GPU55" s="384"/>
      <c r="GPV55" s="384"/>
      <c r="GPW55" s="384"/>
      <c r="GPX55" s="384"/>
      <c r="GPY55" s="384"/>
      <c r="GPZ55" s="384"/>
      <c r="GQA55" s="384"/>
      <c r="GQB55" s="384"/>
      <c r="GQC55" s="384"/>
      <c r="GQD55" s="384"/>
      <c r="GQE55" s="384"/>
      <c r="GQF55" s="384"/>
      <c r="GQG55" s="384"/>
      <c r="GQH55" s="384"/>
      <c r="GQI55" s="384"/>
      <c r="GQJ55" s="384"/>
      <c r="GQK55" s="384"/>
      <c r="GQL55" s="384"/>
      <c r="GQM55" s="384"/>
      <c r="GQN55" s="384"/>
      <c r="GQO55" s="384"/>
      <c r="GQP55" s="384"/>
      <c r="GQQ55" s="384"/>
      <c r="GQR55" s="384"/>
      <c r="GQS55" s="384"/>
      <c r="GQT55" s="384"/>
      <c r="GQU55" s="384"/>
      <c r="GQV55" s="384"/>
      <c r="GQW55" s="384"/>
      <c r="GQX55" s="384"/>
      <c r="GQY55" s="384"/>
      <c r="GQZ55" s="384"/>
      <c r="GRA55" s="384"/>
      <c r="GRB55" s="384"/>
      <c r="GRC55" s="384"/>
      <c r="GRD55" s="384"/>
      <c r="GRE55" s="384"/>
      <c r="GRF55" s="384"/>
      <c r="GRG55" s="384"/>
      <c r="GRH55" s="384"/>
      <c r="GRI55" s="384"/>
      <c r="GRJ55" s="384"/>
      <c r="GRK55" s="384"/>
      <c r="GRL55" s="384"/>
      <c r="GRM55" s="384"/>
      <c r="GRN55" s="384"/>
      <c r="GRO55" s="384"/>
      <c r="GRP55" s="384"/>
      <c r="GRQ55" s="384"/>
      <c r="GRR55" s="384"/>
      <c r="GRS55" s="384"/>
      <c r="GRT55" s="384"/>
      <c r="GRU55" s="384"/>
      <c r="GRV55" s="384"/>
      <c r="GRW55" s="384"/>
      <c r="GRX55" s="384"/>
      <c r="GRY55" s="384"/>
      <c r="GRZ55" s="384"/>
      <c r="GSA55" s="384"/>
      <c r="GSB55" s="384"/>
      <c r="GSC55" s="384"/>
      <c r="GSD55" s="384"/>
      <c r="GSE55" s="384"/>
      <c r="GSF55" s="384"/>
      <c r="GSG55" s="384"/>
      <c r="GSH55" s="384"/>
      <c r="GSI55" s="384"/>
      <c r="GSJ55" s="384"/>
      <c r="GSK55" s="384"/>
      <c r="GSL55" s="384"/>
      <c r="GSM55" s="384"/>
      <c r="GSN55" s="384"/>
      <c r="GSO55" s="384"/>
      <c r="GSP55" s="384"/>
      <c r="GSQ55" s="384"/>
      <c r="GSR55" s="384"/>
      <c r="GSS55" s="384"/>
      <c r="GST55" s="384"/>
      <c r="GSU55" s="384"/>
      <c r="GSV55" s="384"/>
      <c r="GSW55" s="384"/>
      <c r="GSX55" s="384"/>
      <c r="GSY55" s="384"/>
      <c r="GSZ55" s="384"/>
      <c r="GTA55" s="384"/>
      <c r="GTB55" s="384"/>
      <c r="GTC55" s="384"/>
      <c r="GTD55" s="384"/>
      <c r="GTE55" s="384"/>
      <c r="GTF55" s="384"/>
      <c r="GTG55" s="384"/>
      <c r="GTH55" s="384"/>
      <c r="GTI55" s="384"/>
      <c r="GTJ55" s="384"/>
      <c r="GTK55" s="384"/>
      <c r="GTL55" s="384"/>
      <c r="GTM55" s="384"/>
      <c r="GTN55" s="384"/>
      <c r="GTO55" s="384"/>
      <c r="GTP55" s="384"/>
      <c r="GTQ55" s="384"/>
      <c r="GTR55" s="384"/>
      <c r="GTS55" s="384"/>
      <c r="GTT55" s="384"/>
      <c r="GTU55" s="384"/>
      <c r="GTV55" s="384"/>
      <c r="GTW55" s="384"/>
      <c r="GTX55" s="384"/>
      <c r="GTY55" s="384"/>
      <c r="GTZ55" s="384"/>
      <c r="GUA55" s="384"/>
      <c r="GUB55" s="384"/>
      <c r="GUC55" s="384"/>
      <c r="GUD55" s="384"/>
      <c r="GUE55" s="384"/>
      <c r="GUF55" s="384"/>
      <c r="GUG55" s="384"/>
      <c r="GUH55" s="384"/>
      <c r="GUI55" s="384"/>
      <c r="GUJ55" s="384"/>
      <c r="GUK55" s="384"/>
      <c r="GUL55" s="384"/>
      <c r="GUM55" s="384"/>
      <c r="GUN55" s="384"/>
      <c r="GUO55" s="384"/>
      <c r="GUP55" s="384"/>
      <c r="GUQ55" s="384"/>
      <c r="GUR55" s="384"/>
      <c r="GUS55" s="384"/>
      <c r="GUT55" s="384"/>
      <c r="GUU55" s="384"/>
      <c r="GUV55" s="384"/>
      <c r="GUW55" s="384"/>
      <c r="GUX55" s="384"/>
      <c r="GUY55" s="384"/>
      <c r="GUZ55" s="384"/>
      <c r="GVA55" s="384"/>
      <c r="GVB55" s="384"/>
      <c r="GVC55" s="384"/>
      <c r="GVD55" s="384"/>
      <c r="GVE55" s="384"/>
      <c r="GVF55" s="384"/>
      <c r="GVG55" s="384"/>
      <c r="GVH55" s="384"/>
      <c r="GVI55" s="384"/>
      <c r="GVJ55" s="384"/>
      <c r="GVK55" s="384"/>
      <c r="GVL55" s="384"/>
      <c r="GVM55" s="384"/>
      <c r="GVN55" s="384"/>
      <c r="GVO55" s="384"/>
      <c r="GVP55" s="384"/>
      <c r="GVQ55" s="384"/>
      <c r="GVR55" s="384"/>
      <c r="GVS55" s="384"/>
      <c r="GVT55" s="384"/>
      <c r="GVU55" s="384"/>
      <c r="GVV55" s="384"/>
      <c r="GVW55" s="384"/>
      <c r="GVX55" s="384"/>
      <c r="GVY55" s="384"/>
      <c r="GVZ55" s="384"/>
      <c r="GWA55" s="384"/>
      <c r="GWB55" s="384"/>
      <c r="GWC55" s="384"/>
      <c r="GWD55" s="384"/>
      <c r="GWE55" s="384"/>
      <c r="GWF55" s="384"/>
      <c r="GWG55" s="384"/>
      <c r="GWH55" s="384"/>
      <c r="GWI55" s="384"/>
      <c r="GWJ55" s="384"/>
      <c r="GWK55" s="384"/>
      <c r="GWL55" s="384"/>
      <c r="GWM55" s="384"/>
      <c r="GWN55" s="384"/>
      <c r="GWO55" s="384"/>
      <c r="GWP55" s="384"/>
      <c r="GWQ55" s="384"/>
      <c r="GWR55" s="384"/>
      <c r="GWS55" s="384"/>
      <c r="GWT55" s="384"/>
      <c r="GWU55" s="384"/>
      <c r="GWV55" s="384"/>
      <c r="GWW55" s="384"/>
      <c r="GWX55" s="384"/>
      <c r="GWY55" s="384"/>
      <c r="GWZ55" s="384"/>
      <c r="GXA55" s="384"/>
      <c r="GXB55" s="384"/>
      <c r="GXC55" s="384"/>
      <c r="GXD55" s="384"/>
      <c r="GXE55" s="384"/>
      <c r="GXF55" s="384"/>
      <c r="GXG55" s="384"/>
      <c r="GXH55" s="384"/>
      <c r="GXI55" s="384"/>
      <c r="GXJ55" s="384"/>
      <c r="GXK55" s="384"/>
      <c r="GXL55" s="384"/>
      <c r="GXM55" s="384"/>
      <c r="GXN55" s="384"/>
      <c r="GXO55" s="384"/>
      <c r="GXP55" s="384"/>
      <c r="GXQ55" s="384"/>
      <c r="GXR55" s="384"/>
      <c r="GXS55" s="384"/>
      <c r="GXT55" s="384"/>
      <c r="GXU55" s="384"/>
      <c r="GXV55" s="384"/>
      <c r="GXW55" s="384"/>
      <c r="GXX55" s="384"/>
      <c r="GXY55" s="384"/>
      <c r="GXZ55" s="384"/>
      <c r="GYA55" s="384"/>
      <c r="GYB55" s="384"/>
      <c r="GYC55" s="384"/>
      <c r="GYD55" s="384"/>
      <c r="GYE55" s="384"/>
      <c r="GYF55" s="384"/>
      <c r="GYG55" s="384"/>
      <c r="GYH55" s="384"/>
      <c r="GYI55" s="384"/>
      <c r="GYJ55" s="384"/>
      <c r="GYK55" s="384"/>
      <c r="GYL55" s="384"/>
      <c r="GYM55" s="384"/>
      <c r="GYN55" s="384"/>
      <c r="GYO55" s="384"/>
      <c r="GYP55" s="384"/>
      <c r="GYQ55" s="384"/>
      <c r="GYR55" s="384"/>
      <c r="GYS55" s="384"/>
      <c r="GYT55" s="384"/>
      <c r="GYU55" s="384"/>
      <c r="GYV55" s="384"/>
      <c r="GYW55" s="384"/>
      <c r="GYX55" s="384"/>
      <c r="GYY55" s="384"/>
      <c r="GYZ55" s="384"/>
      <c r="GZA55" s="384"/>
      <c r="GZB55" s="384"/>
      <c r="GZC55" s="384"/>
      <c r="GZD55" s="384"/>
      <c r="GZE55" s="384"/>
      <c r="GZF55" s="384"/>
      <c r="GZG55" s="384"/>
      <c r="GZH55" s="384"/>
      <c r="GZI55" s="384"/>
      <c r="GZJ55" s="384"/>
      <c r="GZK55" s="384"/>
      <c r="GZL55" s="384"/>
      <c r="GZM55" s="384"/>
      <c r="GZN55" s="384"/>
      <c r="GZO55" s="384"/>
      <c r="GZP55" s="384"/>
      <c r="GZQ55" s="384"/>
      <c r="GZR55" s="384"/>
      <c r="GZS55" s="384"/>
      <c r="GZT55" s="384"/>
      <c r="GZU55" s="384"/>
      <c r="GZV55" s="384"/>
      <c r="GZW55" s="384"/>
      <c r="GZX55" s="384"/>
      <c r="GZY55" s="384"/>
      <c r="GZZ55" s="384"/>
      <c r="HAA55" s="384"/>
      <c r="HAB55" s="384"/>
      <c r="HAC55" s="384"/>
      <c r="HAD55" s="384"/>
      <c r="HAE55" s="384"/>
      <c r="HAF55" s="384"/>
      <c r="HAG55" s="384"/>
      <c r="HAH55" s="384"/>
      <c r="HAI55" s="384"/>
      <c r="HAJ55" s="384"/>
      <c r="HAK55" s="384"/>
      <c r="HAL55" s="384"/>
      <c r="HAM55" s="384"/>
      <c r="HAN55" s="384"/>
      <c r="HAO55" s="384"/>
      <c r="HAP55" s="384"/>
      <c r="HAQ55" s="384"/>
      <c r="HAR55" s="384"/>
      <c r="HAS55" s="384"/>
      <c r="HAT55" s="384"/>
      <c r="HAU55" s="384"/>
      <c r="HAV55" s="384"/>
      <c r="HAW55" s="384"/>
      <c r="HAX55" s="384"/>
      <c r="HAY55" s="384"/>
      <c r="HAZ55" s="384"/>
      <c r="HBA55" s="384"/>
      <c r="HBB55" s="384"/>
      <c r="HBC55" s="384"/>
      <c r="HBD55" s="384"/>
      <c r="HBE55" s="384"/>
      <c r="HBF55" s="384"/>
      <c r="HBG55" s="384"/>
      <c r="HBH55" s="384"/>
      <c r="HBI55" s="384"/>
      <c r="HBJ55" s="384"/>
      <c r="HBK55" s="384"/>
      <c r="HBL55" s="384"/>
      <c r="HBM55" s="384"/>
      <c r="HBN55" s="384"/>
      <c r="HBO55" s="384"/>
      <c r="HBP55" s="384"/>
      <c r="HBQ55" s="384"/>
      <c r="HBR55" s="384"/>
      <c r="HBS55" s="384"/>
      <c r="HBT55" s="384"/>
      <c r="HBU55" s="384"/>
      <c r="HBV55" s="384"/>
      <c r="HBW55" s="384"/>
      <c r="HBX55" s="384"/>
      <c r="HBY55" s="384"/>
      <c r="HBZ55" s="384"/>
      <c r="HCA55" s="384"/>
      <c r="HCB55" s="384"/>
      <c r="HCC55" s="384"/>
      <c r="HCD55" s="384"/>
      <c r="HCE55" s="384"/>
      <c r="HCF55" s="384"/>
      <c r="HCG55" s="384"/>
      <c r="HCH55" s="384"/>
      <c r="HCI55" s="384"/>
      <c r="HCJ55" s="384"/>
      <c r="HCK55" s="384"/>
      <c r="HCL55" s="384"/>
      <c r="HCM55" s="384"/>
      <c r="HCN55" s="384"/>
      <c r="HCO55" s="384"/>
      <c r="HCP55" s="384"/>
      <c r="HCQ55" s="384"/>
      <c r="HCR55" s="384"/>
      <c r="HCS55" s="384"/>
      <c r="HCT55" s="384"/>
      <c r="HCU55" s="384"/>
      <c r="HCV55" s="384"/>
      <c r="HCW55" s="384"/>
      <c r="HCX55" s="384"/>
      <c r="HCY55" s="384"/>
      <c r="HCZ55" s="384"/>
      <c r="HDA55" s="384"/>
      <c r="HDB55" s="384"/>
      <c r="HDC55" s="384"/>
      <c r="HDD55" s="384"/>
      <c r="HDE55" s="384"/>
      <c r="HDF55" s="384"/>
      <c r="HDG55" s="384"/>
      <c r="HDH55" s="384"/>
      <c r="HDI55" s="384"/>
      <c r="HDJ55" s="384"/>
      <c r="HDK55" s="384"/>
      <c r="HDL55" s="384"/>
      <c r="HDM55" s="384"/>
      <c r="HDN55" s="384"/>
      <c r="HDO55" s="384"/>
      <c r="HDP55" s="384"/>
      <c r="HDQ55" s="384"/>
      <c r="HDR55" s="384"/>
      <c r="HDS55" s="384"/>
      <c r="HDT55" s="384"/>
      <c r="HDU55" s="384"/>
      <c r="HDV55" s="384"/>
      <c r="HDW55" s="384"/>
      <c r="HDX55" s="384"/>
      <c r="HDY55" s="384"/>
      <c r="HDZ55" s="384"/>
      <c r="HEA55" s="384"/>
      <c r="HEB55" s="384"/>
      <c r="HEC55" s="384"/>
      <c r="HED55" s="384"/>
      <c r="HEE55" s="384"/>
      <c r="HEF55" s="384"/>
      <c r="HEG55" s="384"/>
      <c r="HEH55" s="384"/>
      <c r="HEI55" s="384"/>
      <c r="HEJ55" s="384"/>
      <c r="HEK55" s="384"/>
      <c r="HEL55" s="384"/>
      <c r="HEM55" s="384"/>
      <c r="HEN55" s="384"/>
      <c r="HEO55" s="384"/>
      <c r="HEP55" s="384"/>
      <c r="HEQ55" s="384"/>
      <c r="HER55" s="384"/>
      <c r="HES55" s="384"/>
      <c r="HET55" s="384"/>
      <c r="HEU55" s="384"/>
      <c r="HEV55" s="384"/>
      <c r="HEW55" s="384"/>
      <c r="HEX55" s="384"/>
      <c r="HEY55" s="384"/>
      <c r="HEZ55" s="384"/>
      <c r="HFA55" s="384"/>
      <c r="HFB55" s="384"/>
      <c r="HFC55" s="384"/>
      <c r="HFD55" s="384"/>
      <c r="HFE55" s="384"/>
      <c r="HFF55" s="384"/>
      <c r="HFG55" s="384"/>
      <c r="HFH55" s="384"/>
      <c r="HFI55" s="384"/>
      <c r="HFJ55" s="384"/>
      <c r="HFK55" s="384"/>
      <c r="HFL55" s="384"/>
      <c r="HFM55" s="384"/>
      <c r="HFN55" s="384"/>
      <c r="HFO55" s="384"/>
      <c r="HFP55" s="384"/>
      <c r="HFQ55" s="384"/>
      <c r="HFR55" s="384"/>
      <c r="HFS55" s="384"/>
      <c r="HFT55" s="384"/>
      <c r="HFU55" s="384"/>
      <c r="HFV55" s="384"/>
      <c r="HFW55" s="384"/>
      <c r="HFX55" s="384"/>
      <c r="HFY55" s="384"/>
      <c r="HFZ55" s="384"/>
      <c r="HGA55" s="384"/>
      <c r="HGB55" s="384"/>
      <c r="HGC55" s="384"/>
      <c r="HGD55" s="384"/>
      <c r="HGE55" s="384"/>
      <c r="HGF55" s="384"/>
      <c r="HGG55" s="384"/>
      <c r="HGH55" s="384"/>
      <c r="HGI55" s="384"/>
      <c r="HGJ55" s="384"/>
      <c r="HGK55" s="384"/>
      <c r="HGL55" s="384"/>
      <c r="HGM55" s="384"/>
      <c r="HGN55" s="384"/>
      <c r="HGO55" s="384"/>
      <c r="HGP55" s="384"/>
      <c r="HGQ55" s="384"/>
      <c r="HGR55" s="384"/>
      <c r="HGS55" s="384"/>
      <c r="HGT55" s="384"/>
      <c r="HGU55" s="384"/>
      <c r="HGV55" s="384"/>
      <c r="HGW55" s="384"/>
      <c r="HGX55" s="384"/>
      <c r="HGY55" s="384"/>
      <c r="HGZ55" s="384"/>
      <c r="HHA55" s="384"/>
      <c r="HHB55" s="384"/>
      <c r="HHC55" s="384"/>
      <c r="HHD55" s="384"/>
      <c r="HHE55" s="384"/>
      <c r="HHF55" s="384"/>
      <c r="HHG55" s="384"/>
      <c r="HHH55" s="384"/>
      <c r="HHI55" s="384"/>
      <c r="HHJ55" s="384"/>
      <c r="HHK55" s="384"/>
      <c r="HHL55" s="384"/>
      <c r="HHM55" s="384"/>
      <c r="HHN55" s="384"/>
      <c r="HHO55" s="384"/>
      <c r="HHP55" s="384"/>
      <c r="HHQ55" s="384"/>
      <c r="HHR55" s="384"/>
      <c r="HHS55" s="384"/>
      <c r="HHT55" s="384"/>
      <c r="HHU55" s="384"/>
      <c r="HHV55" s="384"/>
      <c r="HHW55" s="384"/>
      <c r="HHX55" s="384"/>
      <c r="HHY55" s="384"/>
      <c r="HHZ55" s="384"/>
      <c r="HIA55" s="384"/>
      <c r="HIB55" s="384"/>
      <c r="HIC55" s="384"/>
      <c r="HID55" s="384"/>
      <c r="HIE55" s="384"/>
      <c r="HIF55" s="384"/>
      <c r="HIG55" s="384"/>
      <c r="HIH55" s="384"/>
      <c r="HII55" s="384"/>
      <c r="HIJ55" s="384"/>
      <c r="HIK55" s="384"/>
      <c r="HIL55" s="384"/>
      <c r="HIM55" s="384"/>
      <c r="HIN55" s="384"/>
      <c r="HIO55" s="384"/>
      <c r="HIP55" s="384"/>
      <c r="HIQ55" s="384"/>
      <c r="HIR55" s="384"/>
      <c r="HIS55" s="384"/>
      <c r="HIT55" s="384"/>
      <c r="HIU55" s="384"/>
      <c r="HIV55" s="384"/>
      <c r="HIW55" s="384"/>
      <c r="HIX55" s="384"/>
      <c r="HIY55" s="384"/>
      <c r="HIZ55" s="384"/>
      <c r="HJA55" s="384"/>
      <c r="HJB55" s="384"/>
      <c r="HJC55" s="384"/>
      <c r="HJD55" s="384"/>
      <c r="HJE55" s="384"/>
      <c r="HJF55" s="384"/>
      <c r="HJG55" s="384"/>
      <c r="HJH55" s="384"/>
      <c r="HJI55" s="384"/>
      <c r="HJJ55" s="384"/>
      <c r="HJK55" s="384"/>
      <c r="HJL55" s="384"/>
      <c r="HJM55" s="384"/>
      <c r="HJN55" s="384"/>
      <c r="HJO55" s="384"/>
      <c r="HJP55" s="384"/>
      <c r="HJQ55" s="384"/>
      <c r="HJR55" s="384"/>
      <c r="HJS55" s="384"/>
      <c r="HJT55" s="384"/>
      <c r="HJU55" s="384"/>
      <c r="HJV55" s="384"/>
      <c r="HJW55" s="384"/>
      <c r="HJX55" s="384"/>
      <c r="HJY55" s="384"/>
      <c r="HJZ55" s="384"/>
      <c r="HKA55" s="384"/>
      <c r="HKB55" s="384"/>
      <c r="HKC55" s="384"/>
      <c r="HKD55" s="384"/>
      <c r="HKE55" s="384"/>
      <c r="HKF55" s="384"/>
      <c r="HKG55" s="384"/>
      <c r="HKH55" s="384"/>
      <c r="HKI55" s="384"/>
      <c r="HKJ55" s="384"/>
      <c r="HKK55" s="384"/>
      <c r="HKL55" s="384"/>
      <c r="HKM55" s="384"/>
      <c r="HKN55" s="384"/>
      <c r="HKO55" s="384"/>
      <c r="HKP55" s="384"/>
      <c r="HKQ55" s="384"/>
      <c r="HKR55" s="384"/>
      <c r="HKS55" s="384"/>
      <c r="HKT55" s="384"/>
      <c r="HKU55" s="384"/>
      <c r="HKV55" s="384"/>
      <c r="HKW55" s="384"/>
      <c r="HKX55" s="384"/>
      <c r="HKY55" s="384"/>
      <c r="HKZ55" s="384"/>
      <c r="HLA55" s="384"/>
      <c r="HLB55" s="384"/>
      <c r="HLC55" s="384"/>
      <c r="HLD55" s="384"/>
      <c r="HLE55" s="384"/>
      <c r="HLF55" s="384"/>
      <c r="HLG55" s="384"/>
      <c r="HLH55" s="384"/>
      <c r="HLI55" s="384"/>
      <c r="HLJ55" s="384"/>
      <c r="HLK55" s="384"/>
      <c r="HLL55" s="384"/>
      <c r="HLM55" s="384"/>
      <c r="HLN55" s="384"/>
      <c r="HLO55" s="384"/>
      <c r="HLP55" s="384"/>
      <c r="HLQ55" s="384"/>
      <c r="HLR55" s="384"/>
      <c r="HLS55" s="384"/>
      <c r="HLT55" s="384"/>
      <c r="HLU55" s="384"/>
      <c r="HLV55" s="384"/>
      <c r="HLW55" s="384"/>
      <c r="HLX55" s="384"/>
      <c r="HLY55" s="384"/>
      <c r="HLZ55" s="384"/>
      <c r="HMA55" s="384"/>
      <c r="HMB55" s="384"/>
      <c r="HMC55" s="384"/>
      <c r="HMD55" s="384"/>
      <c r="HME55" s="384"/>
      <c r="HMF55" s="384"/>
      <c r="HMG55" s="384"/>
      <c r="HMH55" s="384"/>
      <c r="HMI55" s="384"/>
      <c r="HMJ55" s="384"/>
      <c r="HMK55" s="384"/>
      <c r="HML55" s="384"/>
      <c r="HMM55" s="384"/>
      <c r="HMN55" s="384"/>
      <c r="HMO55" s="384"/>
      <c r="HMP55" s="384"/>
      <c r="HMQ55" s="384"/>
      <c r="HMR55" s="384"/>
      <c r="HMS55" s="384"/>
      <c r="HMT55" s="384"/>
      <c r="HMU55" s="384"/>
      <c r="HMV55" s="384"/>
      <c r="HMW55" s="384"/>
      <c r="HMX55" s="384"/>
      <c r="HMY55" s="384"/>
      <c r="HMZ55" s="384"/>
      <c r="HNA55" s="384"/>
      <c r="HNB55" s="384"/>
      <c r="HNC55" s="384"/>
      <c r="HND55" s="384"/>
      <c r="HNE55" s="384"/>
      <c r="HNF55" s="384"/>
      <c r="HNG55" s="384"/>
      <c r="HNH55" s="384"/>
      <c r="HNI55" s="384"/>
      <c r="HNJ55" s="384"/>
      <c r="HNK55" s="384"/>
      <c r="HNL55" s="384"/>
      <c r="HNM55" s="384"/>
      <c r="HNN55" s="384"/>
      <c r="HNO55" s="384"/>
      <c r="HNP55" s="384"/>
      <c r="HNQ55" s="384"/>
      <c r="HNR55" s="384"/>
      <c r="HNS55" s="384"/>
      <c r="HNT55" s="384"/>
      <c r="HNU55" s="384"/>
      <c r="HNV55" s="384"/>
      <c r="HNW55" s="384"/>
      <c r="HNX55" s="384"/>
      <c r="HNY55" s="384"/>
      <c r="HNZ55" s="384"/>
      <c r="HOA55" s="384"/>
      <c r="HOB55" s="384"/>
      <c r="HOC55" s="384"/>
      <c r="HOD55" s="384"/>
      <c r="HOE55" s="384"/>
      <c r="HOF55" s="384"/>
      <c r="HOG55" s="384"/>
      <c r="HOH55" s="384"/>
      <c r="HOI55" s="384"/>
      <c r="HOJ55" s="384"/>
      <c r="HOK55" s="384"/>
      <c r="HOL55" s="384"/>
      <c r="HOM55" s="384"/>
      <c r="HON55" s="384"/>
      <c r="HOO55" s="384"/>
      <c r="HOP55" s="384"/>
      <c r="HOQ55" s="384"/>
      <c r="HOR55" s="384"/>
      <c r="HOS55" s="384"/>
      <c r="HOT55" s="384"/>
      <c r="HOU55" s="384"/>
      <c r="HOV55" s="384"/>
      <c r="HOW55" s="384"/>
      <c r="HOX55" s="384"/>
      <c r="HOY55" s="384"/>
      <c r="HOZ55" s="384"/>
      <c r="HPA55" s="384"/>
      <c r="HPB55" s="384"/>
      <c r="HPC55" s="384"/>
      <c r="HPD55" s="384"/>
      <c r="HPE55" s="384"/>
      <c r="HPF55" s="384"/>
      <c r="HPG55" s="384"/>
      <c r="HPH55" s="384"/>
      <c r="HPI55" s="384"/>
      <c r="HPJ55" s="384"/>
      <c r="HPK55" s="384"/>
      <c r="HPL55" s="384"/>
      <c r="HPM55" s="384"/>
      <c r="HPN55" s="384"/>
      <c r="HPO55" s="384"/>
      <c r="HPP55" s="384"/>
      <c r="HPQ55" s="384"/>
      <c r="HPR55" s="384"/>
      <c r="HPS55" s="384"/>
      <c r="HPT55" s="384"/>
      <c r="HPU55" s="384"/>
      <c r="HPV55" s="384"/>
      <c r="HPW55" s="384"/>
      <c r="HPX55" s="384"/>
      <c r="HPY55" s="384"/>
      <c r="HPZ55" s="384"/>
      <c r="HQA55" s="384"/>
      <c r="HQB55" s="384"/>
      <c r="HQC55" s="384"/>
      <c r="HQD55" s="384"/>
      <c r="HQE55" s="384"/>
      <c r="HQF55" s="384"/>
      <c r="HQG55" s="384"/>
      <c r="HQH55" s="384"/>
      <c r="HQI55" s="384"/>
      <c r="HQJ55" s="384"/>
      <c r="HQK55" s="384"/>
      <c r="HQL55" s="384"/>
      <c r="HQM55" s="384"/>
      <c r="HQN55" s="384"/>
      <c r="HQO55" s="384"/>
      <c r="HQP55" s="384"/>
      <c r="HQQ55" s="384"/>
      <c r="HQR55" s="384"/>
      <c r="HQS55" s="384"/>
      <c r="HQT55" s="384"/>
      <c r="HQU55" s="384"/>
      <c r="HQV55" s="384"/>
      <c r="HQW55" s="384"/>
      <c r="HQX55" s="384"/>
      <c r="HQY55" s="384"/>
      <c r="HQZ55" s="384"/>
      <c r="HRA55" s="384"/>
      <c r="HRB55" s="384"/>
      <c r="HRC55" s="384"/>
      <c r="HRD55" s="384"/>
      <c r="HRE55" s="384"/>
      <c r="HRF55" s="384"/>
      <c r="HRG55" s="384"/>
      <c r="HRH55" s="384"/>
      <c r="HRI55" s="384"/>
      <c r="HRJ55" s="384"/>
      <c r="HRK55" s="384"/>
      <c r="HRL55" s="384"/>
      <c r="HRM55" s="384"/>
      <c r="HRN55" s="384"/>
      <c r="HRO55" s="384"/>
      <c r="HRP55" s="384"/>
      <c r="HRQ55" s="384"/>
      <c r="HRR55" s="384"/>
      <c r="HRS55" s="384"/>
      <c r="HRT55" s="384"/>
      <c r="HRU55" s="384"/>
      <c r="HRV55" s="384"/>
      <c r="HRW55" s="384"/>
      <c r="HRX55" s="384"/>
      <c r="HRY55" s="384"/>
      <c r="HRZ55" s="384"/>
      <c r="HSA55" s="384"/>
      <c r="HSB55" s="384"/>
      <c r="HSC55" s="384"/>
      <c r="HSD55" s="384"/>
      <c r="HSE55" s="384"/>
      <c r="HSF55" s="384"/>
      <c r="HSG55" s="384"/>
      <c r="HSH55" s="384"/>
      <c r="HSI55" s="384"/>
      <c r="HSJ55" s="384"/>
      <c r="HSK55" s="384"/>
      <c r="HSL55" s="384"/>
      <c r="HSM55" s="384"/>
      <c r="HSN55" s="384"/>
      <c r="HSO55" s="384"/>
      <c r="HSP55" s="384"/>
      <c r="HSQ55" s="384"/>
      <c r="HSR55" s="384"/>
      <c r="HSS55" s="384"/>
      <c r="HST55" s="384"/>
      <c r="HSU55" s="384"/>
      <c r="HSV55" s="384"/>
      <c r="HSW55" s="384"/>
      <c r="HSX55" s="384"/>
      <c r="HSY55" s="384"/>
      <c r="HSZ55" s="384"/>
      <c r="HTA55" s="384"/>
      <c r="HTB55" s="384"/>
      <c r="HTC55" s="384"/>
      <c r="HTD55" s="384"/>
      <c r="HTE55" s="384"/>
      <c r="HTF55" s="384"/>
      <c r="HTG55" s="384"/>
      <c r="HTH55" s="384"/>
      <c r="HTI55" s="384"/>
      <c r="HTJ55" s="384"/>
      <c r="HTK55" s="384"/>
      <c r="HTL55" s="384"/>
      <c r="HTM55" s="384"/>
      <c r="HTN55" s="384"/>
      <c r="HTO55" s="384"/>
      <c r="HTP55" s="384"/>
      <c r="HTQ55" s="384"/>
      <c r="HTR55" s="384"/>
      <c r="HTS55" s="384"/>
      <c r="HTT55" s="384"/>
      <c r="HTU55" s="384"/>
      <c r="HTV55" s="384"/>
      <c r="HTW55" s="384"/>
      <c r="HTX55" s="384"/>
      <c r="HTY55" s="384"/>
      <c r="HTZ55" s="384"/>
      <c r="HUA55" s="384"/>
      <c r="HUB55" s="384"/>
      <c r="HUC55" s="384"/>
      <c r="HUD55" s="384"/>
      <c r="HUE55" s="384"/>
      <c r="HUF55" s="384"/>
      <c r="HUG55" s="384"/>
      <c r="HUH55" s="384"/>
      <c r="HUI55" s="384"/>
      <c r="HUJ55" s="384"/>
      <c r="HUK55" s="384"/>
      <c r="HUL55" s="384"/>
      <c r="HUM55" s="384"/>
      <c r="HUN55" s="384"/>
      <c r="HUO55" s="384"/>
      <c r="HUP55" s="384"/>
      <c r="HUQ55" s="384"/>
      <c r="HUR55" s="384"/>
      <c r="HUS55" s="384"/>
      <c r="HUT55" s="384"/>
      <c r="HUU55" s="384"/>
      <c r="HUV55" s="384"/>
      <c r="HUW55" s="384"/>
      <c r="HUX55" s="384"/>
      <c r="HUY55" s="384"/>
      <c r="HUZ55" s="384"/>
      <c r="HVA55" s="384"/>
      <c r="HVB55" s="384"/>
      <c r="HVC55" s="384"/>
      <c r="HVD55" s="384"/>
      <c r="HVE55" s="384"/>
      <c r="HVF55" s="384"/>
      <c r="HVG55" s="384"/>
      <c r="HVH55" s="384"/>
      <c r="HVI55" s="384"/>
      <c r="HVJ55" s="384"/>
      <c r="HVK55" s="384"/>
      <c r="HVL55" s="384"/>
      <c r="HVM55" s="384"/>
      <c r="HVN55" s="384"/>
      <c r="HVO55" s="384"/>
      <c r="HVP55" s="384"/>
      <c r="HVQ55" s="384"/>
      <c r="HVR55" s="384"/>
      <c r="HVS55" s="384"/>
      <c r="HVT55" s="384"/>
      <c r="HVU55" s="384"/>
      <c r="HVV55" s="384"/>
      <c r="HVW55" s="384"/>
      <c r="HVX55" s="384"/>
      <c r="HVY55" s="384"/>
      <c r="HVZ55" s="384"/>
      <c r="HWA55" s="384"/>
      <c r="HWB55" s="384"/>
      <c r="HWC55" s="384"/>
      <c r="HWD55" s="384"/>
      <c r="HWE55" s="384"/>
      <c r="HWF55" s="384"/>
      <c r="HWG55" s="384"/>
      <c r="HWH55" s="384"/>
      <c r="HWI55" s="384"/>
      <c r="HWJ55" s="384"/>
      <c r="HWK55" s="384"/>
      <c r="HWL55" s="384"/>
      <c r="HWM55" s="384"/>
      <c r="HWN55" s="384"/>
      <c r="HWO55" s="384"/>
      <c r="HWP55" s="384"/>
      <c r="HWQ55" s="384"/>
      <c r="HWR55" s="384"/>
      <c r="HWS55" s="384"/>
      <c r="HWT55" s="384"/>
      <c r="HWU55" s="384"/>
      <c r="HWV55" s="384"/>
      <c r="HWW55" s="384"/>
      <c r="HWX55" s="384"/>
      <c r="HWY55" s="384"/>
      <c r="HWZ55" s="384"/>
      <c r="HXA55" s="384"/>
      <c r="HXB55" s="384"/>
      <c r="HXC55" s="384"/>
      <c r="HXD55" s="384"/>
      <c r="HXE55" s="384"/>
      <c r="HXF55" s="384"/>
      <c r="HXG55" s="384"/>
      <c r="HXH55" s="384"/>
      <c r="HXI55" s="384"/>
      <c r="HXJ55" s="384"/>
      <c r="HXK55" s="384"/>
      <c r="HXL55" s="384"/>
      <c r="HXM55" s="384"/>
      <c r="HXN55" s="384"/>
      <c r="HXO55" s="384"/>
      <c r="HXP55" s="384"/>
      <c r="HXQ55" s="384"/>
      <c r="HXR55" s="384"/>
      <c r="HXS55" s="384"/>
      <c r="HXT55" s="384"/>
      <c r="HXU55" s="384"/>
      <c r="HXV55" s="384"/>
      <c r="HXW55" s="384"/>
      <c r="HXX55" s="384"/>
      <c r="HXY55" s="384"/>
      <c r="HXZ55" s="384"/>
      <c r="HYA55" s="384"/>
      <c r="HYB55" s="384"/>
      <c r="HYC55" s="384"/>
      <c r="HYD55" s="384"/>
      <c r="HYE55" s="384"/>
      <c r="HYF55" s="384"/>
      <c r="HYG55" s="384"/>
      <c r="HYH55" s="384"/>
      <c r="HYI55" s="384"/>
      <c r="HYJ55" s="384"/>
      <c r="HYK55" s="384"/>
      <c r="HYL55" s="384"/>
      <c r="HYM55" s="384"/>
      <c r="HYN55" s="384"/>
      <c r="HYO55" s="384"/>
      <c r="HYP55" s="384"/>
      <c r="HYQ55" s="384"/>
      <c r="HYR55" s="384"/>
      <c r="HYS55" s="384"/>
      <c r="HYT55" s="384"/>
      <c r="HYU55" s="384"/>
      <c r="HYV55" s="384"/>
      <c r="HYW55" s="384"/>
      <c r="HYX55" s="384"/>
      <c r="HYY55" s="384"/>
      <c r="HYZ55" s="384"/>
      <c r="HZA55" s="384"/>
      <c r="HZB55" s="384"/>
      <c r="HZC55" s="384"/>
      <c r="HZD55" s="384"/>
      <c r="HZE55" s="384"/>
      <c r="HZF55" s="384"/>
      <c r="HZG55" s="384"/>
      <c r="HZH55" s="384"/>
      <c r="HZI55" s="384"/>
      <c r="HZJ55" s="384"/>
      <c r="HZK55" s="384"/>
      <c r="HZL55" s="384"/>
      <c r="HZM55" s="384"/>
      <c r="HZN55" s="384"/>
      <c r="HZO55" s="384"/>
      <c r="HZP55" s="384"/>
      <c r="HZQ55" s="384"/>
      <c r="HZR55" s="384"/>
      <c r="HZS55" s="384"/>
      <c r="HZT55" s="384"/>
      <c r="HZU55" s="384"/>
      <c r="HZV55" s="384"/>
      <c r="HZW55" s="384"/>
      <c r="HZX55" s="384"/>
      <c r="HZY55" s="384"/>
      <c r="HZZ55" s="384"/>
      <c r="IAA55" s="384"/>
      <c r="IAB55" s="384"/>
      <c r="IAC55" s="384"/>
      <c r="IAD55" s="384"/>
      <c r="IAE55" s="384"/>
      <c r="IAF55" s="384"/>
      <c r="IAG55" s="384"/>
      <c r="IAH55" s="384"/>
      <c r="IAI55" s="384"/>
      <c r="IAJ55" s="384"/>
      <c r="IAK55" s="384"/>
      <c r="IAL55" s="384"/>
      <c r="IAM55" s="384"/>
      <c r="IAN55" s="384"/>
      <c r="IAO55" s="384"/>
      <c r="IAP55" s="384"/>
      <c r="IAQ55" s="384"/>
      <c r="IAR55" s="384"/>
      <c r="IAS55" s="384"/>
      <c r="IAT55" s="384"/>
      <c r="IAU55" s="384"/>
      <c r="IAV55" s="384"/>
      <c r="IAW55" s="384"/>
      <c r="IAX55" s="384"/>
      <c r="IAY55" s="384"/>
      <c r="IAZ55" s="384"/>
      <c r="IBA55" s="384"/>
      <c r="IBB55" s="384"/>
      <c r="IBC55" s="384"/>
      <c r="IBD55" s="384"/>
      <c r="IBE55" s="384"/>
      <c r="IBF55" s="384"/>
      <c r="IBG55" s="384"/>
      <c r="IBH55" s="384"/>
      <c r="IBI55" s="384"/>
      <c r="IBJ55" s="384"/>
      <c r="IBK55" s="384"/>
      <c r="IBL55" s="384"/>
      <c r="IBM55" s="384"/>
      <c r="IBN55" s="384"/>
      <c r="IBO55" s="384"/>
      <c r="IBP55" s="384"/>
      <c r="IBQ55" s="384"/>
      <c r="IBR55" s="384"/>
      <c r="IBS55" s="384"/>
      <c r="IBT55" s="384"/>
      <c r="IBU55" s="384"/>
      <c r="IBV55" s="384"/>
      <c r="IBW55" s="384"/>
      <c r="IBX55" s="384"/>
      <c r="IBY55" s="384"/>
      <c r="IBZ55" s="384"/>
      <c r="ICA55" s="384"/>
      <c r="ICB55" s="384"/>
      <c r="ICC55" s="384"/>
      <c r="ICD55" s="384"/>
      <c r="ICE55" s="384"/>
      <c r="ICF55" s="384"/>
      <c r="ICG55" s="384"/>
      <c r="ICH55" s="384"/>
      <c r="ICI55" s="384"/>
      <c r="ICJ55" s="384"/>
      <c r="ICK55" s="384"/>
      <c r="ICL55" s="384"/>
      <c r="ICM55" s="384"/>
      <c r="ICN55" s="384"/>
      <c r="ICO55" s="384"/>
      <c r="ICP55" s="384"/>
      <c r="ICQ55" s="384"/>
      <c r="ICR55" s="384"/>
      <c r="ICS55" s="384"/>
      <c r="ICT55" s="384"/>
      <c r="ICU55" s="384"/>
      <c r="ICV55" s="384"/>
      <c r="ICW55" s="384"/>
      <c r="ICX55" s="384"/>
      <c r="ICY55" s="384"/>
      <c r="ICZ55" s="384"/>
      <c r="IDA55" s="384"/>
      <c r="IDB55" s="384"/>
      <c r="IDC55" s="384"/>
      <c r="IDD55" s="384"/>
      <c r="IDE55" s="384"/>
      <c r="IDF55" s="384"/>
      <c r="IDG55" s="384"/>
      <c r="IDH55" s="384"/>
      <c r="IDI55" s="384"/>
      <c r="IDJ55" s="384"/>
      <c r="IDK55" s="384"/>
      <c r="IDL55" s="384"/>
      <c r="IDM55" s="384"/>
      <c r="IDN55" s="384"/>
      <c r="IDO55" s="384"/>
      <c r="IDP55" s="384"/>
      <c r="IDQ55" s="384"/>
      <c r="IDR55" s="384"/>
      <c r="IDS55" s="384"/>
      <c r="IDT55" s="384"/>
      <c r="IDU55" s="384"/>
      <c r="IDV55" s="384"/>
      <c r="IDW55" s="384"/>
      <c r="IDX55" s="384"/>
      <c r="IDY55" s="384"/>
      <c r="IDZ55" s="384"/>
      <c r="IEA55" s="384"/>
      <c r="IEB55" s="384"/>
      <c r="IEC55" s="384"/>
      <c r="IED55" s="384"/>
      <c r="IEE55" s="384"/>
      <c r="IEF55" s="384"/>
      <c r="IEG55" s="384"/>
      <c r="IEH55" s="384"/>
      <c r="IEI55" s="384"/>
      <c r="IEJ55" s="384"/>
      <c r="IEK55" s="384"/>
      <c r="IEL55" s="384"/>
      <c r="IEM55" s="384"/>
      <c r="IEN55" s="384"/>
      <c r="IEO55" s="384"/>
      <c r="IEP55" s="384"/>
      <c r="IEQ55" s="384"/>
      <c r="IER55" s="384"/>
      <c r="IES55" s="384"/>
      <c r="IET55" s="384"/>
      <c r="IEU55" s="384"/>
      <c r="IEV55" s="384"/>
      <c r="IEW55" s="384"/>
      <c r="IEX55" s="384"/>
      <c r="IEY55" s="384"/>
      <c r="IEZ55" s="384"/>
      <c r="IFA55" s="384"/>
      <c r="IFB55" s="384"/>
      <c r="IFC55" s="384"/>
      <c r="IFD55" s="384"/>
      <c r="IFE55" s="384"/>
      <c r="IFF55" s="384"/>
      <c r="IFG55" s="384"/>
      <c r="IFH55" s="384"/>
      <c r="IFI55" s="384"/>
      <c r="IFJ55" s="384"/>
      <c r="IFK55" s="384"/>
      <c r="IFL55" s="384"/>
      <c r="IFM55" s="384"/>
      <c r="IFN55" s="384"/>
      <c r="IFO55" s="384"/>
      <c r="IFP55" s="384"/>
      <c r="IFQ55" s="384"/>
      <c r="IFR55" s="384"/>
      <c r="IFS55" s="384"/>
      <c r="IFT55" s="384"/>
      <c r="IFU55" s="384"/>
      <c r="IFV55" s="384"/>
      <c r="IFW55" s="384"/>
      <c r="IFX55" s="384"/>
      <c r="IFY55" s="384"/>
      <c r="IFZ55" s="384"/>
      <c r="IGA55" s="384"/>
      <c r="IGB55" s="384"/>
      <c r="IGC55" s="384"/>
      <c r="IGD55" s="384"/>
      <c r="IGE55" s="384"/>
      <c r="IGF55" s="384"/>
      <c r="IGG55" s="384"/>
      <c r="IGH55" s="384"/>
      <c r="IGI55" s="384"/>
      <c r="IGJ55" s="384"/>
      <c r="IGK55" s="384"/>
      <c r="IGL55" s="384"/>
      <c r="IGM55" s="384"/>
      <c r="IGN55" s="384"/>
      <c r="IGO55" s="384"/>
      <c r="IGP55" s="384"/>
      <c r="IGQ55" s="384"/>
      <c r="IGR55" s="384"/>
      <c r="IGS55" s="384"/>
      <c r="IGT55" s="384"/>
      <c r="IGU55" s="384"/>
      <c r="IGV55" s="384"/>
      <c r="IGW55" s="384"/>
      <c r="IGX55" s="384"/>
      <c r="IGY55" s="384"/>
      <c r="IGZ55" s="384"/>
      <c r="IHA55" s="384"/>
      <c r="IHB55" s="384"/>
      <c r="IHC55" s="384"/>
      <c r="IHD55" s="384"/>
      <c r="IHE55" s="384"/>
      <c r="IHF55" s="384"/>
      <c r="IHG55" s="384"/>
      <c r="IHH55" s="384"/>
      <c r="IHI55" s="384"/>
      <c r="IHJ55" s="384"/>
      <c r="IHK55" s="384"/>
      <c r="IHL55" s="384"/>
      <c r="IHM55" s="384"/>
      <c r="IHN55" s="384"/>
      <c r="IHO55" s="384"/>
      <c r="IHP55" s="384"/>
      <c r="IHQ55" s="384"/>
      <c r="IHR55" s="384"/>
      <c r="IHS55" s="384"/>
      <c r="IHT55" s="384"/>
      <c r="IHU55" s="384"/>
      <c r="IHV55" s="384"/>
      <c r="IHW55" s="384"/>
      <c r="IHX55" s="384"/>
      <c r="IHY55" s="384"/>
      <c r="IHZ55" s="384"/>
      <c r="IIA55" s="384"/>
      <c r="IIB55" s="384"/>
      <c r="IIC55" s="384"/>
      <c r="IID55" s="384"/>
      <c r="IIE55" s="384"/>
      <c r="IIF55" s="384"/>
      <c r="IIG55" s="384"/>
      <c r="IIH55" s="384"/>
      <c r="III55" s="384"/>
      <c r="IIJ55" s="384"/>
      <c r="IIK55" s="384"/>
      <c r="IIL55" s="384"/>
      <c r="IIM55" s="384"/>
      <c r="IIN55" s="384"/>
      <c r="IIO55" s="384"/>
      <c r="IIP55" s="384"/>
      <c r="IIQ55" s="384"/>
      <c r="IIR55" s="384"/>
      <c r="IIS55" s="384"/>
      <c r="IIT55" s="384"/>
      <c r="IIU55" s="384"/>
      <c r="IIV55" s="384"/>
      <c r="IIW55" s="384"/>
      <c r="IIX55" s="384"/>
      <c r="IIY55" s="384"/>
      <c r="IIZ55" s="384"/>
      <c r="IJA55" s="384"/>
      <c r="IJB55" s="384"/>
      <c r="IJC55" s="384"/>
      <c r="IJD55" s="384"/>
      <c r="IJE55" s="384"/>
      <c r="IJF55" s="384"/>
      <c r="IJG55" s="384"/>
      <c r="IJH55" s="384"/>
      <c r="IJI55" s="384"/>
      <c r="IJJ55" s="384"/>
      <c r="IJK55" s="384"/>
      <c r="IJL55" s="384"/>
      <c r="IJM55" s="384"/>
      <c r="IJN55" s="384"/>
      <c r="IJO55" s="384"/>
      <c r="IJP55" s="384"/>
      <c r="IJQ55" s="384"/>
      <c r="IJR55" s="384"/>
      <c r="IJS55" s="384"/>
      <c r="IJT55" s="384"/>
      <c r="IJU55" s="384"/>
      <c r="IJV55" s="384"/>
      <c r="IJW55" s="384"/>
      <c r="IJX55" s="384"/>
      <c r="IJY55" s="384"/>
      <c r="IJZ55" s="384"/>
      <c r="IKA55" s="384"/>
      <c r="IKB55" s="384"/>
      <c r="IKC55" s="384"/>
      <c r="IKD55" s="384"/>
      <c r="IKE55" s="384"/>
      <c r="IKF55" s="384"/>
      <c r="IKG55" s="384"/>
      <c r="IKH55" s="384"/>
      <c r="IKI55" s="384"/>
      <c r="IKJ55" s="384"/>
      <c r="IKK55" s="384"/>
      <c r="IKL55" s="384"/>
      <c r="IKM55" s="384"/>
      <c r="IKN55" s="384"/>
      <c r="IKO55" s="384"/>
      <c r="IKP55" s="384"/>
      <c r="IKQ55" s="384"/>
      <c r="IKR55" s="384"/>
      <c r="IKS55" s="384"/>
      <c r="IKT55" s="384"/>
      <c r="IKU55" s="384"/>
      <c r="IKV55" s="384"/>
      <c r="IKW55" s="384"/>
      <c r="IKX55" s="384"/>
      <c r="IKY55" s="384"/>
      <c r="IKZ55" s="384"/>
      <c r="ILA55" s="384"/>
      <c r="ILB55" s="384"/>
      <c r="ILC55" s="384"/>
      <c r="ILD55" s="384"/>
      <c r="ILE55" s="384"/>
      <c r="ILF55" s="384"/>
      <c r="ILG55" s="384"/>
      <c r="ILH55" s="384"/>
      <c r="ILI55" s="384"/>
      <c r="ILJ55" s="384"/>
      <c r="ILK55" s="384"/>
      <c r="ILL55" s="384"/>
      <c r="ILM55" s="384"/>
      <c r="ILN55" s="384"/>
      <c r="ILO55" s="384"/>
      <c r="ILP55" s="384"/>
      <c r="ILQ55" s="384"/>
      <c r="ILR55" s="384"/>
      <c r="ILS55" s="384"/>
      <c r="ILT55" s="384"/>
      <c r="ILU55" s="384"/>
      <c r="ILV55" s="384"/>
      <c r="ILW55" s="384"/>
      <c r="ILX55" s="384"/>
      <c r="ILY55" s="384"/>
      <c r="ILZ55" s="384"/>
      <c r="IMA55" s="384"/>
      <c r="IMB55" s="384"/>
      <c r="IMC55" s="384"/>
      <c r="IMD55" s="384"/>
      <c r="IME55" s="384"/>
      <c r="IMF55" s="384"/>
      <c r="IMG55" s="384"/>
      <c r="IMH55" s="384"/>
      <c r="IMI55" s="384"/>
      <c r="IMJ55" s="384"/>
      <c r="IMK55" s="384"/>
      <c r="IML55" s="384"/>
      <c r="IMM55" s="384"/>
      <c r="IMN55" s="384"/>
      <c r="IMO55" s="384"/>
      <c r="IMP55" s="384"/>
      <c r="IMQ55" s="384"/>
      <c r="IMR55" s="384"/>
      <c r="IMS55" s="384"/>
      <c r="IMT55" s="384"/>
      <c r="IMU55" s="384"/>
      <c r="IMV55" s="384"/>
      <c r="IMW55" s="384"/>
      <c r="IMX55" s="384"/>
      <c r="IMY55" s="384"/>
      <c r="IMZ55" s="384"/>
      <c r="INA55" s="384"/>
      <c r="INB55" s="384"/>
      <c r="INC55" s="384"/>
      <c r="IND55" s="384"/>
      <c r="INE55" s="384"/>
      <c r="INF55" s="384"/>
      <c r="ING55" s="384"/>
      <c r="INH55" s="384"/>
      <c r="INI55" s="384"/>
      <c r="INJ55" s="384"/>
      <c r="INK55" s="384"/>
      <c r="INL55" s="384"/>
      <c r="INM55" s="384"/>
      <c r="INN55" s="384"/>
      <c r="INO55" s="384"/>
      <c r="INP55" s="384"/>
      <c r="INQ55" s="384"/>
      <c r="INR55" s="384"/>
      <c r="INS55" s="384"/>
      <c r="INT55" s="384"/>
      <c r="INU55" s="384"/>
      <c r="INV55" s="384"/>
      <c r="INW55" s="384"/>
      <c r="INX55" s="384"/>
      <c r="INY55" s="384"/>
      <c r="INZ55" s="384"/>
      <c r="IOA55" s="384"/>
      <c r="IOB55" s="384"/>
      <c r="IOC55" s="384"/>
      <c r="IOD55" s="384"/>
      <c r="IOE55" s="384"/>
      <c r="IOF55" s="384"/>
      <c r="IOG55" s="384"/>
      <c r="IOH55" s="384"/>
      <c r="IOI55" s="384"/>
      <c r="IOJ55" s="384"/>
      <c r="IOK55" s="384"/>
      <c r="IOL55" s="384"/>
      <c r="IOM55" s="384"/>
      <c r="ION55" s="384"/>
      <c r="IOO55" s="384"/>
      <c r="IOP55" s="384"/>
      <c r="IOQ55" s="384"/>
      <c r="IOR55" s="384"/>
      <c r="IOS55" s="384"/>
      <c r="IOT55" s="384"/>
      <c r="IOU55" s="384"/>
      <c r="IOV55" s="384"/>
      <c r="IOW55" s="384"/>
      <c r="IOX55" s="384"/>
      <c r="IOY55" s="384"/>
      <c r="IOZ55" s="384"/>
      <c r="IPA55" s="384"/>
      <c r="IPB55" s="384"/>
      <c r="IPC55" s="384"/>
      <c r="IPD55" s="384"/>
      <c r="IPE55" s="384"/>
      <c r="IPF55" s="384"/>
      <c r="IPG55" s="384"/>
      <c r="IPH55" s="384"/>
      <c r="IPI55" s="384"/>
      <c r="IPJ55" s="384"/>
      <c r="IPK55" s="384"/>
      <c r="IPL55" s="384"/>
      <c r="IPM55" s="384"/>
      <c r="IPN55" s="384"/>
      <c r="IPO55" s="384"/>
      <c r="IPP55" s="384"/>
      <c r="IPQ55" s="384"/>
      <c r="IPR55" s="384"/>
      <c r="IPS55" s="384"/>
      <c r="IPT55" s="384"/>
      <c r="IPU55" s="384"/>
      <c r="IPV55" s="384"/>
      <c r="IPW55" s="384"/>
      <c r="IPX55" s="384"/>
      <c r="IPY55" s="384"/>
      <c r="IPZ55" s="384"/>
      <c r="IQA55" s="384"/>
      <c r="IQB55" s="384"/>
      <c r="IQC55" s="384"/>
      <c r="IQD55" s="384"/>
      <c r="IQE55" s="384"/>
      <c r="IQF55" s="384"/>
      <c r="IQG55" s="384"/>
      <c r="IQH55" s="384"/>
      <c r="IQI55" s="384"/>
      <c r="IQJ55" s="384"/>
      <c r="IQK55" s="384"/>
      <c r="IQL55" s="384"/>
      <c r="IQM55" s="384"/>
      <c r="IQN55" s="384"/>
      <c r="IQO55" s="384"/>
      <c r="IQP55" s="384"/>
      <c r="IQQ55" s="384"/>
      <c r="IQR55" s="384"/>
      <c r="IQS55" s="384"/>
      <c r="IQT55" s="384"/>
      <c r="IQU55" s="384"/>
      <c r="IQV55" s="384"/>
      <c r="IQW55" s="384"/>
      <c r="IQX55" s="384"/>
      <c r="IQY55" s="384"/>
      <c r="IQZ55" s="384"/>
      <c r="IRA55" s="384"/>
      <c r="IRB55" s="384"/>
      <c r="IRC55" s="384"/>
      <c r="IRD55" s="384"/>
      <c r="IRE55" s="384"/>
      <c r="IRF55" s="384"/>
      <c r="IRG55" s="384"/>
      <c r="IRH55" s="384"/>
      <c r="IRI55" s="384"/>
      <c r="IRJ55" s="384"/>
      <c r="IRK55" s="384"/>
      <c r="IRL55" s="384"/>
      <c r="IRM55" s="384"/>
      <c r="IRN55" s="384"/>
      <c r="IRO55" s="384"/>
      <c r="IRP55" s="384"/>
      <c r="IRQ55" s="384"/>
      <c r="IRR55" s="384"/>
      <c r="IRS55" s="384"/>
      <c r="IRT55" s="384"/>
      <c r="IRU55" s="384"/>
      <c r="IRV55" s="384"/>
      <c r="IRW55" s="384"/>
      <c r="IRX55" s="384"/>
      <c r="IRY55" s="384"/>
      <c r="IRZ55" s="384"/>
      <c r="ISA55" s="384"/>
      <c r="ISB55" s="384"/>
      <c r="ISC55" s="384"/>
      <c r="ISD55" s="384"/>
      <c r="ISE55" s="384"/>
      <c r="ISF55" s="384"/>
      <c r="ISG55" s="384"/>
      <c r="ISH55" s="384"/>
      <c r="ISI55" s="384"/>
      <c r="ISJ55" s="384"/>
      <c r="ISK55" s="384"/>
      <c r="ISL55" s="384"/>
      <c r="ISM55" s="384"/>
      <c r="ISN55" s="384"/>
      <c r="ISO55" s="384"/>
      <c r="ISP55" s="384"/>
      <c r="ISQ55" s="384"/>
      <c r="ISR55" s="384"/>
      <c r="ISS55" s="384"/>
      <c r="IST55" s="384"/>
      <c r="ISU55" s="384"/>
      <c r="ISV55" s="384"/>
      <c r="ISW55" s="384"/>
      <c r="ISX55" s="384"/>
      <c r="ISY55" s="384"/>
      <c r="ISZ55" s="384"/>
      <c r="ITA55" s="384"/>
      <c r="ITB55" s="384"/>
      <c r="ITC55" s="384"/>
      <c r="ITD55" s="384"/>
      <c r="ITE55" s="384"/>
      <c r="ITF55" s="384"/>
      <c r="ITG55" s="384"/>
      <c r="ITH55" s="384"/>
      <c r="ITI55" s="384"/>
      <c r="ITJ55" s="384"/>
      <c r="ITK55" s="384"/>
      <c r="ITL55" s="384"/>
      <c r="ITM55" s="384"/>
      <c r="ITN55" s="384"/>
      <c r="ITO55" s="384"/>
      <c r="ITP55" s="384"/>
      <c r="ITQ55" s="384"/>
      <c r="ITR55" s="384"/>
      <c r="ITS55" s="384"/>
      <c r="ITT55" s="384"/>
      <c r="ITU55" s="384"/>
      <c r="ITV55" s="384"/>
      <c r="ITW55" s="384"/>
      <c r="ITX55" s="384"/>
      <c r="ITY55" s="384"/>
      <c r="ITZ55" s="384"/>
      <c r="IUA55" s="384"/>
      <c r="IUB55" s="384"/>
      <c r="IUC55" s="384"/>
      <c r="IUD55" s="384"/>
      <c r="IUE55" s="384"/>
      <c r="IUF55" s="384"/>
      <c r="IUG55" s="384"/>
      <c r="IUH55" s="384"/>
      <c r="IUI55" s="384"/>
      <c r="IUJ55" s="384"/>
      <c r="IUK55" s="384"/>
      <c r="IUL55" s="384"/>
      <c r="IUM55" s="384"/>
      <c r="IUN55" s="384"/>
      <c r="IUO55" s="384"/>
      <c r="IUP55" s="384"/>
      <c r="IUQ55" s="384"/>
      <c r="IUR55" s="384"/>
      <c r="IUS55" s="384"/>
      <c r="IUT55" s="384"/>
      <c r="IUU55" s="384"/>
      <c r="IUV55" s="384"/>
      <c r="IUW55" s="384"/>
      <c r="IUX55" s="384"/>
      <c r="IUY55" s="384"/>
      <c r="IUZ55" s="384"/>
      <c r="IVA55" s="384"/>
      <c r="IVB55" s="384"/>
      <c r="IVC55" s="384"/>
      <c r="IVD55" s="384"/>
      <c r="IVE55" s="384"/>
      <c r="IVF55" s="384"/>
      <c r="IVG55" s="384"/>
      <c r="IVH55" s="384"/>
      <c r="IVI55" s="384"/>
      <c r="IVJ55" s="384"/>
      <c r="IVK55" s="384"/>
      <c r="IVL55" s="384"/>
      <c r="IVM55" s="384"/>
      <c r="IVN55" s="384"/>
      <c r="IVO55" s="384"/>
      <c r="IVP55" s="384"/>
      <c r="IVQ55" s="384"/>
      <c r="IVR55" s="384"/>
      <c r="IVS55" s="384"/>
      <c r="IVT55" s="384"/>
      <c r="IVU55" s="384"/>
      <c r="IVV55" s="384"/>
      <c r="IVW55" s="384"/>
      <c r="IVX55" s="384"/>
      <c r="IVY55" s="384"/>
      <c r="IVZ55" s="384"/>
      <c r="IWA55" s="384"/>
      <c r="IWB55" s="384"/>
      <c r="IWC55" s="384"/>
      <c r="IWD55" s="384"/>
      <c r="IWE55" s="384"/>
      <c r="IWF55" s="384"/>
      <c r="IWG55" s="384"/>
      <c r="IWH55" s="384"/>
      <c r="IWI55" s="384"/>
      <c r="IWJ55" s="384"/>
      <c r="IWK55" s="384"/>
      <c r="IWL55" s="384"/>
      <c r="IWM55" s="384"/>
      <c r="IWN55" s="384"/>
      <c r="IWO55" s="384"/>
      <c r="IWP55" s="384"/>
      <c r="IWQ55" s="384"/>
      <c r="IWR55" s="384"/>
      <c r="IWS55" s="384"/>
      <c r="IWT55" s="384"/>
      <c r="IWU55" s="384"/>
      <c r="IWV55" s="384"/>
      <c r="IWW55" s="384"/>
      <c r="IWX55" s="384"/>
      <c r="IWY55" s="384"/>
      <c r="IWZ55" s="384"/>
      <c r="IXA55" s="384"/>
      <c r="IXB55" s="384"/>
      <c r="IXC55" s="384"/>
      <c r="IXD55" s="384"/>
      <c r="IXE55" s="384"/>
      <c r="IXF55" s="384"/>
      <c r="IXG55" s="384"/>
      <c r="IXH55" s="384"/>
      <c r="IXI55" s="384"/>
      <c r="IXJ55" s="384"/>
      <c r="IXK55" s="384"/>
      <c r="IXL55" s="384"/>
      <c r="IXM55" s="384"/>
      <c r="IXN55" s="384"/>
      <c r="IXO55" s="384"/>
      <c r="IXP55" s="384"/>
      <c r="IXQ55" s="384"/>
      <c r="IXR55" s="384"/>
      <c r="IXS55" s="384"/>
      <c r="IXT55" s="384"/>
      <c r="IXU55" s="384"/>
      <c r="IXV55" s="384"/>
      <c r="IXW55" s="384"/>
      <c r="IXX55" s="384"/>
      <c r="IXY55" s="384"/>
      <c r="IXZ55" s="384"/>
      <c r="IYA55" s="384"/>
      <c r="IYB55" s="384"/>
      <c r="IYC55" s="384"/>
      <c r="IYD55" s="384"/>
      <c r="IYE55" s="384"/>
      <c r="IYF55" s="384"/>
      <c r="IYG55" s="384"/>
      <c r="IYH55" s="384"/>
      <c r="IYI55" s="384"/>
      <c r="IYJ55" s="384"/>
      <c r="IYK55" s="384"/>
      <c r="IYL55" s="384"/>
      <c r="IYM55" s="384"/>
      <c r="IYN55" s="384"/>
      <c r="IYO55" s="384"/>
      <c r="IYP55" s="384"/>
      <c r="IYQ55" s="384"/>
      <c r="IYR55" s="384"/>
      <c r="IYS55" s="384"/>
      <c r="IYT55" s="384"/>
      <c r="IYU55" s="384"/>
      <c r="IYV55" s="384"/>
      <c r="IYW55" s="384"/>
      <c r="IYX55" s="384"/>
      <c r="IYY55" s="384"/>
      <c r="IYZ55" s="384"/>
      <c r="IZA55" s="384"/>
      <c r="IZB55" s="384"/>
      <c r="IZC55" s="384"/>
      <c r="IZD55" s="384"/>
      <c r="IZE55" s="384"/>
      <c r="IZF55" s="384"/>
      <c r="IZG55" s="384"/>
      <c r="IZH55" s="384"/>
      <c r="IZI55" s="384"/>
      <c r="IZJ55" s="384"/>
      <c r="IZK55" s="384"/>
      <c r="IZL55" s="384"/>
      <c r="IZM55" s="384"/>
      <c r="IZN55" s="384"/>
      <c r="IZO55" s="384"/>
      <c r="IZP55" s="384"/>
      <c r="IZQ55" s="384"/>
      <c r="IZR55" s="384"/>
      <c r="IZS55" s="384"/>
      <c r="IZT55" s="384"/>
      <c r="IZU55" s="384"/>
      <c r="IZV55" s="384"/>
      <c r="IZW55" s="384"/>
      <c r="IZX55" s="384"/>
      <c r="IZY55" s="384"/>
      <c r="IZZ55" s="384"/>
      <c r="JAA55" s="384"/>
      <c r="JAB55" s="384"/>
      <c r="JAC55" s="384"/>
      <c r="JAD55" s="384"/>
      <c r="JAE55" s="384"/>
      <c r="JAF55" s="384"/>
      <c r="JAG55" s="384"/>
      <c r="JAH55" s="384"/>
      <c r="JAI55" s="384"/>
      <c r="JAJ55" s="384"/>
      <c r="JAK55" s="384"/>
      <c r="JAL55" s="384"/>
      <c r="JAM55" s="384"/>
      <c r="JAN55" s="384"/>
      <c r="JAO55" s="384"/>
      <c r="JAP55" s="384"/>
      <c r="JAQ55" s="384"/>
      <c r="JAR55" s="384"/>
      <c r="JAS55" s="384"/>
      <c r="JAT55" s="384"/>
      <c r="JAU55" s="384"/>
      <c r="JAV55" s="384"/>
      <c r="JAW55" s="384"/>
      <c r="JAX55" s="384"/>
      <c r="JAY55" s="384"/>
      <c r="JAZ55" s="384"/>
      <c r="JBA55" s="384"/>
      <c r="JBB55" s="384"/>
      <c r="JBC55" s="384"/>
      <c r="JBD55" s="384"/>
      <c r="JBE55" s="384"/>
      <c r="JBF55" s="384"/>
      <c r="JBG55" s="384"/>
      <c r="JBH55" s="384"/>
      <c r="JBI55" s="384"/>
      <c r="JBJ55" s="384"/>
      <c r="JBK55" s="384"/>
      <c r="JBL55" s="384"/>
      <c r="JBM55" s="384"/>
      <c r="JBN55" s="384"/>
      <c r="JBO55" s="384"/>
      <c r="JBP55" s="384"/>
      <c r="JBQ55" s="384"/>
      <c r="JBR55" s="384"/>
      <c r="JBS55" s="384"/>
      <c r="JBT55" s="384"/>
      <c r="JBU55" s="384"/>
      <c r="JBV55" s="384"/>
      <c r="JBW55" s="384"/>
      <c r="JBX55" s="384"/>
      <c r="JBY55" s="384"/>
      <c r="JBZ55" s="384"/>
      <c r="JCA55" s="384"/>
      <c r="JCB55" s="384"/>
      <c r="JCC55" s="384"/>
      <c r="JCD55" s="384"/>
      <c r="JCE55" s="384"/>
      <c r="JCF55" s="384"/>
      <c r="JCG55" s="384"/>
      <c r="JCH55" s="384"/>
      <c r="JCI55" s="384"/>
      <c r="JCJ55" s="384"/>
      <c r="JCK55" s="384"/>
      <c r="JCL55" s="384"/>
      <c r="JCM55" s="384"/>
      <c r="JCN55" s="384"/>
      <c r="JCO55" s="384"/>
      <c r="JCP55" s="384"/>
      <c r="JCQ55" s="384"/>
      <c r="JCR55" s="384"/>
      <c r="JCS55" s="384"/>
      <c r="JCT55" s="384"/>
      <c r="JCU55" s="384"/>
      <c r="JCV55" s="384"/>
      <c r="JCW55" s="384"/>
      <c r="JCX55" s="384"/>
      <c r="JCY55" s="384"/>
      <c r="JCZ55" s="384"/>
      <c r="JDA55" s="384"/>
      <c r="JDB55" s="384"/>
      <c r="JDC55" s="384"/>
      <c r="JDD55" s="384"/>
      <c r="JDE55" s="384"/>
      <c r="JDF55" s="384"/>
      <c r="JDG55" s="384"/>
      <c r="JDH55" s="384"/>
      <c r="JDI55" s="384"/>
      <c r="JDJ55" s="384"/>
      <c r="JDK55" s="384"/>
      <c r="JDL55" s="384"/>
      <c r="JDM55" s="384"/>
      <c r="JDN55" s="384"/>
      <c r="JDO55" s="384"/>
      <c r="JDP55" s="384"/>
      <c r="JDQ55" s="384"/>
      <c r="JDR55" s="384"/>
      <c r="JDS55" s="384"/>
      <c r="JDT55" s="384"/>
      <c r="JDU55" s="384"/>
      <c r="JDV55" s="384"/>
      <c r="JDW55" s="384"/>
      <c r="JDX55" s="384"/>
      <c r="JDY55" s="384"/>
      <c r="JDZ55" s="384"/>
      <c r="JEA55" s="384"/>
      <c r="JEB55" s="384"/>
      <c r="JEC55" s="384"/>
      <c r="JED55" s="384"/>
      <c r="JEE55" s="384"/>
      <c r="JEF55" s="384"/>
      <c r="JEG55" s="384"/>
      <c r="JEH55" s="384"/>
      <c r="JEI55" s="384"/>
      <c r="JEJ55" s="384"/>
      <c r="JEK55" s="384"/>
      <c r="JEL55" s="384"/>
      <c r="JEM55" s="384"/>
      <c r="JEN55" s="384"/>
      <c r="JEO55" s="384"/>
      <c r="JEP55" s="384"/>
      <c r="JEQ55" s="384"/>
      <c r="JER55" s="384"/>
      <c r="JES55" s="384"/>
      <c r="JET55" s="384"/>
      <c r="JEU55" s="384"/>
      <c r="JEV55" s="384"/>
      <c r="JEW55" s="384"/>
      <c r="JEX55" s="384"/>
      <c r="JEY55" s="384"/>
      <c r="JEZ55" s="384"/>
      <c r="JFA55" s="384"/>
      <c r="JFB55" s="384"/>
      <c r="JFC55" s="384"/>
      <c r="JFD55" s="384"/>
      <c r="JFE55" s="384"/>
      <c r="JFF55" s="384"/>
      <c r="JFG55" s="384"/>
      <c r="JFH55" s="384"/>
      <c r="JFI55" s="384"/>
      <c r="JFJ55" s="384"/>
      <c r="JFK55" s="384"/>
      <c r="JFL55" s="384"/>
      <c r="JFM55" s="384"/>
      <c r="JFN55" s="384"/>
      <c r="JFO55" s="384"/>
      <c r="JFP55" s="384"/>
      <c r="JFQ55" s="384"/>
      <c r="JFR55" s="384"/>
      <c r="JFS55" s="384"/>
      <c r="JFT55" s="384"/>
      <c r="JFU55" s="384"/>
      <c r="JFV55" s="384"/>
      <c r="JFW55" s="384"/>
      <c r="JFX55" s="384"/>
      <c r="JFY55" s="384"/>
      <c r="JFZ55" s="384"/>
      <c r="JGA55" s="384"/>
      <c r="JGB55" s="384"/>
      <c r="JGC55" s="384"/>
      <c r="JGD55" s="384"/>
      <c r="JGE55" s="384"/>
      <c r="JGF55" s="384"/>
      <c r="JGG55" s="384"/>
      <c r="JGH55" s="384"/>
      <c r="JGI55" s="384"/>
      <c r="JGJ55" s="384"/>
      <c r="JGK55" s="384"/>
      <c r="JGL55" s="384"/>
      <c r="JGM55" s="384"/>
      <c r="JGN55" s="384"/>
      <c r="JGO55" s="384"/>
      <c r="JGP55" s="384"/>
      <c r="JGQ55" s="384"/>
      <c r="JGR55" s="384"/>
      <c r="JGS55" s="384"/>
      <c r="JGT55" s="384"/>
      <c r="JGU55" s="384"/>
      <c r="JGV55" s="384"/>
      <c r="JGW55" s="384"/>
      <c r="JGX55" s="384"/>
      <c r="JGY55" s="384"/>
      <c r="JGZ55" s="384"/>
      <c r="JHA55" s="384"/>
      <c r="JHB55" s="384"/>
      <c r="JHC55" s="384"/>
      <c r="JHD55" s="384"/>
      <c r="JHE55" s="384"/>
      <c r="JHF55" s="384"/>
      <c r="JHG55" s="384"/>
      <c r="JHH55" s="384"/>
      <c r="JHI55" s="384"/>
      <c r="JHJ55" s="384"/>
      <c r="JHK55" s="384"/>
      <c r="JHL55" s="384"/>
      <c r="JHM55" s="384"/>
      <c r="JHN55" s="384"/>
      <c r="JHO55" s="384"/>
      <c r="JHP55" s="384"/>
      <c r="JHQ55" s="384"/>
      <c r="JHR55" s="384"/>
      <c r="JHS55" s="384"/>
      <c r="JHT55" s="384"/>
      <c r="JHU55" s="384"/>
      <c r="JHV55" s="384"/>
      <c r="JHW55" s="384"/>
      <c r="JHX55" s="384"/>
      <c r="JHY55" s="384"/>
      <c r="JHZ55" s="384"/>
      <c r="JIA55" s="384"/>
      <c r="JIB55" s="384"/>
      <c r="JIC55" s="384"/>
      <c r="JID55" s="384"/>
      <c r="JIE55" s="384"/>
      <c r="JIF55" s="384"/>
      <c r="JIG55" s="384"/>
      <c r="JIH55" s="384"/>
      <c r="JII55" s="384"/>
      <c r="JIJ55" s="384"/>
      <c r="JIK55" s="384"/>
      <c r="JIL55" s="384"/>
      <c r="JIM55" s="384"/>
      <c r="JIN55" s="384"/>
      <c r="JIO55" s="384"/>
      <c r="JIP55" s="384"/>
      <c r="JIQ55" s="384"/>
      <c r="JIR55" s="384"/>
      <c r="JIS55" s="384"/>
      <c r="JIT55" s="384"/>
      <c r="JIU55" s="384"/>
      <c r="JIV55" s="384"/>
      <c r="JIW55" s="384"/>
      <c r="JIX55" s="384"/>
      <c r="JIY55" s="384"/>
      <c r="JIZ55" s="384"/>
      <c r="JJA55" s="384"/>
      <c r="JJB55" s="384"/>
      <c r="JJC55" s="384"/>
      <c r="JJD55" s="384"/>
      <c r="JJE55" s="384"/>
      <c r="JJF55" s="384"/>
      <c r="JJG55" s="384"/>
      <c r="JJH55" s="384"/>
      <c r="JJI55" s="384"/>
      <c r="JJJ55" s="384"/>
      <c r="JJK55" s="384"/>
      <c r="JJL55" s="384"/>
      <c r="JJM55" s="384"/>
      <c r="JJN55" s="384"/>
      <c r="JJO55" s="384"/>
      <c r="JJP55" s="384"/>
      <c r="JJQ55" s="384"/>
      <c r="JJR55" s="384"/>
      <c r="JJS55" s="384"/>
      <c r="JJT55" s="384"/>
      <c r="JJU55" s="384"/>
      <c r="JJV55" s="384"/>
      <c r="JJW55" s="384"/>
      <c r="JJX55" s="384"/>
      <c r="JJY55" s="384"/>
      <c r="JJZ55" s="384"/>
      <c r="JKA55" s="384"/>
      <c r="JKB55" s="384"/>
      <c r="JKC55" s="384"/>
      <c r="JKD55" s="384"/>
      <c r="JKE55" s="384"/>
      <c r="JKF55" s="384"/>
      <c r="JKG55" s="384"/>
      <c r="JKH55" s="384"/>
      <c r="JKI55" s="384"/>
      <c r="JKJ55" s="384"/>
      <c r="JKK55" s="384"/>
      <c r="JKL55" s="384"/>
      <c r="JKM55" s="384"/>
      <c r="JKN55" s="384"/>
      <c r="JKO55" s="384"/>
      <c r="JKP55" s="384"/>
      <c r="JKQ55" s="384"/>
      <c r="JKR55" s="384"/>
      <c r="JKS55" s="384"/>
      <c r="JKT55" s="384"/>
      <c r="JKU55" s="384"/>
      <c r="JKV55" s="384"/>
      <c r="JKW55" s="384"/>
      <c r="JKX55" s="384"/>
      <c r="JKY55" s="384"/>
      <c r="JKZ55" s="384"/>
      <c r="JLA55" s="384"/>
      <c r="JLB55" s="384"/>
      <c r="JLC55" s="384"/>
      <c r="JLD55" s="384"/>
      <c r="JLE55" s="384"/>
      <c r="JLF55" s="384"/>
      <c r="JLG55" s="384"/>
      <c r="JLH55" s="384"/>
      <c r="JLI55" s="384"/>
      <c r="JLJ55" s="384"/>
      <c r="JLK55" s="384"/>
      <c r="JLL55" s="384"/>
      <c r="JLM55" s="384"/>
      <c r="JLN55" s="384"/>
      <c r="JLO55" s="384"/>
      <c r="JLP55" s="384"/>
      <c r="JLQ55" s="384"/>
      <c r="JLR55" s="384"/>
      <c r="JLS55" s="384"/>
      <c r="JLT55" s="384"/>
      <c r="JLU55" s="384"/>
      <c r="JLV55" s="384"/>
      <c r="JLW55" s="384"/>
      <c r="JLX55" s="384"/>
      <c r="JLY55" s="384"/>
      <c r="JLZ55" s="384"/>
      <c r="JMA55" s="384"/>
      <c r="JMB55" s="384"/>
      <c r="JMC55" s="384"/>
      <c r="JMD55" s="384"/>
      <c r="JME55" s="384"/>
      <c r="JMF55" s="384"/>
      <c r="JMG55" s="384"/>
      <c r="JMH55" s="384"/>
      <c r="JMI55" s="384"/>
      <c r="JMJ55" s="384"/>
      <c r="JMK55" s="384"/>
      <c r="JML55" s="384"/>
      <c r="JMM55" s="384"/>
      <c r="JMN55" s="384"/>
      <c r="JMO55" s="384"/>
      <c r="JMP55" s="384"/>
      <c r="JMQ55" s="384"/>
      <c r="JMR55" s="384"/>
      <c r="JMS55" s="384"/>
      <c r="JMT55" s="384"/>
      <c r="JMU55" s="384"/>
      <c r="JMV55" s="384"/>
      <c r="JMW55" s="384"/>
      <c r="JMX55" s="384"/>
      <c r="JMY55" s="384"/>
      <c r="JMZ55" s="384"/>
      <c r="JNA55" s="384"/>
      <c r="JNB55" s="384"/>
      <c r="JNC55" s="384"/>
      <c r="JND55" s="384"/>
      <c r="JNE55" s="384"/>
      <c r="JNF55" s="384"/>
      <c r="JNG55" s="384"/>
      <c r="JNH55" s="384"/>
      <c r="JNI55" s="384"/>
      <c r="JNJ55" s="384"/>
      <c r="JNK55" s="384"/>
      <c r="JNL55" s="384"/>
      <c r="JNM55" s="384"/>
      <c r="JNN55" s="384"/>
      <c r="JNO55" s="384"/>
      <c r="JNP55" s="384"/>
      <c r="JNQ55" s="384"/>
      <c r="JNR55" s="384"/>
      <c r="JNS55" s="384"/>
      <c r="JNT55" s="384"/>
      <c r="JNU55" s="384"/>
      <c r="JNV55" s="384"/>
      <c r="JNW55" s="384"/>
      <c r="JNX55" s="384"/>
      <c r="JNY55" s="384"/>
      <c r="JNZ55" s="384"/>
      <c r="JOA55" s="384"/>
      <c r="JOB55" s="384"/>
      <c r="JOC55" s="384"/>
      <c r="JOD55" s="384"/>
      <c r="JOE55" s="384"/>
      <c r="JOF55" s="384"/>
      <c r="JOG55" s="384"/>
      <c r="JOH55" s="384"/>
      <c r="JOI55" s="384"/>
      <c r="JOJ55" s="384"/>
      <c r="JOK55" s="384"/>
      <c r="JOL55" s="384"/>
      <c r="JOM55" s="384"/>
      <c r="JON55" s="384"/>
      <c r="JOO55" s="384"/>
      <c r="JOP55" s="384"/>
      <c r="JOQ55" s="384"/>
      <c r="JOR55" s="384"/>
      <c r="JOS55" s="384"/>
      <c r="JOT55" s="384"/>
      <c r="JOU55" s="384"/>
      <c r="JOV55" s="384"/>
      <c r="JOW55" s="384"/>
      <c r="JOX55" s="384"/>
      <c r="JOY55" s="384"/>
      <c r="JOZ55" s="384"/>
      <c r="JPA55" s="384"/>
      <c r="JPB55" s="384"/>
      <c r="JPC55" s="384"/>
      <c r="JPD55" s="384"/>
      <c r="JPE55" s="384"/>
      <c r="JPF55" s="384"/>
      <c r="JPG55" s="384"/>
      <c r="JPH55" s="384"/>
      <c r="JPI55" s="384"/>
      <c r="JPJ55" s="384"/>
      <c r="JPK55" s="384"/>
      <c r="JPL55" s="384"/>
      <c r="JPM55" s="384"/>
      <c r="JPN55" s="384"/>
      <c r="JPO55" s="384"/>
      <c r="JPP55" s="384"/>
      <c r="JPQ55" s="384"/>
      <c r="JPR55" s="384"/>
      <c r="JPS55" s="384"/>
      <c r="JPT55" s="384"/>
      <c r="JPU55" s="384"/>
      <c r="JPV55" s="384"/>
      <c r="JPW55" s="384"/>
      <c r="JPX55" s="384"/>
      <c r="JPY55" s="384"/>
      <c r="JPZ55" s="384"/>
      <c r="JQA55" s="384"/>
      <c r="JQB55" s="384"/>
      <c r="JQC55" s="384"/>
      <c r="JQD55" s="384"/>
      <c r="JQE55" s="384"/>
      <c r="JQF55" s="384"/>
      <c r="JQG55" s="384"/>
      <c r="JQH55" s="384"/>
      <c r="JQI55" s="384"/>
      <c r="JQJ55" s="384"/>
      <c r="JQK55" s="384"/>
      <c r="JQL55" s="384"/>
      <c r="JQM55" s="384"/>
      <c r="JQN55" s="384"/>
      <c r="JQO55" s="384"/>
      <c r="JQP55" s="384"/>
      <c r="JQQ55" s="384"/>
      <c r="JQR55" s="384"/>
      <c r="JQS55" s="384"/>
      <c r="JQT55" s="384"/>
      <c r="JQU55" s="384"/>
      <c r="JQV55" s="384"/>
      <c r="JQW55" s="384"/>
      <c r="JQX55" s="384"/>
      <c r="JQY55" s="384"/>
      <c r="JQZ55" s="384"/>
      <c r="JRA55" s="384"/>
      <c r="JRB55" s="384"/>
      <c r="JRC55" s="384"/>
      <c r="JRD55" s="384"/>
      <c r="JRE55" s="384"/>
      <c r="JRF55" s="384"/>
      <c r="JRG55" s="384"/>
      <c r="JRH55" s="384"/>
      <c r="JRI55" s="384"/>
      <c r="JRJ55" s="384"/>
      <c r="JRK55" s="384"/>
      <c r="JRL55" s="384"/>
      <c r="JRM55" s="384"/>
      <c r="JRN55" s="384"/>
      <c r="JRO55" s="384"/>
      <c r="JRP55" s="384"/>
      <c r="JRQ55" s="384"/>
      <c r="JRR55" s="384"/>
      <c r="JRS55" s="384"/>
      <c r="JRT55" s="384"/>
      <c r="JRU55" s="384"/>
      <c r="JRV55" s="384"/>
      <c r="JRW55" s="384"/>
      <c r="JRX55" s="384"/>
      <c r="JRY55" s="384"/>
      <c r="JRZ55" s="384"/>
      <c r="JSA55" s="384"/>
      <c r="JSB55" s="384"/>
      <c r="JSC55" s="384"/>
      <c r="JSD55" s="384"/>
      <c r="JSE55" s="384"/>
      <c r="JSF55" s="384"/>
      <c r="JSG55" s="384"/>
      <c r="JSH55" s="384"/>
      <c r="JSI55" s="384"/>
      <c r="JSJ55" s="384"/>
      <c r="JSK55" s="384"/>
      <c r="JSL55" s="384"/>
      <c r="JSM55" s="384"/>
      <c r="JSN55" s="384"/>
      <c r="JSO55" s="384"/>
      <c r="JSP55" s="384"/>
      <c r="JSQ55" s="384"/>
      <c r="JSR55" s="384"/>
      <c r="JSS55" s="384"/>
      <c r="JST55" s="384"/>
      <c r="JSU55" s="384"/>
      <c r="JSV55" s="384"/>
      <c r="JSW55" s="384"/>
      <c r="JSX55" s="384"/>
      <c r="JSY55" s="384"/>
      <c r="JSZ55" s="384"/>
      <c r="JTA55" s="384"/>
      <c r="JTB55" s="384"/>
      <c r="JTC55" s="384"/>
      <c r="JTD55" s="384"/>
      <c r="JTE55" s="384"/>
      <c r="JTF55" s="384"/>
      <c r="JTG55" s="384"/>
      <c r="JTH55" s="384"/>
      <c r="JTI55" s="384"/>
      <c r="JTJ55" s="384"/>
      <c r="JTK55" s="384"/>
      <c r="JTL55" s="384"/>
      <c r="JTM55" s="384"/>
      <c r="JTN55" s="384"/>
      <c r="JTO55" s="384"/>
      <c r="JTP55" s="384"/>
      <c r="JTQ55" s="384"/>
      <c r="JTR55" s="384"/>
      <c r="JTS55" s="384"/>
      <c r="JTT55" s="384"/>
      <c r="JTU55" s="384"/>
      <c r="JTV55" s="384"/>
      <c r="JTW55" s="384"/>
      <c r="JTX55" s="384"/>
      <c r="JTY55" s="384"/>
      <c r="JTZ55" s="384"/>
      <c r="JUA55" s="384"/>
      <c r="JUB55" s="384"/>
      <c r="JUC55" s="384"/>
      <c r="JUD55" s="384"/>
      <c r="JUE55" s="384"/>
      <c r="JUF55" s="384"/>
      <c r="JUG55" s="384"/>
      <c r="JUH55" s="384"/>
      <c r="JUI55" s="384"/>
      <c r="JUJ55" s="384"/>
      <c r="JUK55" s="384"/>
      <c r="JUL55" s="384"/>
      <c r="JUM55" s="384"/>
      <c r="JUN55" s="384"/>
      <c r="JUO55" s="384"/>
      <c r="JUP55" s="384"/>
      <c r="JUQ55" s="384"/>
      <c r="JUR55" s="384"/>
      <c r="JUS55" s="384"/>
      <c r="JUT55" s="384"/>
      <c r="JUU55" s="384"/>
      <c r="JUV55" s="384"/>
      <c r="JUW55" s="384"/>
      <c r="JUX55" s="384"/>
      <c r="JUY55" s="384"/>
      <c r="JUZ55" s="384"/>
      <c r="JVA55" s="384"/>
      <c r="JVB55" s="384"/>
      <c r="JVC55" s="384"/>
      <c r="JVD55" s="384"/>
      <c r="JVE55" s="384"/>
      <c r="JVF55" s="384"/>
      <c r="JVG55" s="384"/>
      <c r="JVH55" s="384"/>
      <c r="JVI55" s="384"/>
      <c r="JVJ55" s="384"/>
      <c r="JVK55" s="384"/>
      <c r="JVL55" s="384"/>
      <c r="JVM55" s="384"/>
      <c r="JVN55" s="384"/>
      <c r="JVO55" s="384"/>
      <c r="JVP55" s="384"/>
      <c r="JVQ55" s="384"/>
      <c r="JVR55" s="384"/>
      <c r="JVS55" s="384"/>
      <c r="JVT55" s="384"/>
      <c r="JVU55" s="384"/>
      <c r="JVV55" s="384"/>
      <c r="JVW55" s="384"/>
      <c r="JVX55" s="384"/>
      <c r="JVY55" s="384"/>
      <c r="JVZ55" s="384"/>
      <c r="JWA55" s="384"/>
      <c r="JWB55" s="384"/>
      <c r="JWC55" s="384"/>
      <c r="JWD55" s="384"/>
      <c r="JWE55" s="384"/>
      <c r="JWF55" s="384"/>
      <c r="JWG55" s="384"/>
      <c r="JWH55" s="384"/>
      <c r="JWI55" s="384"/>
      <c r="JWJ55" s="384"/>
      <c r="JWK55" s="384"/>
      <c r="JWL55" s="384"/>
      <c r="JWM55" s="384"/>
      <c r="JWN55" s="384"/>
      <c r="JWO55" s="384"/>
      <c r="JWP55" s="384"/>
      <c r="JWQ55" s="384"/>
      <c r="JWR55" s="384"/>
      <c r="JWS55" s="384"/>
      <c r="JWT55" s="384"/>
      <c r="JWU55" s="384"/>
      <c r="JWV55" s="384"/>
      <c r="JWW55" s="384"/>
      <c r="JWX55" s="384"/>
      <c r="JWY55" s="384"/>
      <c r="JWZ55" s="384"/>
      <c r="JXA55" s="384"/>
      <c r="JXB55" s="384"/>
      <c r="JXC55" s="384"/>
      <c r="JXD55" s="384"/>
      <c r="JXE55" s="384"/>
      <c r="JXF55" s="384"/>
      <c r="JXG55" s="384"/>
      <c r="JXH55" s="384"/>
      <c r="JXI55" s="384"/>
      <c r="JXJ55" s="384"/>
      <c r="JXK55" s="384"/>
      <c r="JXL55" s="384"/>
      <c r="JXM55" s="384"/>
      <c r="JXN55" s="384"/>
      <c r="JXO55" s="384"/>
      <c r="JXP55" s="384"/>
      <c r="JXQ55" s="384"/>
      <c r="JXR55" s="384"/>
      <c r="JXS55" s="384"/>
      <c r="JXT55" s="384"/>
      <c r="JXU55" s="384"/>
      <c r="JXV55" s="384"/>
      <c r="JXW55" s="384"/>
      <c r="JXX55" s="384"/>
      <c r="JXY55" s="384"/>
      <c r="JXZ55" s="384"/>
      <c r="JYA55" s="384"/>
      <c r="JYB55" s="384"/>
      <c r="JYC55" s="384"/>
      <c r="JYD55" s="384"/>
      <c r="JYE55" s="384"/>
      <c r="JYF55" s="384"/>
      <c r="JYG55" s="384"/>
      <c r="JYH55" s="384"/>
      <c r="JYI55" s="384"/>
      <c r="JYJ55" s="384"/>
      <c r="JYK55" s="384"/>
      <c r="JYL55" s="384"/>
      <c r="JYM55" s="384"/>
      <c r="JYN55" s="384"/>
      <c r="JYO55" s="384"/>
      <c r="JYP55" s="384"/>
      <c r="JYQ55" s="384"/>
      <c r="JYR55" s="384"/>
      <c r="JYS55" s="384"/>
      <c r="JYT55" s="384"/>
      <c r="JYU55" s="384"/>
      <c r="JYV55" s="384"/>
      <c r="JYW55" s="384"/>
      <c r="JYX55" s="384"/>
      <c r="JYY55" s="384"/>
      <c r="JYZ55" s="384"/>
      <c r="JZA55" s="384"/>
      <c r="JZB55" s="384"/>
      <c r="JZC55" s="384"/>
      <c r="JZD55" s="384"/>
      <c r="JZE55" s="384"/>
      <c r="JZF55" s="384"/>
      <c r="JZG55" s="384"/>
      <c r="JZH55" s="384"/>
      <c r="JZI55" s="384"/>
      <c r="JZJ55" s="384"/>
      <c r="JZK55" s="384"/>
      <c r="JZL55" s="384"/>
      <c r="JZM55" s="384"/>
      <c r="JZN55" s="384"/>
      <c r="JZO55" s="384"/>
      <c r="JZP55" s="384"/>
      <c r="JZQ55" s="384"/>
      <c r="JZR55" s="384"/>
      <c r="JZS55" s="384"/>
      <c r="JZT55" s="384"/>
      <c r="JZU55" s="384"/>
      <c r="JZV55" s="384"/>
      <c r="JZW55" s="384"/>
      <c r="JZX55" s="384"/>
      <c r="JZY55" s="384"/>
      <c r="JZZ55" s="384"/>
      <c r="KAA55" s="384"/>
      <c r="KAB55" s="384"/>
      <c r="KAC55" s="384"/>
      <c r="KAD55" s="384"/>
      <c r="KAE55" s="384"/>
      <c r="KAF55" s="384"/>
      <c r="KAG55" s="384"/>
      <c r="KAH55" s="384"/>
      <c r="KAI55" s="384"/>
      <c r="KAJ55" s="384"/>
      <c r="KAK55" s="384"/>
      <c r="KAL55" s="384"/>
      <c r="KAM55" s="384"/>
      <c r="KAN55" s="384"/>
      <c r="KAO55" s="384"/>
      <c r="KAP55" s="384"/>
      <c r="KAQ55" s="384"/>
      <c r="KAR55" s="384"/>
      <c r="KAS55" s="384"/>
      <c r="KAT55" s="384"/>
      <c r="KAU55" s="384"/>
      <c r="KAV55" s="384"/>
      <c r="KAW55" s="384"/>
      <c r="KAX55" s="384"/>
      <c r="KAY55" s="384"/>
      <c r="KAZ55" s="384"/>
      <c r="KBA55" s="384"/>
      <c r="KBB55" s="384"/>
      <c r="KBC55" s="384"/>
      <c r="KBD55" s="384"/>
      <c r="KBE55" s="384"/>
      <c r="KBF55" s="384"/>
      <c r="KBG55" s="384"/>
      <c r="KBH55" s="384"/>
      <c r="KBI55" s="384"/>
      <c r="KBJ55" s="384"/>
      <c r="KBK55" s="384"/>
      <c r="KBL55" s="384"/>
      <c r="KBM55" s="384"/>
      <c r="KBN55" s="384"/>
      <c r="KBO55" s="384"/>
      <c r="KBP55" s="384"/>
      <c r="KBQ55" s="384"/>
      <c r="KBR55" s="384"/>
      <c r="KBS55" s="384"/>
      <c r="KBT55" s="384"/>
      <c r="KBU55" s="384"/>
      <c r="KBV55" s="384"/>
      <c r="KBW55" s="384"/>
      <c r="KBX55" s="384"/>
      <c r="KBY55" s="384"/>
      <c r="KBZ55" s="384"/>
      <c r="KCA55" s="384"/>
      <c r="KCB55" s="384"/>
      <c r="KCC55" s="384"/>
      <c r="KCD55" s="384"/>
      <c r="KCE55" s="384"/>
      <c r="KCF55" s="384"/>
      <c r="KCG55" s="384"/>
      <c r="KCH55" s="384"/>
      <c r="KCI55" s="384"/>
      <c r="KCJ55" s="384"/>
      <c r="KCK55" s="384"/>
      <c r="KCL55" s="384"/>
      <c r="KCM55" s="384"/>
      <c r="KCN55" s="384"/>
      <c r="KCO55" s="384"/>
      <c r="KCP55" s="384"/>
      <c r="KCQ55" s="384"/>
      <c r="KCR55" s="384"/>
      <c r="KCS55" s="384"/>
      <c r="KCT55" s="384"/>
      <c r="KCU55" s="384"/>
      <c r="KCV55" s="384"/>
      <c r="KCW55" s="384"/>
      <c r="KCX55" s="384"/>
      <c r="KCY55" s="384"/>
      <c r="KCZ55" s="384"/>
      <c r="KDA55" s="384"/>
      <c r="KDB55" s="384"/>
      <c r="KDC55" s="384"/>
      <c r="KDD55" s="384"/>
      <c r="KDE55" s="384"/>
      <c r="KDF55" s="384"/>
      <c r="KDG55" s="384"/>
      <c r="KDH55" s="384"/>
      <c r="KDI55" s="384"/>
      <c r="KDJ55" s="384"/>
      <c r="KDK55" s="384"/>
      <c r="KDL55" s="384"/>
      <c r="KDM55" s="384"/>
      <c r="KDN55" s="384"/>
      <c r="KDO55" s="384"/>
      <c r="KDP55" s="384"/>
      <c r="KDQ55" s="384"/>
      <c r="KDR55" s="384"/>
      <c r="KDS55" s="384"/>
      <c r="KDT55" s="384"/>
      <c r="KDU55" s="384"/>
      <c r="KDV55" s="384"/>
      <c r="KDW55" s="384"/>
      <c r="KDX55" s="384"/>
      <c r="KDY55" s="384"/>
      <c r="KDZ55" s="384"/>
      <c r="KEA55" s="384"/>
      <c r="KEB55" s="384"/>
      <c r="KEC55" s="384"/>
      <c r="KED55" s="384"/>
      <c r="KEE55" s="384"/>
      <c r="KEF55" s="384"/>
      <c r="KEG55" s="384"/>
      <c r="KEH55" s="384"/>
      <c r="KEI55" s="384"/>
      <c r="KEJ55" s="384"/>
      <c r="KEK55" s="384"/>
      <c r="KEL55" s="384"/>
      <c r="KEM55" s="384"/>
      <c r="KEN55" s="384"/>
      <c r="KEO55" s="384"/>
      <c r="KEP55" s="384"/>
      <c r="KEQ55" s="384"/>
      <c r="KER55" s="384"/>
      <c r="KES55" s="384"/>
      <c r="KET55" s="384"/>
      <c r="KEU55" s="384"/>
      <c r="KEV55" s="384"/>
      <c r="KEW55" s="384"/>
      <c r="KEX55" s="384"/>
      <c r="KEY55" s="384"/>
      <c r="KEZ55" s="384"/>
      <c r="KFA55" s="384"/>
      <c r="KFB55" s="384"/>
      <c r="KFC55" s="384"/>
      <c r="KFD55" s="384"/>
      <c r="KFE55" s="384"/>
      <c r="KFF55" s="384"/>
      <c r="KFG55" s="384"/>
      <c r="KFH55" s="384"/>
      <c r="KFI55" s="384"/>
      <c r="KFJ55" s="384"/>
      <c r="KFK55" s="384"/>
      <c r="KFL55" s="384"/>
      <c r="KFM55" s="384"/>
      <c r="KFN55" s="384"/>
      <c r="KFO55" s="384"/>
      <c r="KFP55" s="384"/>
      <c r="KFQ55" s="384"/>
      <c r="KFR55" s="384"/>
      <c r="KFS55" s="384"/>
      <c r="KFT55" s="384"/>
      <c r="KFU55" s="384"/>
      <c r="KFV55" s="384"/>
      <c r="KFW55" s="384"/>
      <c r="KFX55" s="384"/>
      <c r="KFY55" s="384"/>
      <c r="KFZ55" s="384"/>
      <c r="KGA55" s="384"/>
      <c r="KGB55" s="384"/>
      <c r="KGC55" s="384"/>
      <c r="KGD55" s="384"/>
      <c r="KGE55" s="384"/>
      <c r="KGF55" s="384"/>
      <c r="KGG55" s="384"/>
      <c r="KGH55" s="384"/>
      <c r="KGI55" s="384"/>
      <c r="KGJ55" s="384"/>
      <c r="KGK55" s="384"/>
      <c r="KGL55" s="384"/>
      <c r="KGM55" s="384"/>
      <c r="KGN55" s="384"/>
      <c r="KGO55" s="384"/>
      <c r="KGP55" s="384"/>
      <c r="KGQ55" s="384"/>
      <c r="KGR55" s="384"/>
      <c r="KGS55" s="384"/>
      <c r="KGT55" s="384"/>
      <c r="KGU55" s="384"/>
      <c r="KGV55" s="384"/>
      <c r="KGW55" s="384"/>
      <c r="KGX55" s="384"/>
      <c r="KGY55" s="384"/>
      <c r="KGZ55" s="384"/>
      <c r="KHA55" s="384"/>
      <c r="KHB55" s="384"/>
      <c r="KHC55" s="384"/>
      <c r="KHD55" s="384"/>
      <c r="KHE55" s="384"/>
      <c r="KHF55" s="384"/>
      <c r="KHG55" s="384"/>
      <c r="KHH55" s="384"/>
      <c r="KHI55" s="384"/>
      <c r="KHJ55" s="384"/>
      <c r="KHK55" s="384"/>
      <c r="KHL55" s="384"/>
      <c r="KHM55" s="384"/>
      <c r="KHN55" s="384"/>
      <c r="KHO55" s="384"/>
      <c r="KHP55" s="384"/>
      <c r="KHQ55" s="384"/>
      <c r="KHR55" s="384"/>
      <c r="KHS55" s="384"/>
      <c r="KHT55" s="384"/>
      <c r="KHU55" s="384"/>
      <c r="KHV55" s="384"/>
      <c r="KHW55" s="384"/>
      <c r="KHX55" s="384"/>
      <c r="KHY55" s="384"/>
      <c r="KHZ55" s="384"/>
      <c r="KIA55" s="384"/>
      <c r="KIB55" s="384"/>
      <c r="KIC55" s="384"/>
      <c r="KID55" s="384"/>
      <c r="KIE55" s="384"/>
      <c r="KIF55" s="384"/>
      <c r="KIG55" s="384"/>
      <c r="KIH55" s="384"/>
      <c r="KII55" s="384"/>
      <c r="KIJ55" s="384"/>
      <c r="KIK55" s="384"/>
      <c r="KIL55" s="384"/>
      <c r="KIM55" s="384"/>
      <c r="KIN55" s="384"/>
      <c r="KIO55" s="384"/>
      <c r="KIP55" s="384"/>
      <c r="KIQ55" s="384"/>
      <c r="KIR55" s="384"/>
      <c r="KIS55" s="384"/>
      <c r="KIT55" s="384"/>
      <c r="KIU55" s="384"/>
      <c r="KIV55" s="384"/>
      <c r="KIW55" s="384"/>
      <c r="KIX55" s="384"/>
      <c r="KIY55" s="384"/>
      <c r="KIZ55" s="384"/>
      <c r="KJA55" s="384"/>
      <c r="KJB55" s="384"/>
      <c r="KJC55" s="384"/>
      <c r="KJD55" s="384"/>
      <c r="KJE55" s="384"/>
      <c r="KJF55" s="384"/>
      <c r="KJG55" s="384"/>
      <c r="KJH55" s="384"/>
      <c r="KJI55" s="384"/>
      <c r="KJJ55" s="384"/>
      <c r="KJK55" s="384"/>
      <c r="KJL55" s="384"/>
      <c r="KJM55" s="384"/>
      <c r="KJN55" s="384"/>
      <c r="KJO55" s="384"/>
      <c r="KJP55" s="384"/>
      <c r="KJQ55" s="384"/>
      <c r="KJR55" s="384"/>
      <c r="KJS55" s="384"/>
      <c r="KJT55" s="384"/>
      <c r="KJU55" s="384"/>
      <c r="KJV55" s="384"/>
      <c r="KJW55" s="384"/>
      <c r="KJX55" s="384"/>
      <c r="KJY55" s="384"/>
      <c r="KJZ55" s="384"/>
      <c r="KKA55" s="384"/>
      <c r="KKB55" s="384"/>
      <c r="KKC55" s="384"/>
      <c r="KKD55" s="384"/>
      <c r="KKE55" s="384"/>
      <c r="KKF55" s="384"/>
      <c r="KKG55" s="384"/>
      <c r="KKH55" s="384"/>
      <c r="KKI55" s="384"/>
      <c r="KKJ55" s="384"/>
      <c r="KKK55" s="384"/>
      <c r="KKL55" s="384"/>
      <c r="KKM55" s="384"/>
      <c r="KKN55" s="384"/>
      <c r="KKO55" s="384"/>
      <c r="KKP55" s="384"/>
      <c r="KKQ55" s="384"/>
      <c r="KKR55" s="384"/>
      <c r="KKS55" s="384"/>
      <c r="KKT55" s="384"/>
      <c r="KKU55" s="384"/>
      <c r="KKV55" s="384"/>
      <c r="KKW55" s="384"/>
      <c r="KKX55" s="384"/>
      <c r="KKY55" s="384"/>
      <c r="KKZ55" s="384"/>
      <c r="KLA55" s="384"/>
      <c r="KLB55" s="384"/>
      <c r="KLC55" s="384"/>
      <c r="KLD55" s="384"/>
      <c r="KLE55" s="384"/>
      <c r="KLF55" s="384"/>
      <c r="KLG55" s="384"/>
      <c r="KLH55" s="384"/>
      <c r="KLI55" s="384"/>
      <c r="KLJ55" s="384"/>
      <c r="KLK55" s="384"/>
      <c r="KLL55" s="384"/>
      <c r="KLM55" s="384"/>
      <c r="KLN55" s="384"/>
      <c r="KLO55" s="384"/>
      <c r="KLP55" s="384"/>
      <c r="KLQ55" s="384"/>
      <c r="KLR55" s="384"/>
      <c r="KLS55" s="384"/>
      <c r="KLT55" s="384"/>
      <c r="KLU55" s="384"/>
      <c r="KLV55" s="384"/>
      <c r="KLW55" s="384"/>
      <c r="KLX55" s="384"/>
      <c r="KLY55" s="384"/>
      <c r="KLZ55" s="384"/>
      <c r="KMA55" s="384"/>
      <c r="KMB55" s="384"/>
      <c r="KMC55" s="384"/>
      <c r="KMD55" s="384"/>
      <c r="KME55" s="384"/>
      <c r="KMF55" s="384"/>
      <c r="KMG55" s="384"/>
      <c r="KMH55" s="384"/>
      <c r="KMI55" s="384"/>
      <c r="KMJ55" s="384"/>
      <c r="KMK55" s="384"/>
      <c r="KML55" s="384"/>
      <c r="KMM55" s="384"/>
      <c r="KMN55" s="384"/>
      <c r="KMO55" s="384"/>
      <c r="KMP55" s="384"/>
      <c r="KMQ55" s="384"/>
      <c r="KMR55" s="384"/>
      <c r="KMS55" s="384"/>
      <c r="KMT55" s="384"/>
      <c r="KMU55" s="384"/>
      <c r="KMV55" s="384"/>
      <c r="KMW55" s="384"/>
      <c r="KMX55" s="384"/>
      <c r="KMY55" s="384"/>
      <c r="KMZ55" s="384"/>
      <c r="KNA55" s="384"/>
      <c r="KNB55" s="384"/>
      <c r="KNC55" s="384"/>
      <c r="KND55" s="384"/>
      <c r="KNE55" s="384"/>
      <c r="KNF55" s="384"/>
      <c r="KNG55" s="384"/>
      <c r="KNH55" s="384"/>
      <c r="KNI55" s="384"/>
      <c r="KNJ55" s="384"/>
      <c r="KNK55" s="384"/>
      <c r="KNL55" s="384"/>
      <c r="KNM55" s="384"/>
      <c r="KNN55" s="384"/>
      <c r="KNO55" s="384"/>
      <c r="KNP55" s="384"/>
      <c r="KNQ55" s="384"/>
      <c r="KNR55" s="384"/>
      <c r="KNS55" s="384"/>
      <c r="KNT55" s="384"/>
      <c r="KNU55" s="384"/>
      <c r="KNV55" s="384"/>
      <c r="KNW55" s="384"/>
      <c r="KNX55" s="384"/>
      <c r="KNY55" s="384"/>
      <c r="KNZ55" s="384"/>
      <c r="KOA55" s="384"/>
      <c r="KOB55" s="384"/>
      <c r="KOC55" s="384"/>
      <c r="KOD55" s="384"/>
      <c r="KOE55" s="384"/>
      <c r="KOF55" s="384"/>
      <c r="KOG55" s="384"/>
      <c r="KOH55" s="384"/>
      <c r="KOI55" s="384"/>
      <c r="KOJ55" s="384"/>
      <c r="KOK55" s="384"/>
      <c r="KOL55" s="384"/>
      <c r="KOM55" s="384"/>
      <c r="KON55" s="384"/>
      <c r="KOO55" s="384"/>
      <c r="KOP55" s="384"/>
      <c r="KOQ55" s="384"/>
      <c r="KOR55" s="384"/>
      <c r="KOS55" s="384"/>
      <c r="KOT55" s="384"/>
      <c r="KOU55" s="384"/>
      <c r="KOV55" s="384"/>
      <c r="KOW55" s="384"/>
      <c r="KOX55" s="384"/>
      <c r="KOY55" s="384"/>
      <c r="KOZ55" s="384"/>
      <c r="KPA55" s="384"/>
      <c r="KPB55" s="384"/>
      <c r="KPC55" s="384"/>
      <c r="KPD55" s="384"/>
      <c r="KPE55" s="384"/>
      <c r="KPF55" s="384"/>
      <c r="KPG55" s="384"/>
      <c r="KPH55" s="384"/>
      <c r="KPI55" s="384"/>
      <c r="KPJ55" s="384"/>
      <c r="KPK55" s="384"/>
      <c r="KPL55" s="384"/>
      <c r="KPM55" s="384"/>
      <c r="KPN55" s="384"/>
      <c r="KPO55" s="384"/>
      <c r="KPP55" s="384"/>
      <c r="KPQ55" s="384"/>
      <c r="KPR55" s="384"/>
      <c r="KPS55" s="384"/>
      <c r="KPT55" s="384"/>
      <c r="KPU55" s="384"/>
      <c r="KPV55" s="384"/>
      <c r="KPW55" s="384"/>
      <c r="KPX55" s="384"/>
      <c r="KPY55" s="384"/>
      <c r="KPZ55" s="384"/>
      <c r="KQA55" s="384"/>
      <c r="KQB55" s="384"/>
      <c r="KQC55" s="384"/>
      <c r="KQD55" s="384"/>
      <c r="KQE55" s="384"/>
      <c r="KQF55" s="384"/>
      <c r="KQG55" s="384"/>
      <c r="KQH55" s="384"/>
      <c r="KQI55" s="384"/>
      <c r="KQJ55" s="384"/>
      <c r="KQK55" s="384"/>
      <c r="KQL55" s="384"/>
      <c r="KQM55" s="384"/>
      <c r="KQN55" s="384"/>
      <c r="KQO55" s="384"/>
      <c r="KQP55" s="384"/>
      <c r="KQQ55" s="384"/>
      <c r="KQR55" s="384"/>
      <c r="KQS55" s="384"/>
      <c r="KQT55" s="384"/>
      <c r="KQU55" s="384"/>
      <c r="KQV55" s="384"/>
      <c r="KQW55" s="384"/>
      <c r="KQX55" s="384"/>
      <c r="KQY55" s="384"/>
      <c r="KQZ55" s="384"/>
      <c r="KRA55" s="384"/>
      <c r="KRB55" s="384"/>
      <c r="KRC55" s="384"/>
      <c r="KRD55" s="384"/>
      <c r="KRE55" s="384"/>
      <c r="KRF55" s="384"/>
      <c r="KRG55" s="384"/>
      <c r="KRH55" s="384"/>
      <c r="KRI55" s="384"/>
      <c r="KRJ55" s="384"/>
      <c r="KRK55" s="384"/>
      <c r="KRL55" s="384"/>
      <c r="KRM55" s="384"/>
      <c r="KRN55" s="384"/>
      <c r="KRO55" s="384"/>
      <c r="KRP55" s="384"/>
      <c r="KRQ55" s="384"/>
      <c r="KRR55" s="384"/>
      <c r="KRS55" s="384"/>
      <c r="KRT55" s="384"/>
      <c r="KRU55" s="384"/>
      <c r="KRV55" s="384"/>
      <c r="KRW55" s="384"/>
      <c r="KRX55" s="384"/>
      <c r="KRY55" s="384"/>
      <c r="KRZ55" s="384"/>
      <c r="KSA55" s="384"/>
      <c r="KSB55" s="384"/>
      <c r="KSC55" s="384"/>
      <c r="KSD55" s="384"/>
      <c r="KSE55" s="384"/>
      <c r="KSF55" s="384"/>
      <c r="KSG55" s="384"/>
      <c r="KSH55" s="384"/>
      <c r="KSI55" s="384"/>
      <c r="KSJ55" s="384"/>
      <c r="KSK55" s="384"/>
      <c r="KSL55" s="384"/>
      <c r="KSM55" s="384"/>
      <c r="KSN55" s="384"/>
      <c r="KSO55" s="384"/>
      <c r="KSP55" s="384"/>
      <c r="KSQ55" s="384"/>
      <c r="KSR55" s="384"/>
      <c r="KSS55" s="384"/>
      <c r="KST55" s="384"/>
      <c r="KSU55" s="384"/>
      <c r="KSV55" s="384"/>
      <c r="KSW55" s="384"/>
      <c r="KSX55" s="384"/>
      <c r="KSY55" s="384"/>
      <c r="KSZ55" s="384"/>
      <c r="KTA55" s="384"/>
      <c r="KTB55" s="384"/>
      <c r="KTC55" s="384"/>
      <c r="KTD55" s="384"/>
      <c r="KTE55" s="384"/>
      <c r="KTF55" s="384"/>
      <c r="KTG55" s="384"/>
      <c r="KTH55" s="384"/>
      <c r="KTI55" s="384"/>
      <c r="KTJ55" s="384"/>
      <c r="KTK55" s="384"/>
      <c r="KTL55" s="384"/>
      <c r="KTM55" s="384"/>
      <c r="KTN55" s="384"/>
      <c r="KTO55" s="384"/>
      <c r="KTP55" s="384"/>
      <c r="KTQ55" s="384"/>
      <c r="KTR55" s="384"/>
      <c r="KTS55" s="384"/>
      <c r="KTT55" s="384"/>
      <c r="KTU55" s="384"/>
      <c r="KTV55" s="384"/>
      <c r="KTW55" s="384"/>
      <c r="KTX55" s="384"/>
      <c r="KTY55" s="384"/>
      <c r="KTZ55" s="384"/>
      <c r="KUA55" s="384"/>
      <c r="KUB55" s="384"/>
      <c r="KUC55" s="384"/>
      <c r="KUD55" s="384"/>
      <c r="KUE55" s="384"/>
      <c r="KUF55" s="384"/>
      <c r="KUG55" s="384"/>
      <c r="KUH55" s="384"/>
      <c r="KUI55" s="384"/>
      <c r="KUJ55" s="384"/>
      <c r="KUK55" s="384"/>
      <c r="KUL55" s="384"/>
      <c r="KUM55" s="384"/>
      <c r="KUN55" s="384"/>
      <c r="KUO55" s="384"/>
      <c r="KUP55" s="384"/>
      <c r="KUQ55" s="384"/>
      <c r="KUR55" s="384"/>
      <c r="KUS55" s="384"/>
      <c r="KUT55" s="384"/>
      <c r="KUU55" s="384"/>
      <c r="KUV55" s="384"/>
      <c r="KUW55" s="384"/>
      <c r="KUX55" s="384"/>
      <c r="KUY55" s="384"/>
      <c r="KUZ55" s="384"/>
      <c r="KVA55" s="384"/>
      <c r="KVB55" s="384"/>
      <c r="KVC55" s="384"/>
      <c r="KVD55" s="384"/>
      <c r="KVE55" s="384"/>
      <c r="KVF55" s="384"/>
      <c r="KVG55" s="384"/>
      <c r="KVH55" s="384"/>
      <c r="KVI55" s="384"/>
      <c r="KVJ55" s="384"/>
      <c r="KVK55" s="384"/>
      <c r="KVL55" s="384"/>
      <c r="KVM55" s="384"/>
      <c r="KVN55" s="384"/>
      <c r="KVO55" s="384"/>
      <c r="KVP55" s="384"/>
      <c r="KVQ55" s="384"/>
      <c r="KVR55" s="384"/>
      <c r="KVS55" s="384"/>
      <c r="KVT55" s="384"/>
      <c r="KVU55" s="384"/>
      <c r="KVV55" s="384"/>
      <c r="KVW55" s="384"/>
      <c r="KVX55" s="384"/>
      <c r="KVY55" s="384"/>
      <c r="KVZ55" s="384"/>
      <c r="KWA55" s="384"/>
      <c r="KWB55" s="384"/>
      <c r="KWC55" s="384"/>
      <c r="KWD55" s="384"/>
      <c r="KWE55" s="384"/>
      <c r="KWF55" s="384"/>
      <c r="KWG55" s="384"/>
      <c r="KWH55" s="384"/>
      <c r="KWI55" s="384"/>
      <c r="KWJ55" s="384"/>
      <c r="KWK55" s="384"/>
      <c r="KWL55" s="384"/>
      <c r="KWM55" s="384"/>
      <c r="KWN55" s="384"/>
      <c r="KWO55" s="384"/>
      <c r="KWP55" s="384"/>
      <c r="KWQ55" s="384"/>
      <c r="KWR55" s="384"/>
      <c r="KWS55" s="384"/>
      <c r="KWT55" s="384"/>
      <c r="KWU55" s="384"/>
      <c r="KWV55" s="384"/>
      <c r="KWW55" s="384"/>
      <c r="KWX55" s="384"/>
      <c r="KWY55" s="384"/>
      <c r="KWZ55" s="384"/>
      <c r="KXA55" s="384"/>
      <c r="KXB55" s="384"/>
      <c r="KXC55" s="384"/>
      <c r="KXD55" s="384"/>
      <c r="KXE55" s="384"/>
      <c r="KXF55" s="384"/>
      <c r="KXG55" s="384"/>
      <c r="KXH55" s="384"/>
      <c r="KXI55" s="384"/>
      <c r="KXJ55" s="384"/>
      <c r="KXK55" s="384"/>
      <c r="KXL55" s="384"/>
      <c r="KXM55" s="384"/>
      <c r="KXN55" s="384"/>
      <c r="KXO55" s="384"/>
      <c r="KXP55" s="384"/>
      <c r="KXQ55" s="384"/>
      <c r="KXR55" s="384"/>
      <c r="KXS55" s="384"/>
      <c r="KXT55" s="384"/>
      <c r="KXU55" s="384"/>
      <c r="KXV55" s="384"/>
      <c r="KXW55" s="384"/>
      <c r="KXX55" s="384"/>
      <c r="KXY55" s="384"/>
      <c r="KXZ55" s="384"/>
      <c r="KYA55" s="384"/>
      <c r="KYB55" s="384"/>
      <c r="KYC55" s="384"/>
      <c r="KYD55" s="384"/>
      <c r="KYE55" s="384"/>
      <c r="KYF55" s="384"/>
      <c r="KYG55" s="384"/>
      <c r="KYH55" s="384"/>
      <c r="KYI55" s="384"/>
      <c r="KYJ55" s="384"/>
      <c r="KYK55" s="384"/>
      <c r="KYL55" s="384"/>
      <c r="KYM55" s="384"/>
      <c r="KYN55" s="384"/>
      <c r="KYO55" s="384"/>
      <c r="KYP55" s="384"/>
      <c r="KYQ55" s="384"/>
      <c r="KYR55" s="384"/>
      <c r="KYS55" s="384"/>
      <c r="KYT55" s="384"/>
      <c r="KYU55" s="384"/>
      <c r="KYV55" s="384"/>
      <c r="KYW55" s="384"/>
      <c r="KYX55" s="384"/>
      <c r="KYY55" s="384"/>
      <c r="KYZ55" s="384"/>
      <c r="KZA55" s="384"/>
      <c r="KZB55" s="384"/>
      <c r="KZC55" s="384"/>
      <c r="KZD55" s="384"/>
      <c r="KZE55" s="384"/>
      <c r="KZF55" s="384"/>
      <c r="KZG55" s="384"/>
      <c r="KZH55" s="384"/>
      <c r="KZI55" s="384"/>
      <c r="KZJ55" s="384"/>
      <c r="KZK55" s="384"/>
      <c r="KZL55" s="384"/>
      <c r="KZM55" s="384"/>
      <c r="KZN55" s="384"/>
      <c r="KZO55" s="384"/>
      <c r="KZP55" s="384"/>
      <c r="KZQ55" s="384"/>
      <c r="KZR55" s="384"/>
      <c r="KZS55" s="384"/>
      <c r="KZT55" s="384"/>
      <c r="KZU55" s="384"/>
      <c r="KZV55" s="384"/>
      <c r="KZW55" s="384"/>
      <c r="KZX55" s="384"/>
      <c r="KZY55" s="384"/>
      <c r="KZZ55" s="384"/>
      <c r="LAA55" s="384"/>
      <c r="LAB55" s="384"/>
      <c r="LAC55" s="384"/>
      <c r="LAD55" s="384"/>
      <c r="LAE55" s="384"/>
      <c r="LAF55" s="384"/>
      <c r="LAG55" s="384"/>
      <c r="LAH55" s="384"/>
      <c r="LAI55" s="384"/>
      <c r="LAJ55" s="384"/>
      <c r="LAK55" s="384"/>
      <c r="LAL55" s="384"/>
      <c r="LAM55" s="384"/>
      <c r="LAN55" s="384"/>
      <c r="LAO55" s="384"/>
      <c r="LAP55" s="384"/>
      <c r="LAQ55" s="384"/>
      <c r="LAR55" s="384"/>
      <c r="LAS55" s="384"/>
      <c r="LAT55" s="384"/>
      <c r="LAU55" s="384"/>
      <c r="LAV55" s="384"/>
      <c r="LAW55" s="384"/>
      <c r="LAX55" s="384"/>
      <c r="LAY55" s="384"/>
      <c r="LAZ55" s="384"/>
      <c r="LBA55" s="384"/>
      <c r="LBB55" s="384"/>
      <c r="LBC55" s="384"/>
      <c r="LBD55" s="384"/>
      <c r="LBE55" s="384"/>
      <c r="LBF55" s="384"/>
      <c r="LBG55" s="384"/>
      <c r="LBH55" s="384"/>
      <c r="LBI55" s="384"/>
      <c r="LBJ55" s="384"/>
      <c r="LBK55" s="384"/>
      <c r="LBL55" s="384"/>
      <c r="LBM55" s="384"/>
      <c r="LBN55" s="384"/>
      <c r="LBO55" s="384"/>
      <c r="LBP55" s="384"/>
      <c r="LBQ55" s="384"/>
      <c r="LBR55" s="384"/>
      <c r="LBS55" s="384"/>
      <c r="LBT55" s="384"/>
      <c r="LBU55" s="384"/>
      <c r="LBV55" s="384"/>
      <c r="LBW55" s="384"/>
      <c r="LBX55" s="384"/>
      <c r="LBY55" s="384"/>
      <c r="LBZ55" s="384"/>
      <c r="LCA55" s="384"/>
      <c r="LCB55" s="384"/>
      <c r="LCC55" s="384"/>
      <c r="LCD55" s="384"/>
      <c r="LCE55" s="384"/>
      <c r="LCF55" s="384"/>
      <c r="LCG55" s="384"/>
      <c r="LCH55" s="384"/>
      <c r="LCI55" s="384"/>
      <c r="LCJ55" s="384"/>
      <c r="LCK55" s="384"/>
      <c r="LCL55" s="384"/>
      <c r="LCM55" s="384"/>
      <c r="LCN55" s="384"/>
      <c r="LCO55" s="384"/>
      <c r="LCP55" s="384"/>
      <c r="LCQ55" s="384"/>
      <c r="LCR55" s="384"/>
      <c r="LCS55" s="384"/>
      <c r="LCT55" s="384"/>
      <c r="LCU55" s="384"/>
      <c r="LCV55" s="384"/>
      <c r="LCW55" s="384"/>
      <c r="LCX55" s="384"/>
      <c r="LCY55" s="384"/>
      <c r="LCZ55" s="384"/>
      <c r="LDA55" s="384"/>
      <c r="LDB55" s="384"/>
      <c r="LDC55" s="384"/>
      <c r="LDD55" s="384"/>
      <c r="LDE55" s="384"/>
      <c r="LDF55" s="384"/>
      <c r="LDG55" s="384"/>
      <c r="LDH55" s="384"/>
      <c r="LDI55" s="384"/>
      <c r="LDJ55" s="384"/>
      <c r="LDK55" s="384"/>
      <c r="LDL55" s="384"/>
      <c r="LDM55" s="384"/>
      <c r="LDN55" s="384"/>
      <c r="LDO55" s="384"/>
      <c r="LDP55" s="384"/>
      <c r="LDQ55" s="384"/>
      <c r="LDR55" s="384"/>
      <c r="LDS55" s="384"/>
      <c r="LDT55" s="384"/>
      <c r="LDU55" s="384"/>
      <c r="LDV55" s="384"/>
      <c r="LDW55" s="384"/>
      <c r="LDX55" s="384"/>
      <c r="LDY55" s="384"/>
      <c r="LDZ55" s="384"/>
      <c r="LEA55" s="384"/>
      <c r="LEB55" s="384"/>
      <c r="LEC55" s="384"/>
      <c r="LED55" s="384"/>
      <c r="LEE55" s="384"/>
      <c r="LEF55" s="384"/>
      <c r="LEG55" s="384"/>
      <c r="LEH55" s="384"/>
      <c r="LEI55" s="384"/>
      <c r="LEJ55" s="384"/>
      <c r="LEK55" s="384"/>
      <c r="LEL55" s="384"/>
      <c r="LEM55" s="384"/>
      <c r="LEN55" s="384"/>
      <c r="LEO55" s="384"/>
      <c r="LEP55" s="384"/>
      <c r="LEQ55" s="384"/>
      <c r="LER55" s="384"/>
      <c r="LES55" s="384"/>
      <c r="LET55" s="384"/>
      <c r="LEU55" s="384"/>
      <c r="LEV55" s="384"/>
      <c r="LEW55" s="384"/>
      <c r="LEX55" s="384"/>
      <c r="LEY55" s="384"/>
      <c r="LEZ55" s="384"/>
      <c r="LFA55" s="384"/>
      <c r="LFB55" s="384"/>
      <c r="LFC55" s="384"/>
      <c r="LFD55" s="384"/>
      <c r="LFE55" s="384"/>
      <c r="LFF55" s="384"/>
      <c r="LFG55" s="384"/>
      <c r="LFH55" s="384"/>
      <c r="LFI55" s="384"/>
      <c r="LFJ55" s="384"/>
      <c r="LFK55" s="384"/>
      <c r="LFL55" s="384"/>
      <c r="LFM55" s="384"/>
      <c r="LFN55" s="384"/>
      <c r="LFO55" s="384"/>
      <c r="LFP55" s="384"/>
      <c r="LFQ55" s="384"/>
      <c r="LFR55" s="384"/>
      <c r="LFS55" s="384"/>
      <c r="LFT55" s="384"/>
      <c r="LFU55" s="384"/>
      <c r="LFV55" s="384"/>
      <c r="LFW55" s="384"/>
      <c r="LFX55" s="384"/>
      <c r="LFY55" s="384"/>
      <c r="LFZ55" s="384"/>
      <c r="LGA55" s="384"/>
      <c r="LGB55" s="384"/>
      <c r="LGC55" s="384"/>
      <c r="LGD55" s="384"/>
      <c r="LGE55" s="384"/>
      <c r="LGF55" s="384"/>
      <c r="LGG55" s="384"/>
      <c r="LGH55" s="384"/>
      <c r="LGI55" s="384"/>
      <c r="LGJ55" s="384"/>
      <c r="LGK55" s="384"/>
      <c r="LGL55" s="384"/>
      <c r="LGM55" s="384"/>
      <c r="LGN55" s="384"/>
      <c r="LGO55" s="384"/>
      <c r="LGP55" s="384"/>
      <c r="LGQ55" s="384"/>
      <c r="LGR55" s="384"/>
      <c r="LGS55" s="384"/>
      <c r="LGT55" s="384"/>
      <c r="LGU55" s="384"/>
      <c r="LGV55" s="384"/>
      <c r="LGW55" s="384"/>
      <c r="LGX55" s="384"/>
      <c r="LGY55" s="384"/>
      <c r="LGZ55" s="384"/>
      <c r="LHA55" s="384"/>
      <c r="LHB55" s="384"/>
      <c r="LHC55" s="384"/>
      <c r="LHD55" s="384"/>
      <c r="LHE55" s="384"/>
      <c r="LHF55" s="384"/>
      <c r="LHG55" s="384"/>
      <c r="LHH55" s="384"/>
      <c r="LHI55" s="384"/>
      <c r="LHJ55" s="384"/>
      <c r="LHK55" s="384"/>
      <c r="LHL55" s="384"/>
      <c r="LHM55" s="384"/>
      <c r="LHN55" s="384"/>
      <c r="LHO55" s="384"/>
      <c r="LHP55" s="384"/>
      <c r="LHQ55" s="384"/>
      <c r="LHR55" s="384"/>
      <c r="LHS55" s="384"/>
      <c r="LHT55" s="384"/>
      <c r="LHU55" s="384"/>
      <c r="LHV55" s="384"/>
      <c r="LHW55" s="384"/>
      <c r="LHX55" s="384"/>
      <c r="LHY55" s="384"/>
      <c r="LHZ55" s="384"/>
      <c r="LIA55" s="384"/>
      <c r="LIB55" s="384"/>
      <c r="LIC55" s="384"/>
      <c r="LID55" s="384"/>
      <c r="LIE55" s="384"/>
      <c r="LIF55" s="384"/>
      <c r="LIG55" s="384"/>
      <c r="LIH55" s="384"/>
      <c r="LII55" s="384"/>
      <c r="LIJ55" s="384"/>
      <c r="LIK55" s="384"/>
      <c r="LIL55" s="384"/>
      <c r="LIM55" s="384"/>
      <c r="LIN55" s="384"/>
      <c r="LIO55" s="384"/>
      <c r="LIP55" s="384"/>
      <c r="LIQ55" s="384"/>
      <c r="LIR55" s="384"/>
      <c r="LIS55" s="384"/>
      <c r="LIT55" s="384"/>
      <c r="LIU55" s="384"/>
      <c r="LIV55" s="384"/>
      <c r="LIW55" s="384"/>
      <c r="LIX55" s="384"/>
      <c r="LIY55" s="384"/>
      <c r="LIZ55" s="384"/>
      <c r="LJA55" s="384"/>
      <c r="LJB55" s="384"/>
      <c r="LJC55" s="384"/>
      <c r="LJD55" s="384"/>
      <c r="LJE55" s="384"/>
      <c r="LJF55" s="384"/>
      <c r="LJG55" s="384"/>
      <c r="LJH55" s="384"/>
      <c r="LJI55" s="384"/>
      <c r="LJJ55" s="384"/>
      <c r="LJK55" s="384"/>
      <c r="LJL55" s="384"/>
      <c r="LJM55" s="384"/>
      <c r="LJN55" s="384"/>
      <c r="LJO55" s="384"/>
      <c r="LJP55" s="384"/>
      <c r="LJQ55" s="384"/>
      <c r="LJR55" s="384"/>
      <c r="LJS55" s="384"/>
      <c r="LJT55" s="384"/>
      <c r="LJU55" s="384"/>
      <c r="LJV55" s="384"/>
      <c r="LJW55" s="384"/>
      <c r="LJX55" s="384"/>
      <c r="LJY55" s="384"/>
      <c r="LJZ55" s="384"/>
      <c r="LKA55" s="384"/>
      <c r="LKB55" s="384"/>
      <c r="LKC55" s="384"/>
      <c r="LKD55" s="384"/>
      <c r="LKE55" s="384"/>
      <c r="LKF55" s="384"/>
      <c r="LKG55" s="384"/>
      <c r="LKH55" s="384"/>
      <c r="LKI55" s="384"/>
      <c r="LKJ55" s="384"/>
      <c r="LKK55" s="384"/>
      <c r="LKL55" s="384"/>
      <c r="LKM55" s="384"/>
      <c r="LKN55" s="384"/>
      <c r="LKO55" s="384"/>
      <c r="LKP55" s="384"/>
      <c r="LKQ55" s="384"/>
      <c r="LKR55" s="384"/>
      <c r="LKS55" s="384"/>
      <c r="LKT55" s="384"/>
      <c r="LKU55" s="384"/>
      <c r="LKV55" s="384"/>
      <c r="LKW55" s="384"/>
      <c r="LKX55" s="384"/>
      <c r="LKY55" s="384"/>
      <c r="LKZ55" s="384"/>
      <c r="LLA55" s="384"/>
      <c r="LLB55" s="384"/>
      <c r="LLC55" s="384"/>
      <c r="LLD55" s="384"/>
      <c r="LLE55" s="384"/>
      <c r="LLF55" s="384"/>
      <c r="LLG55" s="384"/>
      <c r="LLH55" s="384"/>
      <c r="LLI55" s="384"/>
      <c r="LLJ55" s="384"/>
      <c r="LLK55" s="384"/>
      <c r="LLL55" s="384"/>
      <c r="LLM55" s="384"/>
      <c r="LLN55" s="384"/>
      <c r="LLO55" s="384"/>
      <c r="LLP55" s="384"/>
      <c r="LLQ55" s="384"/>
      <c r="LLR55" s="384"/>
      <c r="LLS55" s="384"/>
      <c r="LLT55" s="384"/>
      <c r="LLU55" s="384"/>
      <c r="LLV55" s="384"/>
      <c r="LLW55" s="384"/>
      <c r="LLX55" s="384"/>
      <c r="LLY55" s="384"/>
      <c r="LLZ55" s="384"/>
      <c r="LMA55" s="384"/>
      <c r="LMB55" s="384"/>
      <c r="LMC55" s="384"/>
      <c r="LMD55" s="384"/>
      <c r="LME55" s="384"/>
      <c r="LMF55" s="384"/>
      <c r="LMG55" s="384"/>
      <c r="LMH55" s="384"/>
      <c r="LMI55" s="384"/>
      <c r="LMJ55" s="384"/>
      <c r="LMK55" s="384"/>
      <c r="LML55" s="384"/>
      <c r="LMM55" s="384"/>
      <c r="LMN55" s="384"/>
      <c r="LMO55" s="384"/>
      <c r="LMP55" s="384"/>
      <c r="LMQ55" s="384"/>
      <c r="LMR55" s="384"/>
      <c r="LMS55" s="384"/>
      <c r="LMT55" s="384"/>
      <c r="LMU55" s="384"/>
      <c r="LMV55" s="384"/>
      <c r="LMW55" s="384"/>
      <c r="LMX55" s="384"/>
      <c r="LMY55" s="384"/>
      <c r="LMZ55" s="384"/>
      <c r="LNA55" s="384"/>
      <c r="LNB55" s="384"/>
      <c r="LNC55" s="384"/>
      <c r="LND55" s="384"/>
      <c r="LNE55" s="384"/>
      <c r="LNF55" s="384"/>
      <c r="LNG55" s="384"/>
      <c r="LNH55" s="384"/>
      <c r="LNI55" s="384"/>
      <c r="LNJ55" s="384"/>
      <c r="LNK55" s="384"/>
      <c r="LNL55" s="384"/>
      <c r="LNM55" s="384"/>
      <c r="LNN55" s="384"/>
      <c r="LNO55" s="384"/>
      <c r="LNP55" s="384"/>
      <c r="LNQ55" s="384"/>
      <c r="LNR55" s="384"/>
      <c r="LNS55" s="384"/>
      <c r="LNT55" s="384"/>
      <c r="LNU55" s="384"/>
      <c r="LNV55" s="384"/>
      <c r="LNW55" s="384"/>
      <c r="LNX55" s="384"/>
      <c r="LNY55" s="384"/>
      <c r="LNZ55" s="384"/>
      <c r="LOA55" s="384"/>
      <c r="LOB55" s="384"/>
      <c r="LOC55" s="384"/>
      <c r="LOD55" s="384"/>
      <c r="LOE55" s="384"/>
      <c r="LOF55" s="384"/>
      <c r="LOG55" s="384"/>
      <c r="LOH55" s="384"/>
      <c r="LOI55" s="384"/>
      <c r="LOJ55" s="384"/>
      <c r="LOK55" s="384"/>
      <c r="LOL55" s="384"/>
      <c r="LOM55" s="384"/>
      <c r="LON55" s="384"/>
      <c r="LOO55" s="384"/>
      <c r="LOP55" s="384"/>
      <c r="LOQ55" s="384"/>
      <c r="LOR55" s="384"/>
      <c r="LOS55" s="384"/>
      <c r="LOT55" s="384"/>
      <c r="LOU55" s="384"/>
      <c r="LOV55" s="384"/>
      <c r="LOW55" s="384"/>
      <c r="LOX55" s="384"/>
      <c r="LOY55" s="384"/>
      <c r="LOZ55" s="384"/>
      <c r="LPA55" s="384"/>
      <c r="LPB55" s="384"/>
      <c r="LPC55" s="384"/>
      <c r="LPD55" s="384"/>
      <c r="LPE55" s="384"/>
      <c r="LPF55" s="384"/>
      <c r="LPG55" s="384"/>
      <c r="LPH55" s="384"/>
      <c r="LPI55" s="384"/>
      <c r="LPJ55" s="384"/>
      <c r="LPK55" s="384"/>
      <c r="LPL55" s="384"/>
      <c r="LPM55" s="384"/>
      <c r="LPN55" s="384"/>
      <c r="LPO55" s="384"/>
      <c r="LPP55" s="384"/>
      <c r="LPQ55" s="384"/>
      <c r="LPR55" s="384"/>
      <c r="LPS55" s="384"/>
      <c r="LPT55" s="384"/>
      <c r="LPU55" s="384"/>
      <c r="LPV55" s="384"/>
      <c r="LPW55" s="384"/>
      <c r="LPX55" s="384"/>
      <c r="LPY55" s="384"/>
      <c r="LPZ55" s="384"/>
      <c r="LQA55" s="384"/>
      <c r="LQB55" s="384"/>
      <c r="LQC55" s="384"/>
      <c r="LQD55" s="384"/>
      <c r="LQE55" s="384"/>
      <c r="LQF55" s="384"/>
      <c r="LQG55" s="384"/>
      <c r="LQH55" s="384"/>
      <c r="LQI55" s="384"/>
      <c r="LQJ55" s="384"/>
      <c r="LQK55" s="384"/>
      <c r="LQL55" s="384"/>
      <c r="LQM55" s="384"/>
      <c r="LQN55" s="384"/>
      <c r="LQO55" s="384"/>
      <c r="LQP55" s="384"/>
      <c r="LQQ55" s="384"/>
      <c r="LQR55" s="384"/>
      <c r="LQS55" s="384"/>
      <c r="LQT55" s="384"/>
      <c r="LQU55" s="384"/>
      <c r="LQV55" s="384"/>
      <c r="LQW55" s="384"/>
      <c r="LQX55" s="384"/>
      <c r="LQY55" s="384"/>
      <c r="LQZ55" s="384"/>
      <c r="LRA55" s="384"/>
      <c r="LRB55" s="384"/>
      <c r="LRC55" s="384"/>
      <c r="LRD55" s="384"/>
      <c r="LRE55" s="384"/>
      <c r="LRF55" s="384"/>
      <c r="LRG55" s="384"/>
      <c r="LRH55" s="384"/>
      <c r="LRI55" s="384"/>
      <c r="LRJ55" s="384"/>
      <c r="LRK55" s="384"/>
      <c r="LRL55" s="384"/>
      <c r="LRM55" s="384"/>
      <c r="LRN55" s="384"/>
      <c r="LRO55" s="384"/>
      <c r="LRP55" s="384"/>
      <c r="LRQ55" s="384"/>
      <c r="LRR55" s="384"/>
      <c r="LRS55" s="384"/>
      <c r="LRT55" s="384"/>
      <c r="LRU55" s="384"/>
      <c r="LRV55" s="384"/>
      <c r="LRW55" s="384"/>
      <c r="LRX55" s="384"/>
      <c r="LRY55" s="384"/>
      <c r="LRZ55" s="384"/>
      <c r="LSA55" s="384"/>
      <c r="LSB55" s="384"/>
      <c r="LSC55" s="384"/>
      <c r="LSD55" s="384"/>
      <c r="LSE55" s="384"/>
      <c r="LSF55" s="384"/>
      <c r="LSG55" s="384"/>
      <c r="LSH55" s="384"/>
      <c r="LSI55" s="384"/>
      <c r="LSJ55" s="384"/>
      <c r="LSK55" s="384"/>
      <c r="LSL55" s="384"/>
      <c r="LSM55" s="384"/>
      <c r="LSN55" s="384"/>
      <c r="LSO55" s="384"/>
      <c r="LSP55" s="384"/>
      <c r="LSQ55" s="384"/>
      <c r="LSR55" s="384"/>
      <c r="LSS55" s="384"/>
      <c r="LST55" s="384"/>
      <c r="LSU55" s="384"/>
      <c r="LSV55" s="384"/>
      <c r="LSW55" s="384"/>
      <c r="LSX55" s="384"/>
      <c r="LSY55" s="384"/>
      <c r="LSZ55" s="384"/>
      <c r="LTA55" s="384"/>
      <c r="LTB55" s="384"/>
      <c r="LTC55" s="384"/>
      <c r="LTD55" s="384"/>
      <c r="LTE55" s="384"/>
      <c r="LTF55" s="384"/>
      <c r="LTG55" s="384"/>
      <c r="LTH55" s="384"/>
      <c r="LTI55" s="384"/>
      <c r="LTJ55" s="384"/>
      <c r="LTK55" s="384"/>
      <c r="LTL55" s="384"/>
      <c r="LTM55" s="384"/>
      <c r="LTN55" s="384"/>
      <c r="LTO55" s="384"/>
      <c r="LTP55" s="384"/>
      <c r="LTQ55" s="384"/>
      <c r="LTR55" s="384"/>
      <c r="LTS55" s="384"/>
      <c r="LTT55" s="384"/>
      <c r="LTU55" s="384"/>
      <c r="LTV55" s="384"/>
      <c r="LTW55" s="384"/>
      <c r="LTX55" s="384"/>
      <c r="LTY55" s="384"/>
      <c r="LTZ55" s="384"/>
      <c r="LUA55" s="384"/>
      <c r="LUB55" s="384"/>
      <c r="LUC55" s="384"/>
      <c r="LUD55" s="384"/>
      <c r="LUE55" s="384"/>
      <c r="LUF55" s="384"/>
      <c r="LUG55" s="384"/>
      <c r="LUH55" s="384"/>
      <c r="LUI55" s="384"/>
      <c r="LUJ55" s="384"/>
      <c r="LUK55" s="384"/>
      <c r="LUL55" s="384"/>
      <c r="LUM55" s="384"/>
      <c r="LUN55" s="384"/>
      <c r="LUO55" s="384"/>
      <c r="LUP55" s="384"/>
      <c r="LUQ55" s="384"/>
      <c r="LUR55" s="384"/>
      <c r="LUS55" s="384"/>
      <c r="LUT55" s="384"/>
      <c r="LUU55" s="384"/>
      <c r="LUV55" s="384"/>
      <c r="LUW55" s="384"/>
      <c r="LUX55" s="384"/>
      <c r="LUY55" s="384"/>
      <c r="LUZ55" s="384"/>
      <c r="LVA55" s="384"/>
      <c r="LVB55" s="384"/>
      <c r="LVC55" s="384"/>
      <c r="LVD55" s="384"/>
      <c r="LVE55" s="384"/>
      <c r="LVF55" s="384"/>
      <c r="LVG55" s="384"/>
      <c r="LVH55" s="384"/>
      <c r="LVI55" s="384"/>
      <c r="LVJ55" s="384"/>
      <c r="LVK55" s="384"/>
      <c r="LVL55" s="384"/>
      <c r="LVM55" s="384"/>
      <c r="LVN55" s="384"/>
      <c r="LVO55" s="384"/>
      <c r="LVP55" s="384"/>
      <c r="LVQ55" s="384"/>
      <c r="LVR55" s="384"/>
      <c r="LVS55" s="384"/>
      <c r="LVT55" s="384"/>
      <c r="LVU55" s="384"/>
      <c r="LVV55" s="384"/>
      <c r="LVW55" s="384"/>
      <c r="LVX55" s="384"/>
      <c r="LVY55" s="384"/>
      <c r="LVZ55" s="384"/>
      <c r="LWA55" s="384"/>
      <c r="LWB55" s="384"/>
      <c r="LWC55" s="384"/>
      <c r="LWD55" s="384"/>
      <c r="LWE55" s="384"/>
      <c r="LWF55" s="384"/>
      <c r="LWG55" s="384"/>
      <c r="LWH55" s="384"/>
      <c r="LWI55" s="384"/>
      <c r="LWJ55" s="384"/>
      <c r="LWK55" s="384"/>
      <c r="LWL55" s="384"/>
      <c r="LWM55" s="384"/>
      <c r="LWN55" s="384"/>
      <c r="LWO55" s="384"/>
      <c r="LWP55" s="384"/>
      <c r="LWQ55" s="384"/>
      <c r="LWR55" s="384"/>
      <c r="LWS55" s="384"/>
      <c r="LWT55" s="384"/>
      <c r="LWU55" s="384"/>
      <c r="LWV55" s="384"/>
      <c r="LWW55" s="384"/>
      <c r="LWX55" s="384"/>
      <c r="LWY55" s="384"/>
      <c r="LWZ55" s="384"/>
      <c r="LXA55" s="384"/>
      <c r="LXB55" s="384"/>
      <c r="LXC55" s="384"/>
      <c r="LXD55" s="384"/>
      <c r="LXE55" s="384"/>
      <c r="LXF55" s="384"/>
      <c r="LXG55" s="384"/>
      <c r="LXH55" s="384"/>
      <c r="LXI55" s="384"/>
      <c r="LXJ55" s="384"/>
      <c r="LXK55" s="384"/>
      <c r="LXL55" s="384"/>
      <c r="LXM55" s="384"/>
      <c r="LXN55" s="384"/>
      <c r="LXO55" s="384"/>
      <c r="LXP55" s="384"/>
      <c r="LXQ55" s="384"/>
      <c r="LXR55" s="384"/>
      <c r="LXS55" s="384"/>
      <c r="LXT55" s="384"/>
      <c r="LXU55" s="384"/>
      <c r="LXV55" s="384"/>
      <c r="LXW55" s="384"/>
      <c r="LXX55" s="384"/>
      <c r="LXY55" s="384"/>
      <c r="LXZ55" s="384"/>
      <c r="LYA55" s="384"/>
      <c r="LYB55" s="384"/>
      <c r="LYC55" s="384"/>
      <c r="LYD55" s="384"/>
      <c r="LYE55" s="384"/>
      <c r="LYF55" s="384"/>
      <c r="LYG55" s="384"/>
      <c r="LYH55" s="384"/>
      <c r="LYI55" s="384"/>
      <c r="LYJ55" s="384"/>
      <c r="LYK55" s="384"/>
      <c r="LYL55" s="384"/>
      <c r="LYM55" s="384"/>
      <c r="LYN55" s="384"/>
      <c r="LYO55" s="384"/>
      <c r="LYP55" s="384"/>
      <c r="LYQ55" s="384"/>
      <c r="LYR55" s="384"/>
      <c r="LYS55" s="384"/>
      <c r="LYT55" s="384"/>
      <c r="LYU55" s="384"/>
      <c r="LYV55" s="384"/>
      <c r="LYW55" s="384"/>
      <c r="LYX55" s="384"/>
      <c r="LYY55" s="384"/>
      <c r="LYZ55" s="384"/>
      <c r="LZA55" s="384"/>
      <c r="LZB55" s="384"/>
      <c r="LZC55" s="384"/>
      <c r="LZD55" s="384"/>
      <c r="LZE55" s="384"/>
      <c r="LZF55" s="384"/>
      <c r="LZG55" s="384"/>
      <c r="LZH55" s="384"/>
      <c r="LZI55" s="384"/>
      <c r="LZJ55" s="384"/>
      <c r="LZK55" s="384"/>
      <c r="LZL55" s="384"/>
      <c r="LZM55" s="384"/>
      <c r="LZN55" s="384"/>
      <c r="LZO55" s="384"/>
      <c r="LZP55" s="384"/>
      <c r="LZQ55" s="384"/>
      <c r="LZR55" s="384"/>
      <c r="LZS55" s="384"/>
      <c r="LZT55" s="384"/>
      <c r="LZU55" s="384"/>
      <c r="LZV55" s="384"/>
      <c r="LZW55" s="384"/>
      <c r="LZX55" s="384"/>
      <c r="LZY55" s="384"/>
      <c r="LZZ55" s="384"/>
      <c r="MAA55" s="384"/>
      <c r="MAB55" s="384"/>
      <c r="MAC55" s="384"/>
      <c r="MAD55" s="384"/>
      <c r="MAE55" s="384"/>
      <c r="MAF55" s="384"/>
      <c r="MAG55" s="384"/>
      <c r="MAH55" s="384"/>
      <c r="MAI55" s="384"/>
      <c r="MAJ55" s="384"/>
      <c r="MAK55" s="384"/>
      <c r="MAL55" s="384"/>
      <c r="MAM55" s="384"/>
      <c r="MAN55" s="384"/>
      <c r="MAO55" s="384"/>
      <c r="MAP55" s="384"/>
      <c r="MAQ55" s="384"/>
      <c r="MAR55" s="384"/>
      <c r="MAS55" s="384"/>
      <c r="MAT55" s="384"/>
      <c r="MAU55" s="384"/>
      <c r="MAV55" s="384"/>
      <c r="MAW55" s="384"/>
      <c r="MAX55" s="384"/>
      <c r="MAY55" s="384"/>
      <c r="MAZ55" s="384"/>
      <c r="MBA55" s="384"/>
      <c r="MBB55" s="384"/>
      <c r="MBC55" s="384"/>
      <c r="MBD55" s="384"/>
      <c r="MBE55" s="384"/>
      <c r="MBF55" s="384"/>
      <c r="MBG55" s="384"/>
      <c r="MBH55" s="384"/>
      <c r="MBI55" s="384"/>
      <c r="MBJ55" s="384"/>
      <c r="MBK55" s="384"/>
      <c r="MBL55" s="384"/>
      <c r="MBM55" s="384"/>
      <c r="MBN55" s="384"/>
      <c r="MBO55" s="384"/>
      <c r="MBP55" s="384"/>
      <c r="MBQ55" s="384"/>
      <c r="MBR55" s="384"/>
      <c r="MBS55" s="384"/>
      <c r="MBT55" s="384"/>
      <c r="MBU55" s="384"/>
      <c r="MBV55" s="384"/>
      <c r="MBW55" s="384"/>
      <c r="MBX55" s="384"/>
      <c r="MBY55" s="384"/>
      <c r="MBZ55" s="384"/>
      <c r="MCA55" s="384"/>
      <c r="MCB55" s="384"/>
      <c r="MCC55" s="384"/>
      <c r="MCD55" s="384"/>
      <c r="MCE55" s="384"/>
      <c r="MCF55" s="384"/>
      <c r="MCG55" s="384"/>
      <c r="MCH55" s="384"/>
      <c r="MCI55" s="384"/>
      <c r="MCJ55" s="384"/>
      <c r="MCK55" s="384"/>
      <c r="MCL55" s="384"/>
      <c r="MCM55" s="384"/>
      <c r="MCN55" s="384"/>
      <c r="MCO55" s="384"/>
      <c r="MCP55" s="384"/>
      <c r="MCQ55" s="384"/>
      <c r="MCR55" s="384"/>
      <c r="MCS55" s="384"/>
      <c r="MCT55" s="384"/>
      <c r="MCU55" s="384"/>
      <c r="MCV55" s="384"/>
      <c r="MCW55" s="384"/>
      <c r="MCX55" s="384"/>
      <c r="MCY55" s="384"/>
      <c r="MCZ55" s="384"/>
      <c r="MDA55" s="384"/>
      <c r="MDB55" s="384"/>
      <c r="MDC55" s="384"/>
      <c r="MDD55" s="384"/>
      <c r="MDE55" s="384"/>
      <c r="MDF55" s="384"/>
      <c r="MDG55" s="384"/>
      <c r="MDH55" s="384"/>
      <c r="MDI55" s="384"/>
      <c r="MDJ55" s="384"/>
      <c r="MDK55" s="384"/>
      <c r="MDL55" s="384"/>
      <c r="MDM55" s="384"/>
      <c r="MDN55" s="384"/>
      <c r="MDO55" s="384"/>
      <c r="MDP55" s="384"/>
      <c r="MDQ55" s="384"/>
      <c r="MDR55" s="384"/>
      <c r="MDS55" s="384"/>
      <c r="MDT55" s="384"/>
      <c r="MDU55" s="384"/>
      <c r="MDV55" s="384"/>
      <c r="MDW55" s="384"/>
      <c r="MDX55" s="384"/>
      <c r="MDY55" s="384"/>
      <c r="MDZ55" s="384"/>
      <c r="MEA55" s="384"/>
      <c r="MEB55" s="384"/>
      <c r="MEC55" s="384"/>
      <c r="MED55" s="384"/>
      <c r="MEE55" s="384"/>
      <c r="MEF55" s="384"/>
      <c r="MEG55" s="384"/>
      <c r="MEH55" s="384"/>
      <c r="MEI55" s="384"/>
      <c r="MEJ55" s="384"/>
      <c r="MEK55" s="384"/>
      <c r="MEL55" s="384"/>
      <c r="MEM55" s="384"/>
      <c r="MEN55" s="384"/>
      <c r="MEO55" s="384"/>
      <c r="MEP55" s="384"/>
      <c r="MEQ55" s="384"/>
      <c r="MER55" s="384"/>
      <c r="MES55" s="384"/>
      <c r="MET55" s="384"/>
      <c r="MEU55" s="384"/>
      <c r="MEV55" s="384"/>
      <c r="MEW55" s="384"/>
      <c r="MEX55" s="384"/>
      <c r="MEY55" s="384"/>
      <c r="MEZ55" s="384"/>
      <c r="MFA55" s="384"/>
      <c r="MFB55" s="384"/>
      <c r="MFC55" s="384"/>
      <c r="MFD55" s="384"/>
      <c r="MFE55" s="384"/>
      <c r="MFF55" s="384"/>
      <c r="MFG55" s="384"/>
      <c r="MFH55" s="384"/>
      <c r="MFI55" s="384"/>
      <c r="MFJ55" s="384"/>
      <c r="MFK55" s="384"/>
      <c r="MFL55" s="384"/>
      <c r="MFM55" s="384"/>
      <c r="MFN55" s="384"/>
      <c r="MFO55" s="384"/>
      <c r="MFP55" s="384"/>
      <c r="MFQ55" s="384"/>
      <c r="MFR55" s="384"/>
      <c r="MFS55" s="384"/>
      <c r="MFT55" s="384"/>
      <c r="MFU55" s="384"/>
      <c r="MFV55" s="384"/>
      <c r="MFW55" s="384"/>
      <c r="MFX55" s="384"/>
      <c r="MFY55" s="384"/>
      <c r="MFZ55" s="384"/>
      <c r="MGA55" s="384"/>
      <c r="MGB55" s="384"/>
      <c r="MGC55" s="384"/>
      <c r="MGD55" s="384"/>
      <c r="MGE55" s="384"/>
      <c r="MGF55" s="384"/>
      <c r="MGG55" s="384"/>
      <c r="MGH55" s="384"/>
      <c r="MGI55" s="384"/>
      <c r="MGJ55" s="384"/>
      <c r="MGK55" s="384"/>
      <c r="MGL55" s="384"/>
      <c r="MGM55" s="384"/>
      <c r="MGN55" s="384"/>
      <c r="MGO55" s="384"/>
      <c r="MGP55" s="384"/>
      <c r="MGQ55" s="384"/>
      <c r="MGR55" s="384"/>
      <c r="MGS55" s="384"/>
      <c r="MGT55" s="384"/>
      <c r="MGU55" s="384"/>
      <c r="MGV55" s="384"/>
      <c r="MGW55" s="384"/>
      <c r="MGX55" s="384"/>
      <c r="MGY55" s="384"/>
      <c r="MGZ55" s="384"/>
      <c r="MHA55" s="384"/>
      <c r="MHB55" s="384"/>
      <c r="MHC55" s="384"/>
      <c r="MHD55" s="384"/>
      <c r="MHE55" s="384"/>
      <c r="MHF55" s="384"/>
      <c r="MHG55" s="384"/>
      <c r="MHH55" s="384"/>
      <c r="MHI55" s="384"/>
      <c r="MHJ55" s="384"/>
      <c r="MHK55" s="384"/>
      <c r="MHL55" s="384"/>
      <c r="MHM55" s="384"/>
      <c r="MHN55" s="384"/>
      <c r="MHO55" s="384"/>
      <c r="MHP55" s="384"/>
      <c r="MHQ55" s="384"/>
      <c r="MHR55" s="384"/>
      <c r="MHS55" s="384"/>
      <c r="MHT55" s="384"/>
      <c r="MHU55" s="384"/>
      <c r="MHV55" s="384"/>
      <c r="MHW55" s="384"/>
      <c r="MHX55" s="384"/>
      <c r="MHY55" s="384"/>
      <c r="MHZ55" s="384"/>
      <c r="MIA55" s="384"/>
      <c r="MIB55" s="384"/>
      <c r="MIC55" s="384"/>
      <c r="MID55" s="384"/>
      <c r="MIE55" s="384"/>
      <c r="MIF55" s="384"/>
      <c r="MIG55" s="384"/>
      <c r="MIH55" s="384"/>
      <c r="MII55" s="384"/>
      <c r="MIJ55" s="384"/>
      <c r="MIK55" s="384"/>
      <c r="MIL55" s="384"/>
      <c r="MIM55" s="384"/>
      <c r="MIN55" s="384"/>
      <c r="MIO55" s="384"/>
      <c r="MIP55" s="384"/>
      <c r="MIQ55" s="384"/>
      <c r="MIR55" s="384"/>
      <c r="MIS55" s="384"/>
      <c r="MIT55" s="384"/>
      <c r="MIU55" s="384"/>
      <c r="MIV55" s="384"/>
      <c r="MIW55" s="384"/>
      <c r="MIX55" s="384"/>
      <c r="MIY55" s="384"/>
      <c r="MIZ55" s="384"/>
      <c r="MJA55" s="384"/>
      <c r="MJB55" s="384"/>
      <c r="MJC55" s="384"/>
      <c r="MJD55" s="384"/>
      <c r="MJE55" s="384"/>
      <c r="MJF55" s="384"/>
      <c r="MJG55" s="384"/>
      <c r="MJH55" s="384"/>
      <c r="MJI55" s="384"/>
      <c r="MJJ55" s="384"/>
      <c r="MJK55" s="384"/>
      <c r="MJL55" s="384"/>
      <c r="MJM55" s="384"/>
      <c r="MJN55" s="384"/>
      <c r="MJO55" s="384"/>
      <c r="MJP55" s="384"/>
      <c r="MJQ55" s="384"/>
      <c r="MJR55" s="384"/>
      <c r="MJS55" s="384"/>
      <c r="MJT55" s="384"/>
      <c r="MJU55" s="384"/>
      <c r="MJV55" s="384"/>
      <c r="MJW55" s="384"/>
      <c r="MJX55" s="384"/>
      <c r="MJY55" s="384"/>
      <c r="MJZ55" s="384"/>
      <c r="MKA55" s="384"/>
      <c r="MKB55" s="384"/>
      <c r="MKC55" s="384"/>
      <c r="MKD55" s="384"/>
      <c r="MKE55" s="384"/>
      <c r="MKF55" s="384"/>
      <c r="MKG55" s="384"/>
      <c r="MKH55" s="384"/>
      <c r="MKI55" s="384"/>
      <c r="MKJ55" s="384"/>
      <c r="MKK55" s="384"/>
      <c r="MKL55" s="384"/>
      <c r="MKM55" s="384"/>
      <c r="MKN55" s="384"/>
      <c r="MKO55" s="384"/>
      <c r="MKP55" s="384"/>
      <c r="MKQ55" s="384"/>
      <c r="MKR55" s="384"/>
      <c r="MKS55" s="384"/>
      <c r="MKT55" s="384"/>
      <c r="MKU55" s="384"/>
      <c r="MKV55" s="384"/>
      <c r="MKW55" s="384"/>
      <c r="MKX55" s="384"/>
      <c r="MKY55" s="384"/>
      <c r="MKZ55" s="384"/>
      <c r="MLA55" s="384"/>
      <c r="MLB55" s="384"/>
      <c r="MLC55" s="384"/>
      <c r="MLD55" s="384"/>
      <c r="MLE55" s="384"/>
      <c r="MLF55" s="384"/>
      <c r="MLG55" s="384"/>
      <c r="MLH55" s="384"/>
      <c r="MLI55" s="384"/>
      <c r="MLJ55" s="384"/>
      <c r="MLK55" s="384"/>
      <c r="MLL55" s="384"/>
      <c r="MLM55" s="384"/>
      <c r="MLN55" s="384"/>
      <c r="MLO55" s="384"/>
      <c r="MLP55" s="384"/>
      <c r="MLQ55" s="384"/>
      <c r="MLR55" s="384"/>
      <c r="MLS55" s="384"/>
      <c r="MLT55" s="384"/>
      <c r="MLU55" s="384"/>
      <c r="MLV55" s="384"/>
      <c r="MLW55" s="384"/>
      <c r="MLX55" s="384"/>
      <c r="MLY55" s="384"/>
      <c r="MLZ55" s="384"/>
      <c r="MMA55" s="384"/>
      <c r="MMB55" s="384"/>
      <c r="MMC55" s="384"/>
      <c r="MMD55" s="384"/>
      <c r="MME55" s="384"/>
      <c r="MMF55" s="384"/>
      <c r="MMG55" s="384"/>
      <c r="MMH55" s="384"/>
      <c r="MMI55" s="384"/>
      <c r="MMJ55" s="384"/>
      <c r="MMK55" s="384"/>
      <c r="MML55" s="384"/>
      <c r="MMM55" s="384"/>
      <c r="MMN55" s="384"/>
      <c r="MMO55" s="384"/>
      <c r="MMP55" s="384"/>
      <c r="MMQ55" s="384"/>
      <c r="MMR55" s="384"/>
      <c r="MMS55" s="384"/>
      <c r="MMT55" s="384"/>
      <c r="MMU55" s="384"/>
      <c r="MMV55" s="384"/>
      <c r="MMW55" s="384"/>
      <c r="MMX55" s="384"/>
      <c r="MMY55" s="384"/>
      <c r="MMZ55" s="384"/>
      <c r="MNA55" s="384"/>
      <c r="MNB55" s="384"/>
      <c r="MNC55" s="384"/>
      <c r="MND55" s="384"/>
      <c r="MNE55" s="384"/>
      <c r="MNF55" s="384"/>
      <c r="MNG55" s="384"/>
      <c r="MNH55" s="384"/>
      <c r="MNI55" s="384"/>
      <c r="MNJ55" s="384"/>
      <c r="MNK55" s="384"/>
      <c r="MNL55" s="384"/>
      <c r="MNM55" s="384"/>
      <c r="MNN55" s="384"/>
      <c r="MNO55" s="384"/>
      <c r="MNP55" s="384"/>
      <c r="MNQ55" s="384"/>
      <c r="MNR55" s="384"/>
      <c r="MNS55" s="384"/>
      <c r="MNT55" s="384"/>
      <c r="MNU55" s="384"/>
      <c r="MNV55" s="384"/>
      <c r="MNW55" s="384"/>
      <c r="MNX55" s="384"/>
      <c r="MNY55" s="384"/>
      <c r="MNZ55" s="384"/>
      <c r="MOA55" s="384"/>
      <c r="MOB55" s="384"/>
      <c r="MOC55" s="384"/>
      <c r="MOD55" s="384"/>
      <c r="MOE55" s="384"/>
      <c r="MOF55" s="384"/>
      <c r="MOG55" s="384"/>
      <c r="MOH55" s="384"/>
      <c r="MOI55" s="384"/>
      <c r="MOJ55" s="384"/>
      <c r="MOK55" s="384"/>
      <c r="MOL55" s="384"/>
      <c r="MOM55" s="384"/>
      <c r="MON55" s="384"/>
      <c r="MOO55" s="384"/>
      <c r="MOP55" s="384"/>
      <c r="MOQ55" s="384"/>
      <c r="MOR55" s="384"/>
      <c r="MOS55" s="384"/>
      <c r="MOT55" s="384"/>
      <c r="MOU55" s="384"/>
      <c r="MOV55" s="384"/>
      <c r="MOW55" s="384"/>
      <c r="MOX55" s="384"/>
      <c r="MOY55" s="384"/>
      <c r="MOZ55" s="384"/>
      <c r="MPA55" s="384"/>
      <c r="MPB55" s="384"/>
      <c r="MPC55" s="384"/>
      <c r="MPD55" s="384"/>
      <c r="MPE55" s="384"/>
      <c r="MPF55" s="384"/>
      <c r="MPG55" s="384"/>
      <c r="MPH55" s="384"/>
      <c r="MPI55" s="384"/>
      <c r="MPJ55" s="384"/>
      <c r="MPK55" s="384"/>
      <c r="MPL55" s="384"/>
      <c r="MPM55" s="384"/>
      <c r="MPN55" s="384"/>
      <c r="MPO55" s="384"/>
      <c r="MPP55" s="384"/>
      <c r="MPQ55" s="384"/>
      <c r="MPR55" s="384"/>
      <c r="MPS55" s="384"/>
      <c r="MPT55" s="384"/>
      <c r="MPU55" s="384"/>
      <c r="MPV55" s="384"/>
      <c r="MPW55" s="384"/>
      <c r="MPX55" s="384"/>
      <c r="MPY55" s="384"/>
      <c r="MPZ55" s="384"/>
      <c r="MQA55" s="384"/>
      <c r="MQB55" s="384"/>
      <c r="MQC55" s="384"/>
      <c r="MQD55" s="384"/>
      <c r="MQE55" s="384"/>
      <c r="MQF55" s="384"/>
      <c r="MQG55" s="384"/>
      <c r="MQH55" s="384"/>
      <c r="MQI55" s="384"/>
      <c r="MQJ55" s="384"/>
      <c r="MQK55" s="384"/>
      <c r="MQL55" s="384"/>
      <c r="MQM55" s="384"/>
      <c r="MQN55" s="384"/>
      <c r="MQO55" s="384"/>
      <c r="MQP55" s="384"/>
      <c r="MQQ55" s="384"/>
      <c r="MQR55" s="384"/>
      <c r="MQS55" s="384"/>
      <c r="MQT55" s="384"/>
      <c r="MQU55" s="384"/>
      <c r="MQV55" s="384"/>
      <c r="MQW55" s="384"/>
      <c r="MQX55" s="384"/>
      <c r="MQY55" s="384"/>
      <c r="MQZ55" s="384"/>
      <c r="MRA55" s="384"/>
      <c r="MRB55" s="384"/>
      <c r="MRC55" s="384"/>
      <c r="MRD55" s="384"/>
      <c r="MRE55" s="384"/>
      <c r="MRF55" s="384"/>
      <c r="MRG55" s="384"/>
      <c r="MRH55" s="384"/>
      <c r="MRI55" s="384"/>
      <c r="MRJ55" s="384"/>
      <c r="MRK55" s="384"/>
      <c r="MRL55" s="384"/>
      <c r="MRM55" s="384"/>
      <c r="MRN55" s="384"/>
      <c r="MRO55" s="384"/>
      <c r="MRP55" s="384"/>
      <c r="MRQ55" s="384"/>
      <c r="MRR55" s="384"/>
      <c r="MRS55" s="384"/>
      <c r="MRT55" s="384"/>
      <c r="MRU55" s="384"/>
      <c r="MRV55" s="384"/>
      <c r="MRW55" s="384"/>
      <c r="MRX55" s="384"/>
      <c r="MRY55" s="384"/>
      <c r="MRZ55" s="384"/>
      <c r="MSA55" s="384"/>
      <c r="MSB55" s="384"/>
      <c r="MSC55" s="384"/>
      <c r="MSD55" s="384"/>
      <c r="MSE55" s="384"/>
      <c r="MSF55" s="384"/>
      <c r="MSG55" s="384"/>
      <c r="MSH55" s="384"/>
      <c r="MSI55" s="384"/>
      <c r="MSJ55" s="384"/>
      <c r="MSK55" s="384"/>
      <c r="MSL55" s="384"/>
      <c r="MSM55" s="384"/>
      <c r="MSN55" s="384"/>
      <c r="MSO55" s="384"/>
      <c r="MSP55" s="384"/>
      <c r="MSQ55" s="384"/>
      <c r="MSR55" s="384"/>
      <c r="MSS55" s="384"/>
      <c r="MST55" s="384"/>
      <c r="MSU55" s="384"/>
      <c r="MSV55" s="384"/>
      <c r="MSW55" s="384"/>
      <c r="MSX55" s="384"/>
      <c r="MSY55" s="384"/>
      <c r="MSZ55" s="384"/>
      <c r="MTA55" s="384"/>
      <c r="MTB55" s="384"/>
      <c r="MTC55" s="384"/>
      <c r="MTD55" s="384"/>
      <c r="MTE55" s="384"/>
      <c r="MTF55" s="384"/>
      <c r="MTG55" s="384"/>
      <c r="MTH55" s="384"/>
      <c r="MTI55" s="384"/>
      <c r="MTJ55" s="384"/>
      <c r="MTK55" s="384"/>
      <c r="MTL55" s="384"/>
      <c r="MTM55" s="384"/>
      <c r="MTN55" s="384"/>
      <c r="MTO55" s="384"/>
      <c r="MTP55" s="384"/>
      <c r="MTQ55" s="384"/>
      <c r="MTR55" s="384"/>
      <c r="MTS55" s="384"/>
      <c r="MTT55" s="384"/>
      <c r="MTU55" s="384"/>
      <c r="MTV55" s="384"/>
      <c r="MTW55" s="384"/>
      <c r="MTX55" s="384"/>
      <c r="MTY55" s="384"/>
      <c r="MTZ55" s="384"/>
      <c r="MUA55" s="384"/>
      <c r="MUB55" s="384"/>
      <c r="MUC55" s="384"/>
      <c r="MUD55" s="384"/>
      <c r="MUE55" s="384"/>
      <c r="MUF55" s="384"/>
      <c r="MUG55" s="384"/>
      <c r="MUH55" s="384"/>
      <c r="MUI55" s="384"/>
      <c r="MUJ55" s="384"/>
      <c r="MUK55" s="384"/>
      <c r="MUL55" s="384"/>
      <c r="MUM55" s="384"/>
      <c r="MUN55" s="384"/>
      <c r="MUO55" s="384"/>
      <c r="MUP55" s="384"/>
      <c r="MUQ55" s="384"/>
      <c r="MUR55" s="384"/>
      <c r="MUS55" s="384"/>
      <c r="MUT55" s="384"/>
      <c r="MUU55" s="384"/>
      <c r="MUV55" s="384"/>
      <c r="MUW55" s="384"/>
      <c r="MUX55" s="384"/>
      <c r="MUY55" s="384"/>
      <c r="MUZ55" s="384"/>
      <c r="MVA55" s="384"/>
      <c r="MVB55" s="384"/>
      <c r="MVC55" s="384"/>
      <c r="MVD55" s="384"/>
      <c r="MVE55" s="384"/>
      <c r="MVF55" s="384"/>
      <c r="MVG55" s="384"/>
      <c r="MVH55" s="384"/>
      <c r="MVI55" s="384"/>
      <c r="MVJ55" s="384"/>
      <c r="MVK55" s="384"/>
      <c r="MVL55" s="384"/>
      <c r="MVM55" s="384"/>
      <c r="MVN55" s="384"/>
      <c r="MVO55" s="384"/>
      <c r="MVP55" s="384"/>
      <c r="MVQ55" s="384"/>
      <c r="MVR55" s="384"/>
      <c r="MVS55" s="384"/>
      <c r="MVT55" s="384"/>
      <c r="MVU55" s="384"/>
      <c r="MVV55" s="384"/>
      <c r="MVW55" s="384"/>
      <c r="MVX55" s="384"/>
      <c r="MVY55" s="384"/>
      <c r="MVZ55" s="384"/>
      <c r="MWA55" s="384"/>
      <c r="MWB55" s="384"/>
      <c r="MWC55" s="384"/>
      <c r="MWD55" s="384"/>
      <c r="MWE55" s="384"/>
      <c r="MWF55" s="384"/>
      <c r="MWG55" s="384"/>
      <c r="MWH55" s="384"/>
      <c r="MWI55" s="384"/>
      <c r="MWJ55" s="384"/>
      <c r="MWK55" s="384"/>
      <c r="MWL55" s="384"/>
      <c r="MWM55" s="384"/>
      <c r="MWN55" s="384"/>
      <c r="MWO55" s="384"/>
      <c r="MWP55" s="384"/>
      <c r="MWQ55" s="384"/>
      <c r="MWR55" s="384"/>
      <c r="MWS55" s="384"/>
      <c r="MWT55" s="384"/>
      <c r="MWU55" s="384"/>
      <c r="MWV55" s="384"/>
      <c r="MWW55" s="384"/>
      <c r="MWX55" s="384"/>
      <c r="MWY55" s="384"/>
      <c r="MWZ55" s="384"/>
      <c r="MXA55" s="384"/>
      <c r="MXB55" s="384"/>
      <c r="MXC55" s="384"/>
      <c r="MXD55" s="384"/>
      <c r="MXE55" s="384"/>
      <c r="MXF55" s="384"/>
      <c r="MXG55" s="384"/>
      <c r="MXH55" s="384"/>
      <c r="MXI55" s="384"/>
      <c r="MXJ55" s="384"/>
      <c r="MXK55" s="384"/>
      <c r="MXL55" s="384"/>
      <c r="MXM55" s="384"/>
      <c r="MXN55" s="384"/>
      <c r="MXO55" s="384"/>
      <c r="MXP55" s="384"/>
      <c r="MXQ55" s="384"/>
      <c r="MXR55" s="384"/>
      <c r="MXS55" s="384"/>
      <c r="MXT55" s="384"/>
      <c r="MXU55" s="384"/>
      <c r="MXV55" s="384"/>
      <c r="MXW55" s="384"/>
      <c r="MXX55" s="384"/>
      <c r="MXY55" s="384"/>
      <c r="MXZ55" s="384"/>
      <c r="MYA55" s="384"/>
      <c r="MYB55" s="384"/>
      <c r="MYC55" s="384"/>
      <c r="MYD55" s="384"/>
      <c r="MYE55" s="384"/>
      <c r="MYF55" s="384"/>
      <c r="MYG55" s="384"/>
      <c r="MYH55" s="384"/>
      <c r="MYI55" s="384"/>
      <c r="MYJ55" s="384"/>
      <c r="MYK55" s="384"/>
      <c r="MYL55" s="384"/>
      <c r="MYM55" s="384"/>
      <c r="MYN55" s="384"/>
      <c r="MYO55" s="384"/>
      <c r="MYP55" s="384"/>
      <c r="MYQ55" s="384"/>
      <c r="MYR55" s="384"/>
      <c r="MYS55" s="384"/>
      <c r="MYT55" s="384"/>
      <c r="MYU55" s="384"/>
      <c r="MYV55" s="384"/>
      <c r="MYW55" s="384"/>
      <c r="MYX55" s="384"/>
      <c r="MYY55" s="384"/>
      <c r="MYZ55" s="384"/>
      <c r="MZA55" s="384"/>
      <c r="MZB55" s="384"/>
      <c r="MZC55" s="384"/>
      <c r="MZD55" s="384"/>
      <c r="MZE55" s="384"/>
      <c r="MZF55" s="384"/>
      <c r="MZG55" s="384"/>
      <c r="MZH55" s="384"/>
      <c r="MZI55" s="384"/>
      <c r="MZJ55" s="384"/>
      <c r="MZK55" s="384"/>
      <c r="MZL55" s="384"/>
      <c r="MZM55" s="384"/>
      <c r="MZN55" s="384"/>
      <c r="MZO55" s="384"/>
      <c r="MZP55" s="384"/>
      <c r="MZQ55" s="384"/>
      <c r="MZR55" s="384"/>
      <c r="MZS55" s="384"/>
      <c r="MZT55" s="384"/>
      <c r="MZU55" s="384"/>
      <c r="MZV55" s="384"/>
      <c r="MZW55" s="384"/>
      <c r="MZX55" s="384"/>
      <c r="MZY55" s="384"/>
      <c r="MZZ55" s="384"/>
      <c r="NAA55" s="384"/>
      <c r="NAB55" s="384"/>
      <c r="NAC55" s="384"/>
      <c r="NAD55" s="384"/>
      <c r="NAE55" s="384"/>
      <c r="NAF55" s="384"/>
      <c r="NAG55" s="384"/>
      <c r="NAH55" s="384"/>
      <c r="NAI55" s="384"/>
      <c r="NAJ55" s="384"/>
      <c r="NAK55" s="384"/>
      <c r="NAL55" s="384"/>
      <c r="NAM55" s="384"/>
      <c r="NAN55" s="384"/>
      <c r="NAO55" s="384"/>
      <c r="NAP55" s="384"/>
      <c r="NAQ55" s="384"/>
      <c r="NAR55" s="384"/>
      <c r="NAS55" s="384"/>
      <c r="NAT55" s="384"/>
      <c r="NAU55" s="384"/>
      <c r="NAV55" s="384"/>
      <c r="NAW55" s="384"/>
      <c r="NAX55" s="384"/>
      <c r="NAY55" s="384"/>
      <c r="NAZ55" s="384"/>
      <c r="NBA55" s="384"/>
      <c r="NBB55" s="384"/>
      <c r="NBC55" s="384"/>
      <c r="NBD55" s="384"/>
      <c r="NBE55" s="384"/>
      <c r="NBF55" s="384"/>
      <c r="NBG55" s="384"/>
      <c r="NBH55" s="384"/>
      <c r="NBI55" s="384"/>
      <c r="NBJ55" s="384"/>
      <c r="NBK55" s="384"/>
      <c r="NBL55" s="384"/>
      <c r="NBM55" s="384"/>
      <c r="NBN55" s="384"/>
      <c r="NBO55" s="384"/>
      <c r="NBP55" s="384"/>
      <c r="NBQ55" s="384"/>
      <c r="NBR55" s="384"/>
      <c r="NBS55" s="384"/>
      <c r="NBT55" s="384"/>
      <c r="NBU55" s="384"/>
      <c r="NBV55" s="384"/>
      <c r="NBW55" s="384"/>
      <c r="NBX55" s="384"/>
      <c r="NBY55" s="384"/>
      <c r="NBZ55" s="384"/>
      <c r="NCA55" s="384"/>
      <c r="NCB55" s="384"/>
      <c r="NCC55" s="384"/>
      <c r="NCD55" s="384"/>
      <c r="NCE55" s="384"/>
      <c r="NCF55" s="384"/>
      <c r="NCG55" s="384"/>
      <c r="NCH55" s="384"/>
      <c r="NCI55" s="384"/>
      <c r="NCJ55" s="384"/>
      <c r="NCK55" s="384"/>
      <c r="NCL55" s="384"/>
      <c r="NCM55" s="384"/>
      <c r="NCN55" s="384"/>
      <c r="NCO55" s="384"/>
      <c r="NCP55" s="384"/>
      <c r="NCQ55" s="384"/>
      <c r="NCR55" s="384"/>
      <c r="NCS55" s="384"/>
      <c r="NCT55" s="384"/>
      <c r="NCU55" s="384"/>
      <c r="NCV55" s="384"/>
      <c r="NCW55" s="384"/>
      <c r="NCX55" s="384"/>
      <c r="NCY55" s="384"/>
      <c r="NCZ55" s="384"/>
      <c r="NDA55" s="384"/>
      <c r="NDB55" s="384"/>
      <c r="NDC55" s="384"/>
      <c r="NDD55" s="384"/>
      <c r="NDE55" s="384"/>
      <c r="NDF55" s="384"/>
      <c r="NDG55" s="384"/>
      <c r="NDH55" s="384"/>
      <c r="NDI55" s="384"/>
      <c r="NDJ55" s="384"/>
      <c r="NDK55" s="384"/>
      <c r="NDL55" s="384"/>
      <c r="NDM55" s="384"/>
      <c r="NDN55" s="384"/>
      <c r="NDO55" s="384"/>
      <c r="NDP55" s="384"/>
      <c r="NDQ55" s="384"/>
      <c r="NDR55" s="384"/>
      <c r="NDS55" s="384"/>
      <c r="NDT55" s="384"/>
      <c r="NDU55" s="384"/>
      <c r="NDV55" s="384"/>
      <c r="NDW55" s="384"/>
      <c r="NDX55" s="384"/>
      <c r="NDY55" s="384"/>
      <c r="NDZ55" s="384"/>
      <c r="NEA55" s="384"/>
      <c r="NEB55" s="384"/>
      <c r="NEC55" s="384"/>
      <c r="NED55" s="384"/>
      <c r="NEE55" s="384"/>
      <c r="NEF55" s="384"/>
      <c r="NEG55" s="384"/>
      <c r="NEH55" s="384"/>
      <c r="NEI55" s="384"/>
      <c r="NEJ55" s="384"/>
      <c r="NEK55" s="384"/>
      <c r="NEL55" s="384"/>
      <c r="NEM55" s="384"/>
      <c r="NEN55" s="384"/>
      <c r="NEO55" s="384"/>
      <c r="NEP55" s="384"/>
      <c r="NEQ55" s="384"/>
      <c r="NER55" s="384"/>
      <c r="NES55" s="384"/>
      <c r="NET55" s="384"/>
      <c r="NEU55" s="384"/>
      <c r="NEV55" s="384"/>
      <c r="NEW55" s="384"/>
      <c r="NEX55" s="384"/>
      <c r="NEY55" s="384"/>
      <c r="NEZ55" s="384"/>
      <c r="NFA55" s="384"/>
      <c r="NFB55" s="384"/>
      <c r="NFC55" s="384"/>
      <c r="NFD55" s="384"/>
      <c r="NFE55" s="384"/>
      <c r="NFF55" s="384"/>
      <c r="NFG55" s="384"/>
      <c r="NFH55" s="384"/>
      <c r="NFI55" s="384"/>
      <c r="NFJ55" s="384"/>
      <c r="NFK55" s="384"/>
      <c r="NFL55" s="384"/>
      <c r="NFM55" s="384"/>
      <c r="NFN55" s="384"/>
      <c r="NFO55" s="384"/>
      <c r="NFP55" s="384"/>
      <c r="NFQ55" s="384"/>
      <c r="NFR55" s="384"/>
      <c r="NFS55" s="384"/>
      <c r="NFT55" s="384"/>
      <c r="NFU55" s="384"/>
      <c r="NFV55" s="384"/>
      <c r="NFW55" s="384"/>
      <c r="NFX55" s="384"/>
      <c r="NFY55" s="384"/>
      <c r="NFZ55" s="384"/>
      <c r="NGA55" s="384"/>
      <c r="NGB55" s="384"/>
      <c r="NGC55" s="384"/>
      <c r="NGD55" s="384"/>
      <c r="NGE55" s="384"/>
      <c r="NGF55" s="384"/>
      <c r="NGG55" s="384"/>
      <c r="NGH55" s="384"/>
      <c r="NGI55" s="384"/>
      <c r="NGJ55" s="384"/>
      <c r="NGK55" s="384"/>
      <c r="NGL55" s="384"/>
      <c r="NGM55" s="384"/>
      <c r="NGN55" s="384"/>
      <c r="NGO55" s="384"/>
      <c r="NGP55" s="384"/>
      <c r="NGQ55" s="384"/>
      <c r="NGR55" s="384"/>
      <c r="NGS55" s="384"/>
      <c r="NGT55" s="384"/>
      <c r="NGU55" s="384"/>
      <c r="NGV55" s="384"/>
      <c r="NGW55" s="384"/>
      <c r="NGX55" s="384"/>
      <c r="NGY55" s="384"/>
      <c r="NGZ55" s="384"/>
      <c r="NHA55" s="384"/>
      <c r="NHB55" s="384"/>
      <c r="NHC55" s="384"/>
      <c r="NHD55" s="384"/>
      <c r="NHE55" s="384"/>
      <c r="NHF55" s="384"/>
      <c r="NHG55" s="384"/>
      <c r="NHH55" s="384"/>
      <c r="NHI55" s="384"/>
      <c r="NHJ55" s="384"/>
      <c r="NHK55" s="384"/>
      <c r="NHL55" s="384"/>
      <c r="NHM55" s="384"/>
      <c r="NHN55" s="384"/>
      <c r="NHO55" s="384"/>
      <c r="NHP55" s="384"/>
      <c r="NHQ55" s="384"/>
      <c r="NHR55" s="384"/>
      <c r="NHS55" s="384"/>
      <c r="NHT55" s="384"/>
      <c r="NHU55" s="384"/>
      <c r="NHV55" s="384"/>
      <c r="NHW55" s="384"/>
      <c r="NHX55" s="384"/>
      <c r="NHY55" s="384"/>
      <c r="NHZ55" s="384"/>
      <c r="NIA55" s="384"/>
      <c r="NIB55" s="384"/>
      <c r="NIC55" s="384"/>
      <c r="NID55" s="384"/>
      <c r="NIE55" s="384"/>
      <c r="NIF55" s="384"/>
      <c r="NIG55" s="384"/>
      <c r="NIH55" s="384"/>
      <c r="NII55" s="384"/>
      <c r="NIJ55" s="384"/>
      <c r="NIK55" s="384"/>
      <c r="NIL55" s="384"/>
      <c r="NIM55" s="384"/>
      <c r="NIN55" s="384"/>
      <c r="NIO55" s="384"/>
      <c r="NIP55" s="384"/>
      <c r="NIQ55" s="384"/>
      <c r="NIR55" s="384"/>
      <c r="NIS55" s="384"/>
      <c r="NIT55" s="384"/>
      <c r="NIU55" s="384"/>
      <c r="NIV55" s="384"/>
      <c r="NIW55" s="384"/>
      <c r="NIX55" s="384"/>
      <c r="NIY55" s="384"/>
      <c r="NIZ55" s="384"/>
      <c r="NJA55" s="384"/>
      <c r="NJB55" s="384"/>
      <c r="NJC55" s="384"/>
      <c r="NJD55" s="384"/>
      <c r="NJE55" s="384"/>
      <c r="NJF55" s="384"/>
      <c r="NJG55" s="384"/>
      <c r="NJH55" s="384"/>
      <c r="NJI55" s="384"/>
      <c r="NJJ55" s="384"/>
      <c r="NJK55" s="384"/>
      <c r="NJL55" s="384"/>
      <c r="NJM55" s="384"/>
      <c r="NJN55" s="384"/>
      <c r="NJO55" s="384"/>
      <c r="NJP55" s="384"/>
      <c r="NJQ55" s="384"/>
      <c r="NJR55" s="384"/>
      <c r="NJS55" s="384"/>
      <c r="NJT55" s="384"/>
      <c r="NJU55" s="384"/>
      <c r="NJV55" s="384"/>
      <c r="NJW55" s="384"/>
      <c r="NJX55" s="384"/>
      <c r="NJY55" s="384"/>
      <c r="NJZ55" s="384"/>
      <c r="NKA55" s="384"/>
      <c r="NKB55" s="384"/>
      <c r="NKC55" s="384"/>
      <c r="NKD55" s="384"/>
      <c r="NKE55" s="384"/>
      <c r="NKF55" s="384"/>
      <c r="NKG55" s="384"/>
      <c r="NKH55" s="384"/>
      <c r="NKI55" s="384"/>
      <c r="NKJ55" s="384"/>
      <c r="NKK55" s="384"/>
      <c r="NKL55" s="384"/>
      <c r="NKM55" s="384"/>
      <c r="NKN55" s="384"/>
      <c r="NKO55" s="384"/>
      <c r="NKP55" s="384"/>
      <c r="NKQ55" s="384"/>
      <c r="NKR55" s="384"/>
      <c r="NKS55" s="384"/>
      <c r="NKT55" s="384"/>
      <c r="NKU55" s="384"/>
      <c r="NKV55" s="384"/>
      <c r="NKW55" s="384"/>
      <c r="NKX55" s="384"/>
      <c r="NKY55" s="384"/>
      <c r="NKZ55" s="384"/>
      <c r="NLA55" s="384"/>
      <c r="NLB55" s="384"/>
      <c r="NLC55" s="384"/>
      <c r="NLD55" s="384"/>
      <c r="NLE55" s="384"/>
      <c r="NLF55" s="384"/>
      <c r="NLG55" s="384"/>
      <c r="NLH55" s="384"/>
      <c r="NLI55" s="384"/>
      <c r="NLJ55" s="384"/>
      <c r="NLK55" s="384"/>
      <c r="NLL55" s="384"/>
      <c r="NLM55" s="384"/>
      <c r="NLN55" s="384"/>
      <c r="NLO55" s="384"/>
      <c r="NLP55" s="384"/>
      <c r="NLQ55" s="384"/>
      <c r="NLR55" s="384"/>
      <c r="NLS55" s="384"/>
      <c r="NLT55" s="384"/>
      <c r="NLU55" s="384"/>
      <c r="NLV55" s="384"/>
      <c r="NLW55" s="384"/>
      <c r="NLX55" s="384"/>
      <c r="NLY55" s="384"/>
      <c r="NLZ55" s="384"/>
      <c r="NMA55" s="384"/>
      <c r="NMB55" s="384"/>
      <c r="NMC55" s="384"/>
      <c r="NMD55" s="384"/>
      <c r="NME55" s="384"/>
      <c r="NMF55" s="384"/>
      <c r="NMG55" s="384"/>
      <c r="NMH55" s="384"/>
      <c r="NMI55" s="384"/>
      <c r="NMJ55" s="384"/>
      <c r="NMK55" s="384"/>
      <c r="NML55" s="384"/>
      <c r="NMM55" s="384"/>
      <c r="NMN55" s="384"/>
      <c r="NMO55" s="384"/>
      <c r="NMP55" s="384"/>
      <c r="NMQ55" s="384"/>
      <c r="NMR55" s="384"/>
      <c r="NMS55" s="384"/>
      <c r="NMT55" s="384"/>
      <c r="NMU55" s="384"/>
      <c r="NMV55" s="384"/>
      <c r="NMW55" s="384"/>
      <c r="NMX55" s="384"/>
      <c r="NMY55" s="384"/>
      <c r="NMZ55" s="384"/>
      <c r="NNA55" s="384"/>
      <c r="NNB55" s="384"/>
      <c r="NNC55" s="384"/>
      <c r="NND55" s="384"/>
      <c r="NNE55" s="384"/>
      <c r="NNF55" s="384"/>
      <c r="NNG55" s="384"/>
      <c r="NNH55" s="384"/>
      <c r="NNI55" s="384"/>
      <c r="NNJ55" s="384"/>
      <c r="NNK55" s="384"/>
      <c r="NNL55" s="384"/>
      <c r="NNM55" s="384"/>
      <c r="NNN55" s="384"/>
      <c r="NNO55" s="384"/>
      <c r="NNP55" s="384"/>
      <c r="NNQ55" s="384"/>
      <c r="NNR55" s="384"/>
      <c r="NNS55" s="384"/>
      <c r="NNT55" s="384"/>
      <c r="NNU55" s="384"/>
      <c r="NNV55" s="384"/>
      <c r="NNW55" s="384"/>
      <c r="NNX55" s="384"/>
      <c r="NNY55" s="384"/>
      <c r="NNZ55" s="384"/>
      <c r="NOA55" s="384"/>
      <c r="NOB55" s="384"/>
      <c r="NOC55" s="384"/>
      <c r="NOD55" s="384"/>
      <c r="NOE55" s="384"/>
      <c r="NOF55" s="384"/>
      <c r="NOG55" s="384"/>
      <c r="NOH55" s="384"/>
      <c r="NOI55" s="384"/>
      <c r="NOJ55" s="384"/>
      <c r="NOK55" s="384"/>
      <c r="NOL55" s="384"/>
      <c r="NOM55" s="384"/>
      <c r="NON55" s="384"/>
      <c r="NOO55" s="384"/>
      <c r="NOP55" s="384"/>
      <c r="NOQ55" s="384"/>
      <c r="NOR55" s="384"/>
      <c r="NOS55" s="384"/>
      <c r="NOT55" s="384"/>
      <c r="NOU55" s="384"/>
      <c r="NOV55" s="384"/>
      <c r="NOW55" s="384"/>
      <c r="NOX55" s="384"/>
      <c r="NOY55" s="384"/>
      <c r="NOZ55" s="384"/>
      <c r="NPA55" s="384"/>
      <c r="NPB55" s="384"/>
      <c r="NPC55" s="384"/>
      <c r="NPD55" s="384"/>
      <c r="NPE55" s="384"/>
      <c r="NPF55" s="384"/>
      <c r="NPG55" s="384"/>
      <c r="NPH55" s="384"/>
      <c r="NPI55" s="384"/>
      <c r="NPJ55" s="384"/>
      <c r="NPK55" s="384"/>
      <c r="NPL55" s="384"/>
      <c r="NPM55" s="384"/>
      <c r="NPN55" s="384"/>
      <c r="NPO55" s="384"/>
      <c r="NPP55" s="384"/>
      <c r="NPQ55" s="384"/>
      <c r="NPR55" s="384"/>
      <c r="NPS55" s="384"/>
      <c r="NPT55" s="384"/>
      <c r="NPU55" s="384"/>
      <c r="NPV55" s="384"/>
      <c r="NPW55" s="384"/>
      <c r="NPX55" s="384"/>
      <c r="NPY55" s="384"/>
      <c r="NPZ55" s="384"/>
      <c r="NQA55" s="384"/>
      <c r="NQB55" s="384"/>
      <c r="NQC55" s="384"/>
      <c r="NQD55" s="384"/>
      <c r="NQE55" s="384"/>
      <c r="NQF55" s="384"/>
      <c r="NQG55" s="384"/>
      <c r="NQH55" s="384"/>
      <c r="NQI55" s="384"/>
      <c r="NQJ55" s="384"/>
      <c r="NQK55" s="384"/>
      <c r="NQL55" s="384"/>
      <c r="NQM55" s="384"/>
      <c r="NQN55" s="384"/>
      <c r="NQO55" s="384"/>
      <c r="NQP55" s="384"/>
      <c r="NQQ55" s="384"/>
      <c r="NQR55" s="384"/>
      <c r="NQS55" s="384"/>
      <c r="NQT55" s="384"/>
      <c r="NQU55" s="384"/>
      <c r="NQV55" s="384"/>
      <c r="NQW55" s="384"/>
      <c r="NQX55" s="384"/>
      <c r="NQY55" s="384"/>
      <c r="NQZ55" s="384"/>
      <c r="NRA55" s="384"/>
      <c r="NRB55" s="384"/>
      <c r="NRC55" s="384"/>
      <c r="NRD55" s="384"/>
      <c r="NRE55" s="384"/>
      <c r="NRF55" s="384"/>
      <c r="NRG55" s="384"/>
      <c r="NRH55" s="384"/>
      <c r="NRI55" s="384"/>
      <c r="NRJ55" s="384"/>
      <c r="NRK55" s="384"/>
      <c r="NRL55" s="384"/>
      <c r="NRM55" s="384"/>
      <c r="NRN55" s="384"/>
      <c r="NRO55" s="384"/>
      <c r="NRP55" s="384"/>
      <c r="NRQ55" s="384"/>
      <c r="NRR55" s="384"/>
      <c r="NRS55" s="384"/>
      <c r="NRT55" s="384"/>
      <c r="NRU55" s="384"/>
      <c r="NRV55" s="384"/>
      <c r="NRW55" s="384"/>
      <c r="NRX55" s="384"/>
      <c r="NRY55" s="384"/>
      <c r="NRZ55" s="384"/>
      <c r="NSA55" s="384"/>
      <c r="NSB55" s="384"/>
      <c r="NSC55" s="384"/>
      <c r="NSD55" s="384"/>
      <c r="NSE55" s="384"/>
      <c r="NSF55" s="384"/>
      <c r="NSG55" s="384"/>
      <c r="NSH55" s="384"/>
      <c r="NSI55" s="384"/>
      <c r="NSJ55" s="384"/>
      <c r="NSK55" s="384"/>
      <c r="NSL55" s="384"/>
      <c r="NSM55" s="384"/>
      <c r="NSN55" s="384"/>
      <c r="NSO55" s="384"/>
      <c r="NSP55" s="384"/>
      <c r="NSQ55" s="384"/>
      <c r="NSR55" s="384"/>
      <c r="NSS55" s="384"/>
      <c r="NST55" s="384"/>
      <c r="NSU55" s="384"/>
      <c r="NSV55" s="384"/>
      <c r="NSW55" s="384"/>
      <c r="NSX55" s="384"/>
      <c r="NSY55" s="384"/>
      <c r="NSZ55" s="384"/>
      <c r="NTA55" s="384"/>
      <c r="NTB55" s="384"/>
      <c r="NTC55" s="384"/>
      <c r="NTD55" s="384"/>
      <c r="NTE55" s="384"/>
      <c r="NTF55" s="384"/>
      <c r="NTG55" s="384"/>
      <c r="NTH55" s="384"/>
      <c r="NTI55" s="384"/>
      <c r="NTJ55" s="384"/>
      <c r="NTK55" s="384"/>
      <c r="NTL55" s="384"/>
      <c r="NTM55" s="384"/>
      <c r="NTN55" s="384"/>
      <c r="NTO55" s="384"/>
      <c r="NTP55" s="384"/>
      <c r="NTQ55" s="384"/>
      <c r="NTR55" s="384"/>
      <c r="NTS55" s="384"/>
      <c r="NTT55" s="384"/>
      <c r="NTU55" s="384"/>
      <c r="NTV55" s="384"/>
      <c r="NTW55" s="384"/>
      <c r="NTX55" s="384"/>
      <c r="NTY55" s="384"/>
      <c r="NTZ55" s="384"/>
      <c r="NUA55" s="384"/>
      <c r="NUB55" s="384"/>
      <c r="NUC55" s="384"/>
      <c r="NUD55" s="384"/>
      <c r="NUE55" s="384"/>
      <c r="NUF55" s="384"/>
      <c r="NUG55" s="384"/>
      <c r="NUH55" s="384"/>
      <c r="NUI55" s="384"/>
      <c r="NUJ55" s="384"/>
      <c r="NUK55" s="384"/>
      <c r="NUL55" s="384"/>
      <c r="NUM55" s="384"/>
      <c r="NUN55" s="384"/>
      <c r="NUO55" s="384"/>
      <c r="NUP55" s="384"/>
      <c r="NUQ55" s="384"/>
      <c r="NUR55" s="384"/>
      <c r="NUS55" s="384"/>
      <c r="NUT55" s="384"/>
      <c r="NUU55" s="384"/>
      <c r="NUV55" s="384"/>
      <c r="NUW55" s="384"/>
      <c r="NUX55" s="384"/>
      <c r="NUY55" s="384"/>
      <c r="NUZ55" s="384"/>
      <c r="NVA55" s="384"/>
      <c r="NVB55" s="384"/>
      <c r="NVC55" s="384"/>
      <c r="NVD55" s="384"/>
      <c r="NVE55" s="384"/>
      <c r="NVF55" s="384"/>
      <c r="NVG55" s="384"/>
      <c r="NVH55" s="384"/>
      <c r="NVI55" s="384"/>
      <c r="NVJ55" s="384"/>
      <c r="NVK55" s="384"/>
      <c r="NVL55" s="384"/>
      <c r="NVM55" s="384"/>
      <c r="NVN55" s="384"/>
      <c r="NVO55" s="384"/>
      <c r="NVP55" s="384"/>
      <c r="NVQ55" s="384"/>
      <c r="NVR55" s="384"/>
      <c r="NVS55" s="384"/>
      <c r="NVT55" s="384"/>
      <c r="NVU55" s="384"/>
      <c r="NVV55" s="384"/>
      <c r="NVW55" s="384"/>
      <c r="NVX55" s="384"/>
      <c r="NVY55" s="384"/>
      <c r="NVZ55" s="384"/>
      <c r="NWA55" s="384"/>
      <c r="NWB55" s="384"/>
      <c r="NWC55" s="384"/>
      <c r="NWD55" s="384"/>
      <c r="NWE55" s="384"/>
      <c r="NWF55" s="384"/>
      <c r="NWG55" s="384"/>
      <c r="NWH55" s="384"/>
      <c r="NWI55" s="384"/>
      <c r="NWJ55" s="384"/>
      <c r="NWK55" s="384"/>
      <c r="NWL55" s="384"/>
      <c r="NWM55" s="384"/>
      <c r="NWN55" s="384"/>
      <c r="NWO55" s="384"/>
      <c r="NWP55" s="384"/>
      <c r="NWQ55" s="384"/>
      <c r="NWR55" s="384"/>
      <c r="NWS55" s="384"/>
      <c r="NWT55" s="384"/>
      <c r="NWU55" s="384"/>
      <c r="NWV55" s="384"/>
      <c r="NWW55" s="384"/>
      <c r="NWX55" s="384"/>
      <c r="NWY55" s="384"/>
      <c r="NWZ55" s="384"/>
      <c r="NXA55" s="384"/>
      <c r="NXB55" s="384"/>
      <c r="NXC55" s="384"/>
      <c r="NXD55" s="384"/>
      <c r="NXE55" s="384"/>
      <c r="NXF55" s="384"/>
      <c r="NXG55" s="384"/>
      <c r="NXH55" s="384"/>
      <c r="NXI55" s="384"/>
      <c r="NXJ55" s="384"/>
      <c r="NXK55" s="384"/>
      <c r="NXL55" s="384"/>
      <c r="NXM55" s="384"/>
      <c r="NXN55" s="384"/>
      <c r="NXO55" s="384"/>
      <c r="NXP55" s="384"/>
      <c r="NXQ55" s="384"/>
      <c r="NXR55" s="384"/>
      <c r="NXS55" s="384"/>
      <c r="NXT55" s="384"/>
      <c r="NXU55" s="384"/>
      <c r="NXV55" s="384"/>
      <c r="NXW55" s="384"/>
      <c r="NXX55" s="384"/>
      <c r="NXY55" s="384"/>
      <c r="NXZ55" s="384"/>
      <c r="NYA55" s="384"/>
      <c r="NYB55" s="384"/>
      <c r="NYC55" s="384"/>
      <c r="NYD55" s="384"/>
      <c r="NYE55" s="384"/>
      <c r="NYF55" s="384"/>
      <c r="NYG55" s="384"/>
      <c r="NYH55" s="384"/>
      <c r="NYI55" s="384"/>
      <c r="NYJ55" s="384"/>
      <c r="NYK55" s="384"/>
      <c r="NYL55" s="384"/>
      <c r="NYM55" s="384"/>
      <c r="NYN55" s="384"/>
      <c r="NYO55" s="384"/>
      <c r="NYP55" s="384"/>
      <c r="NYQ55" s="384"/>
      <c r="NYR55" s="384"/>
      <c r="NYS55" s="384"/>
      <c r="NYT55" s="384"/>
      <c r="NYU55" s="384"/>
      <c r="NYV55" s="384"/>
      <c r="NYW55" s="384"/>
      <c r="NYX55" s="384"/>
      <c r="NYY55" s="384"/>
      <c r="NYZ55" s="384"/>
      <c r="NZA55" s="384"/>
      <c r="NZB55" s="384"/>
      <c r="NZC55" s="384"/>
      <c r="NZD55" s="384"/>
      <c r="NZE55" s="384"/>
      <c r="NZF55" s="384"/>
      <c r="NZG55" s="384"/>
      <c r="NZH55" s="384"/>
      <c r="NZI55" s="384"/>
      <c r="NZJ55" s="384"/>
      <c r="NZK55" s="384"/>
      <c r="NZL55" s="384"/>
      <c r="NZM55" s="384"/>
      <c r="NZN55" s="384"/>
      <c r="NZO55" s="384"/>
      <c r="NZP55" s="384"/>
      <c r="NZQ55" s="384"/>
      <c r="NZR55" s="384"/>
      <c r="NZS55" s="384"/>
      <c r="NZT55" s="384"/>
      <c r="NZU55" s="384"/>
      <c r="NZV55" s="384"/>
      <c r="NZW55" s="384"/>
      <c r="NZX55" s="384"/>
      <c r="NZY55" s="384"/>
      <c r="NZZ55" s="384"/>
      <c r="OAA55" s="384"/>
      <c r="OAB55" s="384"/>
      <c r="OAC55" s="384"/>
      <c r="OAD55" s="384"/>
      <c r="OAE55" s="384"/>
      <c r="OAF55" s="384"/>
      <c r="OAG55" s="384"/>
      <c r="OAH55" s="384"/>
      <c r="OAI55" s="384"/>
      <c r="OAJ55" s="384"/>
      <c r="OAK55" s="384"/>
      <c r="OAL55" s="384"/>
      <c r="OAM55" s="384"/>
      <c r="OAN55" s="384"/>
      <c r="OAO55" s="384"/>
      <c r="OAP55" s="384"/>
      <c r="OAQ55" s="384"/>
      <c r="OAR55" s="384"/>
      <c r="OAS55" s="384"/>
      <c r="OAT55" s="384"/>
      <c r="OAU55" s="384"/>
      <c r="OAV55" s="384"/>
      <c r="OAW55" s="384"/>
      <c r="OAX55" s="384"/>
      <c r="OAY55" s="384"/>
      <c r="OAZ55" s="384"/>
      <c r="OBA55" s="384"/>
      <c r="OBB55" s="384"/>
      <c r="OBC55" s="384"/>
      <c r="OBD55" s="384"/>
      <c r="OBE55" s="384"/>
      <c r="OBF55" s="384"/>
      <c r="OBG55" s="384"/>
      <c r="OBH55" s="384"/>
      <c r="OBI55" s="384"/>
      <c r="OBJ55" s="384"/>
      <c r="OBK55" s="384"/>
      <c r="OBL55" s="384"/>
      <c r="OBM55" s="384"/>
      <c r="OBN55" s="384"/>
      <c r="OBO55" s="384"/>
      <c r="OBP55" s="384"/>
      <c r="OBQ55" s="384"/>
      <c r="OBR55" s="384"/>
      <c r="OBS55" s="384"/>
      <c r="OBT55" s="384"/>
      <c r="OBU55" s="384"/>
      <c r="OBV55" s="384"/>
      <c r="OBW55" s="384"/>
      <c r="OBX55" s="384"/>
      <c r="OBY55" s="384"/>
      <c r="OBZ55" s="384"/>
      <c r="OCA55" s="384"/>
      <c r="OCB55" s="384"/>
      <c r="OCC55" s="384"/>
      <c r="OCD55" s="384"/>
      <c r="OCE55" s="384"/>
      <c r="OCF55" s="384"/>
      <c r="OCG55" s="384"/>
      <c r="OCH55" s="384"/>
      <c r="OCI55" s="384"/>
      <c r="OCJ55" s="384"/>
      <c r="OCK55" s="384"/>
      <c r="OCL55" s="384"/>
      <c r="OCM55" s="384"/>
      <c r="OCN55" s="384"/>
      <c r="OCO55" s="384"/>
      <c r="OCP55" s="384"/>
      <c r="OCQ55" s="384"/>
      <c r="OCR55" s="384"/>
      <c r="OCS55" s="384"/>
      <c r="OCT55" s="384"/>
      <c r="OCU55" s="384"/>
      <c r="OCV55" s="384"/>
      <c r="OCW55" s="384"/>
      <c r="OCX55" s="384"/>
      <c r="OCY55" s="384"/>
      <c r="OCZ55" s="384"/>
      <c r="ODA55" s="384"/>
      <c r="ODB55" s="384"/>
      <c r="ODC55" s="384"/>
      <c r="ODD55" s="384"/>
      <c r="ODE55" s="384"/>
      <c r="ODF55" s="384"/>
      <c r="ODG55" s="384"/>
      <c r="ODH55" s="384"/>
      <c r="ODI55" s="384"/>
      <c r="ODJ55" s="384"/>
      <c r="ODK55" s="384"/>
      <c r="ODL55" s="384"/>
      <c r="ODM55" s="384"/>
      <c r="ODN55" s="384"/>
      <c r="ODO55" s="384"/>
      <c r="ODP55" s="384"/>
      <c r="ODQ55" s="384"/>
      <c r="ODR55" s="384"/>
      <c r="ODS55" s="384"/>
      <c r="ODT55" s="384"/>
      <c r="ODU55" s="384"/>
      <c r="ODV55" s="384"/>
      <c r="ODW55" s="384"/>
      <c r="ODX55" s="384"/>
      <c r="ODY55" s="384"/>
      <c r="ODZ55" s="384"/>
      <c r="OEA55" s="384"/>
      <c r="OEB55" s="384"/>
      <c r="OEC55" s="384"/>
      <c r="OED55" s="384"/>
      <c r="OEE55" s="384"/>
      <c r="OEF55" s="384"/>
      <c r="OEG55" s="384"/>
      <c r="OEH55" s="384"/>
      <c r="OEI55" s="384"/>
      <c r="OEJ55" s="384"/>
      <c r="OEK55" s="384"/>
      <c r="OEL55" s="384"/>
      <c r="OEM55" s="384"/>
      <c r="OEN55" s="384"/>
      <c r="OEO55" s="384"/>
      <c r="OEP55" s="384"/>
      <c r="OEQ55" s="384"/>
      <c r="OER55" s="384"/>
      <c r="OES55" s="384"/>
      <c r="OET55" s="384"/>
      <c r="OEU55" s="384"/>
      <c r="OEV55" s="384"/>
      <c r="OEW55" s="384"/>
      <c r="OEX55" s="384"/>
      <c r="OEY55" s="384"/>
      <c r="OEZ55" s="384"/>
      <c r="OFA55" s="384"/>
      <c r="OFB55" s="384"/>
      <c r="OFC55" s="384"/>
      <c r="OFD55" s="384"/>
      <c r="OFE55" s="384"/>
      <c r="OFF55" s="384"/>
      <c r="OFG55" s="384"/>
      <c r="OFH55" s="384"/>
      <c r="OFI55" s="384"/>
      <c r="OFJ55" s="384"/>
      <c r="OFK55" s="384"/>
      <c r="OFL55" s="384"/>
      <c r="OFM55" s="384"/>
      <c r="OFN55" s="384"/>
      <c r="OFO55" s="384"/>
      <c r="OFP55" s="384"/>
      <c r="OFQ55" s="384"/>
      <c r="OFR55" s="384"/>
      <c r="OFS55" s="384"/>
      <c r="OFT55" s="384"/>
      <c r="OFU55" s="384"/>
      <c r="OFV55" s="384"/>
      <c r="OFW55" s="384"/>
      <c r="OFX55" s="384"/>
      <c r="OFY55" s="384"/>
      <c r="OFZ55" s="384"/>
      <c r="OGA55" s="384"/>
      <c r="OGB55" s="384"/>
      <c r="OGC55" s="384"/>
      <c r="OGD55" s="384"/>
      <c r="OGE55" s="384"/>
      <c r="OGF55" s="384"/>
      <c r="OGG55" s="384"/>
      <c r="OGH55" s="384"/>
      <c r="OGI55" s="384"/>
      <c r="OGJ55" s="384"/>
      <c r="OGK55" s="384"/>
      <c r="OGL55" s="384"/>
      <c r="OGM55" s="384"/>
      <c r="OGN55" s="384"/>
      <c r="OGO55" s="384"/>
      <c r="OGP55" s="384"/>
      <c r="OGQ55" s="384"/>
      <c r="OGR55" s="384"/>
      <c r="OGS55" s="384"/>
      <c r="OGT55" s="384"/>
      <c r="OGU55" s="384"/>
      <c r="OGV55" s="384"/>
      <c r="OGW55" s="384"/>
      <c r="OGX55" s="384"/>
      <c r="OGY55" s="384"/>
      <c r="OGZ55" s="384"/>
      <c r="OHA55" s="384"/>
      <c r="OHB55" s="384"/>
      <c r="OHC55" s="384"/>
      <c r="OHD55" s="384"/>
      <c r="OHE55" s="384"/>
      <c r="OHF55" s="384"/>
      <c r="OHG55" s="384"/>
      <c r="OHH55" s="384"/>
      <c r="OHI55" s="384"/>
      <c r="OHJ55" s="384"/>
      <c r="OHK55" s="384"/>
      <c r="OHL55" s="384"/>
      <c r="OHM55" s="384"/>
      <c r="OHN55" s="384"/>
      <c r="OHO55" s="384"/>
      <c r="OHP55" s="384"/>
      <c r="OHQ55" s="384"/>
      <c r="OHR55" s="384"/>
      <c r="OHS55" s="384"/>
      <c r="OHT55" s="384"/>
      <c r="OHU55" s="384"/>
      <c r="OHV55" s="384"/>
      <c r="OHW55" s="384"/>
      <c r="OHX55" s="384"/>
      <c r="OHY55" s="384"/>
      <c r="OHZ55" s="384"/>
      <c r="OIA55" s="384"/>
      <c r="OIB55" s="384"/>
      <c r="OIC55" s="384"/>
      <c r="OID55" s="384"/>
      <c r="OIE55" s="384"/>
      <c r="OIF55" s="384"/>
      <c r="OIG55" s="384"/>
      <c r="OIH55" s="384"/>
      <c r="OII55" s="384"/>
      <c r="OIJ55" s="384"/>
      <c r="OIK55" s="384"/>
      <c r="OIL55" s="384"/>
      <c r="OIM55" s="384"/>
      <c r="OIN55" s="384"/>
      <c r="OIO55" s="384"/>
      <c r="OIP55" s="384"/>
      <c r="OIQ55" s="384"/>
      <c r="OIR55" s="384"/>
      <c r="OIS55" s="384"/>
      <c r="OIT55" s="384"/>
      <c r="OIU55" s="384"/>
      <c r="OIV55" s="384"/>
      <c r="OIW55" s="384"/>
      <c r="OIX55" s="384"/>
      <c r="OIY55" s="384"/>
      <c r="OIZ55" s="384"/>
      <c r="OJA55" s="384"/>
      <c r="OJB55" s="384"/>
      <c r="OJC55" s="384"/>
      <c r="OJD55" s="384"/>
      <c r="OJE55" s="384"/>
      <c r="OJF55" s="384"/>
      <c r="OJG55" s="384"/>
      <c r="OJH55" s="384"/>
      <c r="OJI55" s="384"/>
      <c r="OJJ55" s="384"/>
      <c r="OJK55" s="384"/>
      <c r="OJL55" s="384"/>
      <c r="OJM55" s="384"/>
      <c r="OJN55" s="384"/>
      <c r="OJO55" s="384"/>
      <c r="OJP55" s="384"/>
      <c r="OJQ55" s="384"/>
      <c r="OJR55" s="384"/>
      <c r="OJS55" s="384"/>
      <c r="OJT55" s="384"/>
      <c r="OJU55" s="384"/>
      <c r="OJV55" s="384"/>
      <c r="OJW55" s="384"/>
      <c r="OJX55" s="384"/>
      <c r="OJY55" s="384"/>
      <c r="OJZ55" s="384"/>
      <c r="OKA55" s="384"/>
      <c r="OKB55" s="384"/>
      <c r="OKC55" s="384"/>
      <c r="OKD55" s="384"/>
      <c r="OKE55" s="384"/>
      <c r="OKF55" s="384"/>
      <c r="OKG55" s="384"/>
      <c r="OKH55" s="384"/>
      <c r="OKI55" s="384"/>
      <c r="OKJ55" s="384"/>
      <c r="OKK55" s="384"/>
      <c r="OKL55" s="384"/>
      <c r="OKM55" s="384"/>
      <c r="OKN55" s="384"/>
      <c r="OKO55" s="384"/>
      <c r="OKP55" s="384"/>
      <c r="OKQ55" s="384"/>
      <c r="OKR55" s="384"/>
      <c r="OKS55" s="384"/>
      <c r="OKT55" s="384"/>
      <c r="OKU55" s="384"/>
      <c r="OKV55" s="384"/>
      <c r="OKW55" s="384"/>
      <c r="OKX55" s="384"/>
      <c r="OKY55" s="384"/>
      <c r="OKZ55" s="384"/>
      <c r="OLA55" s="384"/>
      <c r="OLB55" s="384"/>
      <c r="OLC55" s="384"/>
      <c r="OLD55" s="384"/>
      <c r="OLE55" s="384"/>
      <c r="OLF55" s="384"/>
      <c r="OLG55" s="384"/>
      <c r="OLH55" s="384"/>
      <c r="OLI55" s="384"/>
      <c r="OLJ55" s="384"/>
      <c r="OLK55" s="384"/>
      <c r="OLL55" s="384"/>
      <c r="OLM55" s="384"/>
      <c r="OLN55" s="384"/>
      <c r="OLO55" s="384"/>
      <c r="OLP55" s="384"/>
      <c r="OLQ55" s="384"/>
      <c r="OLR55" s="384"/>
      <c r="OLS55" s="384"/>
      <c r="OLT55" s="384"/>
      <c r="OLU55" s="384"/>
      <c r="OLV55" s="384"/>
      <c r="OLW55" s="384"/>
      <c r="OLX55" s="384"/>
      <c r="OLY55" s="384"/>
      <c r="OLZ55" s="384"/>
      <c r="OMA55" s="384"/>
      <c r="OMB55" s="384"/>
      <c r="OMC55" s="384"/>
      <c r="OMD55" s="384"/>
      <c r="OME55" s="384"/>
      <c r="OMF55" s="384"/>
      <c r="OMG55" s="384"/>
      <c r="OMH55" s="384"/>
      <c r="OMI55" s="384"/>
      <c r="OMJ55" s="384"/>
      <c r="OMK55" s="384"/>
      <c r="OML55" s="384"/>
      <c r="OMM55" s="384"/>
      <c r="OMN55" s="384"/>
      <c r="OMO55" s="384"/>
      <c r="OMP55" s="384"/>
      <c r="OMQ55" s="384"/>
      <c r="OMR55" s="384"/>
      <c r="OMS55" s="384"/>
      <c r="OMT55" s="384"/>
      <c r="OMU55" s="384"/>
      <c r="OMV55" s="384"/>
      <c r="OMW55" s="384"/>
      <c r="OMX55" s="384"/>
      <c r="OMY55" s="384"/>
      <c r="OMZ55" s="384"/>
      <c r="ONA55" s="384"/>
      <c r="ONB55" s="384"/>
      <c r="ONC55" s="384"/>
      <c r="OND55" s="384"/>
      <c r="ONE55" s="384"/>
      <c r="ONF55" s="384"/>
      <c r="ONG55" s="384"/>
      <c r="ONH55" s="384"/>
      <c r="ONI55" s="384"/>
      <c r="ONJ55" s="384"/>
      <c r="ONK55" s="384"/>
      <c r="ONL55" s="384"/>
      <c r="ONM55" s="384"/>
      <c r="ONN55" s="384"/>
      <c r="ONO55" s="384"/>
      <c r="ONP55" s="384"/>
      <c r="ONQ55" s="384"/>
      <c r="ONR55" s="384"/>
      <c r="ONS55" s="384"/>
      <c r="ONT55" s="384"/>
      <c r="ONU55" s="384"/>
      <c r="ONV55" s="384"/>
      <c r="ONW55" s="384"/>
      <c r="ONX55" s="384"/>
      <c r="ONY55" s="384"/>
      <c r="ONZ55" s="384"/>
      <c r="OOA55" s="384"/>
      <c r="OOB55" s="384"/>
      <c r="OOC55" s="384"/>
      <c r="OOD55" s="384"/>
      <c r="OOE55" s="384"/>
      <c r="OOF55" s="384"/>
      <c r="OOG55" s="384"/>
      <c r="OOH55" s="384"/>
      <c r="OOI55" s="384"/>
      <c r="OOJ55" s="384"/>
      <c r="OOK55" s="384"/>
      <c r="OOL55" s="384"/>
      <c r="OOM55" s="384"/>
      <c r="OON55" s="384"/>
      <c r="OOO55" s="384"/>
      <c r="OOP55" s="384"/>
      <c r="OOQ55" s="384"/>
      <c r="OOR55" s="384"/>
      <c r="OOS55" s="384"/>
      <c r="OOT55" s="384"/>
      <c r="OOU55" s="384"/>
      <c r="OOV55" s="384"/>
      <c r="OOW55" s="384"/>
      <c r="OOX55" s="384"/>
      <c r="OOY55" s="384"/>
      <c r="OOZ55" s="384"/>
      <c r="OPA55" s="384"/>
      <c r="OPB55" s="384"/>
      <c r="OPC55" s="384"/>
      <c r="OPD55" s="384"/>
      <c r="OPE55" s="384"/>
      <c r="OPF55" s="384"/>
      <c r="OPG55" s="384"/>
      <c r="OPH55" s="384"/>
      <c r="OPI55" s="384"/>
      <c r="OPJ55" s="384"/>
      <c r="OPK55" s="384"/>
      <c r="OPL55" s="384"/>
      <c r="OPM55" s="384"/>
      <c r="OPN55" s="384"/>
      <c r="OPO55" s="384"/>
      <c r="OPP55" s="384"/>
      <c r="OPQ55" s="384"/>
      <c r="OPR55" s="384"/>
      <c r="OPS55" s="384"/>
      <c r="OPT55" s="384"/>
      <c r="OPU55" s="384"/>
      <c r="OPV55" s="384"/>
      <c r="OPW55" s="384"/>
      <c r="OPX55" s="384"/>
      <c r="OPY55" s="384"/>
      <c r="OPZ55" s="384"/>
      <c r="OQA55" s="384"/>
      <c r="OQB55" s="384"/>
      <c r="OQC55" s="384"/>
      <c r="OQD55" s="384"/>
      <c r="OQE55" s="384"/>
      <c r="OQF55" s="384"/>
      <c r="OQG55" s="384"/>
      <c r="OQH55" s="384"/>
      <c r="OQI55" s="384"/>
      <c r="OQJ55" s="384"/>
      <c r="OQK55" s="384"/>
      <c r="OQL55" s="384"/>
      <c r="OQM55" s="384"/>
      <c r="OQN55" s="384"/>
      <c r="OQO55" s="384"/>
      <c r="OQP55" s="384"/>
      <c r="OQQ55" s="384"/>
      <c r="OQR55" s="384"/>
      <c r="OQS55" s="384"/>
      <c r="OQT55" s="384"/>
      <c r="OQU55" s="384"/>
      <c r="OQV55" s="384"/>
      <c r="OQW55" s="384"/>
      <c r="OQX55" s="384"/>
      <c r="OQY55" s="384"/>
      <c r="OQZ55" s="384"/>
      <c r="ORA55" s="384"/>
      <c r="ORB55" s="384"/>
      <c r="ORC55" s="384"/>
      <c r="ORD55" s="384"/>
      <c r="ORE55" s="384"/>
      <c r="ORF55" s="384"/>
      <c r="ORG55" s="384"/>
      <c r="ORH55" s="384"/>
      <c r="ORI55" s="384"/>
      <c r="ORJ55" s="384"/>
      <c r="ORK55" s="384"/>
      <c r="ORL55" s="384"/>
      <c r="ORM55" s="384"/>
      <c r="ORN55" s="384"/>
      <c r="ORO55" s="384"/>
      <c r="ORP55" s="384"/>
      <c r="ORQ55" s="384"/>
      <c r="ORR55" s="384"/>
      <c r="ORS55" s="384"/>
      <c r="ORT55" s="384"/>
      <c r="ORU55" s="384"/>
      <c r="ORV55" s="384"/>
      <c r="ORW55" s="384"/>
      <c r="ORX55" s="384"/>
      <c r="ORY55" s="384"/>
      <c r="ORZ55" s="384"/>
      <c r="OSA55" s="384"/>
      <c r="OSB55" s="384"/>
      <c r="OSC55" s="384"/>
      <c r="OSD55" s="384"/>
      <c r="OSE55" s="384"/>
      <c r="OSF55" s="384"/>
      <c r="OSG55" s="384"/>
      <c r="OSH55" s="384"/>
      <c r="OSI55" s="384"/>
      <c r="OSJ55" s="384"/>
      <c r="OSK55" s="384"/>
      <c r="OSL55" s="384"/>
      <c r="OSM55" s="384"/>
      <c r="OSN55" s="384"/>
      <c r="OSO55" s="384"/>
      <c r="OSP55" s="384"/>
      <c r="OSQ55" s="384"/>
      <c r="OSR55" s="384"/>
      <c r="OSS55" s="384"/>
      <c r="OST55" s="384"/>
      <c r="OSU55" s="384"/>
      <c r="OSV55" s="384"/>
      <c r="OSW55" s="384"/>
      <c r="OSX55" s="384"/>
      <c r="OSY55" s="384"/>
      <c r="OSZ55" s="384"/>
      <c r="OTA55" s="384"/>
      <c r="OTB55" s="384"/>
      <c r="OTC55" s="384"/>
      <c r="OTD55" s="384"/>
      <c r="OTE55" s="384"/>
      <c r="OTF55" s="384"/>
      <c r="OTG55" s="384"/>
      <c r="OTH55" s="384"/>
      <c r="OTI55" s="384"/>
      <c r="OTJ55" s="384"/>
      <c r="OTK55" s="384"/>
      <c r="OTL55" s="384"/>
      <c r="OTM55" s="384"/>
      <c r="OTN55" s="384"/>
      <c r="OTO55" s="384"/>
      <c r="OTP55" s="384"/>
      <c r="OTQ55" s="384"/>
      <c r="OTR55" s="384"/>
      <c r="OTS55" s="384"/>
      <c r="OTT55" s="384"/>
      <c r="OTU55" s="384"/>
      <c r="OTV55" s="384"/>
      <c r="OTW55" s="384"/>
      <c r="OTX55" s="384"/>
      <c r="OTY55" s="384"/>
      <c r="OTZ55" s="384"/>
      <c r="OUA55" s="384"/>
      <c r="OUB55" s="384"/>
      <c r="OUC55" s="384"/>
      <c r="OUD55" s="384"/>
      <c r="OUE55" s="384"/>
      <c r="OUF55" s="384"/>
      <c r="OUG55" s="384"/>
      <c r="OUH55" s="384"/>
      <c r="OUI55" s="384"/>
      <c r="OUJ55" s="384"/>
      <c r="OUK55" s="384"/>
      <c r="OUL55" s="384"/>
      <c r="OUM55" s="384"/>
      <c r="OUN55" s="384"/>
      <c r="OUO55" s="384"/>
      <c r="OUP55" s="384"/>
      <c r="OUQ55" s="384"/>
      <c r="OUR55" s="384"/>
      <c r="OUS55" s="384"/>
      <c r="OUT55" s="384"/>
      <c r="OUU55" s="384"/>
      <c r="OUV55" s="384"/>
      <c r="OUW55" s="384"/>
      <c r="OUX55" s="384"/>
      <c r="OUY55" s="384"/>
      <c r="OUZ55" s="384"/>
      <c r="OVA55" s="384"/>
      <c r="OVB55" s="384"/>
      <c r="OVC55" s="384"/>
      <c r="OVD55" s="384"/>
      <c r="OVE55" s="384"/>
      <c r="OVF55" s="384"/>
      <c r="OVG55" s="384"/>
      <c r="OVH55" s="384"/>
      <c r="OVI55" s="384"/>
      <c r="OVJ55" s="384"/>
      <c r="OVK55" s="384"/>
      <c r="OVL55" s="384"/>
      <c r="OVM55" s="384"/>
      <c r="OVN55" s="384"/>
      <c r="OVO55" s="384"/>
      <c r="OVP55" s="384"/>
      <c r="OVQ55" s="384"/>
      <c r="OVR55" s="384"/>
      <c r="OVS55" s="384"/>
      <c r="OVT55" s="384"/>
      <c r="OVU55" s="384"/>
      <c r="OVV55" s="384"/>
      <c r="OVW55" s="384"/>
      <c r="OVX55" s="384"/>
      <c r="OVY55" s="384"/>
      <c r="OVZ55" s="384"/>
      <c r="OWA55" s="384"/>
      <c r="OWB55" s="384"/>
      <c r="OWC55" s="384"/>
      <c r="OWD55" s="384"/>
      <c r="OWE55" s="384"/>
      <c r="OWF55" s="384"/>
      <c r="OWG55" s="384"/>
      <c r="OWH55" s="384"/>
      <c r="OWI55" s="384"/>
      <c r="OWJ55" s="384"/>
      <c r="OWK55" s="384"/>
      <c r="OWL55" s="384"/>
      <c r="OWM55" s="384"/>
      <c r="OWN55" s="384"/>
      <c r="OWO55" s="384"/>
      <c r="OWP55" s="384"/>
      <c r="OWQ55" s="384"/>
      <c r="OWR55" s="384"/>
      <c r="OWS55" s="384"/>
      <c r="OWT55" s="384"/>
      <c r="OWU55" s="384"/>
      <c r="OWV55" s="384"/>
      <c r="OWW55" s="384"/>
      <c r="OWX55" s="384"/>
      <c r="OWY55" s="384"/>
      <c r="OWZ55" s="384"/>
      <c r="OXA55" s="384"/>
      <c r="OXB55" s="384"/>
      <c r="OXC55" s="384"/>
      <c r="OXD55" s="384"/>
      <c r="OXE55" s="384"/>
      <c r="OXF55" s="384"/>
      <c r="OXG55" s="384"/>
      <c r="OXH55" s="384"/>
      <c r="OXI55" s="384"/>
      <c r="OXJ55" s="384"/>
      <c r="OXK55" s="384"/>
      <c r="OXL55" s="384"/>
      <c r="OXM55" s="384"/>
      <c r="OXN55" s="384"/>
      <c r="OXO55" s="384"/>
      <c r="OXP55" s="384"/>
      <c r="OXQ55" s="384"/>
      <c r="OXR55" s="384"/>
      <c r="OXS55" s="384"/>
      <c r="OXT55" s="384"/>
      <c r="OXU55" s="384"/>
      <c r="OXV55" s="384"/>
      <c r="OXW55" s="384"/>
      <c r="OXX55" s="384"/>
      <c r="OXY55" s="384"/>
      <c r="OXZ55" s="384"/>
      <c r="OYA55" s="384"/>
      <c r="OYB55" s="384"/>
      <c r="OYC55" s="384"/>
      <c r="OYD55" s="384"/>
      <c r="OYE55" s="384"/>
      <c r="OYF55" s="384"/>
      <c r="OYG55" s="384"/>
      <c r="OYH55" s="384"/>
      <c r="OYI55" s="384"/>
      <c r="OYJ55" s="384"/>
      <c r="OYK55" s="384"/>
      <c r="OYL55" s="384"/>
      <c r="OYM55" s="384"/>
      <c r="OYN55" s="384"/>
      <c r="OYO55" s="384"/>
      <c r="OYP55" s="384"/>
      <c r="OYQ55" s="384"/>
      <c r="OYR55" s="384"/>
      <c r="OYS55" s="384"/>
      <c r="OYT55" s="384"/>
      <c r="OYU55" s="384"/>
      <c r="OYV55" s="384"/>
      <c r="OYW55" s="384"/>
      <c r="OYX55" s="384"/>
      <c r="OYY55" s="384"/>
      <c r="OYZ55" s="384"/>
      <c r="OZA55" s="384"/>
      <c r="OZB55" s="384"/>
      <c r="OZC55" s="384"/>
      <c r="OZD55" s="384"/>
      <c r="OZE55" s="384"/>
      <c r="OZF55" s="384"/>
      <c r="OZG55" s="384"/>
      <c r="OZH55" s="384"/>
      <c r="OZI55" s="384"/>
      <c r="OZJ55" s="384"/>
      <c r="OZK55" s="384"/>
      <c r="OZL55" s="384"/>
      <c r="OZM55" s="384"/>
      <c r="OZN55" s="384"/>
      <c r="OZO55" s="384"/>
      <c r="OZP55" s="384"/>
      <c r="OZQ55" s="384"/>
      <c r="OZR55" s="384"/>
      <c r="OZS55" s="384"/>
      <c r="OZT55" s="384"/>
      <c r="OZU55" s="384"/>
      <c r="OZV55" s="384"/>
      <c r="OZW55" s="384"/>
      <c r="OZX55" s="384"/>
      <c r="OZY55" s="384"/>
      <c r="OZZ55" s="384"/>
      <c r="PAA55" s="384"/>
      <c r="PAB55" s="384"/>
      <c r="PAC55" s="384"/>
      <c r="PAD55" s="384"/>
      <c r="PAE55" s="384"/>
      <c r="PAF55" s="384"/>
      <c r="PAG55" s="384"/>
      <c r="PAH55" s="384"/>
      <c r="PAI55" s="384"/>
      <c r="PAJ55" s="384"/>
      <c r="PAK55" s="384"/>
      <c r="PAL55" s="384"/>
      <c r="PAM55" s="384"/>
      <c r="PAN55" s="384"/>
      <c r="PAO55" s="384"/>
      <c r="PAP55" s="384"/>
      <c r="PAQ55" s="384"/>
      <c r="PAR55" s="384"/>
      <c r="PAS55" s="384"/>
      <c r="PAT55" s="384"/>
      <c r="PAU55" s="384"/>
      <c r="PAV55" s="384"/>
      <c r="PAW55" s="384"/>
      <c r="PAX55" s="384"/>
      <c r="PAY55" s="384"/>
      <c r="PAZ55" s="384"/>
      <c r="PBA55" s="384"/>
      <c r="PBB55" s="384"/>
      <c r="PBC55" s="384"/>
      <c r="PBD55" s="384"/>
      <c r="PBE55" s="384"/>
      <c r="PBF55" s="384"/>
      <c r="PBG55" s="384"/>
      <c r="PBH55" s="384"/>
      <c r="PBI55" s="384"/>
      <c r="PBJ55" s="384"/>
      <c r="PBK55" s="384"/>
      <c r="PBL55" s="384"/>
      <c r="PBM55" s="384"/>
      <c r="PBN55" s="384"/>
      <c r="PBO55" s="384"/>
      <c r="PBP55" s="384"/>
      <c r="PBQ55" s="384"/>
      <c r="PBR55" s="384"/>
      <c r="PBS55" s="384"/>
      <c r="PBT55" s="384"/>
      <c r="PBU55" s="384"/>
      <c r="PBV55" s="384"/>
      <c r="PBW55" s="384"/>
      <c r="PBX55" s="384"/>
      <c r="PBY55" s="384"/>
      <c r="PBZ55" s="384"/>
      <c r="PCA55" s="384"/>
      <c r="PCB55" s="384"/>
      <c r="PCC55" s="384"/>
      <c r="PCD55" s="384"/>
      <c r="PCE55" s="384"/>
      <c r="PCF55" s="384"/>
      <c r="PCG55" s="384"/>
      <c r="PCH55" s="384"/>
      <c r="PCI55" s="384"/>
      <c r="PCJ55" s="384"/>
      <c r="PCK55" s="384"/>
      <c r="PCL55" s="384"/>
      <c r="PCM55" s="384"/>
      <c r="PCN55" s="384"/>
      <c r="PCO55" s="384"/>
      <c r="PCP55" s="384"/>
      <c r="PCQ55" s="384"/>
      <c r="PCR55" s="384"/>
      <c r="PCS55" s="384"/>
      <c r="PCT55" s="384"/>
      <c r="PCU55" s="384"/>
      <c r="PCV55" s="384"/>
      <c r="PCW55" s="384"/>
      <c r="PCX55" s="384"/>
      <c r="PCY55" s="384"/>
      <c r="PCZ55" s="384"/>
      <c r="PDA55" s="384"/>
      <c r="PDB55" s="384"/>
      <c r="PDC55" s="384"/>
      <c r="PDD55" s="384"/>
      <c r="PDE55" s="384"/>
      <c r="PDF55" s="384"/>
      <c r="PDG55" s="384"/>
      <c r="PDH55" s="384"/>
      <c r="PDI55" s="384"/>
      <c r="PDJ55" s="384"/>
      <c r="PDK55" s="384"/>
      <c r="PDL55" s="384"/>
      <c r="PDM55" s="384"/>
      <c r="PDN55" s="384"/>
      <c r="PDO55" s="384"/>
      <c r="PDP55" s="384"/>
      <c r="PDQ55" s="384"/>
      <c r="PDR55" s="384"/>
      <c r="PDS55" s="384"/>
      <c r="PDT55" s="384"/>
      <c r="PDU55" s="384"/>
      <c r="PDV55" s="384"/>
      <c r="PDW55" s="384"/>
      <c r="PDX55" s="384"/>
      <c r="PDY55" s="384"/>
      <c r="PDZ55" s="384"/>
      <c r="PEA55" s="384"/>
      <c r="PEB55" s="384"/>
      <c r="PEC55" s="384"/>
      <c r="PED55" s="384"/>
      <c r="PEE55" s="384"/>
      <c r="PEF55" s="384"/>
      <c r="PEG55" s="384"/>
      <c r="PEH55" s="384"/>
      <c r="PEI55" s="384"/>
      <c r="PEJ55" s="384"/>
      <c r="PEK55" s="384"/>
      <c r="PEL55" s="384"/>
      <c r="PEM55" s="384"/>
      <c r="PEN55" s="384"/>
      <c r="PEO55" s="384"/>
      <c r="PEP55" s="384"/>
      <c r="PEQ55" s="384"/>
      <c r="PER55" s="384"/>
      <c r="PES55" s="384"/>
      <c r="PET55" s="384"/>
      <c r="PEU55" s="384"/>
      <c r="PEV55" s="384"/>
      <c r="PEW55" s="384"/>
      <c r="PEX55" s="384"/>
      <c r="PEY55" s="384"/>
      <c r="PEZ55" s="384"/>
      <c r="PFA55" s="384"/>
      <c r="PFB55" s="384"/>
      <c r="PFC55" s="384"/>
      <c r="PFD55" s="384"/>
      <c r="PFE55" s="384"/>
      <c r="PFF55" s="384"/>
      <c r="PFG55" s="384"/>
      <c r="PFH55" s="384"/>
      <c r="PFI55" s="384"/>
      <c r="PFJ55" s="384"/>
      <c r="PFK55" s="384"/>
      <c r="PFL55" s="384"/>
      <c r="PFM55" s="384"/>
      <c r="PFN55" s="384"/>
      <c r="PFO55" s="384"/>
      <c r="PFP55" s="384"/>
      <c r="PFQ55" s="384"/>
      <c r="PFR55" s="384"/>
      <c r="PFS55" s="384"/>
      <c r="PFT55" s="384"/>
      <c r="PFU55" s="384"/>
      <c r="PFV55" s="384"/>
      <c r="PFW55" s="384"/>
      <c r="PFX55" s="384"/>
      <c r="PFY55" s="384"/>
      <c r="PFZ55" s="384"/>
      <c r="PGA55" s="384"/>
      <c r="PGB55" s="384"/>
      <c r="PGC55" s="384"/>
      <c r="PGD55" s="384"/>
      <c r="PGE55" s="384"/>
      <c r="PGF55" s="384"/>
      <c r="PGG55" s="384"/>
      <c r="PGH55" s="384"/>
      <c r="PGI55" s="384"/>
      <c r="PGJ55" s="384"/>
      <c r="PGK55" s="384"/>
      <c r="PGL55" s="384"/>
      <c r="PGM55" s="384"/>
      <c r="PGN55" s="384"/>
      <c r="PGO55" s="384"/>
      <c r="PGP55" s="384"/>
      <c r="PGQ55" s="384"/>
      <c r="PGR55" s="384"/>
      <c r="PGS55" s="384"/>
      <c r="PGT55" s="384"/>
      <c r="PGU55" s="384"/>
      <c r="PGV55" s="384"/>
      <c r="PGW55" s="384"/>
      <c r="PGX55" s="384"/>
      <c r="PGY55" s="384"/>
      <c r="PGZ55" s="384"/>
      <c r="PHA55" s="384"/>
      <c r="PHB55" s="384"/>
      <c r="PHC55" s="384"/>
      <c r="PHD55" s="384"/>
      <c r="PHE55" s="384"/>
      <c r="PHF55" s="384"/>
      <c r="PHG55" s="384"/>
      <c r="PHH55" s="384"/>
      <c r="PHI55" s="384"/>
      <c r="PHJ55" s="384"/>
      <c r="PHK55" s="384"/>
      <c r="PHL55" s="384"/>
      <c r="PHM55" s="384"/>
      <c r="PHN55" s="384"/>
      <c r="PHO55" s="384"/>
      <c r="PHP55" s="384"/>
      <c r="PHQ55" s="384"/>
      <c r="PHR55" s="384"/>
      <c r="PHS55" s="384"/>
      <c r="PHT55" s="384"/>
      <c r="PHU55" s="384"/>
      <c r="PHV55" s="384"/>
      <c r="PHW55" s="384"/>
      <c r="PHX55" s="384"/>
      <c r="PHY55" s="384"/>
      <c r="PHZ55" s="384"/>
      <c r="PIA55" s="384"/>
      <c r="PIB55" s="384"/>
      <c r="PIC55" s="384"/>
      <c r="PID55" s="384"/>
      <c r="PIE55" s="384"/>
      <c r="PIF55" s="384"/>
      <c r="PIG55" s="384"/>
      <c r="PIH55" s="384"/>
      <c r="PII55" s="384"/>
      <c r="PIJ55" s="384"/>
      <c r="PIK55" s="384"/>
      <c r="PIL55" s="384"/>
      <c r="PIM55" s="384"/>
      <c r="PIN55" s="384"/>
      <c r="PIO55" s="384"/>
      <c r="PIP55" s="384"/>
      <c r="PIQ55" s="384"/>
      <c r="PIR55" s="384"/>
      <c r="PIS55" s="384"/>
      <c r="PIT55" s="384"/>
      <c r="PIU55" s="384"/>
      <c r="PIV55" s="384"/>
      <c r="PIW55" s="384"/>
      <c r="PIX55" s="384"/>
      <c r="PIY55" s="384"/>
      <c r="PIZ55" s="384"/>
      <c r="PJA55" s="384"/>
      <c r="PJB55" s="384"/>
      <c r="PJC55" s="384"/>
      <c r="PJD55" s="384"/>
      <c r="PJE55" s="384"/>
      <c r="PJF55" s="384"/>
      <c r="PJG55" s="384"/>
      <c r="PJH55" s="384"/>
      <c r="PJI55" s="384"/>
      <c r="PJJ55" s="384"/>
      <c r="PJK55" s="384"/>
      <c r="PJL55" s="384"/>
      <c r="PJM55" s="384"/>
      <c r="PJN55" s="384"/>
      <c r="PJO55" s="384"/>
      <c r="PJP55" s="384"/>
      <c r="PJQ55" s="384"/>
      <c r="PJR55" s="384"/>
      <c r="PJS55" s="384"/>
      <c r="PJT55" s="384"/>
      <c r="PJU55" s="384"/>
      <c r="PJV55" s="384"/>
      <c r="PJW55" s="384"/>
      <c r="PJX55" s="384"/>
      <c r="PJY55" s="384"/>
      <c r="PJZ55" s="384"/>
      <c r="PKA55" s="384"/>
      <c r="PKB55" s="384"/>
      <c r="PKC55" s="384"/>
      <c r="PKD55" s="384"/>
      <c r="PKE55" s="384"/>
      <c r="PKF55" s="384"/>
      <c r="PKG55" s="384"/>
      <c r="PKH55" s="384"/>
      <c r="PKI55" s="384"/>
      <c r="PKJ55" s="384"/>
      <c r="PKK55" s="384"/>
      <c r="PKL55" s="384"/>
      <c r="PKM55" s="384"/>
      <c r="PKN55" s="384"/>
      <c r="PKO55" s="384"/>
      <c r="PKP55" s="384"/>
      <c r="PKQ55" s="384"/>
      <c r="PKR55" s="384"/>
      <c r="PKS55" s="384"/>
      <c r="PKT55" s="384"/>
      <c r="PKU55" s="384"/>
      <c r="PKV55" s="384"/>
      <c r="PKW55" s="384"/>
      <c r="PKX55" s="384"/>
      <c r="PKY55" s="384"/>
      <c r="PKZ55" s="384"/>
      <c r="PLA55" s="384"/>
      <c r="PLB55" s="384"/>
      <c r="PLC55" s="384"/>
      <c r="PLD55" s="384"/>
      <c r="PLE55" s="384"/>
      <c r="PLF55" s="384"/>
      <c r="PLG55" s="384"/>
      <c r="PLH55" s="384"/>
      <c r="PLI55" s="384"/>
      <c r="PLJ55" s="384"/>
      <c r="PLK55" s="384"/>
      <c r="PLL55" s="384"/>
      <c r="PLM55" s="384"/>
      <c r="PLN55" s="384"/>
      <c r="PLO55" s="384"/>
      <c r="PLP55" s="384"/>
      <c r="PLQ55" s="384"/>
      <c r="PLR55" s="384"/>
      <c r="PLS55" s="384"/>
      <c r="PLT55" s="384"/>
      <c r="PLU55" s="384"/>
      <c r="PLV55" s="384"/>
      <c r="PLW55" s="384"/>
      <c r="PLX55" s="384"/>
      <c r="PLY55" s="384"/>
      <c r="PLZ55" s="384"/>
      <c r="PMA55" s="384"/>
      <c r="PMB55" s="384"/>
      <c r="PMC55" s="384"/>
      <c r="PMD55" s="384"/>
      <c r="PME55" s="384"/>
      <c r="PMF55" s="384"/>
      <c r="PMG55" s="384"/>
      <c r="PMH55" s="384"/>
      <c r="PMI55" s="384"/>
      <c r="PMJ55" s="384"/>
      <c r="PMK55" s="384"/>
      <c r="PML55" s="384"/>
      <c r="PMM55" s="384"/>
      <c r="PMN55" s="384"/>
      <c r="PMO55" s="384"/>
      <c r="PMP55" s="384"/>
      <c r="PMQ55" s="384"/>
      <c r="PMR55" s="384"/>
      <c r="PMS55" s="384"/>
      <c r="PMT55" s="384"/>
      <c r="PMU55" s="384"/>
      <c r="PMV55" s="384"/>
      <c r="PMW55" s="384"/>
      <c r="PMX55" s="384"/>
      <c r="PMY55" s="384"/>
      <c r="PMZ55" s="384"/>
      <c r="PNA55" s="384"/>
      <c r="PNB55" s="384"/>
      <c r="PNC55" s="384"/>
      <c r="PND55" s="384"/>
      <c r="PNE55" s="384"/>
      <c r="PNF55" s="384"/>
      <c r="PNG55" s="384"/>
      <c r="PNH55" s="384"/>
      <c r="PNI55" s="384"/>
      <c r="PNJ55" s="384"/>
      <c r="PNK55" s="384"/>
      <c r="PNL55" s="384"/>
      <c r="PNM55" s="384"/>
      <c r="PNN55" s="384"/>
      <c r="PNO55" s="384"/>
      <c r="PNP55" s="384"/>
      <c r="PNQ55" s="384"/>
      <c r="PNR55" s="384"/>
      <c r="PNS55" s="384"/>
      <c r="PNT55" s="384"/>
      <c r="PNU55" s="384"/>
      <c r="PNV55" s="384"/>
      <c r="PNW55" s="384"/>
      <c r="PNX55" s="384"/>
      <c r="PNY55" s="384"/>
      <c r="PNZ55" s="384"/>
      <c r="POA55" s="384"/>
      <c r="POB55" s="384"/>
      <c r="POC55" s="384"/>
      <c r="POD55" s="384"/>
      <c r="POE55" s="384"/>
      <c r="POF55" s="384"/>
      <c r="POG55" s="384"/>
      <c r="POH55" s="384"/>
      <c r="POI55" s="384"/>
      <c r="POJ55" s="384"/>
      <c r="POK55" s="384"/>
      <c r="POL55" s="384"/>
      <c r="POM55" s="384"/>
      <c r="PON55" s="384"/>
      <c r="POO55" s="384"/>
      <c r="POP55" s="384"/>
      <c r="POQ55" s="384"/>
      <c r="POR55" s="384"/>
      <c r="POS55" s="384"/>
      <c r="POT55" s="384"/>
      <c r="POU55" s="384"/>
      <c r="POV55" s="384"/>
      <c r="POW55" s="384"/>
      <c r="POX55" s="384"/>
      <c r="POY55" s="384"/>
      <c r="POZ55" s="384"/>
      <c r="PPA55" s="384"/>
      <c r="PPB55" s="384"/>
      <c r="PPC55" s="384"/>
      <c r="PPD55" s="384"/>
      <c r="PPE55" s="384"/>
      <c r="PPF55" s="384"/>
      <c r="PPG55" s="384"/>
      <c r="PPH55" s="384"/>
      <c r="PPI55" s="384"/>
      <c r="PPJ55" s="384"/>
      <c r="PPK55" s="384"/>
      <c r="PPL55" s="384"/>
      <c r="PPM55" s="384"/>
      <c r="PPN55" s="384"/>
      <c r="PPO55" s="384"/>
      <c r="PPP55" s="384"/>
      <c r="PPQ55" s="384"/>
      <c r="PPR55" s="384"/>
      <c r="PPS55" s="384"/>
      <c r="PPT55" s="384"/>
      <c r="PPU55" s="384"/>
      <c r="PPV55" s="384"/>
      <c r="PPW55" s="384"/>
      <c r="PPX55" s="384"/>
      <c r="PPY55" s="384"/>
      <c r="PPZ55" s="384"/>
      <c r="PQA55" s="384"/>
      <c r="PQB55" s="384"/>
      <c r="PQC55" s="384"/>
      <c r="PQD55" s="384"/>
      <c r="PQE55" s="384"/>
      <c r="PQF55" s="384"/>
      <c r="PQG55" s="384"/>
      <c r="PQH55" s="384"/>
      <c r="PQI55" s="384"/>
      <c r="PQJ55" s="384"/>
      <c r="PQK55" s="384"/>
      <c r="PQL55" s="384"/>
      <c r="PQM55" s="384"/>
      <c r="PQN55" s="384"/>
      <c r="PQO55" s="384"/>
      <c r="PQP55" s="384"/>
      <c r="PQQ55" s="384"/>
      <c r="PQR55" s="384"/>
      <c r="PQS55" s="384"/>
      <c r="PQT55" s="384"/>
      <c r="PQU55" s="384"/>
      <c r="PQV55" s="384"/>
      <c r="PQW55" s="384"/>
      <c r="PQX55" s="384"/>
      <c r="PQY55" s="384"/>
      <c r="PQZ55" s="384"/>
      <c r="PRA55" s="384"/>
      <c r="PRB55" s="384"/>
      <c r="PRC55" s="384"/>
      <c r="PRD55" s="384"/>
      <c r="PRE55" s="384"/>
      <c r="PRF55" s="384"/>
      <c r="PRG55" s="384"/>
      <c r="PRH55" s="384"/>
      <c r="PRI55" s="384"/>
      <c r="PRJ55" s="384"/>
      <c r="PRK55" s="384"/>
      <c r="PRL55" s="384"/>
      <c r="PRM55" s="384"/>
      <c r="PRN55" s="384"/>
      <c r="PRO55" s="384"/>
      <c r="PRP55" s="384"/>
      <c r="PRQ55" s="384"/>
      <c r="PRR55" s="384"/>
      <c r="PRS55" s="384"/>
      <c r="PRT55" s="384"/>
      <c r="PRU55" s="384"/>
      <c r="PRV55" s="384"/>
      <c r="PRW55" s="384"/>
      <c r="PRX55" s="384"/>
      <c r="PRY55" s="384"/>
      <c r="PRZ55" s="384"/>
      <c r="PSA55" s="384"/>
      <c r="PSB55" s="384"/>
      <c r="PSC55" s="384"/>
      <c r="PSD55" s="384"/>
      <c r="PSE55" s="384"/>
      <c r="PSF55" s="384"/>
      <c r="PSG55" s="384"/>
      <c r="PSH55" s="384"/>
      <c r="PSI55" s="384"/>
      <c r="PSJ55" s="384"/>
      <c r="PSK55" s="384"/>
      <c r="PSL55" s="384"/>
      <c r="PSM55" s="384"/>
      <c r="PSN55" s="384"/>
      <c r="PSO55" s="384"/>
      <c r="PSP55" s="384"/>
      <c r="PSQ55" s="384"/>
      <c r="PSR55" s="384"/>
      <c r="PSS55" s="384"/>
      <c r="PST55" s="384"/>
      <c r="PSU55" s="384"/>
      <c r="PSV55" s="384"/>
      <c r="PSW55" s="384"/>
      <c r="PSX55" s="384"/>
      <c r="PSY55" s="384"/>
      <c r="PSZ55" s="384"/>
      <c r="PTA55" s="384"/>
      <c r="PTB55" s="384"/>
      <c r="PTC55" s="384"/>
      <c r="PTD55" s="384"/>
      <c r="PTE55" s="384"/>
      <c r="PTF55" s="384"/>
      <c r="PTG55" s="384"/>
      <c r="PTH55" s="384"/>
      <c r="PTI55" s="384"/>
      <c r="PTJ55" s="384"/>
      <c r="PTK55" s="384"/>
      <c r="PTL55" s="384"/>
      <c r="PTM55" s="384"/>
      <c r="PTN55" s="384"/>
      <c r="PTO55" s="384"/>
      <c r="PTP55" s="384"/>
      <c r="PTQ55" s="384"/>
      <c r="PTR55" s="384"/>
      <c r="PTS55" s="384"/>
      <c r="PTT55" s="384"/>
      <c r="PTU55" s="384"/>
      <c r="PTV55" s="384"/>
      <c r="PTW55" s="384"/>
      <c r="PTX55" s="384"/>
      <c r="PTY55" s="384"/>
      <c r="PTZ55" s="384"/>
      <c r="PUA55" s="384"/>
      <c r="PUB55" s="384"/>
      <c r="PUC55" s="384"/>
      <c r="PUD55" s="384"/>
      <c r="PUE55" s="384"/>
      <c r="PUF55" s="384"/>
      <c r="PUG55" s="384"/>
      <c r="PUH55" s="384"/>
      <c r="PUI55" s="384"/>
      <c r="PUJ55" s="384"/>
      <c r="PUK55" s="384"/>
      <c r="PUL55" s="384"/>
      <c r="PUM55" s="384"/>
      <c r="PUN55" s="384"/>
      <c r="PUO55" s="384"/>
      <c r="PUP55" s="384"/>
      <c r="PUQ55" s="384"/>
      <c r="PUR55" s="384"/>
      <c r="PUS55" s="384"/>
      <c r="PUT55" s="384"/>
      <c r="PUU55" s="384"/>
      <c r="PUV55" s="384"/>
      <c r="PUW55" s="384"/>
      <c r="PUX55" s="384"/>
      <c r="PUY55" s="384"/>
      <c r="PUZ55" s="384"/>
      <c r="PVA55" s="384"/>
      <c r="PVB55" s="384"/>
      <c r="PVC55" s="384"/>
      <c r="PVD55" s="384"/>
      <c r="PVE55" s="384"/>
      <c r="PVF55" s="384"/>
      <c r="PVG55" s="384"/>
      <c r="PVH55" s="384"/>
      <c r="PVI55" s="384"/>
      <c r="PVJ55" s="384"/>
      <c r="PVK55" s="384"/>
      <c r="PVL55" s="384"/>
      <c r="PVM55" s="384"/>
      <c r="PVN55" s="384"/>
      <c r="PVO55" s="384"/>
      <c r="PVP55" s="384"/>
      <c r="PVQ55" s="384"/>
      <c r="PVR55" s="384"/>
      <c r="PVS55" s="384"/>
      <c r="PVT55" s="384"/>
      <c r="PVU55" s="384"/>
      <c r="PVV55" s="384"/>
      <c r="PVW55" s="384"/>
      <c r="PVX55" s="384"/>
      <c r="PVY55" s="384"/>
      <c r="PVZ55" s="384"/>
      <c r="PWA55" s="384"/>
      <c r="PWB55" s="384"/>
      <c r="PWC55" s="384"/>
      <c r="PWD55" s="384"/>
      <c r="PWE55" s="384"/>
      <c r="PWF55" s="384"/>
      <c r="PWG55" s="384"/>
      <c r="PWH55" s="384"/>
      <c r="PWI55" s="384"/>
      <c r="PWJ55" s="384"/>
      <c r="PWK55" s="384"/>
      <c r="PWL55" s="384"/>
      <c r="PWM55" s="384"/>
      <c r="PWN55" s="384"/>
      <c r="PWO55" s="384"/>
      <c r="PWP55" s="384"/>
      <c r="PWQ55" s="384"/>
      <c r="PWR55" s="384"/>
      <c r="PWS55" s="384"/>
      <c r="PWT55" s="384"/>
      <c r="PWU55" s="384"/>
      <c r="PWV55" s="384"/>
      <c r="PWW55" s="384"/>
      <c r="PWX55" s="384"/>
      <c r="PWY55" s="384"/>
      <c r="PWZ55" s="384"/>
      <c r="PXA55" s="384"/>
      <c r="PXB55" s="384"/>
      <c r="PXC55" s="384"/>
      <c r="PXD55" s="384"/>
      <c r="PXE55" s="384"/>
      <c r="PXF55" s="384"/>
      <c r="PXG55" s="384"/>
      <c r="PXH55" s="384"/>
      <c r="PXI55" s="384"/>
      <c r="PXJ55" s="384"/>
      <c r="PXK55" s="384"/>
      <c r="PXL55" s="384"/>
      <c r="PXM55" s="384"/>
      <c r="PXN55" s="384"/>
      <c r="PXO55" s="384"/>
      <c r="PXP55" s="384"/>
      <c r="PXQ55" s="384"/>
      <c r="PXR55" s="384"/>
      <c r="PXS55" s="384"/>
      <c r="PXT55" s="384"/>
      <c r="PXU55" s="384"/>
      <c r="PXV55" s="384"/>
      <c r="PXW55" s="384"/>
      <c r="PXX55" s="384"/>
      <c r="PXY55" s="384"/>
      <c r="PXZ55" s="384"/>
      <c r="PYA55" s="384"/>
      <c r="PYB55" s="384"/>
      <c r="PYC55" s="384"/>
      <c r="PYD55" s="384"/>
      <c r="PYE55" s="384"/>
      <c r="PYF55" s="384"/>
      <c r="PYG55" s="384"/>
      <c r="PYH55" s="384"/>
      <c r="PYI55" s="384"/>
      <c r="PYJ55" s="384"/>
      <c r="PYK55" s="384"/>
      <c r="PYL55" s="384"/>
      <c r="PYM55" s="384"/>
      <c r="PYN55" s="384"/>
      <c r="PYO55" s="384"/>
      <c r="PYP55" s="384"/>
      <c r="PYQ55" s="384"/>
      <c r="PYR55" s="384"/>
      <c r="PYS55" s="384"/>
      <c r="PYT55" s="384"/>
      <c r="PYU55" s="384"/>
      <c r="PYV55" s="384"/>
      <c r="PYW55" s="384"/>
      <c r="PYX55" s="384"/>
      <c r="PYY55" s="384"/>
      <c r="PYZ55" s="384"/>
      <c r="PZA55" s="384"/>
      <c r="PZB55" s="384"/>
      <c r="PZC55" s="384"/>
      <c r="PZD55" s="384"/>
      <c r="PZE55" s="384"/>
      <c r="PZF55" s="384"/>
      <c r="PZG55" s="384"/>
      <c r="PZH55" s="384"/>
      <c r="PZI55" s="384"/>
      <c r="PZJ55" s="384"/>
      <c r="PZK55" s="384"/>
      <c r="PZL55" s="384"/>
      <c r="PZM55" s="384"/>
      <c r="PZN55" s="384"/>
      <c r="PZO55" s="384"/>
      <c r="PZP55" s="384"/>
      <c r="PZQ55" s="384"/>
      <c r="PZR55" s="384"/>
      <c r="PZS55" s="384"/>
      <c r="PZT55" s="384"/>
      <c r="PZU55" s="384"/>
      <c r="PZV55" s="384"/>
      <c r="PZW55" s="384"/>
      <c r="PZX55" s="384"/>
      <c r="PZY55" s="384"/>
      <c r="PZZ55" s="384"/>
      <c r="QAA55" s="384"/>
      <c r="QAB55" s="384"/>
      <c r="QAC55" s="384"/>
      <c r="QAD55" s="384"/>
      <c r="QAE55" s="384"/>
      <c r="QAF55" s="384"/>
      <c r="QAG55" s="384"/>
      <c r="QAH55" s="384"/>
      <c r="QAI55" s="384"/>
      <c r="QAJ55" s="384"/>
      <c r="QAK55" s="384"/>
      <c r="QAL55" s="384"/>
      <c r="QAM55" s="384"/>
      <c r="QAN55" s="384"/>
      <c r="QAO55" s="384"/>
      <c r="QAP55" s="384"/>
      <c r="QAQ55" s="384"/>
      <c r="QAR55" s="384"/>
      <c r="QAS55" s="384"/>
      <c r="QAT55" s="384"/>
      <c r="QAU55" s="384"/>
      <c r="QAV55" s="384"/>
      <c r="QAW55" s="384"/>
      <c r="QAX55" s="384"/>
      <c r="QAY55" s="384"/>
      <c r="QAZ55" s="384"/>
      <c r="QBA55" s="384"/>
      <c r="QBB55" s="384"/>
      <c r="QBC55" s="384"/>
      <c r="QBD55" s="384"/>
      <c r="QBE55" s="384"/>
      <c r="QBF55" s="384"/>
      <c r="QBG55" s="384"/>
      <c r="QBH55" s="384"/>
      <c r="QBI55" s="384"/>
      <c r="QBJ55" s="384"/>
      <c r="QBK55" s="384"/>
      <c r="QBL55" s="384"/>
      <c r="QBM55" s="384"/>
      <c r="QBN55" s="384"/>
      <c r="QBO55" s="384"/>
      <c r="QBP55" s="384"/>
      <c r="QBQ55" s="384"/>
      <c r="QBR55" s="384"/>
      <c r="QBS55" s="384"/>
      <c r="QBT55" s="384"/>
      <c r="QBU55" s="384"/>
      <c r="QBV55" s="384"/>
      <c r="QBW55" s="384"/>
      <c r="QBX55" s="384"/>
      <c r="QBY55" s="384"/>
      <c r="QBZ55" s="384"/>
      <c r="QCA55" s="384"/>
      <c r="QCB55" s="384"/>
      <c r="QCC55" s="384"/>
      <c r="QCD55" s="384"/>
      <c r="QCE55" s="384"/>
      <c r="QCF55" s="384"/>
      <c r="QCG55" s="384"/>
      <c r="QCH55" s="384"/>
      <c r="QCI55" s="384"/>
      <c r="QCJ55" s="384"/>
      <c r="QCK55" s="384"/>
      <c r="QCL55" s="384"/>
      <c r="QCM55" s="384"/>
      <c r="QCN55" s="384"/>
      <c r="QCO55" s="384"/>
      <c r="QCP55" s="384"/>
      <c r="QCQ55" s="384"/>
      <c r="QCR55" s="384"/>
      <c r="QCS55" s="384"/>
      <c r="QCT55" s="384"/>
      <c r="QCU55" s="384"/>
      <c r="QCV55" s="384"/>
      <c r="QCW55" s="384"/>
      <c r="QCX55" s="384"/>
      <c r="QCY55" s="384"/>
      <c r="QCZ55" s="384"/>
      <c r="QDA55" s="384"/>
      <c r="QDB55" s="384"/>
      <c r="QDC55" s="384"/>
      <c r="QDD55" s="384"/>
      <c r="QDE55" s="384"/>
      <c r="QDF55" s="384"/>
      <c r="QDG55" s="384"/>
      <c r="QDH55" s="384"/>
      <c r="QDI55" s="384"/>
      <c r="QDJ55" s="384"/>
      <c r="QDK55" s="384"/>
      <c r="QDL55" s="384"/>
      <c r="QDM55" s="384"/>
      <c r="QDN55" s="384"/>
      <c r="QDO55" s="384"/>
      <c r="QDP55" s="384"/>
      <c r="QDQ55" s="384"/>
      <c r="QDR55" s="384"/>
      <c r="QDS55" s="384"/>
      <c r="QDT55" s="384"/>
      <c r="QDU55" s="384"/>
      <c r="QDV55" s="384"/>
      <c r="QDW55" s="384"/>
      <c r="QDX55" s="384"/>
      <c r="QDY55" s="384"/>
      <c r="QDZ55" s="384"/>
      <c r="QEA55" s="384"/>
      <c r="QEB55" s="384"/>
      <c r="QEC55" s="384"/>
      <c r="QED55" s="384"/>
      <c r="QEE55" s="384"/>
      <c r="QEF55" s="384"/>
      <c r="QEG55" s="384"/>
      <c r="QEH55" s="384"/>
      <c r="QEI55" s="384"/>
      <c r="QEJ55" s="384"/>
      <c r="QEK55" s="384"/>
      <c r="QEL55" s="384"/>
      <c r="QEM55" s="384"/>
      <c r="QEN55" s="384"/>
      <c r="QEO55" s="384"/>
      <c r="QEP55" s="384"/>
      <c r="QEQ55" s="384"/>
      <c r="QER55" s="384"/>
      <c r="QES55" s="384"/>
      <c r="QET55" s="384"/>
      <c r="QEU55" s="384"/>
      <c r="QEV55" s="384"/>
      <c r="QEW55" s="384"/>
      <c r="QEX55" s="384"/>
      <c r="QEY55" s="384"/>
      <c r="QEZ55" s="384"/>
      <c r="QFA55" s="384"/>
      <c r="QFB55" s="384"/>
      <c r="QFC55" s="384"/>
      <c r="QFD55" s="384"/>
      <c r="QFE55" s="384"/>
      <c r="QFF55" s="384"/>
      <c r="QFG55" s="384"/>
      <c r="QFH55" s="384"/>
      <c r="QFI55" s="384"/>
      <c r="QFJ55" s="384"/>
      <c r="QFK55" s="384"/>
      <c r="QFL55" s="384"/>
      <c r="QFM55" s="384"/>
      <c r="QFN55" s="384"/>
      <c r="QFO55" s="384"/>
      <c r="QFP55" s="384"/>
      <c r="QFQ55" s="384"/>
      <c r="QFR55" s="384"/>
      <c r="QFS55" s="384"/>
      <c r="QFT55" s="384"/>
      <c r="QFU55" s="384"/>
      <c r="QFV55" s="384"/>
      <c r="QFW55" s="384"/>
      <c r="QFX55" s="384"/>
      <c r="QFY55" s="384"/>
      <c r="QFZ55" s="384"/>
      <c r="QGA55" s="384"/>
      <c r="QGB55" s="384"/>
      <c r="QGC55" s="384"/>
      <c r="QGD55" s="384"/>
      <c r="QGE55" s="384"/>
      <c r="QGF55" s="384"/>
      <c r="QGG55" s="384"/>
      <c r="QGH55" s="384"/>
      <c r="QGI55" s="384"/>
      <c r="QGJ55" s="384"/>
      <c r="QGK55" s="384"/>
      <c r="QGL55" s="384"/>
      <c r="QGM55" s="384"/>
      <c r="QGN55" s="384"/>
      <c r="QGO55" s="384"/>
      <c r="QGP55" s="384"/>
      <c r="QGQ55" s="384"/>
      <c r="QGR55" s="384"/>
      <c r="QGS55" s="384"/>
      <c r="QGT55" s="384"/>
      <c r="QGU55" s="384"/>
      <c r="QGV55" s="384"/>
      <c r="QGW55" s="384"/>
      <c r="QGX55" s="384"/>
      <c r="QGY55" s="384"/>
      <c r="QGZ55" s="384"/>
      <c r="QHA55" s="384"/>
      <c r="QHB55" s="384"/>
      <c r="QHC55" s="384"/>
      <c r="QHD55" s="384"/>
      <c r="QHE55" s="384"/>
      <c r="QHF55" s="384"/>
      <c r="QHG55" s="384"/>
      <c r="QHH55" s="384"/>
      <c r="QHI55" s="384"/>
      <c r="QHJ55" s="384"/>
      <c r="QHK55" s="384"/>
      <c r="QHL55" s="384"/>
      <c r="QHM55" s="384"/>
      <c r="QHN55" s="384"/>
      <c r="QHO55" s="384"/>
      <c r="QHP55" s="384"/>
      <c r="QHQ55" s="384"/>
      <c r="QHR55" s="384"/>
      <c r="QHS55" s="384"/>
      <c r="QHT55" s="384"/>
      <c r="QHU55" s="384"/>
      <c r="QHV55" s="384"/>
      <c r="QHW55" s="384"/>
      <c r="QHX55" s="384"/>
      <c r="QHY55" s="384"/>
      <c r="QHZ55" s="384"/>
      <c r="QIA55" s="384"/>
      <c r="QIB55" s="384"/>
      <c r="QIC55" s="384"/>
      <c r="QID55" s="384"/>
      <c r="QIE55" s="384"/>
      <c r="QIF55" s="384"/>
      <c r="QIG55" s="384"/>
      <c r="QIH55" s="384"/>
      <c r="QII55" s="384"/>
      <c r="QIJ55" s="384"/>
      <c r="QIK55" s="384"/>
      <c r="QIL55" s="384"/>
      <c r="QIM55" s="384"/>
      <c r="QIN55" s="384"/>
      <c r="QIO55" s="384"/>
      <c r="QIP55" s="384"/>
      <c r="QIQ55" s="384"/>
      <c r="QIR55" s="384"/>
      <c r="QIS55" s="384"/>
      <c r="QIT55" s="384"/>
      <c r="QIU55" s="384"/>
      <c r="QIV55" s="384"/>
      <c r="QIW55" s="384"/>
      <c r="QIX55" s="384"/>
      <c r="QIY55" s="384"/>
      <c r="QIZ55" s="384"/>
      <c r="QJA55" s="384"/>
      <c r="QJB55" s="384"/>
      <c r="QJC55" s="384"/>
      <c r="QJD55" s="384"/>
      <c r="QJE55" s="384"/>
      <c r="QJF55" s="384"/>
      <c r="QJG55" s="384"/>
      <c r="QJH55" s="384"/>
      <c r="QJI55" s="384"/>
      <c r="QJJ55" s="384"/>
      <c r="QJK55" s="384"/>
      <c r="QJL55" s="384"/>
      <c r="QJM55" s="384"/>
      <c r="QJN55" s="384"/>
      <c r="QJO55" s="384"/>
      <c r="QJP55" s="384"/>
      <c r="QJQ55" s="384"/>
      <c r="QJR55" s="384"/>
      <c r="QJS55" s="384"/>
      <c r="QJT55" s="384"/>
      <c r="QJU55" s="384"/>
      <c r="QJV55" s="384"/>
      <c r="QJW55" s="384"/>
      <c r="QJX55" s="384"/>
      <c r="QJY55" s="384"/>
      <c r="QJZ55" s="384"/>
      <c r="QKA55" s="384"/>
      <c r="QKB55" s="384"/>
      <c r="QKC55" s="384"/>
      <c r="QKD55" s="384"/>
      <c r="QKE55" s="384"/>
      <c r="QKF55" s="384"/>
      <c r="QKG55" s="384"/>
      <c r="QKH55" s="384"/>
      <c r="QKI55" s="384"/>
      <c r="QKJ55" s="384"/>
      <c r="QKK55" s="384"/>
      <c r="QKL55" s="384"/>
      <c r="QKM55" s="384"/>
      <c r="QKN55" s="384"/>
      <c r="QKO55" s="384"/>
      <c r="QKP55" s="384"/>
      <c r="QKQ55" s="384"/>
      <c r="QKR55" s="384"/>
      <c r="QKS55" s="384"/>
      <c r="QKT55" s="384"/>
      <c r="QKU55" s="384"/>
      <c r="QKV55" s="384"/>
      <c r="QKW55" s="384"/>
      <c r="QKX55" s="384"/>
      <c r="QKY55" s="384"/>
      <c r="QKZ55" s="384"/>
      <c r="QLA55" s="384"/>
      <c r="QLB55" s="384"/>
      <c r="QLC55" s="384"/>
      <c r="QLD55" s="384"/>
      <c r="QLE55" s="384"/>
      <c r="QLF55" s="384"/>
      <c r="QLG55" s="384"/>
      <c r="QLH55" s="384"/>
      <c r="QLI55" s="384"/>
      <c r="QLJ55" s="384"/>
      <c r="QLK55" s="384"/>
      <c r="QLL55" s="384"/>
      <c r="QLM55" s="384"/>
      <c r="QLN55" s="384"/>
      <c r="QLO55" s="384"/>
      <c r="QLP55" s="384"/>
      <c r="QLQ55" s="384"/>
      <c r="QLR55" s="384"/>
      <c r="QLS55" s="384"/>
      <c r="QLT55" s="384"/>
      <c r="QLU55" s="384"/>
      <c r="QLV55" s="384"/>
      <c r="QLW55" s="384"/>
      <c r="QLX55" s="384"/>
      <c r="QLY55" s="384"/>
      <c r="QLZ55" s="384"/>
      <c r="QMA55" s="384"/>
      <c r="QMB55" s="384"/>
      <c r="QMC55" s="384"/>
      <c r="QMD55" s="384"/>
      <c r="QME55" s="384"/>
      <c r="QMF55" s="384"/>
      <c r="QMG55" s="384"/>
      <c r="QMH55" s="384"/>
      <c r="QMI55" s="384"/>
      <c r="QMJ55" s="384"/>
      <c r="QMK55" s="384"/>
      <c r="QML55" s="384"/>
      <c r="QMM55" s="384"/>
      <c r="QMN55" s="384"/>
      <c r="QMO55" s="384"/>
      <c r="QMP55" s="384"/>
      <c r="QMQ55" s="384"/>
      <c r="QMR55" s="384"/>
      <c r="QMS55" s="384"/>
      <c r="QMT55" s="384"/>
      <c r="QMU55" s="384"/>
      <c r="QMV55" s="384"/>
      <c r="QMW55" s="384"/>
      <c r="QMX55" s="384"/>
      <c r="QMY55" s="384"/>
      <c r="QMZ55" s="384"/>
      <c r="QNA55" s="384"/>
      <c r="QNB55" s="384"/>
      <c r="QNC55" s="384"/>
      <c r="QND55" s="384"/>
      <c r="QNE55" s="384"/>
      <c r="QNF55" s="384"/>
      <c r="QNG55" s="384"/>
      <c r="QNH55" s="384"/>
      <c r="QNI55" s="384"/>
      <c r="QNJ55" s="384"/>
      <c r="QNK55" s="384"/>
      <c r="QNL55" s="384"/>
      <c r="QNM55" s="384"/>
      <c r="QNN55" s="384"/>
      <c r="QNO55" s="384"/>
      <c r="QNP55" s="384"/>
      <c r="QNQ55" s="384"/>
      <c r="QNR55" s="384"/>
      <c r="QNS55" s="384"/>
      <c r="QNT55" s="384"/>
      <c r="QNU55" s="384"/>
      <c r="QNV55" s="384"/>
      <c r="QNW55" s="384"/>
      <c r="QNX55" s="384"/>
      <c r="QNY55" s="384"/>
      <c r="QNZ55" s="384"/>
      <c r="QOA55" s="384"/>
      <c r="QOB55" s="384"/>
      <c r="QOC55" s="384"/>
      <c r="QOD55" s="384"/>
      <c r="QOE55" s="384"/>
      <c r="QOF55" s="384"/>
      <c r="QOG55" s="384"/>
      <c r="QOH55" s="384"/>
      <c r="QOI55" s="384"/>
      <c r="QOJ55" s="384"/>
      <c r="QOK55" s="384"/>
      <c r="QOL55" s="384"/>
      <c r="QOM55" s="384"/>
      <c r="QON55" s="384"/>
      <c r="QOO55" s="384"/>
      <c r="QOP55" s="384"/>
      <c r="QOQ55" s="384"/>
      <c r="QOR55" s="384"/>
      <c r="QOS55" s="384"/>
      <c r="QOT55" s="384"/>
      <c r="QOU55" s="384"/>
      <c r="QOV55" s="384"/>
      <c r="QOW55" s="384"/>
      <c r="QOX55" s="384"/>
      <c r="QOY55" s="384"/>
      <c r="QOZ55" s="384"/>
      <c r="QPA55" s="384"/>
      <c r="QPB55" s="384"/>
      <c r="QPC55" s="384"/>
      <c r="QPD55" s="384"/>
      <c r="QPE55" s="384"/>
      <c r="QPF55" s="384"/>
      <c r="QPG55" s="384"/>
      <c r="QPH55" s="384"/>
      <c r="QPI55" s="384"/>
      <c r="QPJ55" s="384"/>
      <c r="QPK55" s="384"/>
      <c r="QPL55" s="384"/>
      <c r="QPM55" s="384"/>
      <c r="QPN55" s="384"/>
      <c r="QPO55" s="384"/>
      <c r="QPP55" s="384"/>
      <c r="QPQ55" s="384"/>
      <c r="QPR55" s="384"/>
      <c r="QPS55" s="384"/>
      <c r="QPT55" s="384"/>
      <c r="QPU55" s="384"/>
      <c r="QPV55" s="384"/>
      <c r="QPW55" s="384"/>
      <c r="QPX55" s="384"/>
      <c r="QPY55" s="384"/>
      <c r="QPZ55" s="384"/>
      <c r="QQA55" s="384"/>
      <c r="QQB55" s="384"/>
      <c r="QQC55" s="384"/>
      <c r="QQD55" s="384"/>
      <c r="QQE55" s="384"/>
      <c r="QQF55" s="384"/>
      <c r="QQG55" s="384"/>
      <c r="QQH55" s="384"/>
      <c r="QQI55" s="384"/>
      <c r="QQJ55" s="384"/>
      <c r="QQK55" s="384"/>
      <c r="QQL55" s="384"/>
      <c r="QQM55" s="384"/>
      <c r="QQN55" s="384"/>
      <c r="QQO55" s="384"/>
      <c r="QQP55" s="384"/>
      <c r="QQQ55" s="384"/>
      <c r="QQR55" s="384"/>
      <c r="QQS55" s="384"/>
      <c r="QQT55" s="384"/>
      <c r="QQU55" s="384"/>
      <c r="QQV55" s="384"/>
      <c r="QQW55" s="384"/>
      <c r="QQX55" s="384"/>
      <c r="QQY55" s="384"/>
      <c r="QQZ55" s="384"/>
      <c r="QRA55" s="384"/>
      <c r="QRB55" s="384"/>
      <c r="QRC55" s="384"/>
      <c r="QRD55" s="384"/>
      <c r="QRE55" s="384"/>
      <c r="QRF55" s="384"/>
      <c r="QRG55" s="384"/>
      <c r="QRH55" s="384"/>
      <c r="QRI55" s="384"/>
      <c r="QRJ55" s="384"/>
      <c r="QRK55" s="384"/>
      <c r="QRL55" s="384"/>
      <c r="QRM55" s="384"/>
      <c r="QRN55" s="384"/>
      <c r="QRO55" s="384"/>
      <c r="QRP55" s="384"/>
      <c r="QRQ55" s="384"/>
      <c r="QRR55" s="384"/>
      <c r="QRS55" s="384"/>
      <c r="QRT55" s="384"/>
      <c r="QRU55" s="384"/>
      <c r="QRV55" s="384"/>
      <c r="QRW55" s="384"/>
      <c r="QRX55" s="384"/>
      <c r="QRY55" s="384"/>
      <c r="QRZ55" s="384"/>
      <c r="QSA55" s="384"/>
      <c r="QSB55" s="384"/>
      <c r="QSC55" s="384"/>
      <c r="QSD55" s="384"/>
      <c r="QSE55" s="384"/>
      <c r="QSF55" s="384"/>
      <c r="QSG55" s="384"/>
      <c r="QSH55" s="384"/>
      <c r="QSI55" s="384"/>
      <c r="QSJ55" s="384"/>
      <c r="QSK55" s="384"/>
      <c r="QSL55" s="384"/>
      <c r="QSM55" s="384"/>
      <c r="QSN55" s="384"/>
      <c r="QSO55" s="384"/>
      <c r="QSP55" s="384"/>
      <c r="QSQ55" s="384"/>
      <c r="QSR55" s="384"/>
      <c r="QSS55" s="384"/>
      <c r="QST55" s="384"/>
      <c r="QSU55" s="384"/>
      <c r="QSV55" s="384"/>
      <c r="QSW55" s="384"/>
      <c r="QSX55" s="384"/>
      <c r="QSY55" s="384"/>
      <c r="QSZ55" s="384"/>
      <c r="QTA55" s="384"/>
      <c r="QTB55" s="384"/>
      <c r="QTC55" s="384"/>
      <c r="QTD55" s="384"/>
      <c r="QTE55" s="384"/>
      <c r="QTF55" s="384"/>
      <c r="QTG55" s="384"/>
      <c r="QTH55" s="384"/>
      <c r="QTI55" s="384"/>
      <c r="QTJ55" s="384"/>
      <c r="QTK55" s="384"/>
      <c r="QTL55" s="384"/>
      <c r="QTM55" s="384"/>
      <c r="QTN55" s="384"/>
      <c r="QTO55" s="384"/>
      <c r="QTP55" s="384"/>
      <c r="QTQ55" s="384"/>
      <c r="QTR55" s="384"/>
      <c r="QTS55" s="384"/>
      <c r="QTT55" s="384"/>
      <c r="QTU55" s="384"/>
      <c r="QTV55" s="384"/>
      <c r="QTW55" s="384"/>
      <c r="QTX55" s="384"/>
      <c r="QTY55" s="384"/>
      <c r="QTZ55" s="384"/>
      <c r="QUA55" s="384"/>
      <c r="QUB55" s="384"/>
      <c r="QUC55" s="384"/>
      <c r="QUD55" s="384"/>
      <c r="QUE55" s="384"/>
      <c r="QUF55" s="384"/>
      <c r="QUG55" s="384"/>
      <c r="QUH55" s="384"/>
      <c r="QUI55" s="384"/>
      <c r="QUJ55" s="384"/>
      <c r="QUK55" s="384"/>
      <c r="QUL55" s="384"/>
      <c r="QUM55" s="384"/>
      <c r="QUN55" s="384"/>
      <c r="QUO55" s="384"/>
      <c r="QUP55" s="384"/>
      <c r="QUQ55" s="384"/>
      <c r="QUR55" s="384"/>
      <c r="QUS55" s="384"/>
      <c r="QUT55" s="384"/>
      <c r="QUU55" s="384"/>
      <c r="QUV55" s="384"/>
      <c r="QUW55" s="384"/>
      <c r="QUX55" s="384"/>
      <c r="QUY55" s="384"/>
      <c r="QUZ55" s="384"/>
      <c r="QVA55" s="384"/>
      <c r="QVB55" s="384"/>
      <c r="QVC55" s="384"/>
      <c r="QVD55" s="384"/>
      <c r="QVE55" s="384"/>
      <c r="QVF55" s="384"/>
      <c r="QVG55" s="384"/>
      <c r="QVH55" s="384"/>
      <c r="QVI55" s="384"/>
      <c r="QVJ55" s="384"/>
      <c r="QVK55" s="384"/>
      <c r="QVL55" s="384"/>
      <c r="QVM55" s="384"/>
      <c r="QVN55" s="384"/>
      <c r="QVO55" s="384"/>
      <c r="QVP55" s="384"/>
      <c r="QVQ55" s="384"/>
      <c r="QVR55" s="384"/>
      <c r="QVS55" s="384"/>
      <c r="QVT55" s="384"/>
      <c r="QVU55" s="384"/>
      <c r="QVV55" s="384"/>
      <c r="QVW55" s="384"/>
      <c r="QVX55" s="384"/>
      <c r="QVY55" s="384"/>
      <c r="QVZ55" s="384"/>
      <c r="QWA55" s="384"/>
      <c r="QWB55" s="384"/>
      <c r="QWC55" s="384"/>
      <c r="QWD55" s="384"/>
      <c r="QWE55" s="384"/>
      <c r="QWF55" s="384"/>
      <c r="QWG55" s="384"/>
      <c r="QWH55" s="384"/>
      <c r="QWI55" s="384"/>
      <c r="QWJ55" s="384"/>
      <c r="QWK55" s="384"/>
      <c r="QWL55" s="384"/>
      <c r="QWM55" s="384"/>
      <c r="QWN55" s="384"/>
      <c r="QWO55" s="384"/>
      <c r="QWP55" s="384"/>
      <c r="QWQ55" s="384"/>
      <c r="QWR55" s="384"/>
      <c r="QWS55" s="384"/>
      <c r="QWT55" s="384"/>
      <c r="QWU55" s="384"/>
      <c r="QWV55" s="384"/>
      <c r="QWW55" s="384"/>
      <c r="QWX55" s="384"/>
      <c r="QWY55" s="384"/>
      <c r="QWZ55" s="384"/>
      <c r="QXA55" s="384"/>
      <c r="QXB55" s="384"/>
      <c r="QXC55" s="384"/>
      <c r="QXD55" s="384"/>
      <c r="QXE55" s="384"/>
      <c r="QXF55" s="384"/>
      <c r="QXG55" s="384"/>
      <c r="QXH55" s="384"/>
      <c r="QXI55" s="384"/>
      <c r="QXJ55" s="384"/>
      <c r="QXK55" s="384"/>
      <c r="QXL55" s="384"/>
      <c r="QXM55" s="384"/>
      <c r="QXN55" s="384"/>
      <c r="QXO55" s="384"/>
      <c r="QXP55" s="384"/>
      <c r="QXQ55" s="384"/>
      <c r="QXR55" s="384"/>
      <c r="QXS55" s="384"/>
      <c r="QXT55" s="384"/>
      <c r="QXU55" s="384"/>
      <c r="QXV55" s="384"/>
      <c r="QXW55" s="384"/>
      <c r="QXX55" s="384"/>
      <c r="QXY55" s="384"/>
      <c r="QXZ55" s="384"/>
      <c r="QYA55" s="384"/>
      <c r="QYB55" s="384"/>
      <c r="QYC55" s="384"/>
      <c r="QYD55" s="384"/>
      <c r="QYE55" s="384"/>
      <c r="QYF55" s="384"/>
      <c r="QYG55" s="384"/>
      <c r="QYH55" s="384"/>
      <c r="QYI55" s="384"/>
      <c r="QYJ55" s="384"/>
      <c r="QYK55" s="384"/>
      <c r="QYL55" s="384"/>
      <c r="QYM55" s="384"/>
      <c r="QYN55" s="384"/>
      <c r="QYO55" s="384"/>
      <c r="QYP55" s="384"/>
      <c r="QYQ55" s="384"/>
      <c r="QYR55" s="384"/>
      <c r="QYS55" s="384"/>
      <c r="QYT55" s="384"/>
      <c r="QYU55" s="384"/>
      <c r="QYV55" s="384"/>
      <c r="QYW55" s="384"/>
      <c r="QYX55" s="384"/>
      <c r="QYY55" s="384"/>
      <c r="QYZ55" s="384"/>
      <c r="QZA55" s="384"/>
      <c r="QZB55" s="384"/>
      <c r="QZC55" s="384"/>
      <c r="QZD55" s="384"/>
      <c r="QZE55" s="384"/>
      <c r="QZF55" s="384"/>
      <c r="QZG55" s="384"/>
      <c r="QZH55" s="384"/>
      <c r="QZI55" s="384"/>
      <c r="QZJ55" s="384"/>
      <c r="QZK55" s="384"/>
      <c r="QZL55" s="384"/>
      <c r="QZM55" s="384"/>
      <c r="QZN55" s="384"/>
      <c r="QZO55" s="384"/>
      <c r="QZP55" s="384"/>
      <c r="QZQ55" s="384"/>
      <c r="QZR55" s="384"/>
      <c r="QZS55" s="384"/>
      <c r="QZT55" s="384"/>
      <c r="QZU55" s="384"/>
      <c r="QZV55" s="384"/>
      <c r="QZW55" s="384"/>
      <c r="QZX55" s="384"/>
      <c r="QZY55" s="384"/>
      <c r="QZZ55" s="384"/>
      <c r="RAA55" s="384"/>
      <c r="RAB55" s="384"/>
      <c r="RAC55" s="384"/>
      <c r="RAD55" s="384"/>
      <c r="RAE55" s="384"/>
      <c r="RAF55" s="384"/>
      <c r="RAG55" s="384"/>
      <c r="RAH55" s="384"/>
      <c r="RAI55" s="384"/>
      <c r="RAJ55" s="384"/>
      <c r="RAK55" s="384"/>
      <c r="RAL55" s="384"/>
      <c r="RAM55" s="384"/>
      <c r="RAN55" s="384"/>
      <c r="RAO55" s="384"/>
      <c r="RAP55" s="384"/>
      <c r="RAQ55" s="384"/>
      <c r="RAR55" s="384"/>
      <c r="RAS55" s="384"/>
      <c r="RAT55" s="384"/>
      <c r="RAU55" s="384"/>
      <c r="RAV55" s="384"/>
      <c r="RAW55" s="384"/>
      <c r="RAX55" s="384"/>
      <c r="RAY55" s="384"/>
      <c r="RAZ55" s="384"/>
      <c r="RBA55" s="384"/>
      <c r="RBB55" s="384"/>
      <c r="RBC55" s="384"/>
      <c r="RBD55" s="384"/>
      <c r="RBE55" s="384"/>
      <c r="RBF55" s="384"/>
      <c r="RBG55" s="384"/>
      <c r="RBH55" s="384"/>
      <c r="RBI55" s="384"/>
      <c r="RBJ55" s="384"/>
      <c r="RBK55" s="384"/>
      <c r="RBL55" s="384"/>
      <c r="RBM55" s="384"/>
      <c r="RBN55" s="384"/>
      <c r="RBO55" s="384"/>
      <c r="RBP55" s="384"/>
      <c r="RBQ55" s="384"/>
      <c r="RBR55" s="384"/>
      <c r="RBS55" s="384"/>
      <c r="RBT55" s="384"/>
      <c r="RBU55" s="384"/>
      <c r="RBV55" s="384"/>
      <c r="RBW55" s="384"/>
      <c r="RBX55" s="384"/>
      <c r="RBY55" s="384"/>
      <c r="RBZ55" s="384"/>
      <c r="RCA55" s="384"/>
      <c r="RCB55" s="384"/>
      <c r="RCC55" s="384"/>
      <c r="RCD55" s="384"/>
      <c r="RCE55" s="384"/>
      <c r="RCF55" s="384"/>
      <c r="RCG55" s="384"/>
      <c r="RCH55" s="384"/>
      <c r="RCI55" s="384"/>
      <c r="RCJ55" s="384"/>
      <c r="RCK55" s="384"/>
      <c r="RCL55" s="384"/>
      <c r="RCM55" s="384"/>
      <c r="RCN55" s="384"/>
      <c r="RCO55" s="384"/>
      <c r="RCP55" s="384"/>
      <c r="RCQ55" s="384"/>
      <c r="RCR55" s="384"/>
      <c r="RCS55" s="384"/>
      <c r="RCT55" s="384"/>
      <c r="RCU55" s="384"/>
      <c r="RCV55" s="384"/>
      <c r="RCW55" s="384"/>
      <c r="RCX55" s="384"/>
      <c r="RCY55" s="384"/>
      <c r="RCZ55" s="384"/>
      <c r="RDA55" s="384"/>
      <c r="RDB55" s="384"/>
      <c r="RDC55" s="384"/>
      <c r="RDD55" s="384"/>
      <c r="RDE55" s="384"/>
      <c r="RDF55" s="384"/>
      <c r="RDG55" s="384"/>
      <c r="RDH55" s="384"/>
      <c r="RDI55" s="384"/>
      <c r="RDJ55" s="384"/>
      <c r="RDK55" s="384"/>
      <c r="RDL55" s="384"/>
      <c r="RDM55" s="384"/>
      <c r="RDN55" s="384"/>
      <c r="RDO55" s="384"/>
      <c r="RDP55" s="384"/>
      <c r="RDQ55" s="384"/>
      <c r="RDR55" s="384"/>
      <c r="RDS55" s="384"/>
      <c r="RDT55" s="384"/>
      <c r="RDU55" s="384"/>
      <c r="RDV55" s="384"/>
      <c r="RDW55" s="384"/>
      <c r="RDX55" s="384"/>
      <c r="RDY55" s="384"/>
      <c r="RDZ55" s="384"/>
      <c r="REA55" s="384"/>
      <c r="REB55" s="384"/>
      <c r="REC55" s="384"/>
      <c r="RED55" s="384"/>
      <c r="REE55" s="384"/>
      <c r="REF55" s="384"/>
      <c r="REG55" s="384"/>
      <c r="REH55" s="384"/>
      <c r="REI55" s="384"/>
      <c r="REJ55" s="384"/>
      <c r="REK55" s="384"/>
      <c r="REL55" s="384"/>
      <c r="REM55" s="384"/>
      <c r="REN55" s="384"/>
      <c r="REO55" s="384"/>
      <c r="REP55" s="384"/>
      <c r="REQ55" s="384"/>
      <c r="RER55" s="384"/>
      <c r="RES55" s="384"/>
      <c r="RET55" s="384"/>
      <c r="REU55" s="384"/>
      <c r="REV55" s="384"/>
      <c r="REW55" s="384"/>
      <c r="REX55" s="384"/>
      <c r="REY55" s="384"/>
      <c r="REZ55" s="384"/>
      <c r="RFA55" s="384"/>
      <c r="RFB55" s="384"/>
      <c r="RFC55" s="384"/>
      <c r="RFD55" s="384"/>
      <c r="RFE55" s="384"/>
      <c r="RFF55" s="384"/>
      <c r="RFG55" s="384"/>
      <c r="RFH55" s="384"/>
      <c r="RFI55" s="384"/>
      <c r="RFJ55" s="384"/>
      <c r="RFK55" s="384"/>
      <c r="RFL55" s="384"/>
      <c r="RFM55" s="384"/>
      <c r="RFN55" s="384"/>
      <c r="RFO55" s="384"/>
      <c r="RFP55" s="384"/>
      <c r="RFQ55" s="384"/>
      <c r="RFR55" s="384"/>
      <c r="RFS55" s="384"/>
      <c r="RFT55" s="384"/>
      <c r="RFU55" s="384"/>
      <c r="RFV55" s="384"/>
      <c r="RFW55" s="384"/>
      <c r="RFX55" s="384"/>
      <c r="RFY55" s="384"/>
      <c r="RFZ55" s="384"/>
      <c r="RGA55" s="384"/>
      <c r="RGB55" s="384"/>
      <c r="RGC55" s="384"/>
      <c r="RGD55" s="384"/>
      <c r="RGE55" s="384"/>
      <c r="RGF55" s="384"/>
      <c r="RGG55" s="384"/>
      <c r="RGH55" s="384"/>
      <c r="RGI55" s="384"/>
      <c r="RGJ55" s="384"/>
      <c r="RGK55" s="384"/>
      <c r="RGL55" s="384"/>
      <c r="RGM55" s="384"/>
      <c r="RGN55" s="384"/>
      <c r="RGO55" s="384"/>
      <c r="RGP55" s="384"/>
      <c r="RGQ55" s="384"/>
      <c r="RGR55" s="384"/>
      <c r="RGS55" s="384"/>
      <c r="RGT55" s="384"/>
      <c r="RGU55" s="384"/>
      <c r="RGV55" s="384"/>
      <c r="RGW55" s="384"/>
      <c r="RGX55" s="384"/>
      <c r="RGY55" s="384"/>
      <c r="RGZ55" s="384"/>
      <c r="RHA55" s="384"/>
      <c r="RHB55" s="384"/>
      <c r="RHC55" s="384"/>
      <c r="RHD55" s="384"/>
      <c r="RHE55" s="384"/>
      <c r="RHF55" s="384"/>
      <c r="RHG55" s="384"/>
      <c r="RHH55" s="384"/>
      <c r="RHI55" s="384"/>
      <c r="RHJ55" s="384"/>
      <c r="RHK55" s="384"/>
      <c r="RHL55" s="384"/>
      <c r="RHM55" s="384"/>
      <c r="RHN55" s="384"/>
      <c r="RHO55" s="384"/>
      <c r="RHP55" s="384"/>
      <c r="RHQ55" s="384"/>
      <c r="RHR55" s="384"/>
      <c r="RHS55" s="384"/>
      <c r="RHT55" s="384"/>
      <c r="RHU55" s="384"/>
      <c r="RHV55" s="384"/>
      <c r="RHW55" s="384"/>
      <c r="RHX55" s="384"/>
      <c r="RHY55" s="384"/>
      <c r="RHZ55" s="384"/>
      <c r="RIA55" s="384"/>
      <c r="RIB55" s="384"/>
      <c r="RIC55" s="384"/>
      <c r="RID55" s="384"/>
      <c r="RIE55" s="384"/>
      <c r="RIF55" s="384"/>
      <c r="RIG55" s="384"/>
      <c r="RIH55" s="384"/>
      <c r="RII55" s="384"/>
      <c r="RIJ55" s="384"/>
      <c r="RIK55" s="384"/>
      <c r="RIL55" s="384"/>
      <c r="RIM55" s="384"/>
      <c r="RIN55" s="384"/>
      <c r="RIO55" s="384"/>
      <c r="RIP55" s="384"/>
      <c r="RIQ55" s="384"/>
      <c r="RIR55" s="384"/>
      <c r="RIS55" s="384"/>
      <c r="RIT55" s="384"/>
      <c r="RIU55" s="384"/>
      <c r="RIV55" s="384"/>
      <c r="RIW55" s="384"/>
      <c r="RIX55" s="384"/>
      <c r="RIY55" s="384"/>
      <c r="RIZ55" s="384"/>
      <c r="RJA55" s="384"/>
      <c r="RJB55" s="384"/>
      <c r="RJC55" s="384"/>
      <c r="RJD55" s="384"/>
      <c r="RJE55" s="384"/>
      <c r="RJF55" s="384"/>
      <c r="RJG55" s="384"/>
      <c r="RJH55" s="384"/>
      <c r="RJI55" s="384"/>
      <c r="RJJ55" s="384"/>
      <c r="RJK55" s="384"/>
      <c r="RJL55" s="384"/>
      <c r="RJM55" s="384"/>
      <c r="RJN55" s="384"/>
      <c r="RJO55" s="384"/>
      <c r="RJP55" s="384"/>
      <c r="RJQ55" s="384"/>
      <c r="RJR55" s="384"/>
      <c r="RJS55" s="384"/>
      <c r="RJT55" s="384"/>
      <c r="RJU55" s="384"/>
      <c r="RJV55" s="384"/>
      <c r="RJW55" s="384"/>
      <c r="RJX55" s="384"/>
      <c r="RJY55" s="384"/>
      <c r="RJZ55" s="384"/>
      <c r="RKA55" s="384"/>
      <c r="RKB55" s="384"/>
      <c r="RKC55" s="384"/>
      <c r="RKD55" s="384"/>
      <c r="RKE55" s="384"/>
      <c r="RKF55" s="384"/>
      <c r="RKG55" s="384"/>
      <c r="RKH55" s="384"/>
      <c r="RKI55" s="384"/>
      <c r="RKJ55" s="384"/>
      <c r="RKK55" s="384"/>
      <c r="RKL55" s="384"/>
      <c r="RKM55" s="384"/>
      <c r="RKN55" s="384"/>
      <c r="RKO55" s="384"/>
      <c r="RKP55" s="384"/>
      <c r="RKQ55" s="384"/>
      <c r="RKR55" s="384"/>
      <c r="RKS55" s="384"/>
      <c r="RKT55" s="384"/>
      <c r="RKU55" s="384"/>
      <c r="RKV55" s="384"/>
      <c r="RKW55" s="384"/>
      <c r="RKX55" s="384"/>
      <c r="RKY55" s="384"/>
      <c r="RKZ55" s="384"/>
      <c r="RLA55" s="384"/>
      <c r="RLB55" s="384"/>
      <c r="RLC55" s="384"/>
      <c r="RLD55" s="384"/>
      <c r="RLE55" s="384"/>
      <c r="RLF55" s="384"/>
      <c r="RLG55" s="384"/>
      <c r="RLH55" s="384"/>
      <c r="RLI55" s="384"/>
      <c r="RLJ55" s="384"/>
      <c r="RLK55" s="384"/>
      <c r="RLL55" s="384"/>
      <c r="RLM55" s="384"/>
      <c r="RLN55" s="384"/>
      <c r="RLO55" s="384"/>
      <c r="RLP55" s="384"/>
      <c r="RLQ55" s="384"/>
      <c r="RLR55" s="384"/>
      <c r="RLS55" s="384"/>
      <c r="RLT55" s="384"/>
      <c r="RLU55" s="384"/>
      <c r="RLV55" s="384"/>
      <c r="RLW55" s="384"/>
      <c r="RLX55" s="384"/>
      <c r="RLY55" s="384"/>
      <c r="RLZ55" s="384"/>
      <c r="RMA55" s="384"/>
      <c r="RMB55" s="384"/>
      <c r="RMC55" s="384"/>
      <c r="RMD55" s="384"/>
      <c r="RME55" s="384"/>
      <c r="RMF55" s="384"/>
      <c r="RMG55" s="384"/>
      <c r="RMH55" s="384"/>
      <c r="RMI55" s="384"/>
      <c r="RMJ55" s="384"/>
      <c r="RMK55" s="384"/>
      <c r="RML55" s="384"/>
      <c r="RMM55" s="384"/>
      <c r="RMN55" s="384"/>
      <c r="RMO55" s="384"/>
      <c r="RMP55" s="384"/>
      <c r="RMQ55" s="384"/>
      <c r="RMR55" s="384"/>
      <c r="RMS55" s="384"/>
      <c r="RMT55" s="384"/>
      <c r="RMU55" s="384"/>
      <c r="RMV55" s="384"/>
      <c r="RMW55" s="384"/>
      <c r="RMX55" s="384"/>
      <c r="RMY55" s="384"/>
      <c r="RMZ55" s="384"/>
      <c r="RNA55" s="384"/>
      <c r="RNB55" s="384"/>
      <c r="RNC55" s="384"/>
      <c r="RND55" s="384"/>
      <c r="RNE55" s="384"/>
      <c r="RNF55" s="384"/>
      <c r="RNG55" s="384"/>
      <c r="RNH55" s="384"/>
      <c r="RNI55" s="384"/>
      <c r="RNJ55" s="384"/>
      <c r="RNK55" s="384"/>
      <c r="RNL55" s="384"/>
      <c r="RNM55" s="384"/>
      <c r="RNN55" s="384"/>
      <c r="RNO55" s="384"/>
      <c r="RNP55" s="384"/>
      <c r="RNQ55" s="384"/>
      <c r="RNR55" s="384"/>
      <c r="RNS55" s="384"/>
      <c r="RNT55" s="384"/>
      <c r="RNU55" s="384"/>
      <c r="RNV55" s="384"/>
      <c r="RNW55" s="384"/>
      <c r="RNX55" s="384"/>
      <c r="RNY55" s="384"/>
      <c r="RNZ55" s="384"/>
      <c r="ROA55" s="384"/>
      <c r="ROB55" s="384"/>
      <c r="ROC55" s="384"/>
      <c r="ROD55" s="384"/>
      <c r="ROE55" s="384"/>
      <c r="ROF55" s="384"/>
      <c r="ROG55" s="384"/>
      <c r="ROH55" s="384"/>
      <c r="ROI55" s="384"/>
      <c r="ROJ55" s="384"/>
      <c r="ROK55" s="384"/>
      <c r="ROL55" s="384"/>
      <c r="ROM55" s="384"/>
      <c r="RON55" s="384"/>
      <c r="ROO55" s="384"/>
      <c r="ROP55" s="384"/>
      <c r="ROQ55" s="384"/>
      <c r="ROR55" s="384"/>
      <c r="ROS55" s="384"/>
      <c r="ROT55" s="384"/>
      <c r="ROU55" s="384"/>
      <c r="ROV55" s="384"/>
      <c r="ROW55" s="384"/>
      <c r="ROX55" s="384"/>
      <c r="ROY55" s="384"/>
      <c r="ROZ55" s="384"/>
      <c r="RPA55" s="384"/>
      <c r="RPB55" s="384"/>
      <c r="RPC55" s="384"/>
      <c r="RPD55" s="384"/>
      <c r="RPE55" s="384"/>
      <c r="RPF55" s="384"/>
      <c r="RPG55" s="384"/>
      <c r="RPH55" s="384"/>
      <c r="RPI55" s="384"/>
      <c r="RPJ55" s="384"/>
      <c r="RPK55" s="384"/>
      <c r="RPL55" s="384"/>
      <c r="RPM55" s="384"/>
      <c r="RPN55" s="384"/>
      <c r="RPO55" s="384"/>
      <c r="RPP55" s="384"/>
      <c r="RPQ55" s="384"/>
      <c r="RPR55" s="384"/>
      <c r="RPS55" s="384"/>
      <c r="RPT55" s="384"/>
      <c r="RPU55" s="384"/>
      <c r="RPV55" s="384"/>
      <c r="RPW55" s="384"/>
      <c r="RPX55" s="384"/>
      <c r="RPY55" s="384"/>
      <c r="RPZ55" s="384"/>
      <c r="RQA55" s="384"/>
      <c r="RQB55" s="384"/>
      <c r="RQC55" s="384"/>
      <c r="RQD55" s="384"/>
      <c r="RQE55" s="384"/>
      <c r="RQF55" s="384"/>
      <c r="RQG55" s="384"/>
      <c r="RQH55" s="384"/>
      <c r="RQI55" s="384"/>
      <c r="RQJ55" s="384"/>
      <c r="RQK55" s="384"/>
      <c r="RQL55" s="384"/>
      <c r="RQM55" s="384"/>
      <c r="RQN55" s="384"/>
      <c r="RQO55" s="384"/>
      <c r="RQP55" s="384"/>
      <c r="RQQ55" s="384"/>
      <c r="RQR55" s="384"/>
      <c r="RQS55" s="384"/>
      <c r="RQT55" s="384"/>
      <c r="RQU55" s="384"/>
      <c r="RQV55" s="384"/>
      <c r="RQW55" s="384"/>
      <c r="RQX55" s="384"/>
      <c r="RQY55" s="384"/>
      <c r="RQZ55" s="384"/>
      <c r="RRA55" s="384"/>
      <c r="RRB55" s="384"/>
      <c r="RRC55" s="384"/>
      <c r="RRD55" s="384"/>
      <c r="RRE55" s="384"/>
      <c r="RRF55" s="384"/>
      <c r="RRG55" s="384"/>
      <c r="RRH55" s="384"/>
      <c r="RRI55" s="384"/>
      <c r="RRJ55" s="384"/>
      <c r="RRK55" s="384"/>
      <c r="RRL55" s="384"/>
      <c r="RRM55" s="384"/>
      <c r="RRN55" s="384"/>
      <c r="RRO55" s="384"/>
      <c r="RRP55" s="384"/>
      <c r="RRQ55" s="384"/>
      <c r="RRR55" s="384"/>
      <c r="RRS55" s="384"/>
      <c r="RRT55" s="384"/>
      <c r="RRU55" s="384"/>
      <c r="RRV55" s="384"/>
      <c r="RRW55" s="384"/>
      <c r="RRX55" s="384"/>
      <c r="RRY55" s="384"/>
      <c r="RRZ55" s="384"/>
      <c r="RSA55" s="384"/>
      <c r="RSB55" s="384"/>
      <c r="RSC55" s="384"/>
      <c r="RSD55" s="384"/>
      <c r="RSE55" s="384"/>
      <c r="RSF55" s="384"/>
      <c r="RSG55" s="384"/>
      <c r="RSH55" s="384"/>
      <c r="RSI55" s="384"/>
      <c r="RSJ55" s="384"/>
      <c r="RSK55" s="384"/>
      <c r="RSL55" s="384"/>
      <c r="RSM55" s="384"/>
      <c r="RSN55" s="384"/>
      <c r="RSO55" s="384"/>
      <c r="RSP55" s="384"/>
      <c r="RSQ55" s="384"/>
      <c r="RSR55" s="384"/>
      <c r="RSS55" s="384"/>
      <c r="RST55" s="384"/>
      <c r="RSU55" s="384"/>
      <c r="RSV55" s="384"/>
      <c r="RSW55" s="384"/>
      <c r="RSX55" s="384"/>
      <c r="RSY55" s="384"/>
      <c r="RSZ55" s="384"/>
      <c r="RTA55" s="384"/>
      <c r="RTB55" s="384"/>
      <c r="RTC55" s="384"/>
      <c r="RTD55" s="384"/>
      <c r="RTE55" s="384"/>
      <c r="RTF55" s="384"/>
      <c r="RTG55" s="384"/>
      <c r="RTH55" s="384"/>
      <c r="RTI55" s="384"/>
      <c r="RTJ55" s="384"/>
      <c r="RTK55" s="384"/>
      <c r="RTL55" s="384"/>
      <c r="RTM55" s="384"/>
      <c r="RTN55" s="384"/>
      <c r="RTO55" s="384"/>
      <c r="RTP55" s="384"/>
      <c r="RTQ55" s="384"/>
      <c r="RTR55" s="384"/>
      <c r="RTS55" s="384"/>
      <c r="RTT55" s="384"/>
      <c r="RTU55" s="384"/>
      <c r="RTV55" s="384"/>
      <c r="RTW55" s="384"/>
      <c r="RTX55" s="384"/>
      <c r="RTY55" s="384"/>
      <c r="RTZ55" s="384"/>
      <c r="RUA55" s="384"/>
      <c r="RUB55" s="384"/>
      <c r="RUC55" s="384"/>
      <c r="RUD55" s="384"/>
      <c r="RUE55" s="384"/>
      <c r="RUF55" s="384"/>
      <c r="RUG55" s="384"/>
      <c r="RUH55" s="384"/>
      <c r="RUI55" s="384"/>
      <c r="RUJ55" s="384"/>
      <c r="RUK55" s="384"/>
      <c r="RUL55" s="384"/>
      <c r="RUM55" s="384"/>
      <c r="RUN55" s="384"/>
      <c r="RUO55" s="384"/>
      <c r="RUP55" s="384"/>
      <c r="RUQ55" s="384"/>
      <c r="RUR55" s="384"/>
      <c r="RUS55" s="384"/>
      <c r="RUT55" s="384"/>
      <c r="RUU55" s="384"/>
      <c r="RUV55" s="384"/>
      <c r="RUW55" s="384"/>
      <c r="RUX55" s="384"/>
      <c r="RUY55" s="384"/>
      <c r="RUZ55" s="384"/>
      <c r="RVA55" s="384"/>
      <c r="RVB55" s="384"/>
      <c r="RVC55" s="384"/>
      <c r="RVD55" s="384"/>
      <c r="RVE55" s="384"/>
      <c r="RVF55" s="384"/>
      <c r="RVG55" s="384"/>
      <c r="RVH55" s="384"/>
      <c r="RVI55" s="384"/>
      <c r="RVJ55" s="384"/>
      <c r="RVK55" s="384"/>
      <c r="RVL55" s="384"/>
      <c r="RVM55" s="384"/>
      <c r="RVN55" s="384"/>
      <c r="RVO55" s="384"/>
      <c r="RVP55" s="384"/>
      <c r="RVQ55" s="384"/>
      <c r="RVR55" s="384"/>
      <c r="RVS55" s="384"/>
      <c r="RVT55" s="384"/>
      <c r="RVU55" s="384"/>
      <c r="RVV55" s="384"/>
      <c r="RVW55" s="384"/>
      <c r="RVX55" s="384"/>
      <c r="RVY55" s="384"/>
      <c r="RVZ55" s="384"/>
      <c r="RWA55" s="384"/>
      <c r="RWB55" s="384"/>
      <c r="RWC55" s="384"/>
      <c r="RWD55" s="384"/>
      <c r="RWE55" s="384"/>
      <c r="RWF55" s="384"/>
      <c r="RWG55" s="384"/>
      <c r="RWH55" s="384"/>
      <c r="RWI55" s="384"/>
      <c r="RWJ55" s="384"/>
      <c r="RWK55" s="384"/>
      <c r="RWL55" s="384"/>
      <c r="RWM55" s="384"/>
      <c r="RWN55" s="384"/>
      <c r="RWO55" s="384"/>
      <c r="RWP55" s="384"/>
      <c r="RWQ55" s="384"/>
      <c r="RWR55" s="384"/>
      <c r="RWS55" s="384"/>
      <c r="RWT55" s="384"/>
      <c r="RWU55" s="384"/>
      <c r="RWV55" s="384"/>
      <c r="RWW55" s="384"/>
      <c r="RWX55" s="384"/>
      <c r="RWY55" s="384"/>
      <c r="RWZ55" s="384"/>
      <c r="RXA55" s="384"/>
      <c r="RXB55" s="384"/>
      <c r="RXC55" s="384"/>
      <c r="RXD55" s="384"/>
      <c r="RXE55" s="384"/>
      <c r="RXF55" s="384"/>
      <c r="RXG55" s="384"/>
      <c r="RXH55" s="384"/>
      <c r="RXI55" s="384"/>
      <c r="RXJ55" s="384"/>
      <c r="RXK55" s="384"/>
      <c r="RXL55" s="384"/>
      <c r="RXM55" s="384"/>
      <c r="RXN55" s="384"/>
      <c r="RXO55" s="384"/>
      <c r="RXP55" s="384"/>
      <c r="RXQ55" s="384"/>
      <c r="RXR55" s="384"/>
      <c r="RXS55" s="384"/>
      <c r="RXT55" s="384"/>
      <c r="RXU55" s="384"/>
      <c r="RXV55" s="384"/>
      <c r="RXW55" s="384"/>
      <c r="RXX55" s="384"/>
      <c r="RXY55" s="384"/>
      <c r="RXZ55" s="384"/>
      <c r="RYA55" s="384"/>
      <c r="RYB55" s="384"/>
      <c r="RYC55" s="384"/>
      <c r="RYD55" s="384"/>
      <c r="RYE55" s="384"/>
      <c r="RYF55" s="384"/>
      <c r="RYG55" s="384"/>
      <c r="RYH55" s="384"/>
      <c r="RYI55" s="384"/>
      <c r="RYJ55" s="384"/>
      <c r="RYK55" s="384"/>
      <c r="RYL55" s="384"/>
      <c r="RYM55" s="384"/>
      <c r="RYN55" s="384"/>
      <c r="RYO55" s="384"/>
      <c r="RYP55" s="384"/>
      <c r="RYQ55" s="384"/>
      <c r="RYR55" s="384"/>
      <c r="RYS55" s="384"/>
      <c r="RYT55" s="384"/>
      <c r="RYU55" s="384"/>
      <c r="RYV55" s="384"/>
      <c r="RYW55" s="384"/>
      <c r="RYX55" s="384"/>
      <c r="RYY55" s="384"/>
      <c r="RYZ55" s="384"/>
      <c r="RZA55" s="384"/>
      <c r="RZB55" s="384"/>
      <c r="RZC55" s="384"/>
      <c r="RZD55" s="384"/>
      <c r="RZE55" s="384"/>
      <c r="RZF55" s="384"/>
      <c r="RZG55" s="384"/>
      <c r="RZH55" s="384"/>
      <c r="RZI55" s="384"/>
      <c r="RZJ55" s="384"/>
      <c r="RZK55" s="384"/>
      <c r="RZL55" s="384"/>
      <c r="RZM55" s="384"/>
      <c r="RZN55" s="384"/>
      <c r="RZO55" s="384"/>
      <c r="RZP55" s="384"/>
      <c r="RZQ55" s="384"/>
      <c r="RZR55" s="384"/>
      <c r="RZS55" s="384"/>
      <c r="RZT55" s="384"/>
      <c r="RZU55" s="384"/>
      <c r="RZV55" s="384"/>
      <c r="RZW55" s="384"/>
      <c r="RZX55" s="384"/>
      <c r="RZY55" s="384"/>
      <c r="RZZ55" s="384"/>
      <c r="SAA55" s="384"/>
      <c r="SAB55" s="384"/>
      <c r="SAC55" s="384"/>
      <c r="SAD55" s="384"/>
      <c r="SAE55" s="384"/>
      <c r="SAF55" s="384"/>
      <c r="SAG55" s="384"/>
      <c r="SAH55" s="384"/>
      <c r="SAI55" s="384"/>
      <c r="SAJ55" s="384"/>
      <c r="SAK55" s="384"/>
      <c r="SAL55" s="384"/>
      <c r="SAM55" s="384"/>
      <c r="SAN55" s="384"/>
      <c r="SAO55" s="384"/>
      <c r="SAP55" s="384"/>
      <c r="SAQ55" s="384"/>
      <c r="SAR55" s="384"/>
      <c r="SAS55" s="384"/>
      <c r="SAT55" s="384"/>
      <c r="SAU55" s="384"/>
      <c r="SAV55" s="384"/>
      <c r="SAW55" s="384"/>
      <c r="SAX55" s="384"/>
      <c r="SAY55" s="384"/>
      <c r="SAZ55" s="384"/>
      <c r="SBA55" s="384"/>
      <c r="SBB55" s="384"/>
      <c r="SBC55" s="384"/>
      <c r="SBD55" s="384"/>
      <c r="SBE55" s="384"/>
      <c r="SBF55" s="384"/>
      <c r="SBG55" s="384"/>
      <c r="SBH55" s="384"/>
      <c r="SBI55" s="384"/>
      <c r="SBJ55" s="384"/>
      <c r="SBK55" s="384"/>
      <c r="SBL55" s="384"/>
      <c r="SBM55" s="384"/>
      <c r="SBN55" s="384"/>
      <c r="SBO55" s="384"/>
      <c r="SBP55" s="384"/>
      <c r="SBQ55" s="384"/>
      <c r="SBR55" s="384"/>
      <c r="SBS55" s="384"/>
      <c r="SBT55" s="384"/>
      <c r="SBU55" s="384"/>
      <c r="SBV55" s="384"/>
      <c r="SBW55" s="384"/>
      <c r="SBX55" s="384"/>
      <c r="SBY55" s="384"/>
      <c r="SBZ55" s="384"/>
      <c r="SCA55" s="384"/>
      <c r="SCB55" s="384"/>
      <c r="SCC55" s="384"/>
      <c r="SCD55" s="384"/>
      <c r="SCE55" s="384"/>
      <c r="SCF55" s="384"/>
      <c r="SCG55" s="384"/>
      <c r="SCH55" s="384"/>
      <c r="SCI55" s="384"/>
      <c r="SCJ55" s="384"/>
      <c r="SCK55" s="384"/>
      <c r="SCL55" s="384"/>
      <c r="SCM55" s="384"/>
      <c r="SCN55" s="384"/>
      <c r="SCO55" s="384"/>
      <c r="SCP55" s="384"/>
      <c r="SCQ55" s="384"/>
      <c r="SCR55" s="384"/>
      <c r="SCS55" s="384"/>
      <c r="SCT55" s="384"/>
      <c r="SCU55" s="384"/>
      <c r="SCV55" s="384"/>
      <c r="SCW55" s="384"/>
      <c r="SCX55" s="384"/>
      <c r="SCY55" s="384"/>
      <c r="SCZ55" s="384"/>
      <c r="SDA55" s="384"/>
      <c r="SDB55" s="384"/>
      <c r="SDC55" s="384"/>
      <c r="SDD55" s="384"/>
      <c r="SDE55" s="384"/>
      <c r="SDF55" s="384"/>
      <c r="SDG55" s="384"/>
      <c r="SDH55" s="384"/>
      <c r="SDI55" s="384"/>
      <c r="SDJ55" s="384"/>
      <c r="SDK55" s="384"/>
      <c r="SDL55" s="384"/>
      <c r="SDM55" s="384"/>
      <c r="SDN55" s="384"/>
      <c r="SDO55" s="384"/>
      <c r="SDP55" s="384"/>
      <c r="SDQ55" s="384"/>
      <c r="SDR55" s="384"/>
      <c r="SDS55" s="384"/>
      <c r="SDT55" s="384"/>
      <c r="SDU55" s="384"/>
      <c r="SDV55" s="384"/>
      <c r="SDW55" s="384"/>
      <c r="SDX55" s="384"/>
      <c r="SDY55" s="384"/>
      <c r="SDZ55" s="384"/>
      <c r="SEA55" s="384"/>
      <c r="SEB55" s="384"/>
      <c r="SEC55" s="384"/>
      <c r="SED55" s="384"/>
      <c r="SEE55" s="384"/>
      <c r="SEF55" s="384"/>
      <c r="SEG55" s="384"/>
      <c r="SEH55" s="384"/>
      <c r="SEI55" s="384"/>
      <c r="SEJ55" s="384"/>
      <c r="SEK55" s="384"/>
      <c r="SEL55" s="384"/>
      <c r="SEM55" s="384"/>
      <c r="SEN55" s="384"/>
      <c r="SEO55" s="384"/>
      <c r="SEP55" s="384"/>
      <c r="SEQ55" s="384"/>
      <c r="SER55" s="384"/>
      <c r="SES55" s="384"/>
      <c r="SET55" s="384"/>
      <c r="SEU55" s="384"/>
      <c r="SEV55" s="384"/>
      <c r="SEW55" s="384"/>
      <c r="SEX55" s="384"/>
      <c r="SEY55" s="384"/>
      <c r="SEZ55" s="384"/>
      <c r="SFA55" s="384"/>
      <c r="SFB55" s="384"/>
      <c r="SFC55" s="384"/>
      <c r="SFD55" s="384"/>
      <c r="SFE55" s="384"/>
      <c r="SFF55" s="384"/>
      <c r="SFG55" s="384"/>
      <c r="SFH55" s="384"/>
      <c r="SFI55" s="384"/>
      <c r="SFJ55" s="384"/>
      <c r="SFK55" s="384"/>
      <c r="SFL55" s="384"/>
      <c r="SFM55" s="384"/>
      <c r="SFN55" s="384"/>
      <c r="SFO55" s="384"/>
      <c r="SFP55" s="384"/>
      <c r="SFQ55" s="384"/>
      <c r="SFR55" s="384"/>
      <c r="SFS55" s="384"/>
      <c r="SFT55" s="384"/>
      <c r="SFU55" s="384"/>
      <c r="SFV55" s="384"/>
      <c r="SFW55" s="384"/>
      <c r="SFX55" s="384"/>
      <c r="SFY55" s="384"/>
      <c r="SFZ55" s="384"/>
      <c r="SGA55" s="384"/>
      <c r="SGB55" s="384"/>
      <c r="SGC55" s="384"/>
      <c r="SGD55" s="384"/>
      <c r="SGE55" s="384"/>
      <c r="SGF55" s="384"/>
      <c r="SGG55" s="384"/>
      <c r="SGH55" s="384"/>
      <c r="SGI55" s="384"/>
      <c r="SGJ55" s="384"/>
      <c r="SGK55" s="384"/>
      <c r="SGL55" s="384"/>
      <c r="SGM55" s="384"/>
      <c r="SGN55" s="384"/>
      <c r="SGO55" s="384"/>
      <c r="SGP55" s="384"/>
      <c r="SGQ55" s="384"/>
      <c r="SGR55" s="384"/>
      <c r="SGS55" s="384"/>
      <c r="SGT55" s="384"/>
      <c r="SGU55" s="384"/>
      <c r="SGV55" s="384"/>
      <c r="SGW55" s="384"/>
      <c r="SGX55" s="384"/>
      <c r="SGY55" s="384"/>
      <c r="SGZ55" s="384"/>
      <c r="SHA55" s="384"/>
      <c r="SHB55" s="384"/>
      <c r="SHC55" s="384"/>
      <c r="SHD55" s="384"/>
      <c r="SHE55" s="384"/>
      <c r="SHF55" s="384"/>
      <c r="SHG55" s="384"/>
      <c r="SHH55" s="384"/>
      <c r="SHI55" s="384"/>
      <c r="SHJ55" s="384"/>
      <c r="SHK55" s="384"/>
      <c r="SHL55" s="384"/>
      <c r="SHM55" s="384"/>
      <c r="SHN55" s="384"/>
      <c r="SHO55" s="384"/>
      <c r="SHP55" s="384"/>
      <c r="SHQ55" s="384"/>
      <c r="SHR55" s="384"/>
      <c r="SHS55" s="384"/>
      <c r="SHT55" s="384"/>
      <c r="SHU55" s="384"/>
      <c r="SHV55" s="384"/>
      <c r="SHW55" s="384"/>
      <c r="SHX55" s="384"/>
      <c r="SHY55" s="384"/>
      <c r="SHZ55" s="384"/>
      <c r="SIA55" s="384"/>
      <c r="SIB55" s="384"/>
      <c r="SIC55" s="384"/>
      <c r="SID55" s="384"/>
      <c r="SIE55" s="384"/>
      <c r="SIF55" s="384"/>
      <c r="SIG55" s="384"/>
      <c r="SIH55" s="384"/>
      <c r="SII55" s="384"/>
      <c r="SIJ55" s="384"/>
      <c r="SIK55" s="384"/>
      <c r="SIL55" s="384"/>
      <c r="SIM55" s="384"/>
      <c r="SIN55" s="384"/>
      <c r="SIO55" s="384"/>
      <c r="SIP55" s="384"/>
      <c r="SIQ55" s="384"/>
      <c r="SIR55" s="384"/>
      <c r="SIS55" s="384"/>
      <c r="SIT55" s="384"/>
      <c r="SIU55" s="384"/>
      <c r="SIV55" s="384"/>
      <c r="SIW55" s="384"/>
      <c r="SIX55" s="384"/>
      <c r="SIY55" s="384"/>
      <c r="SIZ55" s="384"/>
      <c r="SJA55" s="384"/>
      <c r="SJB55" s="384"/>
      <c r="SJC55" s="384"/>
      <c r="SJD55" s="384"/>
      <c r="SJE55" s="384"/>
      <c r="SJF55" s="384"/>
      <c r="SJG55" s="384"/>
      <c r="SJH55" s="384"/>
      <c r="SJI55" s="384"/>
      <c r="SJJ55" s="384"/>
      <c r="SJK55" s="384"/>
      <c r="SJL55" s="384"/>
      <c r="SJM55" s="384"/>
      <c r="SJN55" s="384"/>
      <c r="SJO55" s="384"/>
      <c r="SJP55" s="384"/>
      <c r="SJQ55" s="384"/>
      <c r="SJR55" s="384"/>
      <c r="SJS55" s="384"/>
      <c r="SJT55" s="384"/>
      <c r="SJU55" s="384"/>
      <c r="SJV55" s="384"/>
      <c r="SJW55" s="384"/>
      <c r="SJX55" s="384"/>
      <c r="SJY55" s="384"/>
      <c r="SJZ55" s="384"/>
      <c r="SKA55" s="384"/>
      <c r="SKB55" s="384"/>
      <c r="SKC55" s="384"/>
      <c r="SKD55" s="384"/>
      <c r="SKE55" s="384"/>
      <c r="SKF55" s="384"/>
      <c r="SKG55" s="384"/>
      <c r="SKH55" s="384"/>
      <c r="SKI55" s="384"/>
      <c r="SKJ55" s="384"/>
      <c r="SKK55" s="384"/>
      <c r="SKL55" s="384"/>
      <c r="SKM55" s="384"/>
      <c r="SKN55" s="384"/>
      <c r="SKO55" s="384"/>
      <c r="SKP55" s="384"/>
      <c r="SKQ55" s="384"/>
      <c r="SKR55" s="384"/>
      <c r="SKS55" s="384"/>
      <c r="SKT55" s="384"/>
      <c r="SKU55" s="384"/>
      <c r="SKV55" s="384"/>
      <c r="SKW55" s="384"/>
      <c r="SKX55" s="384"/>
      <c r="SKY55" s="384"/>
      <c r="SKZ55" s="384"/>
      <c r="SLA55" s="384"/>
      <c r="SLB55" s="384"/>
      <c r="SLC55" s="384"/>
      <c r="SLD55" s="384"/>
      <c r="SLE55" s="384"/>
      <c r="SLF55" s="384"/>
      <c r="SLG55" s="384"/>
      <c r="SLH55" s="384"/>
      <c r="SLI55" s="384"/>
      <c r="SLJ55" s="384"/>
      <c r="SLK55" s="384"/>
      <c r="SLL55" s="384"/>
      <c r="SLM55" s="384"/>
      <c r="SLN55" s="384"/>
      <c r="SLO55" s="384"/>
      <c r="SLP55" s="384"/>
      <c r="SLQ55" s="384"/>
      <c r="SLR55" s="384"/>
      <c r="SLS55" s="384"/>
      <c r="SLT55" s="384"/>
      <c r="SLU55" s="384"/>
      <c r="SLV55" s="384"/>
      <c r="SLW55" s="384"/>
      <c r="SLX55" s="384"/>
      <c r="SLY55" s="384"/>
      <c r="SLZ55" s="384"/>
      <c r="SMA55" s="384"/>
      <c r="SMB55" s="384"/>
      <c r="SMC55" s="384"/>
      <c r="SMD55" s="384"/>
      <c r="SME55" s="384"/>
      <c r="SMF55" s="384"/>
      <c r="SMG55" s="384"/>
      <c r="SMH55" s="384"/>
      <c r="SMI55" s="384"/>
      <c r="SMJ55" s="384"/>
      <c r="SMK55" s="384"/>
      <c r="SML55" s="384"/>
      <c r="SMM55" s="384"/>
      <c r="SMN55" s="384"/>
      <c r="SMO55" s="384"/>
      <c r="SMP55" s="384"/>
      <c r="SMQ55" s="384"/>
      <c r="SMR55" s="384"/>
      <c r="SMS55" s="384"/>
      <c r="SMT55" s="384"/>
      <c r="SMU55" s="384"/>
      <c r="SMV55" s="384"/>
      <c r="SMW55" s="384"/>
      <c r="SMX55" s="384"/>
      <c r="SMY55" s="384"/>
      <c r="SMZ55" s="384"/>
      <c r="SNA55" s="384"/>
      <c r="SNB55" s="384"/>
      <c r="SNC55" s="384"/>
      <c r="SND55" s="384"/>
      <c r="SNE55" s="384"/>
      <c r="SNF55" s="384"/>
      <c r="SNG55" s="384"/>
      <c r="SNH55" s="384"/>
      <c r="SNI55" s="384"/>
      <c r="SNJ55" s="384"/>
      <c r="SNK55" s="384"/>
      <c r="SNL55" s="384"/>
      <c r="SNM55" s="384"/>
      <c r="SNN55" s="384"/>
      <c r="SNO55" s="384"/>
      <c r="SNP55" s="384"/>
      <c r="SNQ55" s="384"/>
      <c r="SNR55" s="384"/>
      <c r="SNS55" s="384"/>
      <c r="SNT55" s="384"/>
      <c r="SNU55" s="384"/>
      <c r="SNV55" s="384"/>
      <c r="SNW55" s="384"/>
      <c r="SNX55" s="384"/>
      <c r="SNY55" s="384"/>
      <c r="SNZ55" s="384"/>
      <c r="SOA55" s="384"/>
      <c r="SOB55" s="384"/>
      <c r="SOC55" s="384"/>
      <c r="SOD55" s="384"/>
      <c r="SOE55" s="384"/>
      <c r="SOF55" s="384"/>
      <c r="SOG55" s="384"/>
      <c r="SOH55" s="384"/>
      <c r="SOI55" s="384"/>
      <c r="SOJ55" s="384"/>
      <c r="SOK55" s="384"/>
      <c r="SOL55" s="384"/>
      <c r="SOM55" s="384"/>
      <c r="SON55" s="384"/>
      <c r="SOO55" s="384"/>
      <c r="SOP55" s="384"/>
      <c r="SOQ55" s="384"/>
      <c r="SOR55" s="384"/>
      <c r="SOS55" s="384"/>
      <c r="SOT55" s="384"/>
      <c r="SOU55" s="384"/>
      <c r="SOV55" s="384"/>
      <c r="SOW55" s="384"/>
      <c r="SOX55" s="384"/>
      <c r="SOY55" s="384"/>
      <c r="SOZ55" s="384"/>
      <c r="SPA55" s="384"/>
      <c r="SPB55" s="384"/>
      <c r="SPC55" s="384"/>
      <c r="SPD55" s="384"/>
      <c r="SPE55" s="384"/>
      <c r="SPF55" s="384"/>
      <c r="SPG55" s="384"/>
      <c r="SPH55" s="384"/>
      <c r="SPI55" s="384"/>
      <c r="SPJ55" s="384"/>
      <c r="SPK55" s="384"/>
      <c r="SPL55" s="384"/>
      <c r="SPM55" s="384"/>
      <c r="SPN55" s="384"/>
      <c r="SPO55" s="384"/>
      <c r="SPP55" s="384"/>
      <c r="SPQ55" s="384"/>
      <c r="SPR55" s="384"/>
      <c r="SPS55" s="384"/>
      <c r="SPT55" s="384"/>
      <c r="SPU55" s="384"/>
      <c r="SPV55" s="384"/>
      <c r="SPW55" s="384"/>
      <c r="SPX55" s="384"/>
      <c r="SPY55" s="384"/>
      <c r="SPZ55" s="384"/>
      <c r="SQA55" s="384"/>
      <c r="SQB55" s="384"/>
      <c r="SQC55" s="384"/>
      <c r="SQD55" s="384"/>
      <c r="SQE55" s="384"/>
      <c r="SQF55" s="384"/>
      <c r="SQG55" s="384"/>
      <c r="SQH55" s="384"/>
      <c r="SQI55" s="384"/>
      <c r="SQJ55" s="384"/>
      <c r="SQK55" s="384"/>
      <c r="SQL55" s="384"/>
      <c r="SQM55" s="384"/>
      <c r="SQN55" s="384"/>
      <c r="SQO55" s="384"/>
      <c r="SQP55" s="384"/>
      <c r="SQQ55" s="384"/>
      <c r="SQR55" s="384"/>
      <c r="SQS55" s="384"/>
      <c r="SQT55" s="384"/>
      <c r="SQU55" s="384"/>
      <c r="SQV55" s="384"/>
      <c r="SQW55" s="384"/>
      <c r="SQX55" s="384"/>
      <c r="SQY55" s="384"/>
      <c r="SQZ55" s="384"/>
      <c r="SRA55" s="384"/>
      <c r="SRB55" s="384"/>
      <c r="SRC55" s="384"/>
      <c r="SRD55" s="384"/>
      <c r="SRE55" s="384"/>
      <c r="SRF55" s="384"/>
      <c r="SRG55" s="384"/>
      <c r="SRH55" s="384"/>
      <c r="SRI55" s="384"/>
      <c r="SRJ55" s="384"/>
      <c r="SRK55" s="384"/>
      <c r="SRL55" s="384"/>
      <c r="SRM55" s="384"/>
      <c r="SRN55" s="384"/>
      <c r="SRO55" s="384"/>
      <c r="SRP55" s="384"/>
      <c r="SRQ55" s="384"/>
      <c r="SRR55" s="384"/>
      <c r="SRS55" s="384"/>
      <c r="SRT55" s="384"/>
      <c r="SRU55" s="384"/>
      <c r="SRV55" s="384"/>
      <c r="SRW55" s="384"/>
      <c r="SRX55" s="384"/>
      <c r="SRY55" s="384"/>
      <c r="SRZ55" s="384"/>
      <c r="SSA55" s="384"/>
      <c r="SSB55" s="384"/>
      <c r="SSC55" s="384"/>
      <c r="SSD55" s="384"/>
      <c r="SSE55" s="384"/>
      <c r="SSF55" s="384"/>
      <c r="SSG55" s="384"/>
      <c r="SSH55" s="384"/>
      <c r="SSI55" s="384"/>
      <c r="SSJ55" s="384"/>
      <c r="SSK55" s="384"/>
      <c r="SSL55" s="384"/>
      <c r="SSM55" s="384"/>
      <c r="SSN55" s="384"/>
      <c r="SSO55" s="384"/>
      <c r="SSP55" s="384"/>
      <c r="SSQ55" s="384"/>
      <c r="SSR55" s="384"/>
      <c r="SSS55" s="384"/>
      <c r="SST55" s="384"/>
      <c r="SSU55" s="384"/>
      <c r="SSV55" s="384"/>
      <c r="SSW55" s="384"/>
      <c r="SSX55" s="384"/>
      <c r="SSY55" s="384"/>
      <c r="SSZ55" s="384"/>
      <c r="STA55" s="384"/>
      <c r="STB55" s="384"/>
      <c r="STC55" s="384"/>
      <c r="STD55" s="384"/>
      <c r="STE55" s="384"/>
      <c r="STF55" s="384"/>
      <c r="STG55" s="384"/>
      <c r="STH55" s="384"/>
      <c r="STI55" s="384"/>
      <c r="STJ55" s="384"/>
      <c r="STK55" s="384"/>
      <c r="STL55" s="384"/>
      <c r="STM55" s="384"/>
      <c r="STN55" s="384"/>
      <c r="STO55" s="384"/>
      <c r="STP55" s="384"/>
      <c r="STQ55" s="384"/>
      <c r="STR55" s="384"/>
      <c r="STS55" s="384"/>
      <c r="STT55" s="384"/>
      <c r="STU55" s="384"/>
      <c r="STV55" s="384"/>
      <c r="STW55" s="384"/>
      <c r="STX55" s="384"/>
      <c r="STY55" s="384"/>
      <c r="STZ55" s="384"/>
      <c r="SUA55" s="384"/>
      <c r="SUB55" s="384"/>
      <c r="SUC55" s="384"/>
      <c r="SUD55" s="384"/>
      <c r="SUE55" s="384"/>
      <c r="SUF55" s="384"/>
      <c r="SUG55" s="384"/>
      <c r="SUH55" s="384"/>
      <c r="SUI55" s="384"/>
      <c r="SUJ55" s="384"/>
      <c r="SUK55" s="384"/>
      <c r="SUL55" s="384"/>
      <c r="SUM55" s="384"/>
      <c r="SUN55" s="384"/>
      <c r="SUO55" s="384"/>
      <c r="SUP55" s="384"/>
      <c r="SUQ55" s="384"/>
      <c r="SUR55" s="384"/>
      <c r="SUS55" s="384"/>
      <c r="SUT55" s="384"/>
      <c r="SUU55" s="384"/>
      <c r="SUV55" s="384"/>
      <c r="SUW55" s="384"/>
      <c r="SUX55" s="384"/>
      <c r="SUY55" s="384"/>
      <c r="SUZ55" s="384"/>
      <c r="SVA55" s="384"/>
      <c r="SVB55" s="384"/>
      <c r="SVC55" s="384"/>
      <c r="SVD55" s="384"/>
      <c r="SVE55" s="384"/>
      <c r="SVF55" s="384"/>
      <c r="SVG55" s="384"/>
      <c r="SVH55" s="384"/>
      <c r="SVI55" s="384"/>
      <c r="SVJ55" s="384"/>
      <c r="SVK55" s="384"/>
      <c r="SVL55" s="384"/>
      <c r="SVM55" s="384"/>
      <c r="SVN55" s="384"/>
      <c r="SVO55" s="384"/>
      <c r="SVP55" s="384"/>
      <c r="SVQ55" s="384"/>
      <c r="SVR55" s="384"/>
      <c r="SVS55" s="384"/>
      <c r="SVT55" s="384"/>
      <c r="SVU55" s="384"/>
      <c r="SVV55" s="384"/>
      <c r="SVW55" s="384"/>
      <c r="SVX55" s="384"/>
      <c r="SVY55" s="384"/>
      <c r="SVZ55" s="384"/>
      <c r="SWA55" s="384"/>
      <c r="SWB55" s="384"/>
      <c r="SWC55" s="384"/>
      <c r="SWD55" s="384"/>
      <c r="SWE55" s="384"/>
      <c r="SWF55" s="384"/>
      <c r="SWG55" s="384"/>
      <c r="SWH55" s="384"/>
      <c r="SWI55" s="384"/>
      <c r="SWJ55" s="384"/>
      <c r="SWK55" s="384"/>
      <c r="SWL55" s="384"/>
      <c r="SWM55" s="384"/>
      <c r="SWN55" s="384"/>
      <c r="SWO55" s="384"/>
      <c r="SWP55" s="384"/>
      <c r="SWQ55" s="384"/>
      <c r="SWR55" s="384"/>
      <c r="SWS55" s="384"/>
      <c r="SWT55" s="384"/>
      <c r="SWU55" s="384"/>
      <c r="SWV55" s="384"/>
      <c r="SWW55" s="384"/>
      <c r="SWX55" s="384"/>
      <c r="SWY55" s="384"/>
      <c r="SWZ55" s="384"/>
      <c r="SXA55" s="384"/>
      <c r="SXB55" s="384"/>
      <c r="SXC55" s="384"/>
      <c r="SXD55" s="384"/>
      <c r="SXE55" s="384"/>
      <c r="SXF55" s="384"/>
      <c r="SXG55" s="384"/>
      <c r="SXH55" s="384"/>
      <c r="SXI55" s="384"/>
      <c r="SXJ55" s="384"/>
      <c r="SXK55" s="384"/>
      <c r="SXL55" s="384"/>
      <c r="SXM55" s="384"/>
      <c r="SXN55" s="384"/>
      <c r="SXO55" s="384"/>
      <c r="SXP55" s="384"/>
      <c r="SXQ55" s="384"/>
      <c r="SXR55" s="384"/>
      <c r="SXS55" s="384"/>
      <c r="SXT55" s="384"/>
      <c r="SXU55" s="384"/>
      <c r="SXV55" s="384"/>
      <c r="SXW55" s="384"/>
      <c r="SXX55" s="384"/>
      <c r="SXY55" s="384"/>
      <c r="SXZ55" s="384"/>
      <c r="SYA55" s="384"/>
      <c r="SYB55" s="384"/>
      <c r="SYC55" s="384"/>
      <c r="SYD55" s="384"/>
      <c r="SYE55" s="384"/>
      <c r="SYF55" s="384"/>
      <c r="SYG55" s="384"/>
      <c r="SYH55" s="384"/>
      <c r="SYI55" s="384"/>
      <c r="SYJ55" s="384"/>
      <c r="SYK55" s="384"/>
      <c r="SYL55" s="384"/>
      <c r="SYM55" s="384"/>
      <c r="SYN55" s="384"/>
      <c r="SYO55" s="384"/>
      <c r="SYP55" s="384"/>
      <c r="SYQ55" s="384"/>
      <c r="SYR55" s="384"/>
      <c r="SYS55" s="384"/>
      <c r="SYT55" s="384"/>
      <c r="SYU55" s="384"/>
      <c r="SYV55" s="384"/>
      <c r="SYW55" s="384"/>
      <c r="SYX55" s="384"/>
      <c r="SYY55" s="384"/>
      <c r="SYZ55" s="384"/>
      <c r="SZA55" s="384"/>
      <c r="SZB55" s="384"/>
      <c r="SZC55" s="384"/>
      <c r="SZD55" s="384"/>
      <c r="SZE55" s="384"/>
      <c r="SZF55" s="384"/>
      <c r="SZG55" s="384"/>
      <c r="SZH55" s="384"/>
      <c r="SZI55" s="384"/>
      <c r="SZJ55" s="384"/>
      <c r="SZK55" s="384"/>
      <c r="SZL55" s="384"/>
      <c r="SZM55" s="384"/>
      <c r="SZN55" s="384"/>
      <c r="SZO55" s="384"/>
      <c r="SZP55" s="384"/>
      <c r="SZQ55" s="384"/>
      <c r="SZR55" s="384"/>
      <c r="SZS55" s="384"/>
      <c r="SZT55" s="384"/>
      <c r="SZU55" s="384"/>
      <c r="SZV55" s="384"/>
      <c r="SZW55" s="384"/>
      <c r="SZX55" s="384"/>
      <c r="SZY55" s="384"/>
      <c r="SZZ55" s="384"/>
      <c r="TAA55" s="384"/>
      <c r="TAB55" s="384"/>
      <c r="TAC55" s="384"/>
      <c r="TAD55" s="384"/>
      <c r="TAE55" s="384"/>
      <c r="TAF55" s="384"/>
      <c r="TAG55" s="384"/>
      <c r="TAH55" s="384"/>
      <c r="TAI55" s="384"/>
      <c r="TAJ55" s="384"/>
      <c r="TAK55" s="384"/>
      <c r="TAL55" s="384"/>
      <c r="TAM55" s="384"/>
      <c r="TAN55" s="384"/>
      <c r="TAO55" s="384"/>
      <c r="TAP55" s="384"/>
      <c r="TAQ55" s="384"/>
      <c r="TAR55" s="384"/>
      <c r="TAS55" s="384"/>
      <c r="TAT55" s="384"/>
      <c r="TAU55" s="384"/>
      <c r="TAV55" s="384"/>
      <c r="TAW55" s="384"/>
      <c r="TAX55" s="384"/>
      <c r="TAY55" s="384"/>
      <c r="TAZ55" s="384"/>
      <c r="TBA55" s="384"/>
      <c r="TBB55" s="384"/>
      <c r="TBC55" s="384"/>
      <c r="TBD55" s="384"/>
      <c r="TBE55" s="384"/>
      <c r="TBF55" s="384"/>
      <c r="TBG55" s="384"/>
      <c r="TBH55" s="384"/>
      <c r="TBI55" s="384"/>
      <c r="TBJ55" s="384"/>
      <c r="TBK55" s="384"/>
      <c r="TBL55" s="384"/>
      <c r="TBM55" s="384"/>
      <c r="TBN55" s="384"/>
      <c r="TBO55" s="384"/>
      <c r="TBP55" s="384"/>
      <c r="TBQ55" s="384"/>
      <c r="TBR55" s="384"/>
      <c r="TBS55" s="384"/>
      <c r="TBT55" s="384"/>
      <c r="TBU55" s="384"/>
      <c r="TBV55" s="384"/>
      <c r="TBW55" s="384"/>
      <c r="TBX55" s="384"/>
      <c r="TBY55" s="384"/>
      <c r="TBZ55" s="384"/>
      <c r="TCA55" s="384"/>
      <c r="TCB55" s="384"/>
      <c r="TCC55" s="384"/>
      <c r="TCD55" s="384"/>
      <c r="TCE55" s="384"/>
      <c r="TCF55" s="384"/>
      <c r="TCG55" s="384"/>
      <c r="TCH55" s="384"/>
      <c r="TCI55" s="384"/>
      <c r="TCJ55" s="384"/>
      <c r="TCK55" s="384"/>
      <c r="TCL55" s="384"/>
      <c r="TCM55" s="384"/>
      <c r="TCN55" s="384"/>
      <c r="TCO55" s="384"/>
      <c r="TCP55" s="384"/>
      <c r="TCQ55" s="384"/>
      <c r="TCR55" s="384"/>
      <c r="TCS55" s="384"/>
      <c r="TCT55" s="384"/>
      <c r="TCU55" s="384"/>
      <c r="TCV55" s="384"/>
      <c r="TCW55" s="384"/>
      <c r="TCX55" s="384"/>
      <c r="TCY55" s="384"/>
      <c r="TCZ55" s="384"/>
      <c r="TDA55" s="384"/>
      <c r="TDB55" s="384"/>
      <c r="TDC55" s="384"/>
      <c r="TDD55" s="384"/>
      <c r="TDE55" s="384"/>
      <c r="TDF55" s="384"/>
      <c r="TDG55" s="384"/>
      <c r="TDH55" s="384"/>
      <c r="TDI55" s="384"/>
      <c r="TDJ55" s="384"/>
      <c r="TDK55" s="384"/>
      <c r="TDL55" s="384"/>
      <c r="TDM55" s="384"/>
      <c r="TDN55" s="384"/>
      <c r="TDO55" s="384"/>
      <c r="TDP55" s="384"/>
      <c r="TDQ55" s="384"/>
      <c r="TDR55" s="384"/>
      <c r="TDS55" s="384"/>
      <c r="TDT55" s="384"/>
      <c r="TDU55" s="384"/>
      <c r="TDV55" s="384"/>
      <c r="TDW55" s="384"/>
      <c r="TDX55" s="384"/>
      <c r="TDY55" s="384"/>
      <c r="TDZ55" s="384"/>
      <c r="TEA55" s="384"/>
      <c r="TEB55" s="384"/>
      <c r="TEC55" s="384"/>
      <c r="TED55" s="384"/>
      <c r="TEE55" s="384"/>
      <c r="TEF55" s="384"/>
      <c r="TEG55" s="384"/>
      <c r="TEH55" s="384"/>
      <c r="TEI55" s="384"/>
      <c r="TEJ55" s="384"/>
      <c r="TEK55" s="384"/>
      <c r="TEL55" s="384"/>
      <c r="TEM55" s="384"/>
      <c r="TEN55" s="384"/>
      <c r="TEO55" s="384"/>
      <c r="TEP55" s="384"/>
      <c r="TEQ55" s="384"/>
      <c r="TER55" s="384"/>
      <c r="TES55" s="384"/>
      <c r="TET55" s="384"/>
      <c r="TEU55" s="384"/>
      <c r="TEV55" s="384"/>
      <c r="TEW55" s="384"/>
      <c r="TEX55" s="384"/>
      <c r="TEY55" s="384"/>
      <c r="TEZ55" s="384"/>
      <c r="TFA55" s="384"/>
      <c r="TFB55" s="384"/>
      <c r="TFC55" s="384"/>
      <c r="TFD55" s="384"/>
      <c r="TFE55" s="384"/>
      <c r="TFF55" s="384"/>
      <c r="TFG55" s="384"/>
      <c r="TFH55" s="384"/>
      <c r="TFI55" s="384"/>
      <c r="TFJ55" s="384"/>
      <c r="TFK55" s="384"/>
      <c r="TFL55" s="384"/>
      <c r="TFM55" s="384"/>
      <c r="TFN55" s="384"/>
      <c r="TFO55" s="384"/>
      <c r="TFP55" s="384"/>
      <c r="TFQ55" s="384"/>
      <c r="TFR55" s="384"/>
      <c r="TFS55" s="384"/>
      <c r="TFT55" s="384"/>
      <c r="TFU55" s="384"/>
      <c r="TFV55" s="384"/>
      <c r="TFW55" s="384"/>
      <c r="TFX55" s="384"/>
      <c r="TFY55" s="384"/>
      <c r="TFZ55" s="384"/>
      <c r="TGA55" s="384"/>
      <c r="TGB55" s="384"/>
      <c r="TGC55" s="384"/>
      <c r="TGD55" s="384"/>
      <c r="TGE55" s="384"/>
      <c r="TGF55" s="384"/>
      <c r="TGG55" s="384"/>
      <c r="TGH55" s="384"/>
      <c r="TGI55" s="384"/>
      <c r="TGJ55" s="384"/>
      <c r="TGK55" s="384"/>
      <c r="TGL55" s="384"/>
      <c r="TGM55" s="384"/>
      <c r="TGN55" s="384"/>
      <c r="TGO55" s="384"/>
      <c r="TGP55" s="384"/>
      <c r="TGQ55" s="384"/>
      <c r="TGR55" s="384"/>
      <c r="TGS55" s="384"/>
      <c r="TGT55" s="384"/>
      <c r="TGU55" s="384"/>
      <c r="TGV55" s="384"/>
      <c r="TGW55" s="384"/>
      <c r="TGX55" s="384"/>
      <c r="TGY55" s="384"/>
      <c r="TGZ55" s="384"/>
      <c r="THA55" s="384"/>
      <c r="THB55" s="384"/>
      <c r="THC55" s="384"/>
      <c r="THD55" s="384"/>
      <c r="THE55" s="384"/>
      <c r="THF55" s="384"/>
      <c r="THG55" s="384"/>
      <c r="THH55" s="384"/>
      <c r="THI55" s="384"/>
      <c r="THJ55" s="384"/>
      <c r="THK55" s="384"/>
      <c r="THL55" s="384"/>
      <c r="THM55" s="384"/>
      <c r="THN55" s="384"/>
      <c r="THO55" s="384"/>
      <c r="THP55" s="384"/>
      <c r="THQ55" s="384"/>
      <c r="THR55" s="384"/>
      <c r="THS55" s="384"/>
      <c r="THT55" s="384"/>
      <c r="THU55" s="384"/>
      <c r="THV55" s="384"/>
      <c r="THW55" s="384"/>
      <c r="THX55" s="384"/>
      <c r="THY55" s="384"/>
      <c r="THZ55" s="384"/>
      <c r="TIA55" s="384"/>
      <c r="TIB55" s="384"/>
      <c r="TIC55" s="384"/>
      <c r="TID55" s="384"/>
      <c r="TIE55" s="384"/>
      <c r="TIF55" s="384"/>
      <c r="TIG55" s="384"/>
      <c r="TIH55" s="384"/>
      <c r="TII55" s="384"/>
      <c r="TIJ55" s="384"/>
      <c r="TIK55" s="384"/>
      <c r="TIL55" s="384"/>
      <c r="TIM55" s="384"/>
      <c r="TIN55" s="384"/>
      <c r="TIO55" s="384"/>
      <c r="TIP55" s="384"/>
      <c r="TIQ55" s="384"/>
      <c r="TIR55" s="384"/>
      <c r="TIS55" s="384"/>
      <c r="TIT55" s="384"/>
      <c r="TIU55" s="384"/>
      <c r="TIV55" s="384"/>
      <c r="TIW55" s="384"/>
      <c r="TIX55" s="384"/>
      <c r="TIY55" s="384"/>
      <c r="TIZ55" s="384"/>
      <c r="TJA55" s="384"/>
      <c r="TJB55" s="384"/>
      <c r="TJC55" s="384"/>
      <c r="TJD55" s="384"/>
      <c r="TJE55" s="384"/>
      <c r="TJF55" s="384"/>
      <c r="TJG55" s="384"/>
      <c r="TJH55" s="384"/>
      <c r="TJI55" s="384"/>
      <c r="TJJ55" s="384"/>
      <c r="TJK55" s="384"/>
      <c r="TJL55" s="384"/>
      <c r="TJM55" s="384"/>
      <c r="TJN55" s="384"/>
      <c r="TJO55" s="384"/>
      <c r="TJP55" s="384"/>
      <c r="TJQ55" s="384"/>
      <c r="TJR55" s="384"/>
      <c r="TJS55" s="384"/>
      <c r="TJT55" s="384"/>
      <c r="TJU55" s="384"/>
      <c r="TJV55" s="384"/>
      <c r="TJW55" s="384"/>
      <c r="TJX55" s="384"/>
      <c r="TJY55" s="384"/>
      <c r="TJZ55" s="384"/>
      <c r="TKA55" s="384"/>
      <c r="TKB55" s="384"/>
      <c r="TKC55" s="384"/>
      <c r="TKD55" s="384"/>
      <c r="TKE55" s="384"/>
      <c r="TKF55" s="384"/>
      <c r="TKG55" s="384"/>
      <c r="TKH55" s="384"/>
      <c r="TKI55" s="384"/>
      <c r="TKJ55" s="384"/>
      <c r="TKK55" s="384"/>
      <c r="TKL55" s="384"/>
      <c r="TKM55" s="384"/>
      <c r="TKN55" s="384"/>
      <c r="TKO55" s="384"/>
      <c r="TKP55" s="384"/>
      <c r="TKQ55" s="384"/>
      <c r="TKR55" s="384"/>
      <c r="TKS55" s="384"/>
      <c r="TKT55" s="384"/>
      <c r="TKU55" s="384"/>
      <c r="TKV55" s="384"/>
      <c r="TKW55" s="384"/>
      <c r="TKX55" s="384"/>
      <c r="TKY55" s="384"/>
      <c r="TKZ55" s="384"/>
      <c r="TLA55" s="384"/>
      <c r="TLB55" s="384"/>
      <c r="TLC55" s="384"/>
      <c r="TLD55" s="384"/>
      <c r="TLE55" s="384"/>
      <c r="TLF55" s="384"/>
      <c r="TLG55" s="384"/>
      <c r="TLH55" s="384"/>
      <c r="TLI55" s="384"/>
      <c r="TLJ55" s="384"/>
      <c r="TLK55" s="384"/>
      <c r="TLL55" s="384"/>
      <c r="TLM55" s="384"/>
      <c r="TLN55" s="384"/>
      <c r="TLO55" s="384"/>
      <c r="TLP55" s="384"/>
      <c r="TLQ55" s="384"/>
      <c r="TLR55" s="384"/>
      <c r="TLS55" s="384"/>
      <c r="TLT55" s="384"/>
      <c r="TLU55" s="384"/>
      <c r="TLV55" s="384"/>
      <c r="TLW55" s="384"/>
      <c r="TLX55" s="384"/>
      <c r="TLY55" s="384"/>
      <c r="TLZ55" s="384"/>
      <c r="TMA55" s="384"/>
      <c r="TMB55" s="384"/>
      <c r="TMC55" s="384"/>
      <c r="TMD55" s="384"/>
      <c r="TME55" s="384"/>
      <c r="TMF55" s="384"/>
      <c r="TMG55" s="384"/>
      <c r="TMH55" s="384"/>
      <c r="TMI55" s="384"/>
      <c r="TMJ55" s="384"/>
      <c r="TMK55" s="384"/>
      <c r="TML55" s="384"/>
      <c r="TMM55" s="384"/>
      <c r="TMN55" s="384"/>
      <c r="TMO55" s="384"/>
      <c r="TMP55" s="384"/>
      <c r="TMQ55" s="384"/>
      <c r="TMR55" s="384"/>
      <c r="TMS55" s="384"/>
      <c r="TMT55" s="384"/>
      <c r="TMU55" s="384"/>
      <c r="TMV55" s="384"/>
      <c r="TMW55" s="384"/>
      <c r="TMX55" s="384"/>
      <c r="TMY55" s="384"/>
      <c r="TMZ55" s="384"/>
      <c r="TNA55" s="384"/>
      <c r="TNB55" s="384"/>
      <c r="TNC55" s="384"/>
      <c r="TND55" s="384"/>
      <c r="TNE55" s="384"/>
      <c r="TNF55" s="384"/>
      <c r="TNG55" s="384"/>
      <c r="TNH55" s="384"/>
      <c r="TNI55" s="384"/>
      <c r="TNJ55" s="384"/>
      <c r="TNK55" s="384"/>
      <c r="TNL55" s="384"/>
      <c r="TNM55" s="384"/>
      <c r="TNN55" s="384"/>
      <c r="TNO55" s="384"/>
      <c r="TNP55" s="384"/>
      <c r="TNQ55" s="384"/>
      <c r="TNR55" s="384"/>
      <c r="TNS55" s="384"/>
      <c r="TNT55" s="384"/>
      <c r="TNU55" s="384"/>
      <c r="TNV55" s="384"/>
      <c r="TNW55" s="384"/>
      <c r="TNX55" s="384"/>
      <c r="TNY55" s="384"/>
      <c r="TNZ55" s="384"/>
      <c r="TOA55" s="384"/>
      <c r="TOB55" s="384"/>
      <c r="TOC55" s="384"/>
      <c r="TOD55" s="384"/>
      <c r="TOE55" s="384"/>
      <c r="TOF55" s="384"/>
      <c r="TOG55" s="384"/>
      <c r="TOH55" s="384"/>
      <c r="TOI55" s="384"/>
      <c r="TOJ55" s="384"/>
      <c r="TOK55" s="384"/>
      <c r="TOL55" s="384"/>
      <c r="TOM55" s="384"/>
      <c r="TON55" s="384"/>
      <c r="TOO55" s="384"/>
      <c r="TOP55" s="384"/>
      <c r="TOQ55" s="384"/>
      <c r="TOR55" s="384"/>
      <c r="TOS55" s="384"/>
      <c r="TOT55" s="384"/>
      <c r="TOU55" s="384"/>
      <c r="TOV55" s="384"/>
      <c r="TOW55" s="384"/>
      <c r="TOX55" s="384"/>
      <c r="TOY55" s="384"/>
      <c r="TOZ55" s="384"/>
      <c r="TPA55" s="384"/>
      <c r="TPB55" s="384"/>
      <c r="TPC55" s="384"/>
      <c r="TPD55" s="384"/>
      <c r="TPE55" s="384"/>
      <c r="TPF55" s="384"/>
      <c r="TPG55" s="384"/>
      <c r="TPH55" s="384"/>
      <c r="TPI55" s="384"/>
      <c r="TPJ55" s="384"/>
      <c r="TPK55" s="384"/>
      <c r="TPL55" s="384"/>
      <c r="TPM55" s="384"/>
      <c r="TPN55" s="384"/>
      <c r="TPO55" s="384"/>
      <c r="TPP55" s="384"/>
      <c r="TPQ55" s="384"/>
      <c r="TPR55" s="384"/>
      <c r="TPS55" s="384"/>
      <c r="TPT55" s="384"/>
      <c r="TPU55" s="384"/>
      <c r="TPV55" s="384"/>
      <c r="TPW55" s="384"/>
      <c r="TPX55" s="384"/>
      <c r="TPY55" s="384"/>
      <c r="TPZ55" s="384"/>
      <c r="TQA55" s="384"/>
      <c r="TQB55" s="384"/>
      <c r="TQC55" s="384"/>
      <c r="TQD55" s="384"/>
      <c r="TQE55" s="384"/>
      <c r="TQF55" s="384"/>
      <c r="TQG55" s="384"/>
      <c r="TQH55" s="384"/>
      <c r="TQI55" s="384"/>
      <c r="TQJ55" s="384"/>
      <c r="TQK55" s="384"/>
      <c r="TQL55" s="384"/>
      <c r="TQM55" s="384"/>
      <c r="TQN55" s="384"/>
      <c r="TQO55" s="384"/>
      <c r="TQP55" s="384"/>
      <c r="TQQ55" s="384"/>
      <c r="TQR55" s="384"/>
      <c r="TQS55" s="384"/>
      <c r="TQT55" s="384"/>
      <c r="TQU55" s="384"/>
      <c r="TQV55" s="384"/>
      <c r="TQW55" s="384"/>
      <c r="TQX55" s="384"/>
      <c r="TQY55" s="384"/>
      <c r="TQZ55" s="384"/>
      <c r="TRA55" s="384"/>
      <c r="TRB55" s="384"/>
      <c r="TRC55" s="384"/>
      <c r="TRD55" s="384"/>
      <c r="TRE55" s="384"/>
      <c r="TRF55" s="384"/>
      <c r="TRG55" s="384"/>
      <c r="TRH55" s="384"/>
      <c r="TRI55" s="384"/>
      <c r="TRJ55" s="384"/>
      <c r="TRK55" s="384"/>
      <c r="TRL55" s="384"/>
      <c r="TRM55" s="384"/>
      <c r="TRN55" s="384"/>
      <c r="TRO55" s="384"/>
      <c r="TRP55" s="384"/>
      <c r="TRQ55" s="384"/>
      <c r="TRR55" s="384"/>
      <c r="TRS55" s="384"/>
      <c r="TRT55" s="384"/>
      <c r="TRU55" s="384"/>
      <c r="TRV55" s="384"/>
      <c r="TRW55" s="384"/>
      <c r="TRX55" s="384"/>
      <c r="TRY55" s="384"/>
      <c r="TRZ55" s="384"/>
      <c r="TSA55" s="384"/>
      <c r="TSB55" s="384"/>
      <c r="TSC55" s="384"/>
      <c r="TSD55" s="384"/>
      <c r="TSE55" s="384"/>
      <c r="TSF55" s="384"/>
      <c r="TSG55" s="384"/>
      <c r="TSH55" s="384"/>
      <c r="TSI55" s="384"/>
      <c r="TSJ55" s="384"/>
      <c r="TSK55" s="384"/>
      <c r="TSL55" s="384"/>
      <c r="TSM55" s="384"/>
      <c r="TSN55" s="384"/>
      <c r="TSO55" s="384"/>
      <c r="TSP55" s="384"/>
      <c r="TSQ55" s="384"/>
      <c r="TSR55" s="384"/>
      <c r="TSS55" s="384"/>
      <c r="TST55" s="384"/>
      <c r="TSU55" s="384"/>
      <c r="TSV55" s="384"/>
      <c r="TSW55" s="384"/>
      <c r="TSX55" s="384"/>
      <c r="TSY55" s="384"/>
      <c r="TSZ55" s="384"/>
      <c r="TTA55" s="384"/>
      <c r="TTB55" s="384"/>
      <c r="TTC55" s="384"/>
      <c r="TTD55" s="384"/>
      <c r="TTE55" s="384"/>
      <c r="TTF55" s="384"/>
      <c r="TTG55" s="384"/>
      <c r="TTH55" s="384"/>
      <c r="TTI55" s="384"/>
      <c r="TTJ55" s="384"/>
      <c r="TTK55" s="384"/>
      <c r="TTL55" s="384"/>
      <c r="TTM55" s="384"/>
      <c r="TTN55" s="384"/>
      <c r="TTO55" s="384"/>
      <c r="TTP55" s="384"/>
      <c r="TTQ55" s="384"/>
      <c r="TTR55" s="384"/>
      <c r="TTS55" s="384"/>
      <c r="TTT55" s="384"/>
      <c r="TTU55" s="384"/>
      <c r="TTV55" s="384"/>
      <c r="TTW55" s="384"/>
      <c r="TTX55" s="384"/>
      <c r="TTY55" s="384"/>
      <c r="TTZ55" s="384"/>
      <c r="TUA55" s="384"/>
      <c r="TUB55" s="384"/>
      <c r="TUC55" s="384"/>
      <c r="TUD55" s="384"/>
      <c r="TUE55" s="384"/>
      <c r="TUF55" s="384"/>
      <c r="TUG55" s="384"/>
      <c r="TUH55" s="384"/>
      <c r="TUI55" s="384"/>
      <c r="TUJ55" s="384"/>
      <c r="TUK55" s="384"/>
      <c r="TUL55" s="384"/>
      <c r="TUM55" s="384"/>
      <c r="TUN55" s="384"/>
      <c r="TUO55" s="384"/>
      <c r="TUP55" s="384"/>
      <c r="TUQ55" s="384"/>
      <c r="TUR55" s="384"/>
      <c r="TUS55" s="384"/>
      <c r="TUT55" s="384"/>
      <c r="TUU55" s="384"/>
      <c r="TUV55" s="384"/>
      <c r="TUW55" s="384"/>
      <c r="TUX55" s="384"/>
      <c r="TUY55" s="384"/>
      <c r="TUZ55" s="384"/>
      <c r="TVA55" s="384"/>
      <c r="TVB55" s="384"/>
      <c r="TVC55" s="384"/>
      <c r="TVD55" s="384"/>
      <c r="TVE55" s="384"/>
      <c r="TVF55" s="384"/>
      <c r="TVG55" s="384"/>
      <c r="TVH55" s="384"/>
      <c r="TVI55" s="384"/>
      <c r="TVJ55" s="384"/>
      <c r="TVK55" s="384"/>
      <c r="TVL55" s="384"/>
      <c r="TVM55" s="384"/>
      <c r="TVN55" s="384"/>
      <c r="TVO55" s="384"/>
      <c r="TVP55" s="384"/>
      <c r="TVQ55" s="384"/>
      <c r="TVR55" s="384"/>
      <c r="TVS55" s="384"/>
      <c r="TVT55" s="384"/>
      <c r="TVU55" s="384"/>
      <c r="TVV55" s="384"/>
      <c r="TVW55" s="384"/>
      <c r="TVX55" s="384"/>
      <c r="TVY55" s="384"/>
      <c r="TVZ55" s="384"/>
      <c r="TWA55" s="384"/>
      <c r="TWB55" s="384"/>
      <c r="TWC55" s="384"/>
      <c r="TWD55" s="384"/>
      <c r="TWE55" s="384"/>
      <c r="TWF55" s="384"/>
      <c r="TWG55" s="384"/>
      <c r="TWH55" s="384"/>
      <c r="TWI55" s="384"/>
      <c r="TWJ55" s="384"/>
      <c r="TWK55" s="384"/>
      <c r="TWL55" s="384"/>
      <c r="TWM55" s="384"/>
      <c r="TWN55" s="384"/>
      <c r="TWO55" s="384"/>
      <c r="TWP55" s="384"/>
      <c r="TWQ55" s="384"/>
      <c r="TWR55" s="384"/>
      <c r="TWS55" s="384"/>
      <c r="TWT55" s="384"/>
      <c r="TWU55" s="384"/>
      <c r="TWV55" s="384"/>
      <c r="TWW55" s="384"/>
      <c r="TWX55" s="384"/>
      <c r="TWY55" s="384"/>
      <c r="TWZ55" s="384"/>
      <c r="TXA55" s="384"/>
      <c r="TXB55" s="384"/>
      <c r="TXC55" s="384"/>
      <c r="TXD55" s="384"/>
      <c r="TXE55" s="384"/>
      <c r="TXF55" s="384"/>
      <c r="TXG55" s="384"/>
      <c r="TXH55" s="384"/>
      <c r="TXI55" s="384"/>
      <c r="TXJ55" s="384"/>
      <c r="TXK55" s="384"/>
      <c r="TXL55" s="384"/>
      <c r="TXM55" s="384"/>
      <c r="TXN55" s="384"/>
      <c r="TXO55" s="384"/>
      <c r="TXP55" s="384"/>
      <c r="TXQ55" s="384"/>
      <c r="TXR55" s="384"/>
      <c r="TXS55" s="384"/>
      <c r="TXT55" s="384"/>
      <c r="TXU55" s="384"/>
      <c r="TXV55" s="384"/>
      <c r="TXW55" s="384"/>
      <c r="TXX55" s="384"/>
      <c r="TXY55" s="384"/>
      <c r="TXZ55" s="384"/>
      <c r="TYA55" s="384"/>
      <c r="TYB55" s="384"/>
      <c r="TYC55" s="384"/>
      <c r="TYD55" s="384"/>
      <c r="TYE55" s="384"/>
      <c r="TYF55" s="384"/>
      <c r="TYG55" s="384"/>
      <c r="TYH55" s="384"/>
      <c r="TYI55" s="384"/>
      <c r="TYJ55" s="384"/>
      <c r="TYK55" s="384"/>
      <c r="TYL55" s="384"/>
      <c r="TYM55" s="384"/>
      <c r="TYN55" s="384"/>
      <c r="TYO55" s="384"/>
      <c r="TYP55" s="384"/>
      <c r="TYQ55" s="384"/>
      <c r="TYR55" s="384"/>
      <c r="TYS55" s="384"/>
      <c r="TYT55" s="384"/>
      <c r="TYU55" s="384"/>
      <c r="TYV55" s="384"/>
      <c r="TYW55" s="384"/>
      <c r="TYX55" s="384"/>
      <c r="TYY55" s="384"/>
      <c r="TYZ55" s="384"/>
      <c r="TZA55" s="384"/>
      <c r="TZB55" s="384"/>
      <c r="TZC55" s="384"/>
      <c r="TZD55" s="384"/>
      <c r="TZE55" s="384"/>
      <c r="TZF55" s="384"/>
      <c r="TZG55" s="384"/>
      <c r="TZH55" s="384"/>
      <c r="TZI55" s="384"/>
      <c r="TZJ55" s="384"/>
      <c r="TZK55" s="384"/>
      <c r="TZL55" s="384"/>
      <c r="TZM55" s="384"/>
      <c r="TZN55" s="384"/>
      <c r="TZO55" s="384"/>
      <c r="TZP55" s="384"/>
      <c r="TZQ55" s="384"/>
      <c r="TZR55" s="384"/>
      <c r="TZS55" s="384"/>
      <c r="TZT55" s="384"/>
      <c r="TZU55" s="384"/>
      <c r="TZV55" s="384"/>
      <c r="TZW55" s="384"/>
      <c r="TZX55" s="384"/>
      <c r="TZY55" s="384"/>
      <c r="TZZ55" s="384"/>
      <c r="UAA55" s="384"/>
      <c r="UAB55" s="384"/>
      <c r="UAC55" s="384"/>
      <c r="UAD55" s="384"/>
      <c r="UAE55" s="384"/>
      <c r="UAF55" s="384"/>
      <c r="UAG55" s="384"/>
      <c r="UAH55" s="384"/>
      <c r="UAI55" s="384"/>
      <c r="UAJ55" s="384"/>
      <c r="UAK55" s="384"/>
      <c r="UAL55" s="384"/>
      <c r="UAM55" s="384"/>
      <c r="UAN55" s="384"/>
      <c r="UAO55" s="384"/>
      <c r="UAP55" s="384"/>
      <c r="UAQ55" s="384"/>
      <c r="UAR55" s="384"/>
      <c r="UAS55" s="384"/>
      <c r="UAT55" s="384"/>
      <c r="UAU55" s="384"/>
      <c r="UAV55" s="384"/>
      <c r="UAW55" s="384"/>
      <c r="UAX55" s="384"/>
      <c r="UAY55" s="384"/>
      <c r="UAZ55" s="384"/>
      <c r="UBA55" s="384"/>
      <c r="UBB55" s="384"/>
      <c r="UBC55" s="384"/>
      <c r="UBD55" s="384"/>
      <c r="UBE55" s="384"/>
      <c r="UBF55" s="384"/>
      <c r="UBG55" s="384"/>
      <c r="UBH55" s="384"/>
      <c r="UBI55" s="384"/>
      <c r="UBJ55" s="384"/>
      <c r="UBK55" s="384"/>
      <c r="UBL55" s="384"/>
      <c r="UBM55" s="384"/>
      <c r="UBN55" s="384"/>
      <c r="UBO55" s="384"/>
      <c r="UBP55" s="384"/>
      <c r="UBQ55" s="384"/>
      <c r="UBR55" s="384"/>
      <c r="UBS55" s="384"/>
      <c r="UBT55" s="384"/>
      <c r="UBU55" s="384"/>
      <c r="UBV55" s="384"/>
      <c r="UBW55" s="384"/>
      <c r="UBX55" s="384"/>
      <c r="UBY55" s="384"/>
      <c r="UBZ55" s="384"/>
      <c r="UCA55" s="384"/>
      <c r="UCB55" s="384"/>
      <c r="UCC55" s="384"/>
      <c r="UCD55" s="384"/>
      <c r="UCE55" s="384"/>
      <c r="UCF55" s="384"/>
      <c r="UCG55" s="384"/>
      <c r="UCH55" s="384"/>
      <c r="UCI55" s="384"/>
      <c r="UCJ55" s="384"/>
      <c r="UCK55" s="384"/>
      <c r="UCL55" s="384"/>
      <c r="UCM55" s="384"/>
      <c r="UCN55" s="384"/>
      <c r="UCO55" s="384"/>
      <c r="UCP55" s="384"/>
      <c r="UCQ55" s="384"/>
      <c r="UCR55" s="384"/>
      <c r="UCS55" s="384"/>
      <c r="UCT55" s="384"/>
      <c r="UCU55" s="384"/>
      <c r="UCV55" s="384"/>
      <c r="UCW55" s="384"/>
      <c r="UCX55" s="384"/>
      <c r="UCY55" s="384"/>
      <c r="UCZ55" s="384"/>
      <c r="UDA55" s="384"/>
      <c r="UDB55" s="384"/>
      <c r="UDC55" s="384"/>
      <c r="UDD55" s="384"/>
      <c r="UDE55" s="384"/>
      <c r="UDF55" s="384"/>
      <c r="UDG55" s="384"/>
      <c r="UDH55" s="384"/>
      <c r="UDI55" s="384"/>
      <c r="UDJ55" s="384"/>
      <c r="UDK55" s="384"/>
      <c r="UDL55" s="384"/>
      <c r="UDM55" s="384"/>
      <c r="UDN55" s="384"/>
      <c r="UDO55" s="384"/>
      <c r="UDP55" s="384"/>
      <c r="UDQ55" s="384"/>
      <c r="UDR55" s="384"/>
      <c r="UDS55" s="384"/>
      <c r="UDT55" s="384"/>
      <c r="UDU55" s="384"/>
      <c r="UDV55" s="384"/>
      <c r="UDW55" s="384"/>
      <c r="UDX55" s="384"/>
      <c r="UDY55" s="384"/>
      <c r="UDZ55" s="384"/>
      <c r="UEA55" s="384"/>
      <c r="UEB55" s="384"/>
      <c r="UEC55" s="384"/>
      <c r="UED55" s="384"/>
      <c r="UEE55" s="384"/>
      <c r="UEF55" s="384"/>
      <c r="UEG55" s="384"/>
      <c r="UEH55" s="384"/>
      <c r="UEI55" s="384"/>
      <c r="UEJ55" s="384"/>
      <c r="UEK55" s="384"/>
      <c r="UEL55" s="384"/>
      <c r="UEM55" s="384"/>
      <c r="UEN55" s="384"/>
      <c r="UEO55" s="384"/>
      <c r="UEP55" s="384"/>
      <c r="UEQ55" s="384"/>
      <c r="UER55" s="384"/>
      <c r="UES55" s="384"/>
      <c r="UET55" s="384"/>
      <c r="UEU55" s="384"/>
      <c r="UEV55" s="384"/>
      <c r="UEW55" s="384"/>
      <c r="UEX55" s="384"/>
      <c r="UEY55" s="384"/>
      <c r="UEZ55" s="384"/>
      <c r="UFA55" s="384"/>
      <c r="UFB55" s="384"/>
      <c r="UFC55" s="384"/>
      <c r="UFD55" s="384"/>
      <c r="UFE55" s="384"/>
      <c r="UFF55" s="384"/>
      <c r="UFG55" s="384"/>
      <c r="UFH55" s="384"/>
      <c r="UFI55" s="384"/>
      <c r="UFJ55" s="384"/>
      <c r="UFK55" s="384"/>
      <c r="UFL55" s="384"/>
      <c r="UFM55" s="384"/>
      <c r="UFN55" s="384"/>
      <c r="UFO55" s="384"/>
      <c r="UFP55" s="384"/>
      <c r="UFQ55" s="384"/>
      <c r="UFR55" s="384"/>
      <c r="UFS55" s="384"/>
      <c r="UFT55" s="384"/>
      <c r="UFU55" s="384"/>
      <c r="UFV55" s="384"/>
      <c r="UFW55" s="384"/>
      <c r="UFX55" s="384"/>
      <c r="UFY55" s="384"/>
      <c r="UFZ55" s="384"/>
      <c r="UGA55" s="384"/>
      <c r="UGB55" s="384"/>
      <c r="UGC55" s="384"/>
      <c r="UGD55" s="384"/>
      <c r="UGE55" s="384"/>
      <c r="UGF55" s="384"/>
      <c r="UGG55" s="384"/>
      <c r="UGH55" s="384"/>
      <c r="UGI55" s="384"/>
      <c r="UGJ55" s="384"/>
      <c r="UGK55" s="384"/>
      <c r="UGL55" s="384"/>
      <c r="UGM55" s="384"/>
      <c r="UGN55" s="384"/>
      <c r="UGO55" s="384"/>
      <c r="UGP55" s="384"/>
      <c r="UGQ55" s="384"/>
      <c r="UGR55" s="384"/>
      <c r="UGS55" s="384"/>
      <c r="UGT55" s="384"/>
      <c r="UGU55" s="384"/>
      <c r="UGV55" s="384"/>
      <c r="UGW55" s="384"/>
      <c r="UGX55" s="384"/>
      <c r="UGY55" s="384"/>
      <c r="UGZ55" s="384"/>
      <c r="UHA55" s="384"/>
      <c r="UHB55" s="384"/>
      <c r="UHC55" s="384"/>
      <c r="UHD55" s="384"/>
      <c r="UHE55" s="384"/>
      <c r="UHF55" s="384"/>
      <c r="UHG55" s="384"/>
      <c r="UHH55" s="384"/>
      <c r="UHI55" s="384"/>
      <c r="UHJ55" s="384"/>
      <c r="UHK55" s="384"/>
      <c r="UHL55" s="384"/>
      <c r="UHM55" s="384"/>
      <c r="UHN55" s="384"/>
      <c r="UHO55" s="384"/>
      <c r="UHP55" s="384"/>
      <c r="UHQ55" s="384"/>
      <c r="UHR55" s="384"/>
      <c r="UHS55" s="384"/>
      <c r="UHT55" s="384"/>
      <c r="UHU55" s="384"/>
      <c r="UHV55" s="384"/>
      <c r="UHW55" s="384"/>
      <c r="UHX55" s="384"/>
      <c r="UHY55" s="384"/>
      <c r="UHZ55" s="384"/>
      <c r="UIA55" s="384"/>
      <c r="UIB55" s="384"/>
      <c r="UIC55" s="384"/>
      <c r="UID55" s="384"/>
      <c r="UIE55" s="384"/>
      <c r="UIF55" s="384"/>
      <c r="UIG55" s="384"/>
      <c r="UIH55" s="384"/>
      <c r="UII55" s="384"/>
      <c r="UIJ55" s="384"/>
      <c r="UIK55" s="384"/>
      <c r="UIL55" s="384"/>
      <c r="UIM55" s="384"/>
      <c r="UIN55" s="384"/>
      <c r="UIO55" s="384"/>
      <c r="UIP55" s="384"/>
      <c r="UIQ55" s="384"/>
      <c r="UIR55" s="384"/>
      <c r="UIS55" s="384"/>
      <c r="UIT55" s="384"/>
      <c r="UIU55" s="384"/>
      <c r="UIV55" s="384"/>
      <c r="UIW55" s="384"/>
      <c r="UIX55" s="384"/>
      <c r="UIY55" s="384"/>
      <c r="UIZ55" s="384"/>
      <c r="UJA55" s="384"/>
      <c r="UJB55" s="384"/>
      <c r="UJC55" s="384"/>
      <c r="UJD55" s="384"/>
      <c r="UJE55" s="384"/>
      <c r="UJF55" s="384"/>
      <c r="UJG55" s="384"/>
      <c r="UJH55" s="384"/>
      <c r="UJI55" s="384"/>
      <c r="UJJ55" s="384"/>
      <c r="UJK55" s="384"/>
      <c r="UJL55" s="384"/>
      <c r="UJM55" s="384"/>
      <c r="UJN55" s="384"/>
      <c r="UJO55" s="384"/>
      <c r="UJP55" s="384"/>
      <c r="UJQ55" s="384"/>
      <c r="UJR55" s="384"/>
      <c r="UJS55" s="384"/>
      <c r="UJT55" s="384"/>
      <c r="UJU55" s="384"/>
      <c r="UJV55" s="384"/>
      <c r="UJW55" s="384"/>
      <c r="UJX55" s="384"/>
      <c r="UJY55" s="384"/>
      <c r="UJZ55" s="384"/>
      <c r="UKA55" s="384"/>
      <c r="UKB55" s="384"/>
      <c r="UKC55" s="384"/>
      <c r="UKD55" s="384"/>
      <c r="UKE55" s="384"/>
      <c r="UKF55" s="384"/>
      <c r="UKG55" s="384"/>
      <c r="UKH55" s="384"/>
      <c r="UKI55" s="384"/>
      <c r="UKJ55" s="384"/>
      <c r="UKK55" s="384"/>
      <c r="UKL55" s="384"/>
      <c r="UKM55" s="384"/>
      <c r="UKN55" s="384"/>
      <c r="UKO55" s="384"/>
      <c r="UKP55" s="384"/>
      <c r="UKQ55" s="384"/>
      <c r="UKR55" s="384"/>
      <c r="UKS55" s="384"/>
      <c r="UKT55" s="384"/>
      <c r="UKU55" s="384"/>
      <c r="UKV55" s="384"/>
      <c r="UKW55" s="384"/>
      <c r="UKX55" s="384"/>
      <c r="UKY55" s="384"/>
      <c r="UKZ55" s="384"/>
      <c r="ULA55" s="384"/>
      <c r="ULB55" s="384"/>
      <c r="ULC55" s="384"/>
      <c r="ULD55" s="384"/>
      <c r="ULE55" s="384"/>
      <c r="ULF55" s="384"/>
      <c r="ULG55" s="384"/>
      <c r="ULH55" s="384"/>
      <c r="ULI55" s="384"/>
      <c r="ULJ55" s="384"/>
      <c r="ULK55" s="384"/>
      <c r="ULL55" s="384"/>
      <c r="ULM55" s="384"/>
      <c r="ULN55" s="384"/>
      <c r="ULO55" s="384"/>
      <c r="ULP55" s="384"/>
      <c r="ULQ55" s="384"/>
      <c r="ULR55" s="384"/>
      <c r="ULS55" s="384"/>
      <c r="ULT55" s="384"/>
      <c r="ULU55" s="384"/>
      <c r="ULV55" s="384"/>
      <c r="ULW55" s="384"/>
      <c r="ULX55" s="384"/>
      <c r="ULY55" s="384"/>
      <c r="ULZ55" s="384"/>
      <c r="UMA55" s="384"/>
      <c r="UMB55" s="384"/>
      <c r="UMC55" s="384"/>
      <c r="UMD55" s="384"/>
      <c r="UME55" s="384"/>
      <c r="UMF55" s="384"/>
      <c r="UMG55" s="384"/>
      <c r="UMH55" s="384"/>
      <c r="UMI55" s="384"/>
      <c r="UMJ55" s="384"/>
      <c r="UMK55" s="384"/>
      <c r="UML55" s="384"/>
      <c r="UMM55" s="384"/>
      <c r="UMN55" s="384"/>
      <c r="UMO55" s="384"/>
      <c r="UMP55" s="384"/>
      <c r="UMQ55" s="384"/>
      <c r="UMR55" s="384"/>
      <c r="UMS55" s="384"/>
      <c r="UMT55" s="384"/>
      <c r="UMU55" s="384"/>
      <c r="UMV55" s="384"/>
      <c r="UMW55" s="384"/>
      <c r="UMX55" s="384"/>
      <c r="UMY55" s="384"/>
      <c r="UMZ55" s="384"/>
      <c r="UNA55" s="384"/>
      <c r="UNB55" s="384"/>
      <c r="UNC55" s="384"/>
      <c r="UND55" s="384"/>
      <c r="UNE55" s="384"/>
      <c r="UNF55" s="384"/>
      <c r="UNG55" s="384"/>
      <c r="UNH55" s="384"/>
      <c r="UNI55" s="384"/>
      <c r="UNJ55" s="384"/>
      <c r="UNK55" s="384"/>
      <c r="UNL55" s="384"/>
      <c r="UNM55" s="384"/>
      <c r="UNN55" s="384"/>
      <c r="UNO55" s="384"/>
      <c r="UNP55" s="384"/>
      <c r="UNQ55" s="384"/>
      <c r="UNR55" s="384"/>
      <c r="UNS55" s="384"/>
      <c r="UNT55" s="384"/>
      <c r="UNU55" s="384"/>
      <c r="UNV55" s="384"/>
      <c r="UNW55" s="384"/>
      <c r="UNX55" s="384"/>
      <c r="UNY55" s="384"/>
      <c r="UNZ55" s="384"/>
      <c r="UOA55" s="384"/>
      <c r="UOB55" s="384"/>
      <c r="UOC55" s="384"/>
      <c r="UOD55" s="384"/>
      <c r="UOE55" s="384"/>
      <c r="UOF55" s="384"/>
      <c r="UOG55" s="384"/>
      <c r="UOH55" s="384"/>
      <c r="UOI55" s="384"/>
      <c r="UOJ55" s="384"/>
      <c r="UOK55" s="384"/>
      <c r="UOL55" s="384"/>
      <c r="UOM55" s="384"/>
      <c r="UON55" s="384"/>
      <c r="UOO55" s="384"/>
      <c r="UOP55" s="384"/>
      <c r="UOQ55" s="384"/>
      <c r="UOR55" s="384"/>
      <c r="UOS55" s="384"/>
      <c r="UOT55" s="384"/>
      <c r="UOU55" s="384"/>
      <c r="UOV55" s="384"/>
      <c r="UOW55" s="384"/>
      <c r="UOX55" s="384"/>
      <c r="UOY55" s="384"/>
      <c r="UOZ55" s="384"/>
      <c r="UPA55" s="384"/>
      <c r="UPB55" s="384"/>
      <c r="UPC55" s="384"/>
      <c r="UPD55" s="384"/>
      <c r="UPE55" s="384"/>
      <c r="UPF55" s="384"/>
      <c r="UPG55" s="384"/>
      <c r="UPH55" s="384"/>
      <c r="UPI55" s="384"/>
      <c r="UPJ55" s="384"/>
      <c r="UPK55" s="384"/>
      <c r="UPL55" s="384"/>
      <c r="UPM55" s="384"/>
      <c r="UPN55" s="384"/>
      <c r="UPO55" s="384"/>
      <c r="UPP55" s="384"/>
      <c r="UPQ55" s="384"/>
      <c r="UPR55" s="384"/>
      <c r="UPS55" s="384"/>
      <c r="UPT55" s="384"/>
      <c r="UPU55" s="384"/>
      <c r="UPV55" s="384"/>
      <c r="UPW55" s="384"/>
      <c r="UPX55" s="384"/>
      <c r="UPY55" s="384"/>
      <c r="UPZ55" s="384"/>
      <c r="UQA55" s="384"/>
      <c r="UQB55" s="384"/>
      <c r="UQC55" s="384"/>
      <c r="UQD55" s="384"/>
      <c r="UQE55" s="384"/>
      <c r="UQF55" s="384"/>
      <c r="UQG55" s="384"/>
      <c r="UQH55" s="384"/>
      <c r="UQI55" s="384"/>
      <c r="UQJ55" s="384"/>
      <c r="UQK55" s="384"/>
      <c r="UQL55" s="384"/>
      <c r="UQM55" s="384"/>
      <c r="UQN55" s="384"/>
      <c r="UQO55" s="384"/>
      <c r="UQP55" s="384"/>
      <c r="UQQ55" s="384"/>
      <c r="UQR55" s="384"/>
      <c r="UQS55" s="384"/>
      <c r="UQT55" s="384"/>
      <c r="UQU55" s="384"/>
      <c r="UQV55" s="384"/>
      <c r="UQW55" s="384"/>
      <c r="UQX55" s="384"/>
      <c r="UQY55" s="384"/>
      <c r="UQZ55" s="384"/>
      <c r="URA55" s="384"/>
      <c r="URB55" s="384"/>
      <c r="URC55" s="384"/>
      <c r="URD55" s="384"/>
      <c r="URE55" s="384"/>
      <c r="URF55" s="384"/>
      <c r="URG55" s="384"/>
      <c r="URH55" s="384"/>
      <c r="URI55" s="384"/>
      <c r="URJ55" s="384"/>
      <c r="URK55" s="384"/>
      <c r="URL55" s="384"/>
      <c r="URM55" s="384"/>
      <c r="URN55" s="384"/>
      <c r="URO55" s="384"/>
      <c r="URP55" s="384"/>
      <c r="URQ55" s="384"/>
      <c r="URR55" s="384"/>
      <c r="URS55" s="384"/>
      <c r="URT55" s="384"/>
      <c r="URU55" s="384"/>
      <c r="URV55" s="384"/>
      <c r="URW55" s="384"/>
      <c r="URX55" s="384"/>
      <c r="URY55" s="384"/>
      <c r="URZ55" s="384"/>
      <c r="USA55" s="384"/>
      <c r="USB55" s="384"/>
      <c r="USC55" s="384"/>
      <c r="USD55" s="384"/>
      <c r="USE55" s="384"/>
      <c r="USF55" s="384"/>
      <c r="USG55" s="384"/>
      <c r="USH55" s="384"/>
      <c r="USI55" s="384"/>
      <c r="USJ55" s="384"/>
      <c r="USK55" s="384"/>
      <c r="USL55" s="384"/>
      <c r="USM55" s="384"/>
      <c r="USN55" s="384"/>
      <c r="USO55" s="384"/>
      <c r="USP55" s="384"/>
      <c r="USQ55" s="384"/>
      <c r="USR55" s="384"/>
      <c r="USS55" s="384"/>
      <c r="UST55" s="384"/>
      <c r="USU55" s="384"/>
      <c r="USV55" s="384"/>
      <c r="USW55" s="384"/>
      <c r="USX55" s="384"/>
      <c r="USY55" s="384"/>
      <c r="USZ55" s="384"/>
      <c r="UTA55" s="384"/>
      <c r="UTB55" s="384"/>
      <c r="UTC55" s="384"/>
      <c r="UTD55" s="384"/>
      <c r="UTE55" s="384"/>
      <c r="UTF55" s="384"/>
      <c r="UTG55" s="384"/>
      <c r="UTH55" s="384"/>
      <c r="UTI55" s="384"/>
      <c r="UTJ55" s="384"/>
      <c r="UTK55" s="384"/>
      <c r="UTL55" s="384"/>
      <c r="UTM55" s="384"/>
      <c r="UTN55" s="384"/>
      <c r="UTO55" s="384"/>
      <c r="UTP55" s="384"/>
      <c r="UTQ55" s="384"/>
      <c r="UTR55" s="384"/>
      <c r="UTS55" s="384"/>
      <c r="UTT55" s="384"/>
      <c r="UTU55" s="384"/>
      <c r="UTV55" s="384"/>
      <c r="UTW55" s="384"/>
      <c r="UTX55" s="384"/>
      <c r="UTY55" s="384"/>
      <c r="UTZ55" s="384"/>
      <c r="UUA55" s="384"/>
      <c r="UUB55" s="384"/>
      <c r="UUC55" s="384"/>
      <c r="UUD55" s="384"/>
      <c r="UUE55" s="384"/>
      <c r="UUF55" s="384"/>
      <c r="UUG55" s="384"/>
      <c r="UUH55" s="384"/>
      <c r="UUI55" s="384"/>
      <c r="UUJ55" s="384"/>
      <c r="UUK55" s="384"/>
      <c r="UUL55" s="384"/>
      <c r="UUM55" s="384"/>
      <c r="UUN55" s="384"/>
      <c r="UUO55" s="384"/>
      <c r="UUP55" s="384"/>
      <c r="UUQ55" s="384"/>
      <c r="UUR55" s="384"/>
      <c r="UUS55" s="384"/>
      <c r="UUT55" s="384"/>
      <c r="UUU55" s="384"/>
      <c r="UUV55" s="384"/>
      <c r="UUW55" s="384"/>
      <c r="UUX55" s="384"/>
      <c r="UUY55" s="384"/>
      <c r="UUZ55" s="384"/>
      <c r="UVA55" s="384"/>
      <c r="UVB55" s="384"/>
      <c r="UVC55" s="384"/>
      <c r="UVD55" s="384"/>
      <c r="UVE55" s="384"/>
      <c r="UVF55" s="384"/>
      <c r="UVG55" s="384"/>
      <c r="UVH55" s="384"/>
      <c r="UVI55" s="384"/>
      <c r="UVJ55" s="384"/>
      <c r="UVK55" s="384"/>
      <c r="UVL55" s="384"/>
      <c r="UVM55" s="384"/>
      <c r="UVN55" s="384"/>
      <c r="UVO55" s="384"/>
      <c r="UVP55" s="384"/>
      <c r="UVQ55" s="384"/>
      <c r="UVR55" s="384"/>
      <c r="UVS55" s="384"/>
      <c r="UVT55" s="384"/>
      <c r="UVU55" s="384"/>
      <c r="UVV55" s="384"/>
      <c r="UVW55" s="384"/>
      <c r="UVX55" s="384"/>
      <c r="UVY55" s="384"/>
      <c r="UVZ55" s="384"/>
      <c r="UWA55" s="384"/>
      <c r="UWB55" s="384"/>
      <c r="UWC55" s="384"/>
      <c r="UWD55" s="384"/>
      <c r="UWE55" s="384"/>
      <c r="UWF55" s="384"/>
      <c r="UWG55" s="384"/>
      <c r="UWH55" s="384"/>
      <c r="UWI55" s="384"/>
      <c r="UWJ55" s="384"/>
      <c r="UWK55" s="384"/>
      <c r="UWL55" s="384"/>
      <c r="UWM55" s="384"/>
      <c r="UWN55" s="384"/>
      <c r="UWO55" s="384"/>
      <c r="UWP55" s="384"/>
      <c r="UWQ55" s="384"/>
      <c r="UWR55" s="384"/>
      <c r="UWS55" s="384"/>
      <c r="UWT55" s="384"/>
      <c r="UWU55" s="384"/>
      <c r="UWV55" s="384"/>
      <c r="UWW55" s="384"/>
      <c r="UWX55" s="384"/>
      <c r="UWY55" s="384"/>
      <c r="UWZ55" s="384"/>
      <c r="UXA55" s="384"/>
      <c r="UXB55" s="384"/>
      <c r="UXC55" s="384"/>
      <c r="UXD55" s="384"/>
      <c r="UXE55" s="384"/>
      <c r="UXF55" s="384"/>
      <c r="UXG55" s="384"/>
      <c r="UXH55" s="384"/>
      <c r="UXI55" s="384"/>
      <c r="UXJ55" s="384"/>
      <c r="UXK55" s="384"/>
      <c r="UXL55" s="384"/>
      <c r="UXM55" s="384"/>
      <c r="UXN55" s="384"/>
      <c r="UXO55" s="384"/>
      <c r="UXP55" s="384"/>
      <c r="UXQ55" s="384"/>
      <c r="UXR55" s="384"/>
      <c r="UXS55" s="384"/>
      <c r="UXT55" s="384"/>
      <c r="UXU55" s="384"/>
      <c r="UXV55" s="384"/>
      <c r="UXW55" s="384"/>
      <c r="UXX55" s="384"/>
      <c r="UXY55" s="384"/>
      <c r="UXZ55" s="384"/>
      <c r="UYA55" s="384"/>
      <c r="UYB55" s="384"/>
      <c r="UYC55" s="384"/>
      <c r="UYD55" s="384"/>
      <c r="UYE55" s="384"/>
      <c r="UYF55" s="384"/>
      <c r="UYG55" s="384"/>
      <c r="UYH55" s="384"/>
      <c r="UYI55" s="384"/>
      <c r="UYJ55" s="384"/>
      <c r="UYK55" s="384"/>
      <c r="UYL55" s="384"/>
      <c r="UYM55" s="384"/>
      <c r="UYN55" s="384"/>
      <c r="UYO55" s="384"/>
      <c r="UYP55" s="384"/>
      <c r="UYQ55" s="384"/>
      <c r="UYR55" s="384"/>
      <c r="UYS55" s="384"/>
      <c r="UYT55" s="384"/>
      <c r="UYU55" s="384"/>
      <c r="UYV55" s="384"/>
      <c r="UYW55" s="384"/>
      <c r="UYX55" s="384"/>
      <c r="UYY55" s="384"/>
      <c r="UYZ55" s="384"/>
      <c r="UZA55" s="384"/>
      <c r="UZB55" s="384"/>
      <c r="UZC55" s="384"/>
      <c r="UZD55" s="384"/>
      <c r="UZE55" s="384"/>
      <c r="UZF55" s="384"/>
      <c r="UZG55" s="384"/>
      <c r="UZH55" s="384"/>
      <c r="UZI55" s="384"/>
      <c r="UZJ55" s="384"/>
      <c r="UZK55" s="384"/>
      <c r="UZL55" s="384"/>
      <c r="UZM55" s="384"/>
      <c r="UZN55" s="384"/>
      <c r="UZO55" s="384"/>
      <c r="UZP55" s="384"/>
      <c r="UZQ55" s="384"/>
      <c r="UZR55" s="384"/>
      <c r="UZS55" s="384"/>
      <c r="UZT55" s="384"/>
      <c r="UZU55" s="384"/>
      <c r="UZV55" s="384"/>
      <c r="UZW55" s="384"/>
      <c r="UZX55" s="384"/>
      <c r="UZY55" s="384"/>
      <c r="UZZ55" s="384"/>
      <c r="VAA55" s="384"/>
      <c r="VAB55" s="384"/>
      <c r="VAC55" s="384"/>
      <c r="VAD55" s="384"/>
      <c r="VAE55" s="384"/>
      <c r="VAF55" s="384"/>
      <c r="VAG55" s="384"/>
      <c r="VAH55" s="384"/>
      <c r="VAI55" s="384"/>
      <c r="VAJ55" s="384"/>
      <c r="VAK55" s="384"/>
      <c r="VAL55" s="384"/>
      <c r="VAM55" s="384"/>
      <c r="VAN55" s="384"/>
      <c r="VAO55" s="384"/>
      <c r="VAP55" s="384"/>
      <c r="VAQ55" s="384"/>
      <c r="VAR55" s="384"/>
      <c r="VAS55" s="384"/>
      <c r="VAT55" s="384"/>
      <c r="VAU55" s="384"/>
      <c r="VAV55" s="384"/>
      <c r="VAW55" s="384"/>
      <c r="VAX55" s="384"/>
      <c r="VAY55" s="384"/>
      <c r="VAZ55" s="384"/>
      <c r="VBA55" s="384"/>
      <c r="VBB55" s="384"/>
      <c r="VBC55" s="384"/>
      <c r="VBD55" s="384"/>
      <c r="VBE55" s="384"/>
      <c r="VBF55" s="384"/>
      <c r="VBG55" s="384"/>
      <c r="VBH55" s="384"/>
      <c r="VBI55" s="384"/>
      <c r="VBJ55" s="384"/>
      <c r="VBK55" s="384"/>
      <c r="VBL55" s="384"/>
      <c r="VBM55" s="384"/>
      <c r="VBN55" s="384"/>
      <c r="VBO55" s="384"/>
      <c r="VBP55" s="384"/>
      <c r="VBQ55" s="384"/>
      <c r="VBR55" s="384"/>
      <c r="VBS55" s="384"/>
      <c r="VBT55" s="384"/>
      <c r="VBU55" s="384"/>
      <c r="VBV55" s="384"/>
      <c r="VBW55" s="384"/>
      <c r="VBX55" s="384"/>
      <c r="VBY55" s="384"/>
      <c r="VBZ55" s="384"/>
      <c r="VCA55" s="384"/>
      <c r="VCB55" s="384"/>
      <c r="VCC55" s="384"/>
      <c r="VCD55" s="384"/>
      <c r="VCE55" s="384"/>
      <c r="VCF55" s="384"/>
      <c r="VCG55" s="384"/>
      <c r="VCH55" s="384"/>
      <c r="VCI55" s="384"/>
      <c r="VCJ55" s="384"/>
      <c r="VCK55" s="384"/>
      <c r="VCL55" s="384"/>
      <c r="VCM55" s="384"/>
      <c r="VCN55" s="384"/>
      <c r="VCO55" s="384"/>
      <c r="VCP55" s="384"/>
      <c r="VCQ55" s="384"/>
      <c r="VCR55" s="384"/>
      <c r="VCS55" s="384"/>
      <c r="VCT55" s="384"/>
      <c r="VCU55" s="384"/>
      <c r="VCV55" s="384"/>
      <c r="VCW55" s="384"/>
      <c r="VCX55" s="384"/>
      <c r="VCY55" s="384"/>
      <c r="VCZ55" s="384"/>
      <c r="VDA55" s="384"/>
      <c r="VDB55" s="384"/>
      <c r="VDC55" s="384"/>
      <c r="VDD55" s="384"/>
      <c r="VDE55" s="384"/>
      <c r="VDF55" s="384"/>
      <c r="VDG55" s="384"/>
      <c r="VDH55" s="384"/>
      <c r="VDI55" s="384"/>
      <c r="VDJ55" s="384"/>
      <c r="VDK55" s="384"/>
      <c r="VDL55" s="384"/>
      <c r="VDM55" s="384"/>
      <c r="VDN55" s="384"/>
      <c r="VDO55" s="384"/>
      <c r="VDP55" s="384"/>
      <c r="VDQ55" s="384"/>
      <c r="VDR55" s="384"/>
      <c r="VDS55" s="384"/>
      <c r="VDT55" s="384"/>
      <c r="VDU55" s="384"/>
      <c r="VDV55" s="384"/>
      <c r="VDW55" s="384"/>
      <c r="VDX55" s="384"/>
      <c r="VDY55" s="384"/>
      <c r="VDZ55" s="384"/>
      <c r="VEA55" s="384"/>
      <c r="VEB55" s="384"/>
      <c r="VEC55" s="384"/>
      <c r="VED55" s="384"/>
      <c r="VEE55" s="384"/>
      <c r="VEF55" s="384"/>
      <c r="VEG55" s="384"/>
      <c r="VEH55" s="384"/>
      <c r="VEI55" s="384"/>
      <c r="VEJ55" s="384"/>
      <c r="VEK55" s="384"/>
      <c r="VEL55" s="384"/>
      <c r="VEM55" s="384"/>
      <c r="VEN55" s="384"/>
      <c r="VEO55" s="384"/>
      <c r="VEP55" s="384"/>
      <c r="VEQ55" s="384"/>
      <c r="VER55" s="384"/>
      <c r="VES55" s="384"/>
      <c r="VET55" s="384"/>
      <c r="VEU55" s="384"/>
      <c r="VEV55" s="384"/>
      <c r="VEW55" s="384"/>
      <c r="VEX55" s="384"/>
      <c r="VEY55" s="384"/>
      <c r="VEZ55" s="384"/>
      <c r="VFA55" s="384"/>
      <c r="VFB55" s="384"/>
      <c r="VFC55" s="384"/>
      <c r="VFD55" s="384"/>
      <c r="VFE55" s="384"/>
      <c r="VFF55" s="384"/>
      <c r="VFG55" s="384"/>
      <c r="VFH55" s="384"/>
      <c r="VFI55" s="384"/>
      <c r="VFJ55" s="384"/>
      <c r="VFK55" s="384"/>
      <c r="VFL55" s="384"/>
      <c r="VFM55" s="384"/>
      <c r="VFN55" s="384"/>
      <c r="VFO55" s="384"/>
      <c r="VFP55" s="384"/>
      <c r="VFQ55" s="384"/>
      <c r="VFR55" s="384"/>
      <c r="VFS55" s="384"/>
      <c r="VFT55" s="384"/>
      <c r="VFU55" s="384"/>
      <c r="VFV55" s="384"/>
      <c r="VFW55" s="384"/>
      <c r="VFX55" s="384"/>
      <c r="VFY55" s="384"/>
      <c r="VFZ55" s="384"/>
      <c r="VGA55" s="384"/>
      <c r="VGB55" s="384"/>
      <c r="VGC55" s="384"/>
      <c r="VGD55" s="384"/>
      <c r="VGE55" s="384"/>
      <c r="VGF55" s="384"/>
      <c r="VGG55" s="384"/>
      <c r="VGH55" s="384"/>
      <c r="VGI55" s="384"/>
      <c r="VGJ55" s="384"/>
      <c r="VGK55" s="384"/>
      <c r="VGL55" s="384"/>
      <c r="VGM55" s="384"/>
      <c r="VGN55" s="384"/>
      <c r="VGO55" s="384"/>
      <c r="VGP55" s="384"/>
      <c r="VGQ55" s="384"/>
      <c r="VGR55" s="384"/>
      <c r="VGS55" s="384"/>
      <c r="VGT55" s="384"/>
      <c r="VGU55" s="384"/>
      <c r="VGV55" s="384"/>
      <c r="VGW55" s="384"/>
      <c r="VGX55" s="384"/>
      <c r="VGY55" s="384"/>
      <c r="VGZ55" s="384"/>
      <c r="VHA55" s="384"/>
      <c r="VHB55" s="384"/>
      <c r="VHC55" s="384"/>
      <c r="VHD55" s="384"/>
      <c r="VHE55" s="384"/>
      <c r="VHF55" s="384"/>
      <c r="VHG55" s="384"/>
      <c r="VHH55" s="384"/>
      <c r="VHI55" s="384"/>
      <c r="VHJ55" s="384"/>
      <c r="VHK55" s="384"/>
      <c r="VHL55" s="384"/>
      <c r="VHM55" s="384"/>
      <c r="VHN55" s="384"/>
      <c r="VHO55" s="384"/>
      <c r="VHP55" s="384"/>
      <c r="VHQ55" s="384"/>
      <c r="VHR55" s="384"/>
      <c r="VHS55" s="384"/>
      <c r="VHT55" s="384"/>
      <c r="VHU55" s="384"/>
      <c r="VHV55" s="384"/>
      <c r="VHW55" s="384"/>
      <c r="VHX55" s="384"/>
      <c r="VHY55" s="384"/>
      <c r="VHZ55" s="384"/>
      <c r="VIA55" s="384"/>
      <c r="VIB55" s="384"/>
      <c r="VIC55" s="384"/>
      <c r="VID55" s="384"/>
      <c r="VIE55" s="384"/>
      <c r="VIF55" s="384"/>
      <c r="VIG55" s="384"/>
      <c r="VIH55" s="384"/>
      <c r="VII55" s="384"/>
      <c r="VIJ55" s="384"/>
      <c r="VIK55" s="384"/>
      <c r="VIL55" s="384"/>
      <c r="VIM55" s="384"/>
      <c r="VIN55" s="384"/>
      <c r="VIO55" s="384"/>
      <c r="VIP55" s="384"/>
      <c r="VIQ55" s="384"/>
      <c r="VIR55" s="384"/>
      <c r="VIS55" s="384"/>
      <c r="VIT55" s="384"/>
      <c r="VIU55" s="384"/>
      <c r="VIV55" s="384"/>
      <c r="VIW55" s="384"/>
      <c r="VIX55" s="384"/>
      <c r="VIY55" s="384"/>
      <c r="VIZ55" s="384"/>
      <c r="VJA55" s="384"/>
      <c r="VJB55" s="384"/>
      <c r="VJC55" s="384"/>
      <c r="VJD55" s="384"/>
      <c r="VJE55" s="384"/>
      <c r="VJF55" s="384"/>
      <c r="VJG55" s="384"/>
      <c r="VJH55" s="384"/>
      <c r="VJI55" s="384"/>
      <c r="VJJ55" s="384"/>
      <c r="VJK55" s="384"/>
      <c r="VJL55" s="384"/>
      <c r="VJM55" s="384"/>
      <c r="VJN55" s="384"/>
      <c r="VJO55" s="384"/>
      <c r="VJP55" s="384"/>
      <c r="VJQ55" s="384"/>
      <c r="VJR55" s="384"/>
      <c r="VJS55" s="384"/>
      <c r="VJT55" s="384"/>
      <c r="VJU55" s="384"/>
      <c r="VJV55" s="384"/>
      <c r="VJW55" s="384"/>
      <c r="VJX55" s="384"/>
      <c r="VJY55" s="384"/>
      <c r="VJZ55" s="384"/>
      <c r="VKA55" s="384"/>
      <c r="VKB55" s="384"/>
      <c r="VKC55" s="384"/>
      <c r="VKD55" s="384"/>
      <c r="VKE55" s="384"/>
      <c r="VKF55" s="384"/>
      <c r="VKG55" s="384"/>
      <c r="VKH55" s="384"/>
      <c r="VKI55" s="384"/>
      <c r="VKJ55" s="384"/>
      <c r="VKK55" s="384"/>
      <c r="VKL55" s="384"/>
      <c r="VKM55" s="384"/>
      <c r="VKN55" s="384"/>
      <c r="VKO55" s="384"/>
      <c r="VKP55" s="384"/>
      <c r="VKQ55" s="384"/>
      <c r="VKR55" s="384"/>
      <c r="VKS55" s="384"/>
      <c r="VKT55" s="384"/>
      <c r="VKU55" s="384"/>
      <c r="VKV55" s="384"/>
      <c r="VKW55" s="384"/>
      <c r="VKX55" s="384"/>
      <c r="VKY55" s="384"/>
      <c r="VKZ55" s="384"/>
      <c r="VLA55" s="384"/>
      <c r="VLB55" s="384"/>
      <c r="VLC55" s="384"/>
      <c r="VLD55" s="384"/>
      <c r="VLE55" s="384"/>
      <c r="VLF55" s="384"/>
      <c r="VLG55" s="384"/>
      <c r="VLH55" s="384"/>
      <c r="VLI55" s="384"/>
      <c r="VLJ55" s="384"/>
      <c r="VLK55" s="384"/>
      <c r="VLL55" s="384"/>
      <c r="VLM55" s="384"/>
      <c r="VLN55" s="384"/>
      <c r="VLO55" s="384"/>
      <c r="VLP55" s="384"/>
      <c r="VLQ55" s="384"/>
      <c r="VLR55" s="384"/>
      <c r="VLS55" s="384"/>
      <c r="VLT55" s="384"/>
      <c r="VLU55" s="384"/>
      <c r="VLV55" s="384"/>
      <c r="VLW55" s="384"/>
      <c r="VLX55" s="384"/>
      <c r="VLY55" s="384"/>
      <c r="VLZ55" s="384"/>
      <c r="VMA55" s="384"/>
      <c r="VMB55" s="384"/>
      <c r="VMC55" s="384"/>
      <c r="VMD55" s="384"/>
      <c r="VME55" s="384"/>
      <c r="VMF55" s="384"/>
      <c r="VMG55" s="384"/>
      <c r="VMH55" s="384"/>
      <c r="VMI55" s="384"/>
      <c r="VMJ55" s="384"/>
      <c r="VMK55" s="384"/>
      <c r="VML55" s="384"/>
      <c r="VMM55" s="384"/>
      <c r="VMN55" s="384"/>
      <c r="VMO55" s="384"/>
      <c r="VMP55" s="384"/>
      <c r="VMQ55" s="384"/>
      <c r="VMR55" s="384"/>
      <c r="VMS55" s="384"/>
      <c r="VMT55" s="384"/>
      <c r="VMU55" s="384"/>
      <c r="VMV55" s="384"/>
      <c r="VMW55" s="384"/>
      <c r="VMX55" s="384"/>
      <c r="VMY55" s="384"/>
      <c r="VMZ55" s="384"/>
      <c r="VNA55" s="384"/>
      <c r="VNB55" s="384"/>
      <c r="VNC55" s="384"/>
      <c r="VND55" s="384"/>
      <c r="VNE55" s="384"/>
      <c r="VNF55" s="384"/>
      <c r="VNG55" s="384"/>
      <c r="VNH55" s="384"/>
      <c r="VNI55" s="384"/>
      <c r="VNJ55" s="384"/>
      <c r="VNK55" s="384"/>
      <c r="VNL55" s="384"/>
      <c r="VNM55" s="384"/>
      <c r="VNN55" s="384"/>
      <c r="VNO55" s="384"/>
      <c r="VNP55" s="384"/>
      <c r="VNQ55" s="384"/>
      <c r="VNR55" s="384"/>
      <c r="VNS55" s="384"/>
      <c r="VNT55" s="384"/>
      <c r="VNU55" s="384"/>
      <c r="VNV55" s="384"/>
      <c r="VNW55" s="384"/>
      <c r="VNX55" s="384"/>
      <c r="VNY55" s="384"/>
      <c r="VNZ55" s="384"/>
      <c r="VOA55" s="384"/>
      <c r="VOB55" s="384"/>
      <c r="VOC55" s="384"/>
      <c r="VOD55" s="384"/>
      <c r="VOE55" s="384"/>
      <c r="VOF55" s="384"/>
      <c r="VOG55" s="384"/>
      <c r="VOH55" s="384"/>
      <c r="VOI55" s="384"/>
      <c r="VOJ55" s="384"/>
      <c r="VOK55" s="384"/>
      <c r="VOL55" s="384"/>
      <c r="VOM55" s="384"/>
      <c r="VON55" s="384"/>
      <c r="VOO55" s="384"/>
      <c r="VOP55" s="384"/>
      <c r="VOQ55" s="384"/>
      <c r="VOR55" s="384"/>
      <c r="VOS55" s="384"/>
      <c r="VOT55" s="384"/>
      <c r="VOU55" s="384"/>
      <c r="VOV55" s="384"/>
      <c r="VOW55" s="384"/>
      <c r="VOX55" s="384"/>
      <c r="VOY55" s="384"/>
      <c r="VOZ55" s="384"/>
      <c r="VPA55" s="384"/>
      <c r="VPB55" s="384"/>
      <c r="VPC55" s="384"/>
      <c r="VPD55" s="384"/>
      <c r="VPE55" s="384"/>
      <c r="VPF55" s="384"/>
      <c r="VPG55" s="384"/>
      <c r="VPH55" s="384"/>
      <c r="VPI55" s="384"/>
      <c r="VPJ55" s="384"/>
      <c r="VPK55" s="384"/>
      <c r="VPL55" s="384"/>
      <c r="VPM55" s="384"/>
      <c r="VPN55" s="384"/>
      <c r="VPO55" s="384"/>
      <c r="VPP55" s="384"/>
      <c r="VPQ55" s="384"/>
      <c r="VPR55" s="384"/>
      <c r="VPS55" s="384"/>
      <c r="VPT55" s="384"/>
      <c r="VPU55" s="384"/>
      <c r="VPV55" s="384"/>
      <c r="VPW55" s="384"/>
      <c r="VPX55" s="384"/>
      <c r="VPY55" s="384"/>
      <c r="VPZ55" s="384"/>
      <c r="VQA55" s="384"/>
      <c r="VQB55" s="384"/>
      <c r="VQC55" s="384"/>
      <c r="VQD55" s="384"/>
      <c r="VQE55" s="384"/>
      <c r="VQF55" s="384"/>
      <c r="VQG55" s="384"/>
      <c r="VQH55" s="384"/>
      <c r="VQI55" s="384"/>
      <c r="VQJ55" s="384"/>
      <c r="VQK55" s="384"/>
      <c r="VQL55" s="384"/>
      <c r="VQM55" s="384"/>
      <c r="VQN55" s="384"/>
      <c r="VQO55" s="384"/>
      <c r="VQP55" s="384"/>
      <c r="VQQ55" s="384"/>
      <c r="VQR55" s="384"/>
      <c r="VQS55" s="384"/>
      <c r="VQT55" s="384"/>
      <c r="VQU55" s="384"/>
      <c r="VQV55" s="384"/>
      <c r="VQW55" s="384"/>
      <c r="VQX55" s="384"/>
      <c r="VQY55" s="384"/>
      <c r="VQZ55" s="384"/>
      <c r="VRA55" s="384"/>
      <c r="VRB55" s="384"/>
      <c r="VRC55" s="384"/>
      <c r="VRD55" s="384"/>
      <c r="VRE55" s="384"/>
      <c r="VRF55" s="384"/>
      <c r="VRG55" s="384"/>
      <c r="VRH55" s="384"/>
      <c r="VRI55" s="384"/>
      <c r="VRJ55" s="384"/>
      <c r="VRK55" s="384"/>
      <c r="VRL55" s="384"/>
      <c r="VRM55" s="384"/>
      <c r="VRN55" s="384"/>
      <c r="VRO55" s="384"/>
      <c r="VRP55" s="384"/>
      <c r="VRQ55" s="384"/>
      <c r="VRR55" s="384"/>
      <c r="VRS55" s="384"/>
      <c r="VRT55" s="384"/>
      <c r="VRU55" s="384"/>
      <c r="VRV55" s="384"/>
      <c r="VRW55" s="384"/>
      <c r="VRX55" s="384"/>
      <c r="VRY55" s="384"/>
      <c r="VRZ55" s="384"/>
      <c r="VSA55" s="384"/>
      <c r="VSB55" s="384"/>
      <c r="VSC55" s="384"/>
      <c r="VSD55" s="384"/>
      <c r="VSE55" s="384"/>
      <c r="VSF55" s="384"/>
      <c r="VSG55" s="384"/>
      <c r="VSH55" s="384"/>
      <c r="VSI55" s="384"/>
      <c r="VSJ55" s="384"/>
      <c r="VSK55" s="384"/>
      <c r="VSL55" s="384"/>
      <c r="VSM55" s="384"/>
      <c r="VSN55" s="384"/>
      <c r="VSO55" s="384"/>
      <c r="VSP55" s="384"/>
      <c r="VSQ55" s="384"/>
      <c r="VSR55" s="384"/>
      <c r="VSS55" s="384"/>
      <c r="VST55" s="384"/>
      <c r="VSU55" s="384"/>
      <c r="VSV55" s="384"/>
      <c r="VSW55" s="384"/>
      <c r="VSX55" s="384"/>
      <c r="VSY55" s="384"/>
      <c r="VSZ55" s="384"/>
      <c r="VTA55" s="384"/>
      <c r="VTB55" s="384"/>
      <c r="VTC55" s="384"/>
      <c r="VTD55" s="384"/>
      <c r="VTE55" s="384"/>
      <c r="VTF55" s="384"/>
      <c r="VTG55" s="384"/>
      <c r="VTH55" s="384"/>
      <c r="VTI55" s="384"/>
      <c r="VTJ55" s="384"/>
      <c r="VTK55" s="384"/>
      <c r="VTL55" s="384"/>
      <c r="VTM55" s="384"/>
      <c r="VTN55" s="384"/>
      <c r="VTO55" s="384"/>
      <c r="VTP55" s="384"/>
      <c r="VTQ55" s="384"/>
      <c r="VTR55" s="384"/>
      <c r="VTS55" s="384"/>
      <c r="VTT55" s="384"/>
      <c r="VTU55" s="384"/>
      <c r="VTV55" s="384"/>
      <c r="VTW55" s="384"/>
      <c r="VTX55" s="384"/>
      <c r="VTY55" s="384"/>
      <c r="VTZ55" s="384"/>
      <c r="VUA55" s="384"/>
      <c r="VUB55" s="384"/>
      <c r="VUC55" s="384"/>
      <c r="VUD55" s="384"/>
      <c r="VUE55" s="384"/>
      <c r="VUF55" s="384"/>
      <c r="VUG55" s="384"/>
      <c r="VUH55" s="384"/>
      <c r="VUI55" s="384"/>
      <c r="VUJ55" s="384"/>
      <c r="VUK55" s="384"/>
      <c r="VUL55" s="384"/>
      <c r="VUM55" s="384"/>
      <c r="VUN55" s="384"/>
      <c r="VUO55" s="384"/>
      <c r="VUP55" s="384"/>
      <c r="VUQ55" s="384"/>
      <c r="VUR55" s="384"/>
      <c r="VUS55" s="384"/>
      <c r="VUT55" s="384"/>
      <c r="VUU55" s="384"/>
      <c r="VUV55" s="384"/>
      <c r="VUW55" s="384"/>
      <c r="VUX55" s="384"/>
      <c r="VUY55" s="384"/>
      <c r="VUZ55" s="384"/>
      <c r="VVA55" s="384"/>
      <c r="VVB55" s="384"/>
      <c r="VVC55" s="384"/>
      <c r="VVD55" s="384"/>
      <c r="VVE55" s="384"/>
      <c r="VVF55" s="384"/>
      <c r="VVG55" s="384"/>
      <c r="VVH55" s="384"/>
      <c r="VVI55" s="384"/>
      <c r="VVJ55" s="384"/>
      <c r="VVK55" s="384"/>
      <c r="VVL55" s="384"/>
      <c r="VVM55" s="384"/>
      <c r="VVN55" s="384"/>
      <c r="VVO55" s="384"/>
      <c r="VVP55" s="384"/>
      <c r="VVQ55" s="384"/>
      <c r="VVR55" s="384"/>
      <c r="VVS55" s="384"/>
      <c r="VVT55" s="384"/>
      <c r="VVU55" s="384"/>
      <c r="VVV55" s="384"/>
      <c r="VVW55" s="384"/>
      <c r="VVX55" s="384"/>
      <c r="VVY55" s="384"/>
      <c r="VVZ55" s="384"/>
      <c r="VWA55" s="384"/>
      <c r="VWB55" s="384"/>
      <c r="VWC55" s="384"/>
      <c r="VWD55" s="384"/>
      <c r="VWE55" s="384"/>
      <c r="VWF55" s="384"/>
      <c r="VWG55" s="384"/>
      <c r="VWH55" s="384"/>
      <c r="VWI55" s="384"/>
      <c r="VWJ55" s="384"/>
      <c r="VWK55" s="384"/>
      <c r="VWL55" s="384"/>
      <c r="VWM55" s="384"/>
      <c r="VWN55" s="384"/>
      <c r="VWO55" s="384"/>
      <c r="VWP55" s="384"/>
      <c r="VWQ55" s="384"/>
      <c r="VWR55" s="384"/>
      <c r="VWS55" s="384"/>
      <c r="VWT55" s="384"/>
      <c r="VWU55" s="384"/>
      <c r="VWV55" s="384"/>
      <c r="VWW55" s="384"/>
      <c r="VWX55" s="384"/>
      <c r="VWY55" s="384"/>
      <c r="VWZ55" s="384"/>
      <c r="VXA55" s="384"/>
      <c r="VXB55" s="384"/>
      <c r="VXC55" s="384"/>
      <c r="VXD55" s="384"/>
      <c r="VXE55" s="384"/>
      <c r="VXF55" s="384"/>
      <c r="VXG55" s="384"/>
      <c r="VXH55" s="384"/>
      <c r="VXI55" s="384"/>
      <c r="VXJ55" s="384"/>
      <c r="VXK55" s="384"/>
      <c r="VXL55" s="384"/>
      <c r="VXM55" s="384"/>
      <c r="VXN55" s="384"/>
      <c r="VXO55" s="384"/>
      <c r="VXP55" s="384"/>
      <c r="VXQ55" s="384"/>
      <c r="VXR55" s="384"/>
      <c r="VXS55" s="384"/>
      <c r="VXT55" s="384"/>
      <c r="VXU55" s="384"/>
      <c r="VXV55" s="384"/>
      <c r="VXW55" s="384"/>
      <c r="VXX55" s="384"/>
      <c r="VXY55" s="384"/>
      <c r="VXZ55" s="384"/>
      <c r="VYA55" s="384"/>
      <c r="VYB55" s="384"/>
      <c r="VYC55" s="384"/>
      <c r="VYD55" s="384"/>
      <c r="VYE55" s="384"/>
      <c r="VYF55" s="384"/>
      <c r="VYG55" s="384"/>
      <c r="VYH55" s="384"/>
      <c r="VYI55" s="384"/>
      <c r="VYJ55" s="384"/>
      <c r="VYK55" s="384"/>
      <c r="VYL55" s="384"/>
      <c r="VYM55" s="384"/>
      <c r="VYN55" s="384"/>
      <c r="VYO55" s="384"/>
      <c r="VYP55" s="384"/>
      <c r="VYQ55" s="384"/>
      <c r="VYR55" s="384"/>
      <c r="VYS55" s="384"/>
      <c r="VYT55" s="384"/>
      <c r="VYU55" s="384"/>
      <c r="VYV55" s="384"/>
      <c r="VYW55" s="384"/>
      <c r="VYX55" s="384"/>
      <c r="VYY55" s="384"/>
      <c r="VYZ55" s="384"/>
      <c r="VZA55" s="384"/>
      <c r="VZB55" s="384"/>
      <c r="VZC55" s="384"/>
      <c r="VZD55" s="384"/>
      <c r="VZE55" s="384"/>
      <c r="VZF55" s="384"/>
      <c r="VZG55" s="384"/>
      <c r="VZH55" s="384"/>
      <c r="VZI55" s="384"/>
      <c r="VZJ55" s="384"/>
      <c r="VZK55" s="384"/>
      <c r="VZL55" s="384"/>
      <c r="VZM55" s="384"/>
      <c r="VZN55" s="384"/>
      <c r="VZO55" s="384"/>
      <c r="VZP55" s="384"/>
      <c r="VZQ55" s="384"/>
      <c r="VZR55" s="384"/>
      <c r="VZS55" s="384"/>
      <c r="VZT55" s="384"/>
      <c r="VZU55" s="384"/>
      <c r="VZV55" s="384"/>
      <c r="VZW55" s="384"/>
      <c r="VZX55" s="384"/>
      <c r="VZY55" s="384"/>
      <c r="VZZ55" s="384"/>
      <c r="WAA55" s="384"/>
      <c r="WAB55" s="384"/>
      <c r="WAC55" s="384"/>
      <c r="WAD55" s="384"/>
      <c r="WAE55" s="384"/>
      <c r="WAF55" s="384"/>
      <c r="WAG55" s="384"/>
      <c r="WAH55" s="384"/>
      <c r="WAI55" s="384"/>
      <c r="WAJ55" s="384"/>
      <c r="WAK55" s="384"/>
      <c r="WAL55" s="384"/>
      <c r="WAM55" s="384"/>
      <c r="WAN55" s="384"/>
      <c r="WAO55" s="384"/>
      <c r="WAP55" s="384"/>
      <c r="WAQ55" s="384"/>
      <c r="WAR55" s="384"/>
      <c r="WAS55" s="384"/>
      <c r="WAT55" s="384"/>
      <c r="WAU55" s="384"/>
      <c r="WAV55" s="384"/>
      <c r="WAW55" s="384"/>
      <c r="WAX55" s="384"/>
      <c r="WAY55" s="384"/>
      <c r="WAZ55" s="384"/>
      <c r="WBA55" s="384"/>
      <c r="WBB55" s="384"/>
      <c r="WBC55" s="384"/>
      <c r="WBD55" s="384"/>
      <c r="WBE55" s="384"/>
      <c r="WBF55" s="384"/>
      <c r="WBG55" s="384"/>
      <c r="WBH55" s="384"/>
      <c r="WBI55" s="384"/>
      <c r="WBJ55" s="384"/>
      <c r="WBK55" s="384"/>
      <c r="WBL55" s="384"/>
      <c r="WBM55" s="384"/>
      <c r="WBN55" s="384"/>
      <c r="WBO55" s="384"/>
      <c r="WBP55" s="384"/>
      <c r="WBQ55" s="384"/>
      <c r="WBR55" s="384"/>
      <c r="WBS55" s="384"/>
      <c r="WBT55" s="384"/>
      <c r="WBU55" s="384"/>
      <c r="WBV55" s="384"/>
      <c r="WBW55" s="384"/>
      <c r="WBX55" s="384"/>
      <c r="WBY55" s="384"/>
      <c r="WBZ55" s="384"/>
      <c r="WCA55" s="384"/>
      <c r="WCB55" s="384"/>
      <c r="WCC55" s="384"/>
      <c r="WCD55" s="384"/>
      <c r="WCE55" s="384"/>
      <c r="WCF55" s="384"/>
      <c r="WCG55" s="384"/>
      <c r="WCH55" s="384"/>
      <c r="WCI55" s="384"/>
      <c r="WCJ55" s="384"/>
      <c r="WCK55" s="384"/>
      <c r="WCL55" s="384"/>
      <c r="WCM55" s="384"/>
      <c r="WCN55" s="384"/>
      <c r="WCO55" s="384"/>
      <c r="WCP55" s="384"/>
      <c r="WCQ55" s="384"/>
      <c r="WCR55" s="384"/>
      <c r="WCS55" s="384"/>
      <c r="WCT55" s="384"/>
      <c r="WCU55" s="384"/>
      <c r="WCV55" s="384"/>
      <c r="WCW55" s="384"/>
      <c r="WCX55" s="384"/>
      <c r="WCY55" s="384"/>
      <c r="WCZ55" s="384"/>
      <c r="WDA55" s="384"/>
      <c r="WDB55" s="384"/>
      <c r="WDC55" s="384"/>
      <c r="WDD55" s="384"/>
      <c r="WDE55" s="384"/>
      <c r="WDF55" s="384"/>
      <c r="WDG55" s="384"/>
      <c r="WDH55" s="384"/>
      <c r="WDI55" s="384"/>
      <c r="WDJ55" s="384"/>
      <c r="WDK55" s="384"/>
      <c r="WDL55" s="384"/>
      <c r="WDM55" s="384"/>
      <c r="WDN55" s="384"/>
      <c r="WDO55" s="384"/>
      <c r="WDP55" s="384"/>
      <c r="WDQ55" s="384"/>
      <c r="WDR55" s="384"/>
      <c r="WDS55" s="384"/>
      <c r="WDT55" s="384"/>
      <c r="WDU55" s="384"/>
      <c r="WDV55" s="384"/>
      <c r="WDW55" s="384"/>
      <c r="WDX55" s="384"/>
      <c r="WDY55" s="384"/>
      <c r="WDZ55" s="384"/>
      <c r="WEA55" s="384"/>
      <c r="WEB55" s="384"/>
      <c r="WEC55" s="384"/>
      <c r="WED55" s="384"/>
      <c r="WEE55" s="384"/>
      <c r="WEF55" s="384"/>
      <c r="WEG55" s="384"/>
      <c r="WEH55" s="384"/>
      <c r="WEI55" s="384"/>
      <c r="WEJ55" s="384"/>
      <c r="WEK55" s="384"/>
      <c r="WEL55" s="384"/>
      <c r="WEM55" s="384"/>
      <c r="WEN55" s="384"/>
      <c r="WEO55" s="384"/>
      <c r="WEP55" s="384"/>
      <c r="WEQ55" s="384"/>
      <c r="WER55" s="384"/>
      <c r="WES55" s="384"/>
      <c r="WET55" s="384"/>
      <c r="WEU55" s="384"/>
      <c r="WEV55" s="384"/>
      <c r="WEW55" s="384"/>
      <c r="WEX55" s="384"/>
      <c r="WEY55" s="384"/>
      <c r="WEZ55" s="384"/>
      <c r="WFA55" s="384"/>
      <c r="WFB55" s="384"/>
      <c r="WFC55" s="384"/>
      <c r="WFD55" s="384"/>
      <c r="WFE55" s="384"/>
      <c r="WFF55" s="384"/>
      <c r="WFG55" s="384"/>
      <c r="WFH55" s="384"/>
      <c r="WFI55" s="384"/>
      <c r="WFJ55" s="384"/>
      <c r="WFK55" s="384"/>
      <c r="WFL55" s="384"/>
      <c r="WFM55" s="384"/>
      <c r="WFN55" s="384"/>
      <c r="WFO55" s="384"/>
      <c r="WFP55" s="384"/>
      <c r="WFQ55" s="384"/>
      <c r="WFR55" s="384"/>
      <c r="WFS55" s="384"/>
      <c r="WFT55" s="384"/>
      <c r="WFU55" s="384"/>
      <c r="WFV55" s="384"/>
      <c r="WFW55" s="384"/>
      <c r="WFX55" s="384"/>
      <c r="WFY55" s="384"/>
      <c r="WFZ55" s="384"/>
      <c r="WGA55" s="384"/>
      <c r="WGB55" s="384"/>
      <c r="WGC55" s="384"/>
      <c r="WGD55" s="384"/>
      <c r="WGE55" s="384"/>
      <c r="WGF55" s="384"/>
      <c r="WGG55" s="384"/>
      <c r="WGH55" s="384"/>
      <c r="WGI55" s="384"/>
      <c r="WGJ55" s="384"/>
      <c r="WGK55" s="384"/>
      <c r="WGL55" s="384"/>
      <c r="WGM55" s="384"/>
      <c r="WGN55" s="384"/>
      <c r="WGO55" s="384"/>
      <c r="WGP55" s="384"/>
      <c r="WGQ55" s="384"/>
      <c r="WGR55" s="384"/>
      <c r="WGS55" s="384"/>
      <c r="WGT55" s="384"/>
      <c r="WGU55" s="384"/>
      <c r="WGV55" s="384"/>
      <c r="WGW55" s="384"/>
      <c r="WGX55" s="384"/>
      <c r="WGY55" s="384"/>
      <c r="WGZ55" s="384"/>
      <c r="WHA55" s="384"/>
      <c r="WHB55" s="384"/>
      <c r="WHC55" s="384"/>
      <c r="WHD55" s="384"/>
      <c r="WHE55" s="384"/>
      <c r="WHF55" s="384"/>
      <c r="WHG55" s="384"/>
      <c r="WHH55" s="384"/>
      <c r="WHI55" s="384"/>
      <c r="WHJ55" s="384"/>
      <c r="WHK55" s="384"/>
      <c r="WHL55" s="384"/>
      <c r="WHM55" s="384"/>
      <c r="WHN55" s="384"/>
      <c r="WHO55" s="384"/>
      <c r="WHP55" s="384"/>
      <c r="WHQ55" s="384"/>
      <c r="WHR55" s="384"/>
      <c r="WHS55" s="384"/>
      <c r="WHT55" s="384"/>
      <c r="WHU55" s="384"/>
      <c r="WHV55" s="384"/>
      <c r="WHW55" s="384"/>
      <c r="WHX55" s="384"/>
      <c r="WHY55" s="384"/>
      <c r="WHZ55" s="384"/>
      <c r="WIA55" s="384"/>
      <c r="WIB55" s="384"/>
      <c r="WIC55" s="384"/>
      <c r="WID55" s="384"/>
      <c r="WIE55" s="384"/>
      <c r="WIF55" s="384"/>
      <c r="WIG55" s="384"/>
      <c r="WIH55" s="384"/>
      <c r="WII55" s="384"/>
      <c r="WIJ55" s="384"/>
      <c r="WIK55" s="384"/>
      <c r="WIL55" s="384"/>
      <c r="WIM55" s="384"/>
      <c r="WIN55" s="384"/>
      <c r="WIO55" s="384"/>
      <c r="WIP55" s="384"/>
      <c r="WIQ55" s="384"/>
      <c r="WIR55" s="384"/>
      <c r="WIS55" s="384"/>
      <c r="WIT55" s="384"/>
      <c r="WIU55" s="384"/>
      <c r="WIV55" s="384"/>
      <c r="WIW55" s="384"/>
      <c r="WIX55" s="384"/>
      <c r="WIY55" s="384"/>
      <c r="WIZ55" s="384"/>
      <c r="WJA55" s="384"/>
      <c r="WJB55" s="384"/>
      <c r="WJC55" s="384"/>
      <c r="WJD55" s="384"/>
      <c r="WJE55" s="384"/>
      <c r="WJF55" s="384"/>
      <c r="WJG55" s="384"/>
      <c r="WJH55" s="384"/>
      <c r="WJI55" s="384"/>
      <c r="WJJ55" s="384"/>
      <c r="WJK55" s="384"/>
      <c r="WJL55" s="384"/>
      <c r="WJM55" s="384"/>
      <c r="WJN55" s="384"/>
      <c r="WJO55" s="384"/>
      <c r="WJP55" s="384"/>
      <c r="WJQ55" s="384"/>
      <c r="WJR55" s="384"/>
      <c r="WJS55" s="384"/>
      <c r="WJT55" s="384"/>
      <c r="WJU55" s="384"/>
      <c r="WJV55" s="384"/>
      <c r="WJW55" s="384"/>
      <c r="WJX55" s="384"/>
      <c r="WJY55" s="384"/>
      <c r="WJZ55" s="384"/>
      <c r="WKA55" s="384"/>
      <c r="WKB55" s="384"/>
      <c r="WKC55" s="384"/>
      <c r="WKD55" s="384"/>
      <c r="WKE55" s="384"/>
      <c r="WKF55" s="384"/>
      <c r="WKG55" s="384"/>
      <c r="WKH55" s="384"/>
      <c r="WKI55" s="384"/>
      <c r="WKJ55" s="384"/>
      <c r="WKK55" s="384"/>
      <c r="WKL55" s="384"/>
      <c r="WKM55" s="384"/>
      <c r="WKN55" s="384"/>
      <c r="WKO55" s="384"/>
      <c r="WKP55" s="384"/>
      <c r="WKQ55" s="384"/>
      <c r="WKR55" s="384"/>
      <c r="WKS55" s="384"/>
      <c r="WKT55" s="384"/>
      <c r="WKU55" s="384"/>
      <c r="WKV55" s="384"/>
      <c r="WKW55" s="384"/>
      <c r="WKX55" s="384"/>
      <c r="WKY55" s="384"/>
      <c r="WKZ55" s="384"/>
      <c r="WLA55" s="384"/>
      <c r="WLB55" s="384"/>
      <c r="WLC55" s="384"/>
      <c r="WLD55" s="384"/>
      <c r="WLE55" s="384"/>
      <c r="WLF55" s="384"/>
      <c r="WLG55" s="384"/>
      <c r="WLH55" s="384"/>
      <c r="WLI55" s="384"/>
      <c r="WLJ55" s="384"/>
      <c r="WLK55" s="384"/>
      <c r="WLL55" s="384"/>
      <c r="WLM55" s="384"/>
      <c r="WLN55" s="384"/>
      <c r="WLO55" s="384"/>
      <c r="WLP55" s="384"/>
      <c r="WLQ55" s="384"/>
      <c r="WLR55" s="384"/>
      <c r="WLS55" s="384"/>
      <c r="WLT55" s="384"/>
      <c r="WLU55" s="384"/>
      <c r="WLV55" s="384"/>
      <c r="WLW55" s="384"/>
      <c r="WLX55" s="384"/>
      <c r="WLY55" s="384"/>
      <c r="WLZ55" s="384"/>
      <c r="WMA55" s="384"/>
      <c r="WMB55" s="384"/>
      <c r="WMC55" s="384"/>
      <c r="WMD55" s="384"/>
      <c r="WME55" s="384"/>
      <c r="WMF55" s="384"/>
      <c r="WMG55" s="384"/>
      <c r="WMH55" s="384"/>
      <c r="WMI55" s="384"/>
      <c r="WMJ55" s="384"/>
      <c r="WMK55" s="384"/>
      <c r="WML55" s="384"/>
      <c r="WMM55" s="384"/>
      <c r="WMN55" s="384"/>
      <c r="WMO55" s="384"/>
      <c r="WMP55" s="384"/>
      <c r="WMQ55" s="384"/>
      <c r="WMR55" s="384"/>
      <c r="WMS55" s="384"/>
      <c r="WMT55" s="384"/>
      <c r="WMU55" s="384"/>
      <c r="WMV55" s="384"/>
      <c r="WMW55" s="384"/>
      <c r="WMX55" s="384"/>
      <c r="WMY55" s="384"/>
      <c r="WMZ55" s="384"/>
      <c r="WNA55" s="384"/>
      <c r="WNB55" s="384"/>
      <c r="WNC55" s="384"/>
      <c r="WND55" s="384"/>
      <c r="WNE55" s="384"/>
      <c r="WNF55" s="384"/>
      <c r="WNG55" s="384"/>
      <c r="WNH55" s="384"/>
      <c r="WNI55" s="384"/>
      <c r="WNJ55" s="384"/>
      <c r="WNK55" s="384"/>
      <c r="WNL55" s="384"/>
      <c r="WNM55" s="384"/>
      <c r="WNN55" s="384"/>
      <c r="WNO55" s="384"/>
      <c r="WNP55" s="384"/>
      <c r="WNQ55" s="384"/>
      <c r="WNR55" s="384"/>
      <c r="WNS55" s="384"/>
      <c r="WNT55" s="384"/>
      <c r="WNU55" s="384"/>
      <c r="WNV55" s="384"/>
      <c r="WNW55" s="384"/>
      <c r="WNX55" s="384"/>
      <c r="WNY55" s="384"/>
      <c r="WNZ55" s="384"/>
      <c r="WOA55" s="384"/>
      <c r="WOB55" s="384"/>
      <c r="WOC55" s="384"/>
      <c r="WOD55" s="384"/>
      <c r="WOE55" s="384"/>
      <c r="WOF55" s="384"/>
      <c r="WOG55" s="384"/>
      <c r="WOH55" s="384"/>
      <c r="WOI55" s="384"/>
      <c r="WOJ55" s="384"/>
      <c r="WOK55" s="384"/>
      <c r="WOL55" s="384"/>
      <c r="WOM55" s="384"/>
      <c r="WON55" s="384"/>
      <c r="WOO55" s="384"/>
      <c r="WOP55" s="384"/>
      <c r="WOQ55" s="384"/>
      <c r="WOR55" s="384"/>
      <c r="WOS55" s="384"/>
      <c r="WOT55" s="384"/>
      <c r="WOU55" s="384"/>
      <c r="WOV55" s="384"/>
      <c r="WOW55" s="384"/>
      <c r="WOX55" s="384"/>
      <c r="WOY55" s="384"/>
      <c r="WOZ55" s="384"/>
      <c r="WPA55" s="384"/>
      <c r="WPB55" s="384"/>
      <c r="WPC55" s="384"/>
      <c r="WPD55" s="384"/>
      <c r="WPE55" s="384"/>
      <c r="WPF55" s="384"/>
      <c r="WPG55" s="384"/>
      <c r="WPH55" s="384"/>
      <c r="WPI55" s="384"/>
      <c r="WPJ55" s="384"/>
      <c r="WPK55" s="384"/>
      <c r="WPL55" s="384"/>
      <c r="WPM55" s="384"/>
      <c r="WPN55" s="384"/>
      <c r="WPO55" s="384"/>
      <c r="WPP55" s="384"/>
      <c r="WPQ55" s="384"/>
      <c r="WPR55" s="384"/>
      <c r="WPS55" s="384"/>
      <c r="WPT55" s="384"/>
      <c r="WPU55" s="384"/>
      <c r="WPV55" s="384"/>
      <c r="WPW55" s="384"/>
      <c r="WPX55" s="384"/>
      <c r="WPY55" s="384"/>
      <c r="WPZ55" s="384"/>
      <c r="WQA55" s="384"/>
      <c r="WQB55" s="384"/>
      <c r="WQC55" s="384"/>
      <c r="WQD55" s="384"/>
      <c r="WQE55" s="384"/>
      <c r="WQF55" s="384"/>
      <c r="WQG55" s="384"/>
      <c r="WQH55" s="384"/>
      <c r="WQI55" s="384"/>
      <c r="WQJ55" s="384"/>
      <c r="WQK55" s="384"/>
      <c r="WQL55" s="384"/>
      <c r="WQM55" s="384"/>
      <c r="WQN55" s="384"/>
      <c r="WQO55" s="384"/>
      <c r="WQP55" s="384"/>
      <c r="WQQ55" s="384"/>
      <c r="WQR55" s="384"/>
      <c r="WQS55" s="384"/>
      <c r="WQT55" s="384"/>
      <c r="WQU55" s="384"/>
      <c r="WQV55" s="384"/>
      <c r="WQW55" s="384"/>
      <c r="WQX55" s="384"/>
      <c r="WQY55" s="384"/>
      <c r="WQZ55" s="384"/>
      <c r="WRA55" s="384"/>
      <c r="WRB55" s="384"/>
      <c r="WRC55" s="384"/>
      <c r="WRD55" s="384"/>
      <c r="WRE55" s="384"/>
      <c r="WRF55" s="384"/>
      <c r="WRG55" s="384"/>
      <c r="WRH55" s="384"/>
      <c r="WRI55" s="384"/>
      <c r="WRJ55" s="384"/>
      <c r="WRK55" s="384"/>
      <c r="WRL55" s="384"/>
      <c r="WRM55" s="384"/>
      <c r="WRN55" s="384"/>
      <c r="WRO55" s="384"/>
      <c r="WRP55" s="384"/>
      <c r="WRQ55" s="384"/>
      <c r="WRR55" s="384"/>
      <c r="WRS55" s="384"/>
      <c r="WRT55" s="384"/>
      <c r="WRU55" s="384"/>
      <c r="WRV55" s="384"/>
      <c r="WRW55" s="384"/>
      <c r="WRX55" s="384"/>
      <c r="WRY55" s="384"/>
      <c r="WRZ55" s="384"/>
      <c r="WSA55" s="384"/>
      <c r="WSB55" s="384"/>
      <c r="WSC55" s="384"/>
      <c r="WSD55" s="384"/>
      <c r="WSE55" s="384"/>
      <c r="WSF55" s="384"/>
      <c r="WSG55" s="384"/>
      <c r="WSH55" s="384"/>
      <c r="WSI55" s="384"/>
      <c r="WSJ55" s="384"/>
      <c r="WSK55" s="384"/>
      <c r="WSL55" s="384"/>
      <c r="WSM55" s="384"/>
      <c r="WSN55" s="384"/>
      <c r="WSO55" s="384"/>
      <c r="WSP55" s="384"/>
      <c r="WSQ55" s="384"/>
      <c r="WSR55" s="384"/>
      <c r="WSS55" s="384"/>
      <c r="WST55" s="384"/>
      <c r="WSU55" s="384"/>
      <c r="WSV55" s="384"/>
      <c r="WSW55" s="384"/>
      <c r="WSX55" s="384"/>
      <c r="WSY55" s="384"/>
      <c r="WSZ55" s="384"/>
      <c r="WTA55" s="384"/>
      <c r="WTB55" s="384"/>
      <c r="WTC55" s="384"/>
      <c r="WTD55" s="384"/>
      <c r="WTE55" s="384"/>
      <c r="WTF55" s="384"/>
      <c r="WTG55" s="384"/>
      <c r="WTH55" s="384"/>
      <c r="WTI55" s="384"/>
      <c r="WTJ55" s="384"/>
      <c r="WTK55" s="384"/>
      <c r="WTL55" s="384"/>
      <c r="WTM55" s="384"/>
      <c r="WTN55" s="384"/>
      <c r="WTO55" s="384"/>
      <c r="WTP55" s="384"/>
      <c r="WTQ55" s="384"/>
      <c r="WTR55" s="384"/>
      <c r="WTS55" s="384"/>
      <c r="WTT55" s="384"/>
      <c r="WTU55" s="384"/>
      <c r="WTV55" s="384"/>
      <c r="WTW55" s="384"/>
      <c r="WTX55" s="384"/>
      <c r="WTY55" s="384"/>
      <c r="WTZ55" s="384"/>
      <c r="WUA55" s="384"/>
      <c r="WUB55" s="384"/>
      <c r="WUC55" s="384"/>
      <c r="WUD55" s="384"/>
      <c r="WUE55" s="384"/>
      <c r="WUF55" s="384"/>
      <c r="WUG55" s="384"/>
      <c r="WUH55" s="384"/>
      <c r="WUI55" s="384"/>
      <c r="WUJ55" s="384"/>
      <c r="WUK55" s="384"/>
      <c r="WUL55" s="384"/>
      <c r="WUM55" s="384"/>
      <c r="WUN55" s="384"/>
      <c r="WUO55" s="384"/>
      <c r="WUP55" s="384"/>
      <c r="WUQ55" s="384"/>
      <c r="WUR55" s="384"/>
      <c r="WUS55" s="384"/>
      <c r="WUT55" s="384"/>
      <c r="WUU55" s="384"/>
      <c r="WUV55" s="384"/>
      <c r="WUW55" s="384"/>
      <c r="WUX55" s="384"/>
      <c r="WUY55" s="384"/>
      <c r="WUZ55" s="384"/>
      <c r="WVA55" s="384"/>
      <c r="WVB55" s="384"/>
      <c r="WVC55" s="384"/>
      <c r="WVD55" s="384"/>
      <c r="WVE55" s="384"/>
      <c r="WVF55" s="384"/>
      <c r="WVG55" s="384"/>
      <c r="WVH55" s="384"/>
      <c r="WVI55" s="384"/>
      <c r="WVJ55" s="384"/>
      <c r="WVK55" s="384"/>
      <c r="WVL55" s="384"/>
      <c r="WVM55" s="384"/>
      <c r="WVN55" s="384"/>
      <c r="WVO55" s="384"/>
      <c r="WVP55" s="384"/>
      <c r="WVQ55" s="384"/>
      <c r="WVR55" s="384"/>
      <c r="WVS55" s="384"/>
      <c r="WVT55" s="384"/>
      <c r="WVU55" s="384"/>
      <c r="WVV55" s="384"/>
      <c r="WVW55" s="384"/>
      <c r="WVX55" s="384"/>
      <c r="WVY55" s="384"/>
      <c r="WVZ55" s="384"/>
      <c r="WWA55" s="384"/>
      <c r="WWB55" s="384"/>
      <c r="WWC55" s="384"/>
      <c r="WWD55" s="384"/>
      <c r="WWE55" s="384"/>
      <c r="WWF55" s="384"/>
      <c r="WWG55" s="384"/>
      <c r="WWH55" s="384"/>
      <c r="WWI55" s="384"/>
      <c r="WWJ55" s="384"/>
      <c r="WWK55" s="384"/>
      <c r="WWL55" s="384"/>
      <c r="WWM55" s="384"/>
      <c r="WWN55" s="384"/>
      <c r="WWO55" s="384"/>
      <c r="WWP55" s="384"/>
      <c r="WWQ55" s="384"/>
      <c r="WWR55" s="384"/>
      <c r="WWS55" s="384"/>
      <c r="WWT55" s="384"/>
      <c r="WWU55" s="384"/>
      <c r="WWV55" s="384"/>
      <c r="WWW55" s="384"/>
      <c r="WWX55" s="384"/>
      <c r="WWY55" s="384"/>
      <c r="WWZ55" s="384"/>
      <c r="WXA55" s="384"/>
      <c r="WXB55" s="384"/>
      <c r="WXC55" s="384"/>
      <c r="WXD55" s="384"/>
      <c r="WXE55" s="384"/>
      <c r="WXF55" s="384"/>
      <c r="WXG55" s="384"/>
      <c r="WXH55" s="384"/>
      <c r="WXI55" s="384"/>
      <c r="WXJ55" s="384"/>
      <c r="WXK55" s="384"/>
      <c r="WXL55" s="384"/>
      <c r="WXM55" s="384"/>
      <c r="WXN55" s="384"/>
      <c r="WXO55" s="384"/>
      <c r="WXP55" s="384"/>
      <c r="WXQ55" s="384"/>
      <c r="WXR55" s="384"/>
      <c r="WXS55" s="384"/>
      <c r="WXT55" s="384"/>
      <c r="WXU55" s="384"/>
      <c r="WXV55" s="384"/>
      <c r="WXW55" s="384"/>
      <c r="WXX55" s="384"/>
      <c r="WXY55" s="384"/>
      <c r="WXZ55" s="384"/>
      <c r="WYA55" s="384"/>
      <c r="WYB55" s="384"/>
      <c r="WYC55" s="384"/>
      <c r="WYD55" s="384"/>
      <c r="WYE55" s="384"/>
      <c r="WYF55" s="384"/>
      <c r="WYG55" s="384"/>
      <c r="WYH55" s="384"/>
      <c r="WYI55" s="384"/>
      <c r="WYJ55" s="384"/>
      <c r="WYK55" s="384"/>
      <c r="WYL55" s="384"/>
      <c r="WYM55" s="384"/>
      <c r="WYN55" s="384"/>
      <c r="WYO55" s="384"/>
      <c r="WYP55" s="384"/>
      <c r="WYQ55" s="384"/>
      <c r="WYR55" s="384"/>
      <c r="WYS55" s="384"/>
      <c r="WYT55" s="384"/>
      <c r="WYU55" s="384"/>
      <c r="WYV55" s="384"/>
      <c r="WYW55" s="384"/>
      <c r="WYX55" s="384"/>
      <c r="WYY55" s="384"/>
      <c r="WYZ55" s="384"/>
      <c r="WZA55" s="384"/>
      <c r="WZB55" s="384"/>
      <c r="WZC55" s="384"/>
      <c r="WZD55" s="384"/>
      <c r="WZE55" s="384"/>
      <c r="WZF55" s="384"/>
      <c r="WZG55" s="384"/>
      <c r="WZH55" s="384"/>
      <c r="WZI55" s="384"/>
      <c r="WZJ55" s="384"/>
      <c r="WZK55" s="384"/>
      <c r="WZL55" s="384"/>
      <c r="WZM55" s="384"/>
      <c r="WZN55" s="384"/>
      <c r="WZO55" s="384"/>
      <c r="WZP55" s="384"/>
      <c r="WZQ55" s="384"/>
      <c r="WZR55" s="384"/>
      <c r="WZS55" s="384"/>
      <c r="WZT55" s="384"/>
      <c r="WZU55" s="384"/>
      <c r="WZV55" s="384"/>
      <c r="WZW55" s="384"/>
      <c r="WZX55" s="384"/>
      <c r="WZY55" s="384"/>
      <c r="WZZ55" s="384"/>
      <c r="XAA55" s="384"/>
      <c r="XAB55" s="384"/>
      <c r="XAC55" s="384"/>
      <c r="XAD55" s="384"/>
      <c r="XAE55" s="384"/>
      <c r="XAF55" s="384"/>
      <c r="XAG55" s="384"/>
      <c r="XAH55" s="384"/>
      <c r="XAI55" s="384"/>
      <c r="XAJ55" s="384"/>
      <c r="XAK55" s="384"/>
      <c r="XAL55" s="384"/>
      <c r="XAM55" s="384"/>
      <c r="XAN55" s="384"/>
      <c r="XAO55" s="384"/>
      <c r="XAP55" s="384"/>
      <c r="XAQ55" s="384"/>
      <c r="XAR55" s="384"/>
      <c r="XAS55" s="384"/>
      <c r="XAT55" s="384"/>
      <c r="XAU55" s="384"/>
      <c r="XAV55" s="384"/>
      <c r="XAW55" s="384"/>
      <c r="XAX55" s="384"/>
      <c r="XAY55" s="384"/>
      <c r="XAZ55" s="384"/>
      <c r="XBA55" s="384"/>
      <c r="XBB55" s="384"/>
      <c r="XBC55" s="384"/>
      <c r="XBD55" s="384"/>
      <c r="XBE55" s="384"/>
      <c r="XBF55" s="384"/>
      <c r="XBG55" s="384"/>
      <c r="XBH55" s="384"/>
      <c r="XBI55" s="384"/>
      <c r="XBJ55" s="384"/>
      <c r="XBK55" s="384"/>
      <c r="XBL55" s="384"/>
      <c r="XBM55" s="384"/>
      <c r="XBN55" s="384"/>
      <c r="XBO55" s="384"/>
      <c r="XBP55" s="384"/>
      <c r="XBQ55" s="384"/>
      <c r="XBR55" s="384"/>
      <c r="XBS55" s="384"/>
      <c r="XBT55" s="384"/>
      <c r="XBU55" s="384"/>
      <c r="XBV55" s="384"/>
      <c r="XBW55" s="384"/>
      <c r="XBX55" s="384"/>
      <c r="XBY55" s="384"/>
      <c r="XBZ55" s="384"/>
      <c r="XCA55" s="384"/>
      <c r="XCB55" s="384"/>
      <c r="XCC55" s="384"/>
      <c r="XCD55" s="384"/>
      <c r="XCE55" s="384"/>
      <c r="XCF55" s="384"/>
      <c r="XCG55" s="384"/>
      <c r="XCH55" s="384"/>
      <c r="XCI55" s="384"/>
      <c r="XCJ55" s="384"/>
      <c r="XCK55" s="384"/>
      <c r="XCL55" s="384"/>
      <c r="XCM55" s="384"/>
      <c r="XCN55" s="384"/>
      <c r="XCO55" s="384"/>
      <c r="XCP55" s="384"/>
      <c r="XCQ55" s="384"/>
      <c r="XCR55" s="384"/>
      <c r="XCS55" s="384"/>
      <c r="XCT55" s="384"/>
      <c r="XCU55" s="384"/>
      <c r="XCV55" s="384"/>
      <c r="XCW55" s="384"/>
      <c r="XCX55" s="384"/>
      <c r="XCY55" s="384"/>
      <c r="XCZ55" s="384"/>
      <c r="XDA55" s="384"/>
      <c r="XDB55" s="384"/>
      <c r="XDC55" s="384"/>
      <c r="XDD55" s="384"/>
      <c r="XDE55" s="384"/>
      <c r="XDF55" s="384"/>
      <c r="XDG55" s="384"/>
      <c r="XDH55" s="384"/>
      <c r="XDI55" s="384"/>
      <c r="XDJ55" s="384"/>
      <c r="XDK55" s="384"/>
      <c r="XDL55" s="384"/>
      <c r="XDM55" s="384"/>
      <c r="XDN55" s="384"/>
      <c r="XDO55" s="384"/>
      <c r="XDP55" s="384"/>
      <c r="XDQ55" s="384"/>
      <c r="XDR55" s="384"/>
      <c r="XDS55" s="384"/>
      <c r="XDT55" s="384"/>
      <c r="XDU55" s="384"/>
      <c r="XDV55" s="384"/>
      <c r="XDW55" s="384"/>
      <c r="XDX55" s="384"/>
      <c r="XDY55" s="384"/>
      <c r="XDZ55" s="384"/>
      <c r="XEA55" s="384"/>
      <c r="XEB55" s="384"/>
      <c r="XEC55" s="384"/>
      <c r="XED55" s="384"/>
      <c r="XEE55" s="384"/>
      <c r="XEF55" s="384"/>
      <c r="XEG55" s="384"/>
      <c r="XEH55" s="384"/>
      <c r="XEI55" s="384"/>
      <c r="XEJ55" s="384"/>
      <c r="XEK55" s="384"/>
      <c r="XEL55" s="384"/>
      <c r="XEM55" s="384"/>
      <c r="XEN55" s="384"/>
      <c r="XEO55" s="384"/>
      <c r="XEP55" s="384"/>
      <c r="XEQ55" s="384"/>
      <c r="XER55" s="384"/>
      <c r="XES55" s="384"/>
      <c r="XET55" s="384"/>
      <c r="XEU55" s="384"/>
      <c r="XEV55" s="384"/>
      <c r="XEW55" s="384"/>
      <c r="XEX55" s="384"/>
      <c r="XEY55" s="384"/>
      <c r="XEZ55" s="384"/>
      <c r="XFA55" s="384"/>
    </row>
    <row r="56" s="337" customFormat="1" ht="29.25" customHeight="1" spans="1:1024 1025:16381">
      <c r="B56" s="353"/>
      <c r="C56" s="381"/>
      <c r="D56" s="375" t="s">
        <v>124</v>
      </c>
      <c r="E56" s="375"/>
      <c r="F56" s="376">
        <f>SUM(F53:F55)</f>
        <v>0</v>
      </c>
      <c r="G56" s="373"/>
      <c r="H56" s="377"/>
      <c r="I56" s="376">
        <f>SUM(I53:I55)</f>
        <v>0</v>
      </c>
      <c r="J56" s="376">
        <f>SUM(J53:J55)</f>
        <v>0</v>
      </c>
      <c r="K56" s="376">
        <f>SUM(K53:K55)</f>
        <v>0</v>
      </c>
      <c r="L56" s="376">
        <f>SUM(L53:L55)</f>
        <v>0</v>
      </c>
      <c r="M56" s="378"/>
      <c r="N56" s="379"/>
      <c r="O56" s="379"/>
      <c r="P56" s="371"/>
      <c r="Q56" s="372"/>
      <c r="R56" s="372"/>
      <c r="S56" s="372"/>
      <c r="T56" s="372"/>
    </row>
    <row r="57" s="337" customFormat="1" ht="40" customHeight="1" spans="1:1024 1025:16381">
      <c r="B57" s="360">
        <v>75</v>
      </c>
      <c r="C57" s="380" t="e">
        <f>_xlfn.XLOOKUP(D57,商品汇总表!$B:$B,商品汇总表!$A:$A,"")</f>
        <v>#N/A</v>
      </c>
      <c r="D57" s="362" t="e" cm="1">
        <f t="array" ref="D57">LOOKUP(1,0/(('5.21出货明细'!AR:AR=$D$58)*('5.21出货明细'!A:A=B57)),'5.21出货明细'!E:E)</f>
        <v>#N/A</v>
      </c>
      <c r="E57" s="358" t="e">
        <f>_xlfn.XLOOKUP(D57,商品汇总表!$B:$B,商品汇总表!$D:$D,"")</f>
        <v>#N/A</v>
      </c>
      <c r="F57" s="363" t="e" cm="1">
        <f t="array" ref="F57">_xlfn.LET(_xlpm.数组,B57&amp;D57,_xlpm.源数组,'5.21出货明细'!$A:$A&amp;'5.21出货明细'!$E:$E,_xlpm.原单位,_xlfn.XLOOKUP(_xlpm.数组,_xlpm.源数组,'5.21出货明细'!$J:$J,""),_xlfn.HSTACK(_xlfn.XLOOKUP(_xlpm.数组,_xlpm.源数组,'5.21出货明细'!$K:$K,""),_xlfn.XLOOKUP(_xlpm.原单位,单位对照!$A:$A,单位对照!$B:$B,_xlpm.原单位),_xlfn.XLOOKUP(_xlpm.数组,_xlpm.源数组,'5.21出货明细'!$Z:$Z,""),_xlfn.XLOOKUP(_xlpm.数组,_xlpm.源数组,'5.21出货明细'!$AA:$AA,""),_xlfn.XLOOKUP(_xlpm.数组,_xlpm.源数组,'5.21出货明细'!$P:$P,""),_xlfn.XLOOKUP(_xlpm.数组,_xlpm.源数组,'5.21出货明细'!$Q:$Q,""),_xlfn.XLOOKUP(_xlpm.数组,_xlpm.源数组,'5.21出货明细'!$AT:$AT,"")))</f>
        <v>#N/A</v>
      </c>
      <c r="G57" s="373"/>
      <c r="H57" s="364"/>
      <c r="I57" s="365"/>
      <c r="J57" s="366"/>
      <c r="K57" s="367"/>
      <c r="L57" s="368"/>
      <c r="M57" s="369" t="s">
        <v>2953</v>
      </c>
      <c r="N57" s="370"/>
      <c r="O57" s="370"/>
      <c r="P57" s="371"/>
      <c r="Q57" s="372"/>
      <c r="R57" s="372"/>
      <c r="S57" s="372"/>
      <c r="T57" s="372"/>
    </row>
    <row r="58" s="337" customFormat="1" ht="29.25" customHeight="1" spans="1:1024 1025:16381">
      <c r="B58" s="353"/>
      <c r="C58" s="381"/>
      <c r="D58" s="375" t="s">
        <v>2954</v>
      </c>
      <c r="E58" s="375"/>
      <c r="F58" s="376" t="e">
        <f>SUM(F57:F57)</f>
        <v>#N/A</v>
      </c>
      <c r="G58" s="373"/>
      <c r="H58" s="377"/>
      <c r="I58" s="376">
        <f>SUM(I57:I57)</f>
        <v>0</v>
      </c>
      <c r="J58" s="376">
        <f t="shared" ref="J58:L58" si="0">SUM(J57:J57)</f>
        <v>0</v>
      </c>
      <c r="K58" s="399">
        <f t="shared" si="0"/>
        <v>0</v>
      </c>
      <c r="L58" s="376">
        <f t="shared" si="0"/>
        <v>0</v>
      </c>
      <c r="M58" s="378"/>
      <c r="N58" s="379"/>
      <c r="O58" s="379"/>
      <c r="P58" s="371"/>
      <c r="Q58" s="372"/>
      <c r="R58" s="372"/>
      <c r="S58" s="372"/>
      <c r="T58" s="372"/>
    </row>
    <row r="59" s="337" customFormat="1" ht="29.25" customHeight="1" spans="1:1024 1025:16381">
      <c r="B59" s="400"/>
      <c r="C59" s="401"/>
      <c r="D59" s="402"/>
      <c r="E59" s="403" t="s">
        <v>62</v>
      </c>
      <c r="F59" s="376"/>
      <c r="G59" s="373"/>
      <c r="H59" s="404"/>
      <c r="I59" s="376">
        <f>I58+I56++I52+I39+I27</f>
        <v>0</v>
      </c>
      <c r="J59" s="376">
        <f>J58+J56++J52+J39+J27</f>
        <v>0</v>
      </c>
      <c r="K59" s="376">
        <f>K58+K56++K52+K39+K27</f>
        <v>0</v>
      </c>
      <c r="L59" s="376">
        <f>L58+L56++L52+L39+L27</f>
        <v>0</v>
      </c>
      <c r="M59" s="378"/>
      <c r="N59" s="379"/>
      <c r="O59" s="379"/>
      <c r="P59" s="371"/>
      <c r="Q59" s="372"/>
      <c r="R59" s="372"/>
      <c r="S59" s="372"/>
      <c r="T59" s="372"/>
    </row>
    <row r="60" ht="77" customHeight="1"/>
    <row r="61" ht="14.25" spans="1:1024 1025:16381">
      <c r="F61" s="405" t="s">
        <v>2955</v>
      </c>
      <c r="G61" s="406"/>
      <c r="H61" s="406"/>
      <c r="I61" s="407"/>
    </row>
    <row r="66" ht="16" customHeight="1"/>
    <row r="67" ht="13.5" hidden="1"/>
    <row r="68" ht="13.5" hidden="1"/>
    <row r="69" ht="13.5" hidden="1"/>
  </sheetData>
  <mergeCells count="14">
    <mergeCell ref="B1:I1"/>
    <mergeCell ref="B2:I2"/>
    <mergeCell ref="B3:H3"/>
    <mergeCell ref="J3:K3"/>
    <mergeCell ref="H5:I5"/>
    <mergeCell ref="F61:H61"/>
    <mergeCell ref="B7:B8"/>
    <mergeCell ref="C7:C8"/>
    <mergeCell ref="D7:D8"/>
    <mergeCell ref="E7:E8"/>
    <mergeCell ref="F7:F8"/>
    <mergeCell ref="G7:G8"/>
    <mergeCell ref="H7:H8"/>
    <mergeCell ref="I7:I8"/>
  </mergeCells>
  <pageMargins left="0.32" right="0.25" top="0.3" bottom="0.75" header="0.3" footer="0.3"/>
  <pageSetup paperSize="9" scale="47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opLeftCell="A13" workbookViewId="0">
      <selection activeCell="I16" sqref="I16:J16"/>
    </sheetView>
  </sheetViews>
  <sheetFormatPr defaultColWidth="9.81666666666667" defaultRowHeight="12"/>
  <cols>
    <col min="1" max="1" width="9.14166666666667" style="238" customWidth="1"/>
    <col min="2" max="2" width="16.2666666666667" style="238" customWidth="1"/>
    <col min="3" max="3" width="18.2666666666667" style="238" customWidth="1"/>
    <col min="4" max="4" width="38.3333333333333" style="238" customWidth="1"/>
    <col min="5" max="5" width="9.81666666666667" style="238" customWidth="1"/>
    <col min="6" max="6" width="6.95" style="238" customWidth="1"/>
    <col min="7" max="8" width="9.775" style="238" customWidth="1"/>
    <col min="9" max="9" width="8.31666666666667" style="239" customWidth="1"/>
    <col min="10" max="10" width="5.85833333333333" style="238" customWidth="1"/>
    <col min="11" max="11" width="16.0916666666667" style="238" customWidth="1"/>
    <col min="12" max="12" width="21.2666666666667" style="238" customWidth="1"/>
    <col min="13" max="16382" width="9.81666666666667" style="238" customWidth="1"/>
    <col min="16383" max="16384" width="9.81666666666667" style="238"/>
  </cols>
  <sheetData>
    <row r="1" ht="22.5" customHeight="1" spans="1:13">
      <c r="A1" s="240" t="s">
        <v>2956</v>
      </c>
      <c r="B1" s="240"/>
      <c r="C1" s="240"/>
      <c r="D1" s="240"/>
      <c r="E1" s="240"/>
      <c r="F1" s="240"/>
      <c r="G1" s="240"/>
      <c r="H1" s="240"/>
      <c r="I1" s="241"/>
      <c r="J1" s="240"/>
    </row>
    <row r="2" ht="16.5" customHeight="1" spans="1:13">
      <c r="A2" s="242" t="s">
        <v>2957</v>
      </c>
      <c r="B2" s="242"/>
      <c r="C2" s="242"/>
      <c r="D2" s="242"/>
      <c r="E2" s="242"/>
      <c r="F2" s="242"/>
      <c r="G2" s="242"/>
      <c r="H2" s="242"/>
      <c r="I2" s="243"/>
      <c r="J2" s="242"/>
    </row>
    <row r="3" ht="11.25" customHeight="1" spans="1:13">
      <c r="A3" s="244"/>
      <c r="B3" s="244"/>
      <c r="C3" s="244"/>
      <c r="D3" s="244"/>
      <c r="E3" s="244"/>
      <c r="F3" s="244"/>
      <c r="G3" s="244"/>
      <c r="H3" s="244"/>
      <c r="I3" s="245"/>
      <c r="J3" s="244"/>
    </row>
    <row r="4" ht="12.75" customHeight="1" spans="1:13">
      <c r="A4" s="246" t="s">
        <v>2958</v>
      </c>
      <c r="B4" s="247" t="s">
        <v>1551</v>
      </c>
      <c r="C4" s="248"/>
      <c r="D4" s="248"/>
      <c r="E4" s="248"/>
      <c r="F4" s="249"/>
      <c r="G4" s="250" t="s">
        <v>2959</v>
      </c>
      <c r="H4" s="251"/>
      <c r="I4" s="252">
        <f>发票!D5</f>
        <v>0</v>
      </c>
      <c r="J4" s="251"/>
    </row>
    <row r="5" ht="12.75" customHeight="1" spans="1:13">
      <c r="A5" s="253" t="s">
        <v>2960</v>
      </c>
      <c r="B5" s="254"/>
      <c r="C5" s="254"/>
      <c r="D5" s="254"/>
      <c r="E5" s="254"/>
      <c r="F5" s="255"/>
      <c r="G5" s="256"/>
      <c r="H5" s="257"/>
      <c r="I5" s="258"/>
      <c r="J5" s="257"/>
    </row>
    <row r="6" ht="27" customHeight="1" spans="1:13">
      <c r="A6" s="253"/>
      <c r="B6" s="254" t="s">
        <v>2961</v>
      </c>
      <c r="C6" s="254"/>
      <c r="D6" s="254"/>
      <c r="E6" s="254"/>
      <c r="F6" s="255"/>
      <c r="G6" s="259" t="s">
        <v>2962</v>
      </c>
      <c r="H6" s="260"/>
      <c r="I6" s="261">
        <f>发票!H5</f>
        <v>45619</v>
      </c>
      <c r="J6" s="260"/>
    </row>
    <row r="7" ht="35.25" customHeight="1" spans="1:13">
      <c r="A7" s="262"/>
      <c r="B7" s="263"/>
      <c r="C7" s="264"/>
      <c r="D7" s="264"/>
      <c r="E7" s="264"/>
      <c r="F7" s="265"/>
      <c r="G7" s="256"/>
      <c r="H7" s="257"/>
      <c r="I7" s="258"/>
      <c r="J7" s="257"/>
    </row>
    <row r="8" ht="15.75" customHeight="1" spans="1:13">
      <c r="A8" s="246" t="s">
        <v>2963</v>
      </c>
      <c r="B8" s="266" t="s">
        <v>2964</v>
      </c>
      <c r="C8" s="248"/>
      <c r="D8" s="248"/>
      <c r="E8" s="248"/>
      <c r="F8" s="249"/>
      <c r="G8" s="267"/>
      <c r="H8" s="248"/>
      <c r="I8" s="268"/>
      <c r="J8" s="249"/>
    </row>
    <row r="9" ht="15.75" customHeight="1" spans="1:13">
      <c r="A9" s="253" t="s">
        <v>2965</v>
      </c>
      <c r="B9" s="263"/>
      <c r="C9" s="264"/>
      <c r="D9" s="264"/>
      <c r="E9" s="264"/>
      <c r="F9" s="265"/>
      <c r="G9" s="269"/>
      <c r="H9" s="264"/>
      <c r="I9" s="270"/>
      <c r="J9" s="265"/>
    </row>
    <row r="10" ht="6.75" customHeight="1" spans="1:13">
      <c r="A10" s="271"/>
      <c r="B10" s="271"/>
      <c r="C10" s="271"/>
      <c r="D10" s="271"/>
      <c r="E10" s="271"/>
      <c r="F10" s="271"/>
      <c r="G10" s="271"/>
      <c r="H10" s="271"/>
      <c r="I10" s="272"/>
      <c r="J10" s="271"/>
    </row>
    <row r="11" spans="1:13">
      <c r="A11" s="273" t="s">
        <v>2966</v>
      </c>
      <c r="B11" s="248"/>
      <c r="C11" s="248"/>
      <c r="D11" s="248"/>
      <c r="E11" s="248"/>
      <c r="F11" s="248"/>
      <c r="G11" s="248"/>
      <c r="H11" s="248"/>
      <c r="I11" s="268"/>
      <c r="J11" s="249"/>
    </row>
    <row r="12" ht="13.75" customHeight="1" spans="1:13">
      <c r="A12" s="274" t="s">
        <v>2967</v>
      </c>
      <c r="B12" s="264"/>
      <c r="C12" s="264"/>
      <c r="D12" s="264"/>
      <c r="E12" s="264"/>
      <c r="F12" s="264"/>
      <c r="G12" s="264"/>
      <c r="H12" s="264"/>
      <c r="I12" s="270"/>
      <c r="J12" s="265"/>
    </row>
    <row r="13" ht="7.5" customHeight="1" spans="1:13">
      <c r="A13" s="271"/>
      <c r="B13" s="271"/>
      <c r="C13" s="271"/>
      <c r="D13" s="271"/>
      <c r="E13" s="271"/>
      <c r="F13" s="271"/>
      <c r="G13" s="271"/>
      <c r="H13" s="271"/>
      <c r="I13" s="272"/>
      <c r="J13" s="271"/>
    </row>
    <row r="14" s="237" customFormat="1" ht="19" customHeight="1" spans="1:13">
      <c r="A14" s="275" t="s">
        <v>2968</v>
      </c>
      <c r="B14" s="275" t="s">
        <v>2969</v>
      </c>
      <c r="C14" s="276" t="s">
        <v>2970</v>
      </c>
      <c r="D14" s="277"/>
      <c r="E14" s="276" t="s">
        <v>2971</v>
      </c>
      <c r="F14" s="276" t="s">
        <v>2972</v>
      </c>
      <c r="G14" s="276" t="s">
        <v>2973</v>
      </c>
      <c r="H14" s="277"/>
      <c r="I14" s="278" t="s">
        <v>2974</v>
      </c>
      <c r="J14" s="277"/>
    </row>
    <row r="15" s="237" customFormat="1" ht="30" customHeight="1" spans="1:13">
      <c r="A15" s="275" t="s">
        <v>2975</v>
      </c>
      <c r="B15" s="275" t="s">
        <v>2975</v>
      </c>
      <c r="C15" s="276" t="s">
        <v>2976</v>
      </c>
      <c r="D15" s="277"/>
      <c r="E15" s="276" t="s">
        <v>2977</v>
      </c>
      <c r="F15" s="276" t="s">
        <v>2978</v>
      </c>
      <c r="G15" s="276" t="s">
        <v>2979</v>
      </c>
      <c r="H15" s="277"/>
      <c r="I15" s="278" t="s">
        <v>2980</v>
      </c>
      <c r="J15" s="277"/>
    </row>
    <row r="16" ht="25.5" customHeight="1" spans="1:13">
      <c r="A16" s="279">
        <v>1</v>
      </c>
      <c r="B16" s="213" t="e" cm="1">
        <f t="array" ref="B16:F16">_xlfn.HSTACK(_xlfn.XLOOKUP($A16,发票!$B:$B,发票!$C:$C),_xlfn.XLOOKUP($A16,发票!$B:$B,发票!$D:$D),_xlfn.XLOOKUP($A16,发票!$B:$B,发票!$E:$E),_xlfn.XLOOKUP($A16,发票!$B:$B,发票!$F:$F),_xlfn.XLOOKUP($A16,发票!$B:$B,发票!$G:$G))</f>
        <v>#N/A</v>
      </c>
      <c r="C16" s="213" t="e">
        <v>#N/A</v>
      </c>
      <c r="D16" s="275" t="e">
        <v>#N/A</v>
      </c>
      <c r="E16" s="213" t="e">
        <v>#N/A</v>
      </c>
      <c r="F16" s="213">
        <v>0</v>
      </c>
      <c r="G16" s="279" t="s">
        <v>2981</v>
      </c>
      <c r="H16" s="277"/>
      <c r="I16" s="280">
        <f>_xlfn.XLOOKUP($A16,发票!$B:$B,发票!I:I,"")</f>
        <v>0</v>
      </c>
      <c r="J16" s="277"/>
      <c r="L16" s="281"/>
      <c r="M16" s="282"/>
    </row>
    <row r="17" ht="25.5" customHeight="1" spans="1:13">
      <c r="A17" s="279">
        <v>2</v>
      </c>
      <c r="B17" s="213" t="e" cm="1">
        <f t="array" ref="B17:F17">_xlfn.HSTACK(_xlfn.XLOOKUP($A17,发票!$B:$B,发票!$C:$C),_xlfn.XLOOKUP($A17,发票!$B:$B,发票!$D:$D),_xlfn.XLOOKUP($A17,发票!$B:$B,发票!$E:$E),_xlfn.XLOOKUP($A17,发票!$B:$B,发票!$F:$F),_xlfn.XLOOKUP($A17,发票!$B:$B,发票!$G:$G))</f>
        <v>#N/A</v>
      </c>
      <c r="C17" s="213" t="e">
        <v>#N/A</v>
      </c>
      <c r="D17" s="275" t="e">
        <v>#N/A</v>
      </c>
      <c r="E17" s="213" t="e">
        <v>#N/A</v>
      </c>
      <c r="F17" s="213">
        <v>0</v>
      </c>
      <c r="G17" s="279" t="s">
        <v>2981</v>
      </c>
      <c r="H17" s="277"/>
      <c r="I17" s="280">
        <f>_xlfn.XLOOKUP($A17,发票!$B:$B,发票!I:I,"")</f>
        <v>0</v>
      </c>
      <c r="J17" s="277"/>
      <c r="L17" s="281"/>
      <c r="M17" s="282"/>
    </row>
    <row r="18" ht="25.5" customHeight="1" spans="1:13">
      <c r="A18" s="279">
        <v>3</v>
      </c>
      <c r="B18" s="213" t="e" cm="1">
        <f t="array" ref="B18:F18">_xlfn.HSTACK(_xlfn.XLOOKUP($A18,发票!$B:$B,发票!$C:$C),_xlfn.XLOOKUP($A18,发票!$B:$B,发票!$D:$D),_xlfn.XLOOKUP($A18,发票!$B:$B,发票!$E:$E),_xlfn.XLOOKUP($A18,发票!$B:$B,发票!$F:$F),_xlfn.XLOOKUP($A18,发票!$B:$B,发票!$G:$G))</f>
        <v>#N/A</v>
      </c>
      <c r="C18" s="213" t="e">
        <v>#N/A</v>
      </c>
      <c r="D18" s="275" t="e">
        <v>#N/A</v>
      </c>
      <c r="E18" s="213" t="e">
        <v>#N/A</v>
      </c>
      <c r="F18" s="213">
        <v>0</v>
      </c>
      <c r="G18" s="279" t="s">
        <v>2981</v>
      </c>
      <c r="H18" s="277"/>
      <c r="I18" s="280">
        <f>_xlfn.XLOOKUP($A18,发票!$B:$B,发票!I:I,"")</f>
        <v>0</v>
      </c>
      <c r="J18" s="277"/>
      <c r="L18" s="281"/>
      <c r="M18" s="282"/>
    </row>
    <row r="19" ht="25.5" customHeight="1" spans="1:13">
      <c r="A19" s="279">
        <v>4</v>
      </c>
      <c r="B19" s="213" t="e" cm="1">
        <f t="array" ref="B19:F19">_xlfn.HSTACK(_xlfn.XLOOKUP($A19,发票!$B:$B,发票!$C:$C),_xlfn.XLOOKUP($A19,发票!$B:$B,发票!$D:$D),_xlfn.XLOOKUP($A19,发票!$B:$B,发票!$E:$E),_xlfn.XLOOKUP($A19,发票!$B:$B,发票!$F:$F),_xlfn.XLOOKUP($A19,发票!$B:$B,发票!$G:$G))</f>
        <v>#N/A</v>
      </c>
      <c r="C19" s="213" t="e">
        <v>#N/A</v>
      </c>
      <c r="D19" s="275" t="e">
        <v>#N/A</v>
      </c>
      <c r="E19" s="213" t="e">
        <v>#N/A</v>
      </c>
      <c r="F19" s="213">
        <v>0</v>
      </c>
      <c r="G19" s="279" t="s">
        <v>2981</v>
      </c>
      <c r="H19" s="277"/>
      <c r="I19" s="280">
        <f>_xlfn.XLOOKUP($A19,发票!$B:$B,发票!I:I,"")</f>
        <v>0</v>
      </c>
      <c r="J19" s="277"/>
      <c r="L19" s="281"/>
      <c r="M19" s="282"/>
    </row>
    <row r="20" ht="25.5" customHeight="1" spans="1:13">
      <c r="A20" s="279">
        <v>5</v>
      </c>
      <c r="B20" s="213" t="e" cm="1">
        <f t="array" ref="B20:F20">_xlfn.HSTACK(_xlfn.XLOOKUP($A20,发票!$B:$B,发票!$C:$C),_xlfn.XLOOKUP($A20,发票!$B:$B,发票!$D:$D),_xlfn.XLOOKUP($A20,发票!$B:$B,发票!$E:$E),_xlfn.XLOOKUP($A20,发票!$B:$B,发票!$F:$F),_xlfn.XLOOKUP($A20,发票!$B:$B,发票!$G:$G))</f>
        <v>#N/A</v>
      </c>
      <c r="C20" s="213" t="e">
        <v>#N/A</v>
      </c>
      <c r="D20" s="275" t="e">
        <v>#N/A</v>
      </c>
      <c r="E20" s="213" t="e">
        <v>#N/A</v>
      </c>
      <c r="F20" s="213">
        <v>0</v>
      </c>
      <c r="G20" s="279" t="s">
        <v>2981</v>
      </c>
      <c r="H20" s="277"/>
      <c r="I20" s="280">
        <f>_xlfn.XLOOKUP($A20,发票!$B:$B,发票!I:I,"")</f>
        <v>0</v>
      </c>
      <c r="J20" s="277"/>
      <c r="L20" s="281"/>
      <c r="M20" s="282"/>
    </row>
    <row r="21" ht="25.5" customHeight="1" spans="1:13">
      <c r="A21" s="279">
        <v>6</v>
      </c>
      <c r="B21" s="213" t="e" cm="1">
        <f t="array" ref="B21:F21">_xlfn.HSTACK(_xlfn.XLOOKUP($A21,发票!$B:$B,发票!$C:$C),_xlfn.XLOOKUP($A21,发票!$B:$B,发票!$D:$D),_xlfn.XLOOKUP($A21,发票!$B:$B,发票!$E:$E),_xlfn.XLOOKUP($A21,发票!$B:$B,发票!$F:$F),_xlfn.XLOOKUP($A21,发票!$B:$B,发票!$G:$G))</f>
        <v>#N/A</v>
      </c>
      <c r="C21" s="213" t="e">
        <v>#N/A</v>
      </c>
      <c r="D21" s="275" t="e">
        <v>#N/A</v>
      </c>
      <c r="E21" s="213" t="e">
        <v>#N/A</v>
      </c>
      <c r="F21" s="213">
        <v>0</v>
      </c>
      <c r="G21" s="279" t="s">
        <v>2981</v>
      </c>
      <c r="H21" s="277"/>
      <c r="I21" s="280">
        <f>_xlfn.XLOOKUP($A21,发票!$B:$B,发票!I:I,"")</f>
        <v>0</v>
      </c>
      <c r="J21" s="277"/>
      <c r="L21" s="281"/>
      <c r="M21" s="282"/>
    </row>
    <row r="22" ht="25.5" customHeight="1" spans="1:13">
      <c r="A22" s="279">
        <v>7</v>
      </c>
      <c r="B22" s="213" t="e" cm="1">
        <f t="array" ref="B22:F22">_xlfn.HSTACK(_xlfn.XLOOKUP($A22,发票!$B:$B,发票!$C:$C),_xlfn.XLOOKUP($A22,发票!$B:$B,发票!$D:$D),_xlfn.XLOOKUP($A22,发票!$B:$B,发票!$E:$E),_xlfn.XLOOKUP($A22,发票!$B:$B,发票!$F:$F),_xlfn.XLOOKUP($A22,发票!$B:$B,发票!$G:$G))</f>
        <v>#N/A</v>
      </c>
      <c r="C22" s="213" t="e">
        <v>#N/A</v>
      </c>
      <c r="D22" s="275" t="e">
        <v>#N/A</v>
      </c>
      <c r="E22" s="213" t="e">
        <v>#N/A</v>
      </c>
      <c r="F22" s="213">
        <v>0</v>
      </c>
      <c r="G22" s="279" t="s">
        <v>2981</v>
      </c>
      <c r="H22" s="277"/>
      <c r="I22" s="280">
        <f>_xlfn.XLOOKUP($A22,发票!$B:$B,发票!I:I,"")</f>
        <v>0</v>
      </c>
      <c r="J22" s="277"/>
      <c r="L22" s="281"/>
      <c r="M22" s="282"/>
    </row>
    <row r="23" ht="25.5" customHeight="1" spans="1:13">
      <c r="A23" s="279">
        <v>8</v>
      </c>
      <c r="B23" s="213" t="e" cm="1">
        <f t="array" ref="B23:F23">_xlfn.HSTACK(_xlfn.XLOOKUP($A23,发票!$B:$B,发票!$C:$C),_xlfn.XLOOKUP($A23,发票!$B:$B,发票!$D:$D),_xlfn.XLOOKUP($A23,发票!$B:$B,发票!$E:$E),_xlfn.XLOOKUP($A23,发票!$B:$B,发票!$F:$F),_xlfn.XLOOKUP($A23,发票!$B:$B,发票!$G:$G))</f>
        <v>#N/A</v>
      </c>
      <c r="C23" s="213" t="e">
        <v>#N/A</v>
      </c>
      <c r="D23" s="275" t="e">
        <v>#N/A</v>
      </c>
      <c r="E23" s="213" t="e">
        <v>#N/A</v>
      </c>
      <c r="F23" s="213">
        <v>0</v>
      </c>
      <c r="G23" s="279" t="s">
        <v>2981</v>
      </c>
      <c r="H23" s="277"/>
      <c r="I23" s="280">
        <f>_xlfn.XLOOKUP($A23,发票!$B:$B,发票!I:I,"")</f>
        <v>0</v>
      </c>
      <c r="J23" s="277"/>
      <c r="L23" s="281"/>
      <c r="M23" s="282"/>
    </row>
    <row r="24" ht="25.5" customHeight="1" spans="1:13">
      <c r="A24" s="279">
        <v>9</v>
      </c>
      <c r="B24" s="213" t="e" cm="1">
        <f t="array" ref="B24:F24">_xlfn.HSTACK(_xlfn.XLOOKUP($A24,发票!$B:$B,发票!$C:$C),_xlfn.XLOOKUP($A24,发票!$B:$B,发票!$D:$D),_xlfn.XLOOKUP($A24,发票!$B:$B,发票!$E:$E),_xlfn.XLOOKUP($A24,发票!$B:$B,发票!$F:$F),_xlfn.XLOOKUP($A24,发票!$B:$B,发票!$G:$G))</f>
        <v>#N/A</v>
      </c>
      <c r="C24" s="213" t="e">
        <v>#N/A</v>
      </c>
      <c r="D24" s="275" t="e">
        <v>#N/A</v>
      </c>
      <c r="E24" s="213" t="e">
        <v>#N/A</v>
      </c>
      <c r="F24" s="213">
        <v>0</v>
      </c>
      <c r="G24" s="279" t="s">
        <v>2981</v>
      </c>
      <c r="H24" s="277"/>
      <c r="I24" s="280">
        <f>_xlfn.XLOOKUP($A24,发票!$B:$B,发票!I:I,"")</f>
        <v>0</v>
      </c>
      <c r="J24" s="277"/>
      <c r="L24" s="281"/>
      <c r="M24" s="282"/>
    </row>
    <row r="25" ht="25.5" customHeight="1" spans="1:13">
      <c r="A25" s="279">
        <v>10</v>
      </c>
      <c r="B25" s="213" t="e" cm="1">
        <f t="array" ref="B25:F25">_xlfn.HSTACK(_xlfn.XLOOKUP($A25,发票!$B:$B,发票!$C:$C),_xlfn.XLOOKUP($A25,发票!$B:$B,发票!$D:$D),_xlfn.XLOOKUP($A25,发票!$B:$B,发票!$E:$E),_xlfn.XLOOKUP($A25,发票!$B:$B,发票!$F:$F),_xlfn.XLOOKUP($A25,发票!$B:$B,发票!$G:$G))</f>
        <v>#N/A</v>
      </c>
      <c r="C25" s="213" t="e">
        <v>#N/A</v>
      </c>
      <c r="D25" s="275" t="e">
        <v>#N/A</v>
      </c>
      <c r="E25" s="213" t="e">
        <v>#N/A</v>
      </c>
      <c r="F25" s="213">
        <v>0</v>
      </c>
      <c r="G25" s="279" t="s">
        <v>2981</v>
      </c>
      <c r="H25" s="277"/>
      <c r="I25" s="280">
        <f>_xlfn.XLOOKUP($A25,发票!$B:$B,发票!I:I,"")</f>
        <v>0</v>
      </c>
      <c r="J25" s="277"/>
      <c r="L25" s="281"/>
      <c r="M25" s="282"/>
    </row>
    <row r="26" ht="25.5" customHeight="1" spans="1:13">
      <c r="A26" s="279">
        <v>11</v>
      </c>
      <c r="B26" s="213" t="e" cm="1">
        <f t="array" ref="B26:F26">_xlfn.HSTACK(_xlfn.XLOOKUP($A26,发票!$B:$B,发票!$C:$C),_xlfn.XLOOKUP($A26,发票!$B:$B,发票!$D:$D),_xlfn.XLOOKUP($A26,发票!$B:$B,发票!$E:$E),_xlfn.XLOOKUP($A26,发票!$B:$B,发票!$F:$F),_xlfn.XLOOKUP($A26,发票!$B:$B,发票!$G:$G))</f>
        <v>#N/A</v>
      </c>
      <c r="C26" s="213" t="e">
        <v>#N/A</v>
      </c>
      <c r="D26" s="275" t="e">
        <v>#N/A</v>
      </c>
      <c r="E26" s="213" t="e">
        <v>#N/A</v>
      </c>
      <c r="F26" s="213">
        <v>0</v>
      </c>
      <c r="G26" s="279" t="s">
        <v>2981</v>
      </c>
      <c r="H26" s="277"/>
      <c r="I26" s="280">
        <f>_xlfn.XLOOKUP($A26,发票!$B:$B,发票!I:I,"")</f>
        <v>0</v>
      </c>
      <c r="J26" s="277"/>
      <c r="L26" s="281"/>
      <c r="M26" s="282"/>
    </row>
    <row r="27" ht="25.5" customHeight="1" spans="1:13">
      <c r="A27" s="279">
        <v>12</v>
      </c>
      <c r="B27" s="213" t="e" cm="1">
        <f t="array" ref="B27:F27">_xlfn.HSTACK(_xlfn.XLOOKUP($A27,发票!$B:$B,发票!$C:$C),_xlfn.XLOOKUP($A27,发票!$B:$B,发票!$D:$D),_xlfn.XLOOKUP($A27,发票!$B:$B,发票!$E:$E),_xlfn.XLOOKUP($A27,发票!$B:$B,发票!$F:$F),_xlfn.XLOOKUP($A27,发票!$B:$B,发票!$G:$G))</f>
        <v>#N/A</v>
      </c>
      <c r="C27" s="213" t="e">
        <v>#N/A</v>
      </c>
      <c r="D27" s="275" t="e">
        <v>#N/A</v>
      </c>
      <c r="E27" s="213" t="e">
        <v>#N/A</v>
      </c>
      <c r="F27" s="213">
        <v>0</v>
      </c>
      <c r="G27" s="279" t="s">
        <v>2981</v>
      </c>
      <c r="H27" s="277"/>
      <c r="I27" s="280">
        <f>_xlfn.XLOOKUP($A27,发票!$B:$B,发票!I:I,"")</f>
        <v>0</v>
      </c>
      <c r="J27" s="277"/>
      <c r="L27" s="281"/>
      <c r="M27" s="282"/>
    </row>
    <row r="28" ht="25.5" customHeight="1" spans="1:13">
      <c r="A28" s="279"/>
      <c r="B28" s="213"/>
      <c r="C28" s="283"/>
      <c r="D28" s="283"/>
      <c r="E28" s="284"/>
      <c r="F28" s="213"/>
      <c r="G28" s="279"/>
      <c r="H28" s="277"/>
      <c r="I28" s="280"/>
      <c r="J28" s="277"/>
      <c r="L28" s="281"/>
      <c r="M28" s="282"/>
    </row>
    <row r="29" ht="25.5" customHeight="1" spans="1:13">
      <c r="A29" s="279"/>
      <c r="B29" s="213"/>
      <c r="C29" s="283"/>
      <c r="D29" s="283"/>
      <c r="E29" s="284"/>
      <c r="F29" s="213"/>
      <c r="G29" s="279"/>
      <c r="H29" s="277"/>
      <c r="I29" s="280"/>
      <c r="J29" s="277"/>
      <c r="L29" s="281"/>
      <c r="M29" s="282"/>
    </row>
    <row r="30" ht="25.5" customHeight="1" spans="1:13">
      <c r="A30" s="279"/>
      <c r="B30" s="279"/>
      <c r="C30" s="283"/>
      <c r="D30" s="283"/>
      <c r="E30" s="284"/>
      <c r="F30" s="213"/>
      <c r="G30" s="279"/>
      <c r="H30" s="277"/>
      <c r="I30" s="280"/>
      <c r="J30" s="277"/>
      <c r="L30" s="281"/>
      <c r="M30" s="282"/>
    </row>
    <row r="31" ht="25.5" customHeight="1" spans="1:13">
      <c r="A31" s="279"/>
      <c r="B31" s="279"/>
      <c r="C31" s="283"/>
      <c r="D31" s="283"/>
      <c r="E31" s="284"/>
      <c r="F31" s="213"/>
      <c r="G31" s="279"/>
      <c r="H31" s="277"/>
      <c r="I31" s="280"/>
      <c r="J31" s="277"/>
      <c r="L31" s="281"/>
      <c r="M31" s="282"/>
    </row>
    <row r="32" ht="25.5" customHeight="1" spans="1:13">
      <c r="A32" s="279"/>
      <c r="B32" s="279"/>
      <c r="C32" s="283"/>
      <c r="D32" s="283"/>
      <c r="E32" s="284"/>
      <c r="F32" s="213"/>
      <c r="G32" s="279"/>
      <c r="H32" s="277"/>
      <c r="I32" s="280"/>
      <c r="J32" s="277"/>
      <c r="L32" s="281"/>
      <c r="M32" s="282"/>
    </row>
    <row r="33" ht="25.5" customHeight="1" spans="1:13">
      <c r="A33" s="279"/>
      <c r="B33" s="279"/>
      <c r="C33" s="283"/>
      <c r="D33" s="283"/>
      <c r="E33" s="284"/>
      <c r="F33" s="213"/>
      <c r="G33" s="279"/>
      <c r="H33" s="277"/>
      <c r="I33" s="280"/>
      <c r="J33" s="277"/>
      <c r="L33" s="281"/>
      <c r="M33" s="282"/>
    </row>
    <row r="34" ht="25.5" customHeight="1" spans="1:13">
      <c r="A34" s="279"/>
      <c r="B34" s="279"/>
      <c r="C34" s="283"/>
      <c r="D34" s="283"/>
      <c r="E34" s="284"/>
      <c r="F34" s="213"/>
      <c r="G34" s="279"/>
      <c r="H34" s="277"/>
      <c r="I34" s="280"/>
      <c r="J34" s="277"/>
      <c r="L34" s="281"/>
      <c r="M34" s="282"/>
    </row>
    <row r="35" ht="25.5" customHeight="1" spans="1:13">
      <c r="A35" s="285"/>
      <c r="B35" s="286"/>
      <c r="C35" s="287"/>
      <c r="D35" s="288"/>
      <c r="E35" s="289"/>
      <c r="F35" s="290"/>
      <c r="G35" s="286"/>
      <c r="H35" s="265"/>
      <c r="I35" s="291"/>
      <c r="J35" s="265"/>
      <c r="L35" s="281"/>
      <c r="M35" s="282"/>
    </row>
    <row r="36" ht="25.5" customHeight="1" spans="1:13">
      <c r="A36" s="292"/>
      <c r="B36" s="267"/>
      <c r="C36" s="293"/>
      <c r="D36" s="294"/>
      <c r="E36" s="295"/>
      <c r="F36" s="213"/>
      <c r="G36" s="267"/>
      <c r="H36" s="296"/>
      <c r="I36" s="297"/>
      <c r="J36" s="296"/>
      <c r="L36" s="281"/>
      <c r="M36" s="282"/>
    </row>
    <row r="37" ht="25.5" customHeight="1" spans="1:13">
      <c r="A37" s="292"/>
      <c r="B37" s="267"/>
      <c r="C37" s="293"/>
      <c r="D37" s="294"/>
      <c r="E37" s="295"/>
      <c r="F37" s="213"/>
      <c r="G37" s="267"/>
      <c r="H37" s="296"/>
      <c r="I37" s="297"/>
      <c r="J37" s="296"/>
      <c r="L37" s="281"/>
      <c r="M37" s="282"/>
    </row>
    <row r="38" ht="25.5" customHeight="1" spans="1:13">
      <c r="A38" s="292"/>
      <c r="B38" s="267"/>
      <c r="C38" s="293"/>
      <c r="D38" s="294"/>
      <c r="E38" s="295"/>
      <c r="F38" s="213"/>
      <c r="G38" s="267"/>
      <c r="H38" s="296"/>
      <c r="I38" s="297"/>
      <c r="J38" s="296"/>
      <c r="L38" s="281"/>
      <c r="M38" s="282"/>
    </row>
    <row r="39" ht="25.5" customHeight="1" spans="1:13">
      <c r="A39" s="292"/>
      <c r="B39" s="267"/>
      <c r="C39" s="293"/>
      <c r="D39" s="294"/>
      <c r="E39" s="295"/>
      <c r="F39" s="213"/>
      <c r="G39" s="267"/>
      <c r="H39" s="296"/>
      <c r="I39" s="297"/>
      <c r="J39" s="296"/>
      <c r="L39" s="281"/>
      <c r="M39" s="282"/>
    </row>
    <row r="40" ht="25.5" customHeight="1" spans="1:13">
      <c r="A40" s="292"/>
      <c r="B40" s="267"/>
      <c r="C40" s="293"/>
      <c r="D40" s="294"/>
      <c r="E40" s="295"/>
      <c r="F40" s="213"/>
      <c r="G40" s="267"/>
      <c r="H40" s="296"/>
      <c r="I40" s="297"/>
      <c r="J40" s="296"/>
      <c r="L40" s="281"/>
      <c r="M40" s="282"/>
    </row>
    <row r="41" ht="25.5" customHeight="1" spans="1:13">
      <c r="A41" s="292"/>
      <c r="B41" s="267"/>
      <c r="C41" s="293"/>
      <c r="D41" s="294"/>
      <c r="E41" s="295"/>
      <c r="F41" s="213"/>
      <c r="G41" s="267"/>
      <c r="H41" s="296"/>
      <c r="I41" s="297"/>
      <c r="J41" s="296"/>
      <c r="L41" s="281"/>
      <c r="M41" s="282"/>
    </row>
    <row r="42" ht="25.5" customHeight="1" spans="1:13">
      <c r="A42" s="292"/>
      <c r="B42" s="267"/>
      <c r="C42" s="293"/>
      <c r="D42" s="298"/>
      <c r="E42" s="295"/>
      <c r="F42" s="299"/>
      <c r="G42" s="267"/>
      <c r="H42" s="296"/>
      <c r="I42" s="297"/>
      <c r="J42" s="296"/>
      <c r="L42" s="281"/>
      <c r="M42" s="282"/>
    </row>
    <row r="43" ht="25.5" customHeight="1" spans="1:13">
      <c r="A43" s="292"/>
      <c r="B43" s="267"/>
      <c r="C43" s="293"/>
      <c r="D43" s="298"/>
      <c r="E43" s="295"/>
      <c r="F43" s="299"/>
      <c r="G43" s="267"/>
      <c r="H43" s="296"/>
      <c r="I43" s="297"/>
      <c r="J43" s="296"/>
      <c r="L43" s="281"/>
      <c r="M43" s="282"/>
    </row>
    <row r="44" ht="25.5" customHeight="1" spans="1:13">
      <c r="A44" s="292"/>
      <c r="B44" s="267"/>
      <c r="C44" s="293"/>
      <c r="D44" s="298"/>
      <c r="E44" s="295"/>
      <c r="F44" s="299"/>
      <c r="G44" s="267"/>
      <c r="H44" s="296"/>
      <c r="I44" s="297"/>
      <c r="J44" s="296"/>
      <c r="L44" s="281"/>
      <c r="M44" s="282"/>
    </row>
    <row r="45" ht="25.5" customHeight="1" spans="1:13">
      <c r="A45" s="292"/>
      <c r="B45" s="267"/>
      <c r="C45" s="293"/>
      <c r="D45" s="298"/>
      <c r="E45" s="295"/>
      <c r="F45" s="299"/>
      <c r="G45" s="267"/>
      <c r="H45" s="296"/>
      <c r="I45" s="297"/>
      <c r="J45" s="296"/>
      <c r="L45" s="281"/>
      <c r="M45" s="282"/>
    </row>
    <row r="46" ht="25.5" customHeight="1" spans="1:13">
      <c r="A46" s="292"/>
      <c r="B46" s="267"/>
      <c r="C46" s="293"/>
      <c r="D46" s="298"/>
      <c r="E46" s="295"/>
      <c r="F46" s="299"/>
      <c r="G46" s="267"/>
      <c r="H46" s="296"/>
      <c r="I46" s="297"/>
      <c r="J46" s="296"/>
      <c r="L46" s="281"/>
      <c r="M46" s="282"/>
    </row>
    <row r="47" ht="25.5" customHeight="1" spans="1:13">
      <c r="A47" s="292"/>
      <c r="B47" s="267"/>
      <c r="C47" s="293"/>
      <c r="D47" s="298"/>
      <c r="E47" s="295"/>
      <c r="F47" s="299"/>
      <c r="G47" s="267"/>
      <c r="H47" s="296"/>
      <c r="I47" s="297"/>
      <c r="J47" s="296"/>
      <c r="L47" s="281"/>
      <c r="M47" s="282"/>
    </row>
    <row r="48" ht="25.5" customHeight="1" spans="1:13">
      <c r="A48" s="292"/>
      <c r="B48" s="267"/>
      <c r="C48" s="293"/>
      <c r="D48" s="298"/>
      <c r="E48" s="295"/>
      <c r="F48" s="299"/>
      <c r="G48" s="267"/>
      <c r="H48" s="296"/>
      <c r="I48" s="297"/>
      <c r="J48" s="296"/>
      <c r="L48" s="281"/>
      <c r="M48" s="282"/>
    </row>
    <row r="49" ht="25.5" customHeight="1" spans="1:13">
      <c r="A49" s="292"/>
      <c r="B49" s="267"/>
      <c r="C49" s="293"/>
      <c r="D49" s="298"/>
      <c r="E49" s="295"/>
      <c r="F49" s="299"/>
      <c r="G49" s="267"/>
      <c r="H49" s="296"/>
      <c r="I49" s="297"/>
      <c r="J49" s="296"/>
      <c r="L49" s="281"/>
      <c r="M49" s="282"/>
    </row>
    <row r="50" ht="25.5" customHeight="1" spans="1:13">
      <c r="A50" s="292"/>
      <c r="B50" s="267"/>
      <c r="C50" s="293"/>
      <c r="D50" s="298"/>
      <c r="E50" s="295"/>
      <c r="F50" s="299"/>
      <c r="G50" s="267"/>
      <c r="H50" s="296"/>
      <c r="I50" s="297"/>
      <c r="J50" s="296"/>
      <c r="L50" s="281"/>
      <c r="M50" s="282"/>
    </row>
    <row r="51" ht="25.5" customHeight="1" spans="1:13">
      <c r="A51" s="292"/>
      <c r="B51" s="267"/>
      <c r="C51" s="293"/>
      <c r="D51" s="298"/>
      <c r="E51" s="295"/>
      <c r="F51" s="299"/>
      <c r="G51" s="267"/>
      <c r="H51" s="296"/>
      <c r="I51" s="297"/>
      <c r="J51" s="296"/>
      <c r="L51" s="281"/>
      <c r="M51" s="282"/>
    </row>
    <row r="52" ht="44.1" customHeight="1" spans="1:13">
      <c r="A52" s="292"/>
      <c r="B52" s="267"/>
      <c r="C52" s="293"/>
      <c r="D52" s="294"/>
      <c r="E52" s="300" t="e">
        <f>发票!#REF!</f>
        <v>#REF!</v>
      </c>
      <c r="F52" s="299" t="e">
        <f>发票!#REF!</f>
        <v>#REF!</v>
      </c>
      <c r="G52" s="267" t="s">
        <v>2981</v>
      </c>
      <c r="H52" s="296"/>
      <c r="I52" s="297" t="e">
        <f>发票!#REF!</f>
        <v>#REF!</v>
      </c>
      <c r="J52" s="296"/>
      <c r="L52" s="281"/>
      <c r="M52" s="282"/>
    </row>
    <row r="53" ht="17.25" customHeight="1" spans="1:13">
      <c r="A53" s="301"/>
      <c r="B53" s="301"/>
      <c r="D53" s="302"/>
      <c r="E53" s="303" t="e">
        <f>SUM(E16:E52)</f>
        <v>#N/A</v>
      </c>
      <c r="F53" s="304"/>
      <c r="G53" s="301" t="s">
        <v>2982</v>
      </c>
      <c r="H53" s="301"/>
      <c r="I53" s="305" t="e">
        <f>发票!#REF!</f>
        <v>#REF!</v>
      </c>
      <c r="J53" s="306"/>
      <c r="L53" s="282"/>
    </row>
    <row r="54" customHeight="1" spans="1:13">
      <c r="A54" s="307" t="s">
        <v>2983</v>
      </c>
      <c r="B54" s="308"/>
      <c r="C54" s="309"/>
      <c r="D54" s="308"/>
      <c r="E54" s="308"/>
      <c r="F54" s="308"/>
      <c r="G54" s="308"/>
      <c r="H54" s="308"/>
      <c r="I54" s="310"/>
      <c r="J54" s="311"/>
      <c r="L54" s="282"/>
    </row>
    <row r="55" ht="17.25" customHeight="1" spans="1:13">
      <c r="A55" s="312" t="s">
        <v>2984</v>
      </c>
      <c r="B55" s="308"/>
      <c r="C55" s="308"/>
      <c r="D55" s="308"/>
      <c r="E55" s="313" t="s">
        <v>2985</v>
      </c>
      <c r="F55" s="313"/>
      <c r="G55" s="313"/>
      <c r="H55" s="313"/>
      <c r="I55" s="314"/>
      <c r="J55" s="315"/>
    </row>
    <row r="56" ht="17.25" customHeight="1" spans="1:13">
      <c r="A56" s="312" t="s">
        <v>2986</v>
      </c>
      <c r="B56" s="308"/>
      <c r="C56" s="308"/>
      <c r="D56" s="308"/>
      <c r="E56" s="308"/>
      <c r="F56" s="308"/>
      <c r="G56" s="308"/>
      <c r="H56" s="308"/>
      <c r="I56" s="310"/>
      <c r="J56" s="311"/>
    </row>
    <row r="57" ht="17.25" customHeight="1" spans="1:13">
      <c r="A57" s="307" t="s">
        <v>2987</v>
      </c>
      <c r="B57" s="308"/>
      <c r="C57" s="308"/>
      <c r="D57" s="316" t="s">
        <v>2988</v>
      </c>
      <c r="E57" s="308"/>
      <c r="F57" s="308"/>
      <c r="G57" s="308"/>
      <c r="H57" s="308"/>
      <c r="I57" s="310"/>
      <c r="J57" s="311"/>
    </row>
    <row r="58" spans="1:13">
      <c r="A58" s="301" t="s">
        <v>2989</v>
      </c>
      <c r="B58" s="301"/>
      <c r="C58" s="317" t="s">
        <v>2990</v>
      </c>
      <c r="D58" s="317"/>
      <c r="E58" s="317"/>
      <c r="F58" s="317"/>
      <c r="G58" s="317"/>
      <c r="H58" s="317"/>
      <c r="I58" s="318"/>
      <c r="J58" s="255"/>
    </row>
    <row r="59" ht="13.75" customHeight="1" spans="1:13">
      <c r="A59" s="319" t="s">
        <v>2991</v>
      </c>
      <c r="B59" s="264"/>
      <c r="C59" s="320"/>
      <c r="D59" s="264"/>
      <c r="E59" s="264"/>
      <c r="F59" s="264"/>
      <c r="G59" s="264"/>
      <c r="H59" s="264"/>
      <c r="I59" s="270"/>
      <c r="J59" s="265"/>
    </row>
    <row r="60" ht="18.75" customHeight="1" spans="1:13">
      <c r="A60" s="321" t="s">
        <v>2992</v>
      </c>
      <c r="B60" s="248"/>
      <c r="C60" s="248"/>
      <c r="D60" s="248"/>
      <c r="E60" s="248"/>
      <c r="F60" s="248"/>
      <c r="G60" s="248"/>
      <c r="H60" s="248"/>
      <c r="I60" s="268"/>
      <c r="J60" s="248"/>
    </row>
    <row r="61" ht="18" customHeight="1" spans="1:13">
      <c r="A61" s="322" t="s">
        <v>2993</v>
      </c>
      <c r="B61" s="323"/>
      <c r="C61" s="323"/>
      <c r="D61" s="323"/>
      <c r="E61" s="322" t="s">
        <v>2994</v>
      </c>
      <c r="F61" s="323"/>
      <c r="G61" s="323"/>
      <c r="H61" s="323"/>
      <c r="I61" s="324"/>
      <c r="J61" s="306"/>
    </row>
    <row r="62" ht="23.25" customHeight="1" spans="1:13">
      <c r="A62" s="325" t="s">
        <v>2995</v>
      </c>
      <c r="B62" s="308"/>
      <c r="C62" s="308"/>
      <c r="D62" s="308"/>
      <c r="E62" s="325" t="s">
        <v>2996</v>
      </c>
      <c r="F62" s="308"/>
      <c r="G62" s="308"/>
      <c r="H62" s="308"/>
      <c r="I62" s="310"/>
      <c r="J62" s="311"/>
    </row>
    <row r="63" ht="15.75" customHeight="1" spans="1:13">
      <c r="A63" s="326"/>
      <c r="B63" s="326"/>
      <c r="C63" s="326"/>
      <c r="D63" s="326"/>
      <c r="E63" s="326"/>
      <c r="F63" s="326"/>
      <c r="G63" s="326"/>
      <c r="H63" s="326"/>
      <c r="I63" s="327"/>
      <c r="J63" s="255"/>
    </row>
    <row r="64" ht="23.25" customHeight="1" spans="1:13">
      <c r="A64" s="328" t="s">
        <v>2997</v>
      </c>
      <c r="B64" s="328"/>
      <c r="C64" s="328"/>
      <c r="D64" s="328"/>
      <c r="E64" s="328" t="s">
        <v>2997</v>
      </c>
      <c r="F64" s="328"/>
      <c r="G64" s="328"/>
      <c r="H64" s="329"/>
      <c r="I64" s="330"/>
      <c r="J64" s="331"/>
    </row>
    <row r="65" ht="14.25" customHeight="1" spans="1:10">
      <c r="A65" s="332"/>
      <c r="B65" s="333"/>
      <c r="C65" s="333"/>
      <c r="D65" s="333"/>
      <c r="E65" s="332"/>
      <c r="F65" s="333"/>
      <c r="G65" s="333"/>
      <c r="H65" s="333"/>
      <c r="I65" s="334"/>
      <c r="J65" s="335"/>
    </row>
  </sheetData>
  <mergeCells count="121">
    <mergeCell ref="A1:J1"/>
    <mergeCell ref="A2:J2"/>
    <mergeCell ref="B4:F4"/>
    <mergeCell ref="B5:F5"/>
    <mergeCell ref="B6:F6"/>
    <mergeCell ref="B7:F7"/>
    <mergeCell ref="B8:F8"/>
    <mergeCell ref="B9:F9"/>
    <mergeCell ref="A10:J10"/>
    <mergeCell ref="A11:J11"/>
    <mergeCell ref="A12:J12"/>
    <mergeCell ref="A13:J13"/>
    <mergeCell ref="C14:D14"/>
    <mergeCell ref="G14:H14"/>
    <mergeCell ref="I14:J14"/>
    <mergeCell ref="C15:D15"/>
    <mergeCell ref="G15:H15"/>
    <mergeCell ref="I15:J15"/>
    <mergeCell ref="G16:H16"/>
    <mergeCell ref="I16:J16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G38:H38"/>
    <mergeCell ref="I38:J38"/>
    <mergeCell ref="G39:H39"/>
    <mergeCell ref="I39:J39"/>
    <mergeCell ref="G40:H40"/>
    <mergeCell ref="I40:J40"/>
    <mergeCell ref="G41:H41"/>
    <mergeCell ref="I41:J41"/>
    <mergeCell ref="G42:H42"/>
    <mergeCell ref="I42:J42"/>
    <mergeCell ref="G43:H43"/>
    <mergeCell ref="I43:J43"/>
    <mergeCell ref="G44:H44"/>
    <mergeCell ref="I44:J44"/>
    <mergeCell ref="G45:H45"/>
    <mergeCell ref="I45:J45"/>
    <mergeCell ref="G46:H46"/>
    <mergeCell ref="I46:J46"/>
    <mergeCell ref="G47:H47"/>
    <mergeCell ref="I47:J47"/>
    <mergeCell ref="G48:H48"/>
    <mergeCell ref="I48:J48"/>
    <mergeCell ref="G49:H49"/>
    <mergeCell ref="I49:J49"/>
    <mergeCell ref="G50:H50"/>
    <mergeCell ref="I50:J50"/>
    <mergeCell ref="G51:H51"/>
    <mergeCell ref="I51:J51"/>
    <mergeCell ref="G52:H52"/>
    <mergeCell ref="I52:J52"/>
    <mergeCell ref="A53:B53"/>
    <mergeCell ref="G53:H53"/>
    <mergeCell ref="I53:J53"/>
    <mergeCell ref="A54:B54"/>
    <mergeCell ref="C54:J54"/>
    <mergeCell ref="A55:D55"/>
    <mergeCell ref="A56:D56"/>
    <mergeCell ref="E56:J56"/>
    <mergeCell ref="A57:C57"/>
    <mergeCell ref="D57:J57"/>
    <mergeCell ref="A58:B58"/>
    <mergeCell ref="C58:J58"/>
    <mergeCell ref="A59:B59"/>
    <mergeCell ref="C59:J59"/>
    <mergeCell ref="A60:J60"/>
    <mergeCell ref="A61:D61"/>
    <mergeCell ref="E61:J61"/>
    <mergeCell ref="A62:D62"/>
    <mergeCell ref="E62:J62"/>
    <mergeCell ref="A63:D63"/>
    <mergeCell ref="E63:J63"/>
    <mergeCell ref="A64:D64"/>
    <mergeCell ref="E64:G64"/>
    <mergeCell ref="H64:J64"/>
    <mergeCell ref="G4:H5"/>
    <mergeCell ref="I4:J5"/>
    <mergeCell ref="G6:H7"/>
    <mergeCell ref="I6:J7"/>
    <mergeCell ref="G8:J9"/>
  </mergeCells>
  <pageMargins left="0.37" right="0.25" top="0.29" bottom="0.27" header="0.3" footer="0.3"/>
  <pageSetup paperSize="9" scale="84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8"/>
  <sheetViews>
    <sheetView workbookViewId="0">
      <selection activeCell="B17" sqref="B17"/>
    </sheetView>
  </sheetViews>
  <sheetFormatPr defaultColWidth="9.81666666666667" defaultRowHeight="14.25"/>
  <cols>
    <col min="1" max="1" width="10.6416666666667" style="202" customWidth="1"/>
    <col min="2" max="2" width="37.3583333333333" style="202" customWidth="1"/>
    <col min="3" max="3" width="6.55" style="202" customWidth="1"/>
    <col min="4" max="4" width="5.73333333333333" style="202" customWidth="1"/>
    <col min="5" max="5" width="12.8166666666667" style="202" customWidth="1"/>
    <col min="6" max="6" width="9.33333333333333" style="202" customWidth="1"/>
    <col min="7" max="7" width="15.95" style="202" customWidth="1"/>
    <col min="8" max="8" width="12.95" style="202" customWidth="1"/>
    <col min="9" max="16384" width="9.81666666666667" style="202" customWidth="1"/>
  </cols>
  <sheetData>
    <row r="1" ht="28.5" customHeight="1" spans="1:10">
      <c r="A1" s="203" t="s">
        <v>2998</v>
      </c>
      <c r="B1" s="203"/>
      <c r="C1" s="203"/>
      <c r="D1" s="203"/>
      <c r="E1" s="203"/>
      <c r="F1" s="203"/>
      <c r="G1" s="203"/>
      <c r="H1" s="203"/>
    </row>
    <row r="2" ht="20.25" customHeight="1" spans="1:10">
      <c r="A2" s="204" t="s">
        <v>2999</v>
      </c>
      <c r="B2" s="204"/>
      <c r="C2" s="204"/>
      <c r="D2" s="204"/>
      <c r="E2" s="204"/>
      <c r="F2" s="204"/>
      <c r="G2" s="204"/>
      <c r="H2" s="204"/>
    </row>
    <row r="3" ht="19.5" customHeight="1" spans="1:10">
      <c r="G3" s="202" t="s">
        <v>3000</v>
      </c>
      <c r="H3" s="205"/>
    </row>
    <row r="4" ht="22.5" customHeight="1" spans="1:10">
      <c r="A4" s="202" t="s">
        <v>3001</v>
      </c>
      <c r="G4" s="202" t="s">
        <v>3002</v>
      </c>
      <c r="H4" s="206">
        <f>发票!D5</f>
        <v>0</v>
      </c>
    </row>
    <row r="5" ht="20.25" customHeight="1" spans="1:10">
      <c r="A5" s="207" t="s">
        <v>3003</v>
      </c>
      <c r="B5" s="207"/>
      <c r="C5" s="207"/>
    </row>
    <row r="6" ht="15.5" customHeight="1" spans="1:10">
      <c r="A6" s="202" t="s">
        <v>3004</v>
      </c>
      <c r="C6" s="207" t="s">
        <v>3005</v>
      </c>
      <c r="D6" s="207"/>
      <c r="E6" s="207"/>
      <c r="F6" s="207" t="s">
        <v>3006</v>
      </c>
      <c r="G6" s="207"/>
      <c r="H6" s="207"/>
    </row>
    <row r="7" ht="15.5" customHeight="1" spans="1:10">
      <c r="A7" s="207" t="s">
        <v>3007</v>
      </c>
      <c r="B7" s="207"/>
      <c r="C7" s="207" t="s">
        <v>3008</v>
      </c>
      <c r="D7" s="207"/>
      <c r="E7" s="207"/>
      <c r="F7" s="207" t="s">
        <v>3009</v>
      </c>
      <c r="G7" s="207"/>
      <c r="H7" s="207"/>
    </row>
    <row r="8" spans="1:10">
      <c r="A8" s="208" t="s">
        <v>3010</v>
      </c>
      <c r="B8" s="209" t="s">
        <v>3011</v>
      </c>
      <c r="C8" s="208" t="s">
        <v>3012</v>
      </c>
      <c r="D8" s="43"/>
      <c r="E8" s="208" t="s">
        <v>3013</v>
      </c>
      <c r="F8" s="43"/>
      <c r="G8" s="209" t="s">
        <v>3014</v>
      </c>
      <c r="H8" s="208" t="s">
        <v>3015</v>
      </c>
    </row>
    <row r="9" ht="15.5" customHeight="1" spans="1:10">
      <c r="A9" s="210" t="s">
        <v>3016</v>
      </c>
      <c r="B9" s="211" t="s">
        <v>3017</v>
      </c>
      <c r="C9" s="210" t="s">
        <v>3018</v>
      </c>
      <c r="D9" s="37"/>
      <c r="E9" s="210" t="s">
        <v>3019</v>
      </c>
      <c r="F9" s="37"/>
      <c r="G9" s="211" t="s">
        <v>3020</v>
      </c>
      <c r="H9" s="210" t="s">
        <v>3021</v>
      </c>
    </row>
    <row r="10" s="200" customFormat="1" ht="27.75" customHeight="1" spans="1:10">
      <c r="A10" s="212">
        <v>1</v>
      </c>
      <c r="B10" s="213" t="e" cm="1">
        <f t="array" ref="B10:H10">_xlfn.HSTACK(_xlfn.XLOOKUP($A10,发票!$B:$B,发票!$D:$D),_xlfn.XLOOKUP($A10,发票!$B:$B,发票!$L:$L),_xlfn.XLOOKUP($A10,发票!$B:$B,发票!$M:$M),_xlfn.XLOOKUP($A10,发票!$B:$B,发票!$F:$F),_xlfn.XLOOKUP($A10,发票!$B:$B,发票!$G:$G),_xlfn.XLOOKUP($A10,发票!$B:$B,发票!$J:$J),_xlfn.XLOOKUP($A10,发票!$B:$B,发票!$K:$K))</f>
        <v>#N/A</v>
      </c>
      <c r="C10" s="213">
        <v>0</v>
      </c>
      <c r="D10" s="213" t="str">
        <v>箱</v>
      </c>
      <c r="E10" s="213" t="e">
        <v>#N/A</v>
      </c>
      <c r="F10" s="213">
        <v>0</v>
      </c>
      <c r="G10" s="213">
        <v>0</v>
      </c>
      <c r="H10" s="213">
        <v>0</v>
      </c>
      <c r="J10" s="200" t="s">
        <v>3022</v>
      </c>
    </row>
    <row r="11" s="200" customFormat="1" ht="27.75" customHeight="1" spans="1:10">
      <c r="A11" s="212">
        <v>2</v>
      </c>
      <c r="B11" s="213" t="e" cm="1">
        <f t="array" ref="B11:H11">_xlfn.HSTACK(_xlfn.XLOOKUP($A11,发票!$B:$B,发票!$D:$D),_xlfn.XLOOKUP($A11,发票!$B:$B,发票!$L:$L),_xlfn.XLOOKUP($A11,发票!$B:$B,发票!$M:$M),_xlfn.XLOOKUP($A11,发票!$B:$B,发票!$F:$F),_xlfn.XLOOKUP($A11,发票!$B:$B,发票!$G:$G),_xlfn.XLOOKUP($A11,发票!$B:$B,发票!$J:$J),_xlfn.XLOOKUP($A11,发票!$B:$B,发票!$K:$K))</f>
        <v>#N/A</v>
      </c>
      <c r="C11" s="213">
        <v>0</v>
      </c>
      <c r="D11" s="213" t="str">
        <v>箱</v>
      </c>
      <c r="E11" s="213" t="e">
        <v>#N/A</v>
      </c>
      <c r="F11" s="213">
        <v>0</v>
      </c>
      <c r="G11" s="213">
        <v>0</v>
      </c>
      <c r="H11" s="213">
        <v>0</v>
      </c>
    </row>
    <row r="12" s="200" customFormat="1" ht="27.75" customHeight="1" spans="1:10">
      <c r="A12" s="212">
        <v>3</v>
      </c>
      <c r="B12" s="213" t="e" cm="1">
        <f t="array" ref="B12:H12">_xlfn.HSTACK(_xlfn.XLOOKUP($A12,发票!$B:$B,发票!$D:$D),_xlfn.XLOOKUP($A12,发票!$B:$B,发票!$L:$L),_xlfn.XLOOKUP($A12,发票!$B:$B,发票!$M:$M),_xlfn.XLOOKUP($A12,发票!$B:$B,发票!$F:$F),_xlfn.XLOOKUP($A12,发票!$B:$B,发票!$G:$G),_xlfn.XLOOKUP($A12,发票!$B:$B,发票!$J:$J),_xlfn.XLOOKUP($A12,发票!$B:$B,发票!$K:$K))</f>
        <v>#N/A</v>
      </c>
      <c r="C12" s="213">
        <v>0</v>
      </c>
      <c r="D12" s="213" t="str">
        <v>箱</v>
      </c>
      <c r="E12" s="213" t="e">
        <v>#N/A</v>
      </c>
      <c r="F12" s="213">
        <v>0</v>
      </c>
      <c r="G12" s="213">
        <v>0</v>
      </c>
      <c r="H12" s="213">
        <v>0</v>
      </c>
    </row>
    <row r="13" s="200" customFormat="1" ht="27.75" customHeight="1" spans="1:10">
      <c r="A13" s="212">
        <v>4</v>
      </c>
      <c r="B13" s="213" t="e" cm="1">
        <f t="array" ref="B13:H13">_xlfn.HSTACK(_xlfn.XLOOKUP($A13,发票!$B:$B,发票!$D:$D),_xlfn.XLOOKUP($A13,发票!$B:$B,发票!$L:$L),_xlfn.XLOOKUP($A13,发票!$B:$B,发票!$M:$M),_xlfn.XLOOKUP($A13,发票!$B:$B,发票!$F:$F),_xlfn.XLOOKUP($A13,发票!$B:$B,发票!$G:$G),_xlfn.XLOOKUP($A13,发票!$B:$B,发票!$J:$J),_xlfn.XLOOKUP($A13,发票!$B:$B,发票!$K:$K))</f>
        <v>#N/A</v>
      </c>
      <c r="C13" s="213">
        <v>0</v>
      </c>
      <c r="D13" s="213" t="str">
        <v>箱</v>
      </c>
      <c r="E13" s="213" t="e">
        <v>#N/A</v>
      </c>
      <c r="F13" s="213">
        <v>0</v>
      </c>
      <c r="G13" s="213">
        <v>0</v>
      </c>
      <c r="H13" s="213">
        <v>0</v>
      </c>
    </row>
    <row r="14" s="200" customFormat="1" ht="27.75" customHeight="1" spans="1:10">
      <c r="A14" s="212">
        <v>5</v>
      </c>
      <c r="B14" s="213" t="e" cm="1">
        <f t="array" ref="B14:H14">_xlfn.HSTACK(_xlfn.XLOOKUP($A14,发票!$B:$B,发票!$D:$D),_xlfn.XLOOKUP($A14,发票!$B:$B,发票!$L:$L),_xlfn.XLOOKUP($A14,发票!$B:$B,发票!$M:$M),_xlfn.XLOOKUP($A14,发票!$B:$B,发票!$F:$F),_xlfn.XLOOKUP($A14,发票!$B:$B,发票!$G:$G),_xlfn.XLOOKUP($A14,发票!$B:$B,发票!$J:$J),_xlfn.XLOOKUP($A14,发票!$B:$B,发票!$K:$K))</f>
        <v>#N/A</v>
      </c>
      <c r="C14" s="213">
        <v>0</v>
      </c>
      <c r="D14" s="213" t="str">
        <v>箱</v>
      </c>
      <c r="E14" s="213" t="e">
        <v>#N/A</v>
      </c>
      <c r="F14" s="213">
        <v>0</v>
      </c>
      <c r="G14" s="213">
        <v>0</v>
      </c>
      <c r="H14" s="213">
        <v>0</v>
      </c>
    </row>
    <row r="15" s="200" customFormat="1" ht="27.75" customHeight="1" spans="1:10">
      <c r="A15" s="212">
        <v>6</v>
      </c>
      <c r="B15" s="213" t="e" cm="1">
        <f t="array" ref="B15:H15">_xlfn.HSTACK(_xlfn.XLOOKUP($A15,发票!$B:$B,发票!$D:$D),_xlfn.XLOOKUP($A15,发票!$B:$B,发票!$L:$L),_xlfn.XLOOKUP($A15,发票!$B:$B,发票!$M:$M),_xlfn.XLOOKUP($A15,发票!$B:$B,发票!$F:$F),_xlfn.XLOOKUP($A15,发票!$B:$B,发票!$G:$G),_xlfn.XLOOKUP($A15,发票!$B:$B,发票!$J:$J),_xlfn.XLOOKUP($A15,发票!$B:$B,发票!$K:$K))</f>
        <v>#N/A</v>
      </c>
      <c r="C15" s="213">
        <v>0</v>
      </c>
      <c r="D15" s="213" t="str">
        <v>箱</v>
      </c>
      <c r="E15" s="213" t="e">
        <v>#N/A</v>
      </c>
      <c r="F15" s="213">
        <v>0</v>
      </c>
      <c r="G15" s="213">
        <v>0</v>
      </c>
      <c r="H15" s="213">
        <v>0</v>
      </c>
    </row>
    <row r="16" s="200" customFormat="1" ht="27.75" customHeight="1" spans="1:10">
      <c r="A16" s="212">
        <v>7</v>
      </c>
      <c r="B16" s="213" t="e" cm="1">
        <f t="array" ref="B16:H16">_xlfn.HSTACK(_xlfn.XLOOKUP($A16,发票!$B:$B,发票!$D:$D),_xlfn.XLOOKUP($A16,发票!$B:$B,发票!$L:$L),_xlfn.XLOOKUP($A16,发票!$B:$B,发票!$M:$M),_xlfn.XLOOKUP($A16,发票!$B:$B,发票!$F:$F),_xlfn.XLOOKUP($A16,发票!$B:$B,发票!$G:$G),_xlfn.XLOOKUP($A16,发票!$B:$B,发票!$J:$J),_xlfn.XLOOKUP($A16,发票!$B:$B,发票!$K:$K))</f>
        <v>#N/A</v>
      </c>
      <c r="C16" s="213">
        <v>0</v>
      </c>
      <c r="D16" s="213" t="str">
        <v>箱</v>
      </c>
      <c r="E16" s="213" t="e">
        <v>#N/A</v>
      </c>
      <c r="F16" s="213">
        <v>0</v>
      </c>
      <c r="G16" s="213">
        <v>0</v>
      </c>
      <c r="H16" s="213">
        <v>0</v>
      </c>
    </row>
    <row r="17" s="200" customFormat="1" ht="27.75" customHeight="1" spans="1:8">
      <c r="A17" s="212"/>
      <c r="B17" s="214"/>
      <c r="C17" s="215"/>
      <c r="D17" s="216"/>
      <c r="E17" s="217"/>
      <c r="F17" s="217"/>
      <c r="G17" s="218"/>
      <c r="H17" s="219"/>
    </row>
    <row r="18" s="200" customFormat="1" ht="27.75" customHeight="1" spans="1:8">
      <c r="A18" s="212"/>
      <c r="B18" s="214"/>
      <c r="C18" s="215"/>
      <c r="D18" s="216"/>
      <c r="E18" s="217"/>
      <c r="F18" s="217"/>
      <c r="G18" s="218"/>
      <c r="H18" s="219"/>
    </row>
    <row r="19" s="200" customFormat="1" ht="27.75" customHeight="1" spans="1:8">
      <c r="A19" s="212"/>
      <c r="B19" s="214"/>
      <c r="C19" s="215"/>
      <c r="D19" s="216"/>
      <c r="E19" s="217"/>
      <c r="F19" s="217"/>
      <c r="G19" s="218"/>
      <c r="H19" s="219"/>
    </row>
    <row r="20" s="200" customFormat="1" ht="27.75" customHeight="1" spans="1:8">
      <c r="A20" s="212"/>
      <c r="B20" s="214"/>
      <c r="C20" s="215"/>
      <c r="D20" s="216"/>
      <c r="E20" s="217"/>
      <c r="F20" s="217"/>
      <c r="G20" s="218"/>
      <c r="H20" s="219"/>
    </row>
    <row r="21" s="200" customFormat="1" ht="27.75" customHeight="1" spans="1:8">
      <c r="A21" s="212"/>
      <c r="B21" s="214"/>
      <c r="C21" s="215"/>
      <c r="D21" s="216"/>
      <c r="E21" s="217"/>
      <c r="F21" s="217"/>
      <c r="G21" s="218"/>
      <c r="H21" s="219"/>
    </row>
    <row r="22" s="200" customFormat="1" ht="27.75" customHeight="1" spans="1:8">
      <c r="A22" s="212"/>
      <c r="B22" s="214"/>
      <c r="C22" s="215"/>
      <c r="D22" s="216"/>
      <c r="E22" s="217"/>
      <c r="F22" s="217"/>
      <c r="G22" s="218"/>
      <c r="H22" s="219"/>
    </row>
    <row r="23" s="200" customFormat="1" ht="27.75" customHeight="1" spans="1:8">
      <c r="A23" s="212"/>
      <c r="B23" s="214"/>
      <c r="C23" s="215"/>
      <c r="D23" s="216"/>
      <c r="E23" s="217"/>
      <c r="F23" s="217"/>
      <c r="G23" s="218"/>
      <c r="H23" s="219"/>
    </row>
    <row r="24" s="200" customFormat="1" ht="27.75" customHeight="1" spans="1:8">
      <c r="A24" s="212"/>
      <c r="B24" s="214"/>
      <c r="C24" s="215"/>
      <c r="D24" s="216"/>
      <c r="E24" s="217"/>
      <c r="F24" s="217"/>
      <c r="G24" s="218"/>
      <c r="H24" s="219"/>
    </row>
    <row r="25" s="200" customFormat="1" ht="27.75" customHeight="1" spans="1:8">
      <c r="A25" s="212"/>
      <c r="B25" s="214"/>
      <c r="C25" s="215"/>
      <c r="D25" s="216"/>
      <c r="E25" s="217"/>
      <c r="F25" s="217"/>
      <c r="G25" s="218"/>
      <c r="H25" s="219"/>
    </row>
    <row r="26" s="200" customFormat="1" ht="27.75" customHeight="1" spans="1:8">
      <c r="A26" s="212"/>
      <c r="B26" s="214"/>
      <c r="C26" s="215"/>
      <c r="D26" s="216"/>
      <c r="E26" s="217"/>
      <c r="F26" s="217"/>
      <c r="G26" s="218"/>
      <c r="H26" s="219"/>
    </row>
    <row r="27" s="200" customFormat="1" ht="27.75" customHeight="1" spans="1:8">
      <c r="A27" s="212"/>
      <c r="B27" s="214"/>
      <c r="C27" s="215"/>
      <c r="D27" s="216"/>
      <c r="E27" s="217"/>
      <c r="F27" s="217"/>
      <c r="G27" s="218"/>
      <c r="H27" s="219"/>
    </row>
    <row r="28" s="200" customFormat="1" ht="27.75" customHeight="1" spans="1:8">
      <c r="A28" s="212"/>
      <c r="B28" s="214"/>
      <c r="C28" s="215"/>
      <c r="D28" s="216"/>
      <c r="E28" s="217"/>
      <c r="F28" s="217"/>
      <c r="G28" s="218"/>
      <c r="H28" s="219"/>
    </row>
    <row r="29" s="200" customFormat="1" ht="27.75" customHeight="1" spans="1:8">
      <c r="A29" s="212"/>
      <c r="B29" s="214"/>
      <c r="C29" s="215"/>
      <c r="D29" s="216"/>
      <c r="E29" s="217"/>
      <c r="F29" s="217"/>
      <c r="G29" s="218"/>
      <c r="H29" s="219"/>
    </row>
    <row r="30" s="200" customFormat="1" ht="27.75" customHeight="1" spans="1:8">
      <c r="A30" s="212"/>
      <c r="B30" s="214"/>
      <c r="C30" s="215"/>
      <c r="D30" s="216"/>
      <c r="E30" s="217"/>
      <c r="F30" s="217"/>
      <c r="G30" s="218"/>
      <c r="H30" s="219"/>
    </row>
    <row r="31" s="200" customFormat="1" ht="27.75" customHeight="1" spans="1:8">
      <c r="A31" s="212"/>
      <c r="B31" s="214"/>
      <c r="C31" s="215"/>
      <c r="D31" s="216"/>
      <c r="E31" s="217"/>
      <c r="F31" s="217"/>
      <c r="G31" s="218"/>
      <c r="H31" s="219"/>
    </row>
    <row r="32" s="200" customFormat="1" ht="27.75" customHeight="1" spans="1:8">
      <c r="A32" s="212"/>
      <c r="B32" s="214"/>
      <c r="C32" s="215"/>
      <c r="D32" s="216"/>
      <c r="E32" s="217"/>
      <c r="F32" s="217"/>
      <c r="G32" s="218"/>
      <c r="H32" s="219"/>
    </row>
    <row r="33" s="200" customFormat="1" ht="27.75" customHeight="1" spans="1:8">
      <c r="A33" s="212"/>
      <c r="B33" s="214"/>
      <c r="C33" s="215"/>
      <c r="D33" s="216"/>
      <c r="E33" s="217"/>
      <c r="F33" s="217"/>
      <c r="G33" s="218"/>
      <c r="H33" s="219"/>
    </row>
    <row r="34" s="200" customFormat="1" ht="27.75" customHeight="1" spans="1:8">
      <c r="A34" s="212"/>
      <c r="B34" s="214"/>
      <c r="C34" s="215"/>
      <c r="D34" s="216"/>
      <c r="E34" s="217"/>
      <c r="F34" s="217"/>
      <c r="G34" s="218"/>
      <c r="H34" s="219"/>
    </row>
    <row r="35" s="200" customFormat="1" ht="27.75" customHeight="1" spans="1:8">
      <c r="A35" s="212"/>
      <c r="B35" s="214"/>
      <c r="C35" s="215"/>
      <c r="D35" s="216"/>
      <c r="E35" s="217"/>
      <c r="F35" s="217"/>
      <c r="G35" s="218"/>
      <c r="H35" s="219"/>
    </row>
    <row r="36" s="200" customFormat="1" ht="27.75" customHeight="1" spans="1:8">
      <c r="A36" s="212"/>
      <c r="B36" s="220"/>
      <c r="C36" s="215"/>
      <c r="D36" s="216"/>
      <c r="E36" s="217"/>
      <c r="F36" s="217"/>
      <c r="G36" s="218"/>
      <c r="H36" s="219"/>
    </row>
    <row r="37" s="200" customFormat="1" ht="27.75" customHeight="1" spans="1:8">
      <c r="A37" s="212"/>
      <c r="B37" s="220"/>
      <c r="C37" s="215"/>
      <c r="D37" s="216"/>
      <c r="E37" s="217"/>
      <c r="F37" s="217"/>
      <c r="G37" s="218"/>
      <c r="H37" s="219"/>
    </row>
    <row r="38" s="200" customFormat="1" ht="27.75" customHeight="1" spans="1:8">
      <c r="A38" s="212"/>
      <c r="B38" s="220"/>
      <c r="C38" s="215"/>
      <c r="D38" s="216"/>
      <c r="E38" s="217"/>
      <c r="F38" s="217"/>
      <c r="G38" s="218"/>
      <c r="H38" s="219"/>
    </row>
    <row r="39" s="200" customFormat="1" ht="27.75" customHeight="1" spans="1:8">
      <c r="A39" s="212"/>
      <c r="B39" s="220"/>
      <c r="C39" s="215"/>
      <c r="D39" s="216"/>
      <c r="E39" s="217"/>
      <c r="F39" s="217"/>
      <c r="G39" s="218"/>
      <c r="H39" s="219"/>
    </row>
    <row r="40" s="200" customFormat="1" ht="27.75" customHeight="1" spans="1:8">
      <c r="A40" s="212"/>
      <c r="B40" s="220"/>
      <c r="C40" s="215"/>
      <c r="D40" s="216"/>
      <c r="E40" s="217"/>
      <c r="F40" s="217"/>
      <c r="G40" s="218"/>
      <c r="H40" s="219"/>
    </row>
    <row r="41" s="200" customFormat="1" ht="27.75" customHeight="1" spans="1:8">
      <c r="A41" s="212"/>
      <c r="B41" s="220"/>
      <c r="C41" s="215"/>
      <c r="D41" s="216"/>
      <c r="E41" s="217"/>
      <c r="F41" s="217"/>
      <c r="G41" s="218"/>
      <c r="H41" s="219"/>
    </row>
    <row r="42" s="200" customFormat="1" ht="27.75" customHeight="1" spans="1:8">
      <c r="A42" s="212"/>
      <c r="B42" s="220"/>
      <c r="C42" s="215"/>
      <c r="D42" s="216"/>
      <c r="E42" s="217"/>
      <c r="F42" s="217"/>
      <c r="G42" s="218"/>
      <c r="H42" s="219"/>
    </row>
    <row r="43" s="200" customFormat="1" ht="27.75" customHeight="1" spans="1:8">
      <c r="A43" s="212"/>
      <c r="B43" s="220"/>
      <c r="C43" s="215"/>
      <c r="D43" s="216"/>
      <c r="E43" s="217"/>
      <c r="F43" s="217"/>
      <c r="G43" s="218"/>
      <c r="H43" s="219"/>
    </row>
    <row r="44" s="200" customFormat="1" ht="27.75" customHeight="1" spans="1:8">
      <c r="A44" s="212"/>
      <c r="B44" s="220"/>
      <c r="C44" s="215"/>
      <c r="D44" s="216"/>
      <c r="E44" s="217"/>
      <c r="F44" s="217"/>
      <c r="G44" s="218"/>
      <c r="H44" s="219"/>
    </row>
    <row r="45" s="200" customFormat="1" ht="27.75" customHeight="1" spans="1:8">
      <c r="A45" s="212"/>
      <c r="B45" s="220"/>
      <c r="C45" s="215"/>
      <c r="D45" s="216"/>
      <c r="E45" s="217"/>
      <c r="F45" s="217"/>
      <c r="G45" s="218"/>
      <c r="H45" s="219"/>
    </row>
    <row r="46" s="201" customFormat="1" ht="18.75" customHeight="1" spans="1:8">
      <c r="A46" s="212"/>
      <c r="B46" s="221"/>
      <c r="C46" s="222"/>
      <c r="D46" s="223"/>
      <c r="E46" s="224"/>
      <c r="F46" s="224"/>
      <c r="G46" s="225"/>
      <c r="H46" s="226"/>
    </row>
    <row r="47" spans="1:8">
      <c r="A47" s="209" t="s">
        <v>303</v>
      </c>
      <c r="B47" s="227"/>
      <c r="C47" s="228">
        <f t="shared" ref="C47:H47" si="0">SUM(C10:C46)</f>
        <v>0</v>
      </c>
      <c r="D47" s="229"/>
      <c r="E47" s="230" t="e">
        <f t="shared" si="0"/>
        <v>#N/A</v>
      </c>
      <c r="F47" s="231"/>
      <c r="G47" s="231">
        <f t="shared" si="0"/>
        <v>0</v>
      </c>
      <c r="H47" s="232">
        <f t="shared" si="0"/>
        <v>0</v>
      </c>
    </row>
    <row r="48" ht="15.5" customHeight="1" spans="1:8">
      <c r="A48" s="211" t="s">
        <v>3023</v>
      </c>
      <c r="B48" s="233"/>
      <c r="C48" s="234"/>
      <c r="D48" s="235"/>
      <c r="E48" s="233"/>
      <c r="F48" s="235"/>
      <c r="G48" s="233"/>
      <c r="H48" s="236"/>
    </row>
  </sheetData>
  <mergeCells count="12">
    <mergeCell ref="A1:H1"/>
    <mergeCell ref="A2:H2"/>
    <mergeCell ref="A5:C5"/>
    <mergeCell ref="C6:E6"/>
    <mergeCell ref="F6:H6"/>
    <mergeCell ref="A7:B7"/>
    <mergeCell ref="C7:E7"/>
    <mergeCell ref="F7:H7"/>
    <mergeCell ref="C8:D8"/>
    <mergeCell ref="E8:F8"/>
    <mergeCell ref="C9:D9"/>
    <mergeCell ref="E9:F9"/>
  </mergeCells>
  <pageMargins left="0.354330708661417" right="0.275590551181102" top="0.275590551181102" bottom="0.236220472440945" header="0.31496062992126" footer="0.31496062992126"/>
  <pageSetup paperSize="9" scale="65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showGridLines="0" topLeftCell="A7" workbookViewId="0">
      <selection activeCell="O22" sqref="O22"/>
    </sheetView>
  </sheetViews>
  <sheetFormatPr defaultColWidth="9.81666666666667" defaultRowHeight="15.75"/>
  <cols>
    <col min="1" max="1" width="4.90833333333333" style="7" customWidth="1"/>
    <col min="2" max="2" width="6.95" style="7" customWidth="1"/>
    <col min="3" max="3" width="6.26666666666667" style="7" customWidth="1"/>
    <col min="4" max="4" width="17.45" style="7" customWidth="1"/>
    <col min="5" max="6" width="17.8583333333333" style="7" customWidth="1"/>
    <col min="7" max="7" width="10.6416666666667" style="10" customWidth="1"/>
    <col min="8" max="9" width="6" style="7" customWidth="1"/>
    <col min="10" max="10" width="5.45" style="7" customWidth="1"/>
    <col min="11" max="11" width="6.81666666666667" style="7" customWidth="1"/>
    <col min="12" max="12" width="5.18333333333333" style="7" customWidth="1"/>
    <col min="13" max="13" width="4.23333333333333" style="7" customWidth="1"/>
    <col min="14" max="14" width="11.5916666666667" style="7" customWidth="1"/>
    <col min="15" max="15" width="4.90833333333333" style="7" customWidth="1"/>
    <col min="16" max="16" width="10.7666666666667" style="7" customWidth="1"/>
    <col min="17" max="16384" width="9.81666666666667" style="9" customWidth="1"/>
  </cols>
  <sheetData>
    <row r="1" s="5" customFormat="1" ht="17.5" customHeight="1" spans="1:21">
      <c r="A1" s="11" t="s">
        <v>3024</v>
      </c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</row>
    <row r="2" ht="20.75" customHeight="1" spans="1:21">
      <c r="A2" s="13"/>
      <c r="B2" s="14"/>
      <c r="C2" s="14"/>
      <c r="D2" s="14"/>
      <c r="E2" s="15" t="s">
        <v>3025</v>
      </c>
      <c r="F2" s="14"/>
      <c r="G2" s="16"/>
      <c r="H2" s="17"/>
      <c r="I2" s="17"/>
      <c r="J2" s="17"/>
      <c r="K2" s="18" t="s">
        <v>3026</v>
      </c>
      <c r="L2" s="14"/>
      <c r="M2" s="19"/>
      <c r="N2" s="17"/>
      <c r="O2" s="17"/>
      <c r="P2" s="17"/>
    </row>
    <row r="3" s="6" customFormat="1" ht="12" customHeight="1" spans="1:21">
      <c r="A3" s="20" t="s">
        <v>3027</v>
      </c>
      <c r="B3" s="21"/>
      <c r="C3" s="21"/>
      <c r="D3" s="21"/>
      <c r="E3" s="22"/>
      <c r="F3" s="23" t="s">
        <v>3028</v>
      </c>
      <c r="G3" s="24"/>
      <c r="H3" s="21"/>
      <c r="I3" s="25"/>
      <c r="J3" s="26" t="s">
        <v>3029</v>
      </c>
      <c r="K3" s="21"/>
      <c r="L3" s="22"/>
      <c r="M3" s="27" t="s">
        <v>3030</v>
      </c>
      <c r="N3" s="21"/>
      <c r="O3" s="21"/>
      <c r="P3" s="28"/>
    </row>
    <row r="4" spans="1:21">
      <c r="A4" s="29" t="s">
        <v>3031</v>
      </c>
      <c r="B4" s="30"/>
      <c r="C4" s="30"/>
      <c r="D4" s="30"/>
      <c r="E4" s="31"/>
      <c r="F4" s="32"/>
      <c r="G4" s="33"/>
      <c r="H4" s="34"/>
      <c r="I4" s="35"/>
      <c r="J4" s="36">
        <f ca="1">TODAY()</f>
        <v>46317</v>
      </c>
      <c r="K4" s="34"/>
      <c r="L4" s="37"/>
      <c r="M4" s="38">
        <f ca="1">TODAY()</f>
        <v>46317</v>
      </c>
      <c r="N4" s="34"/>
      <c r="O4" s="34"/>
      <c r="P4" s="39"/>
    </row>
    <row r="5" s="6" customFormat="1" ht="13" customHeight="1" spans="1:21">
      <c r="A5" s="40" t="s">
        <v>3032</v>
      </c>
      <c r="B5" s="41"/>
      <c r="C5" s="41"/>
      <c r="D5" s="1267" t="s">
        <v>3033</v>
      </c>
      <c r="E5" s="43"/>
      <c r="F5" s="44" t="s">
        <v>3034</v>
      </c>
      <c r="G5" s="45"/>
      <c r="H5" s="44" t="s">
        <v>3035</v>
      </c>
      <c r="I5" s="41"/>
      <c r="J5" s="41"/>
      <c r="K5" s="43"/>
      <c r="L5" s="46" t="s">
        <v>3036</v>
      </c>
      <c r="M5" s="41"/>
      <c r="N5" s="41"/>
      <c r="O5" s="41"/>
      <c r="P5" s="47"/>
    </row>
    <row r="6" ht="18.75" customHeight="1" spans="1:21">
      <c r="A6" s="48" t="s">
        <v>1551</v>
      </c>
      <c r="B6" s="34"/>
      <c r="C6" s="34"/>
      <c r="D6" s="34"/>
      <c r="E6" s="37"/>
      <c r="F6" s="49"/>
      <c r="G6" s="50"/>
      <c r="H6" s="51"/>
      <c r="I6" s="34"/>
      <c r="J6" s="34"/>
      <c r="K6" s="37"/>
      <c r="L6" s="52"/>
      <c r="M6" s="53" t="str">
        <f>司机资料!B8</f>
        <v>粤BFS571</v>
      </c>
      <c r="N6" s="30"/>
      <c r="O6" s="30"/>
      <c r="P6" s="54"/>
      <c r="Q6" s="55"/>
    </row>
    <row r="7" s="6" customFormat="1" ht="13" customHeight="1" spans="1:21">
      <c r="A7" s="40" t="s">
        <v>3037</v>
      </c>
      <c r="B7" s="41"/>
      <c r="C7" s="41"/>
      <c r="D7" s="1267" t="s">
        <v>3033</v>
      </c>
      <c r="E7" s="43"/>
      <c r="F7" s="56" t="s">
        <v>3038</v>
      </c>
      <c r="G7" s="57"/>
      <c r="H7" s="41"/>
      <c r="I7" s="58"/>
      <c r="J7" s="44" t="s">
        <v>3039</v>
      </c>
      <c r="K7" s="41"/>
      <c r="L7" s="43"/>
      <c r="M7" s="59" t="s">
        <v>3040</v>
      </c>
      <c r="N7" s="41"/>
      <c r="O7" s="41"/>
      <c r="P7" s="47"/>
    </row>
    <row r="8" spans="1:21">
      <c r="A8" s="48" t="s">
        <v>1551</v>
      </c>
      <c r="B8" s="34"/>
      <c r="C8" s="34"/>
      <c r="D8" s="34"/>
      <c r="E8" s="37"/>
      <c r="F8" s="60" t="s">
        <v>3041</v>
      </c>
      <c r="G8" s="61"/>
      <c r="H8" s="30"/>
      <c r="I8" s="62"/>
      <c r="J8" s="63" t="s">
        <v>3042</v>
      </c>
      <c r="K8" s="34"/>
      <c r="L8" s="37"/>
      <c r="M8" s="64" t="s">
        <v>3043</v>
      </c>
      <c r="N8" s="34"/>
      <c r="O8" s="34"/>
      <c r="P8" s="39"/>
    </row>
    <row r="9" s="6" customFormat="1" ht="12" customHeight="1" spans="1:21">
      <c r="A9" s="65" t="s">
        <v>3044</v>
      </c>
      <c r="B9" s="41"/>
      <c r="C9" s="41"/>
      <c r="D9" s="43"/>
      <c r="E9" s="44" t="s">
        <v>3045</v>
      </c>
      <c r="F9" s="41"/>
      <c r="G9" s="45"/>
      <c r="H9" s="44" t="s">
        <v>3046</v>
      </c>
      <c r="I9" s="41"/>
      <c r="J9" s="41"/>
      <c r="K9" s="41"/>
      <c r="L9" s="43"/>
      <c r="M9" s="59" t="s">
        <v>3047</v>
      </c>
      <c r="N9" s="41"/>
      <c r="O9" s="41"/>
      <c r="P9" s="47"/>
    </row>
    <row r="10" s="7" customFormat="1" spans="1:21">
      <c r="A10" s="66"/>
      <c r="B10" s="30"/>
      <c r="C10" s="30"/>
      <c r="D10" s="31"/>
      <c r="E10" s="67" t="s">
        <v>3048</v>
      </c>
      <c r="F10" s="30"/>
      <c r="G10" s="50"/>
      <c r="H10" s="67" t="s">
        <v>3048</v>
      </c>
      <c r="I10" s="30"/>
      <c r="J10" s="30"/>
      <c r="K10" s="30"/>
      <c r="L10" s="31"/>
      <c r="M10" s="68" t="s">
        <v>3049</v>
      </c>
      <c r="N10" s="34"/>
      <c r="O10" s="34"/>
      <c r="P10" s="39"/>
    </row>
    <row r="11" s="6" customFormat="1" ht="14" customHeight="1" spans="1:21">
      <c r="A11" s="65" t="s">
        <v>3050</v>
      </c>
      <c r="B11" s="41"/>
      <c r="C11" s="41"/>
      <c r="D11" s="43"/>
      <c r="E11" s="69" t="s">
        <v>3051</v>
      </c>
      <c r="F11" s="44" t="s">
        <v>3052</v>
      </c>
      <c r="G11" s="57"/>
      <c r="H11" s="43"/>
      <c r="I11" s="58"/>
      <c r="J11" s="70"/>
      <c r="K11" s="41"/>
      <c r="L11" s="43"/>
      <c r="M11" s="59" t="s">
        <v>3053</v>
      </c>
      <c r="N11" s="41"/>
      <c r="O11" s="41"/>
      <c r="P11" s="47"/>
      <c r="U11" s="71"/>
    </row>
    <row r="12" spans="1:21">
      <c r="A12" s="72"/>
      <c r="B12" s="30"/>
      <c r="C12" s="30"/>
      <c r="D12" s="31"/>
      <c r="E12" s="73" t="s">
        <v>3054</v>
      </c>
      <c r="F12" s="74"/>
      <c r="G12" s="61"/>
      <c r="H12" s="31"/>
      <c r="I12" s="75"/>
      <c r="J12" s="76"/>
      <c r="K12" s="30"/>
      <c r="L12" s="31"/>
      <c r="M12" s="77"/>
      <c r="N12" s="30"/>
      <c r="O12" s="30"/>
      <c r="P12" s="54"/>
      <c r="U12" s="78"/>
    </row>
    <row r="13" s="6" customFormat="1" ht="14.25" customHeight="1" spans="1:21">
      <c r="A13" s="65" t="s">
        <v>3055</v>
      </c>
      <c r="B13" s="41"/>
      <c r="C13" s="41"/>
      <c r="D13" s="43"/>
      <c r="E13" s="44" t="s">
        <v>2951</v>
      </c>
      <c r="F13" s="43"/>
      <c r="G13" s="79" t="s">
        <v>3056</v>
      </c>
      <c r="H13" s="41"/>
      <c r="I13" s="80" t="s">
        <v>2949</v>
      </c>
      <c r="J13" s="41"/>
      <c r="K13" s="41"/>
      <c r="L13" s="43"/>
      <c r="M13" s="59" t="s">
        <v>2950</v>
      </c>
      <c r="N13" s="41"/>
      <c r="O13" s="41"/>
      <c r="P13" s="47"/>
    </row>
    <row r="14" spans="1:21">
      <c r="A14" s="66">
        <f>发票!D5</f>
        <v>0</v>
      </c>
      <c r="B14" s="30"/>
      <c r="C14" s="30"/>
      <c r="D14" s="31"/>
      <c r="E14" s="81">
        <f>SUM('装箱单 (2)'!C47)</f>
        <v>0</v>
      </c>
      <c r="F14" s="37"/>
      <c r="G14" s="82" t="s">
        <v>3057</v>
      </c>
      <c r="H14" s="31"/>
      <c r="I14" s="83">
        <f>SUM('装箱单 (2)'!G47)</f>
        <v>0</v>
      </c>
      <c r="J14" s="34"/>
      <c r="K14" s="34"/>
      <c r="L14" s="37"/>
      <c r="M14" s="84">
        <f>SUM('装箱单 (2)'!H47)</f>
        <v>0</v>
      </c>
      <c r="N14" s="34"/>
      <c r="O14" s="34"/>
      <c r="P14" s="39"/>
    </row>
    <row r="15" s="6" customFormat="1" ht="12" customHeight="1" spans="1:21">
      <c r="A15" s="40" t="s">
        <v>3058</v>
      </c>
      <c r="B15" s="41"/>
      <c r="C15" s="41"/>
      <c r="D15" s="41"/>
      <c r="E15" s="58" t="s">
        <v>3059</v>
      </c>
      <c r="F15" s="41"/>
      <c r="G15" s="57"/>
      <c r="H15" s="41"/>
      <c r="I15" s="41"/>
      <c r="J15" s="41"/>
      <c r="K15" s="85" t="s">
        <v>3060</v>
      </c>
      <c r="L15" s="41"/>
      <c r="M15" s="41"/>
      <c r="N15" s="41"/>
      <c r="O15" s="41"/>
      <c r="P15" s="47"/>
    </row>
    <row r="16" s="7" customFormat="1" ht="23.25" customHeight="1" spans="1:21">
      <c r="A16" s="86" t="str">
        <f>司机资料!B2</f>
        <v>MAGU2543655</v>
      </c>
      <c r="B16" s="17"/>
      <c r="C16" s="17"/>
      <c r="D16" s="17"/>
      <c r="E16" s="87"/>
      <c r="F16" s="17"/>
      <c r="G16" s="88"/>
      <c r="H16" s="17"/>
      <c r="I16" s="17"/>
      <c r="J16" s="17"/>
      <c r="K16" s="89"/>
      <c r="L16" s="17"/>
      <c r="M16" s="17"/>
      <c r="N16" s="17"/>
      <c r="O16" s="17"/>
      <c r="P16" s="90"/>
      <c r="T16" s="91"/>
    </row>
    <row r="17" s="6" customFormat="1" ht="21" customHeight="1" spans="1:19">
      <c r="A17" s="92" t="s">
        <v>3061</v>
      </c>
      <c r="B17" s="21"/>
      <c r="C17" s="93"/>
      <c r="D17" s="94" t="str">
        <f>司机资料!B5</f>
        <v>20GP</v>
      </c>
      <c r="F17" s="95"/>
      <c r="G17" s="96"/>
      <c r="H17" s="95"/>
      <c r="I17" s="95"/>
      <c r="J17" s="95"/>
      <c r="K17" s="97"/>
      <c r="L17" s="97"/>
      <c r="M17" s="97"/>
      <c r="N17" s="97"/>
      <c r="O17" s="97"/>
      <c r="P17" s="98"/>
      <c r="S17" s="91"/>
    </row>
    <row r="18" ht="12.75" customHeight="1" spans="1:19">
      <c r="A18" s="99"/>
      <c r="B18" s="100"/>
      <c r="C18" s="101"/>
      <c r="D18" s="101"/>
      <c r="E18" s="102" t="s">
        <v>3062</v>
      </c>
      <c r="F18" s="102"/>
      <c r="G18" s="103"/>
      <c r="H18" s="102"/>
      <c r="I18" s="102"/>
      <c r="J18" s="102"/>
      <c r="K18" s="102"/>
      <c r="L18" s="102"/>
      <c r="M18" s="104"/>
      <c r="N18" s="105"/>
      <c r="O18" s="105"/>
      <c r="P18" s="106"/>
    </row>
    <row r="19" ht="16.25" customHeight="1" spans="1:19">
      <c r="A19" s="107"/>
      <c r="B19" s="108"/>
      <c r="C19" s="108"/>
      <c r="D19" s="108"/>
      <c r="E19" s="109"/>
      <c r="F19" s="109"/>
      <c r="G19" s="110"/>
      <c r="H19" s="109"/>
      <c r="I19" s="109"/>
      <c r="J19" s="109"/>
      <c r="K19" s="109"/>
      <c r="L19" s="109"/>
      <c r="M19" s="109"/>
      <c r="N19" s="14"/>
      <c r="O19" s="14"/>
      <c r="P19" s="111"/>
    </row>
    <row r="20" s="8" customFormat="1" ht="14.25" customHeight="1" spans="1:19">
      <c r="A20" s="112" t="s">
        <v>3010</v>
      </c>
      <c r="B20" s="113" t="s">
        <v>3063</v>
      </c>
      <c r="C20" s="93"/>
      <c r="D20" s="113" t="s">
        <v>3064</v>
      </c>
      <c r="E20" s="21"/>
      <c r="F20" s="93"/>
      <c r="G20" s="114" t="s">
        <v>3065</v>
      </c>
      <c r="H20" s="115"/>
      <c r="I20" s="116" t="s">
        <v>3066</v>
      </c>
      <c r="J20" s="117" t="s">
        <v>3067</v>
      </c>
      <c r="K20" s="118"/>
      <c r="L20" s="119" t="s">
        <v>3068</v>
      </c>
      <c r="M20" s="120"/>
      <c r="N20" s="121" t="s">
        <v>3069</v>
      </c>
      <c r="O20" s="113" t="s">
        <v>3070</v>
      </c>
      <c r="P20" s="122" t="s">
        <v>3071</v>
      </c>
      <c r="Q20" s="123" t="s">
        <v>3015</v>
      </c>
    </row>
    <row r="21" s="9" customFormat="1" ht="30" customHeight="1" spans="1:19">
      <c r="A21" s="124">
        <v>1</v>
      </c>
      <c r="B21" s="125" t="e">
        <f>_xlfn.XLOOKUP($A21,发票!$B:$B,发票!$C:$C,"")</f>
        <v>#N/A</v>
      </c>
      <c r="C21" s="126"/>
      <c r="D21" s="127" t="e">
        <f>_xlfn.XLOOKUP($A21,发票!$B:$B,发票!$D:$D,"")</f>
        <v>#N/A</v>
      </c>
      <c r="E21" s="128" t="e">
        <f>_xlfn.XLOOKUP($A21,发票!$B:$B,发票!$E:$E,"")</f>
        <v>#N/A</v>
      </c>
      <c r="F21" s="126"/>
      <c r="G21" s="129" t="e">
        <f>_xlfn.XLOOKUP($A21,发票!$B:$B,发票!$F:$F,"")</f>
        <v>#N/A</v>
      </c>
      <c r="H21" s="130">
        <f>_xlfn.XLOOKUP($A21,发票!$B:$B,发票!$G:$G,"")</f>
        <v>0</v>
      </c>
      <c r="I21" s="131" t="s">
        <v>3072</v>
      </c>
      <c r="J21" s="132" t="s">
        <v>3048</v>
      </c>
      <c r="K21" s="133"/>
      <c r="L21" s="134">
        <f>_xlfn.XLOOKUP($A21,发票!$B:$B,发票!$H:$H,"")</f>
        <v>0</v>
      </c>
      <c r="M21" s="133"/>
      <c r="N21" s="135">
        <f>_xlfn.XLOOKUP($A21,发票!$B:$B,发票!I:I,"")</f>
        <v>0</v>
      </c>
      <c r="O21" s="136" t="s">
        <v>3073</v>
      </c>
      <c r="P21" s="137" t="s">
        <v>3074</v>
      </c>
      <c r="Q21" s="135">
        <f>_xlfn.XLOOKUP($A21,发票!$B:$B,发票!K:K,"")</f>
        <v>0</v>
      </c>
    </row>
    <row r="22" s="9" customFormat="1" ht="30" customHeight="1" spans="1:19">
      <c r="A22" s="124">
        <v>2</v>
      </c>
      <c r="B22" s="125" t="e">
        <f>_xlfn.XLOOKUP($A22,发票!$B:$B,发票!$C:$C,"")</f>
        <v>#N/A</v>
      </c>
      <c r="C22" s="126"/>
      <c r="D22" s="127" t="e">
        <f>_xlfn.XLOOKUP($A22,发票!$B:$B,发票!$D:$D,"")</f>
        <v>#N/A</v>
      </c>
      <c r="E22" s="128" t="e">
        <f>_xlfn.XLOOKUP($A22,发票!$B:$B,发票!$E:$E,"")</f>
        <v>#N/A</v>
      </c>
      <c r="F22" s="126"/>
      <c r="G22" s="129" t="e">
        <f>_xlfn.XLOOKUP($A22,发票!$B:$B,发票!$F:$F,"")</f>
        <v>#N/A</v>
      </c>
      <c r="H22" s="130">
        <f>_xlfn.XLOOKUP($A22,发票!$B:$B,发票!$G:$G,"")</f>
        <v>0</v>
      </c>
      <c r="I22" s="131" t="s">
        <v>3072</v>
      </c>
      <c r="J22" s="132" t="s">
        <v>3048</v>
      </c>
      <c r="K22" s="133"/>
      <c r="L22" s="134">
        <f>_xlfn.XLOOKUP($A22,发票!$B:$B,发票!$H:$H,"")</f>
        <v>0</v>
      </c>
      <c r="M22" s="133"/>
      <c r="N22" s="135">
        <f>_xlfn.XLOOKUP($A22,发票!$B:$B,发票!I:I,"")</f>
        <v>0</v>
      </c>
      <c r="O22" s="136" t="s">
        <v>3073</v>
      </c>
      <c r="P22" s="137" t="s">
        <v>3074</v>
      </c>
      <c r="Q22" s="135">
        <f>_xlfn.XLOOKUP($A22,发票!$B:$B,发票!K:K,"")</f>
        <v>0</v>
      </c>
    </row>
    <row r="23" s="9" customFormat="1" ht="30" customHeight="1" spans="1:19">
      <c r="A23" s="124">
        <v>3</v>
      </c>
      <c r="B23" s="125" t="e">
        <f>_xlfn.XLOOKUP($A23,发票!$B:$B,发票!$C:$C,"")</f>
        <v>#N/A</v>
      </c>
      <c r="C23" s="126"/>
      <c r="D23" s="127" t="e">
        <f>_xlfn.XLOOKUP($A23,发票!$B:$B,发票!$D:$D,"")</f>
        <v>#N/A</v>
      </c>
      <c r="E23" s="128" t="e">
        <f>_xlfn.XLOOKUP($A23,发票!$B:$B,发票!$E:$E,"")</f>
        <v>#N/A</v>
      </c>
      <c r="F23" s="126"/>
      <c r="G23" s="129" t="e">
        <f>_xlfn.XLOOKUP($A23,发票!$B:$B,发票!$F:$F,"")</f>
        <v>#N/A</v>
      </c>
      <c r="H23" s="130">
        <f>_xlfn.XLOOKUP($A23,发票!$B:$B,发票!$G:$G,"")</f>
        <v>0</v>
      </c>
      <c r="I23" s="131" t="s">
        <v>3072</v>
      </c>
      <c r="J23" s="132" t="s">
        <v>3048</v>
      </c>
      <c r="K23" s="133"/>
      <c r="L23" s="134">
        <f>_xlfn.XLOOKUP($A23,发票!$B:$B,发票!$H:$H,"")</f>
        <v>0</v>
      </c>
      <c r="M23" s="133"/>
      <c r="N23" s="135">
        <f>_xlfn.XLOOKUP($A23,发票!$B:$B,发票!I:I,"")</f>
        <v>0</v>
      </c>
      <c r="O23" s="136" t="s">
        <v>3073</v>
      </c>
      <c r="P23" s="137" t="s">
        <v>3074</v>
      </c>
      <c r="Q23" s="135">
        <f>_xlfn.XLOOKUP($A23,发票!$B:$B,发票!K:K,"")</f>
        <v>0</v>
      </c>
    </row>
    <row r="24" s="9" customFormat="1" ht="30" customHeight="1" spans="1:19">
      <c r="A24" s="124">
        <v>4</v>
      </c>
      <c r="B24" s="125" t="e">
        <f>_xlfn.XLOOKUP($A24,发票!$B:$B,发票!$C:$C,"")</f>
        <v>#N/A</v>
      </c>
      <c r="C24" s="126"/>
      <c r="D24" s="127" t="e">
        <f>_xlfn.XLOOKUP($A24,发票!$B:$B,发票!$D:$D,"")</f>
        <v>#N/A</v>
      </c>
      <c r="E24" s="128" t="e">
        <f>_xlfn.XLOOKUP($A24,发票!$B:$B,发票!$E:$E,"")</f>
        <v>#N/A</v>
      </c>
      <c r="F24" s="126"/>
      <c r="G24" s="129" t="e">
        <f>_xlfn.XLOOKUP($A24,发票!$B:$B,发票!$F:$F,"")</f>
        <v>#N/A</v>
      </c>
      <c r="H24" s="130">
        <f>_xlfn.XLOOKUP($A24,发票!$B:$B,发票!$G:$G,"")</f>
        <v>0</v>
      </c>
      <c r="I24" s="131" t="s">
        <v>3072</v>
      </c>
      <c r="J24" s="132" t="s">
        <v>3048</v>
      </c>
      <c r="K24" s="133"/>
      <c r="L24" s="134">
        <f>_xlfn.XLOOKUP($A24,发票!$B:$B,发票!$H:$H,"")</f>
        <v>0</v>
      </c>
      <c r="M24" s="133"/>
      <c r="N24" s="135">
        <f>_xlfn.XLOOKUP($A24,发票!$B:$B,发票!I:I,"")</f>
        <v>0</v>
      </c>
      <c r="O24" s="136" t="s">
        <v>3073</v>
      </c>
      <c r="P24" s="137" t="s">
        <v>3074</v>
      </c>
      <c r="Q24" s="135">
        <f>_xlfn.XLOOKUP($A24,发票!$B:$B,发票!K:K,"")</f>
        <v>0</v>
      </c>
    </row>
    <row r="25" s="9" customFormat="1" ht="30" customHeight="1" spans="1:19">
      <c r="A25" s="124">
        <v>5</v>
      </c>
      <c r="B25" s="125" t="e">
        <f>_xlfn.XLOOKUP($A25,发票!$B:$B,发票!$C:$C,"")</f>
        <v>#N/A</v>
      </c>
      <c r="C25" s="126"/>
      <c r="D25" s="127" t="e">
        <f>_xlfn.XLOOKUP($A25,发票!$B:$B,发票!$D:$D,"")</f>
        <v>#N/A</v>
      </c>
      <c r="E25" s="128" t="e">
        <f>_xlfn.XLOOKUP($A25,发票!$B:$B,发票!$E:$E,"")</f>
        <v>#N/A</v>
      </c>
      <c r="F25" s="126"/>
      <c r="G25" s="129" t="e">
        <f>_xlfn.XLOOKUP($A25,发票!$B:$B,发票!$F:$F,"")</f>
        <v>#N/A</v>
      </c>
      <c r="H25" s="130">
        <f>_xlfn.XLOOKUP($A25,发票!$B:$B,发票!$G:$G,"")</f>
        <v>0</v>
      </c>
      <c r="I25" s="131" t="s">
        <v>3072</v>
      </c>
      <c r="J25" s="132" t="s">
        <v>3048</v>
      </c>
      <c r="K25" s="133"/>
      <c r="L25" s="134">
        <f>_xlfn.XLOOKUP($A25,发票!$B:$B,发票!$H:$H,"")</f>
        <v>0</v>
      </c>
      <c r="M25" s="133"/>
      <c r="N25" s="135">
        <f>_xlfn.XLOOKUP($A25,发票!$B:$B,发票!I:I,"")</f>
        <v>0</v>
      </c>
      <c r="O25" s="136" t="s">
        <v>3073</v>
      </c>
      <c r="P25" s="137" t="s">
        <v>3074</v>
      </c>
      <c r="Q25" s="135">
        <f>_xlfn.XLOOKUP($A25,发票!$B:$B,发票!K:K,"")</f>
        <v>0</v>
      </c>
    </row>
    <row r="26" s="9" customFormat="1" ht="30" customHeight="1" spans="1:19">
      <c r="A26" s="124">
        <v>6</v>
      </c>
      <c r="B26" s="125" t="e">
        <f>_xlfn.XLOOKUP($A26,发票!$B:$B,发票!$C:$C,"")</f>
        <v>#N/A</v>
      </c>
      <c r="C26" s="126"/>
      <c r="D26" s="127" t="e">
        <f>_xlfn.XLOOKUP($A26,发票!$B:$B,发票!$D:$D,"")</f>
        <v>#N/A</v>
      </c>
      <c r="E26" s="128" t="e">
        <f>_xlfn.XLOOKUP($A26,发票!$B:$B,发票!$E:$E,"")</f>
        <v>#N/A</v>
      </c>
      <c r="F26" s="126"/>
      <c r="G26" s="129" t="e">
        <f>_xlfn.XLOOKUP($A26,发票!$B:$B,发票!$F:$F,"")</f>
        <v>#N/A</v>
      </c>
      <c r="H26" s="130">
        <f>_xlfn.XLOOKUP($A26,发票!$B:$B,发票!$G:$G,"")</f>
        <v>0</v>
      </c>
      <c r="I26" s="131" t="s">
        <v>3072</v>
      </c>
      <c r="J26" s="132" t="s">
        <v>3048</v>
      </c>
      <c r="K26" s="133"/>
      <c r="L26" s="134">
        <f>_xlfn.XLOOKUP($A26,发票!$B:$B,发票!$H:$H,"")</f>
        <v>0</v>
      </c>
      <c r="M26" s="133"/>
      <c r="N26" s="135">
        <f>_xlfn.XLOOKUP($A26,发票!$B:$B,发票!I:I,"")</f>
        <v>0</v>
      </c>
      <c r="O26" s="136" t="s">
        <v>3073</v>
      </c>
      <c r="P26" s="137" t="s">
        <v>3074</v>
      </c>
      <c r="Q26" s="135">
        <f>_xlfn.XLOOKUP($A26,发票!$B:$B,发票!K:K,"")</f>
        <v>0</v>
      </c>
    </row>
    <row r="27" s="9" customFormat="1" ht="30" customHeight="1" spans="1:19">
      <c r="A27" s="124">
        <v>7</v>
      </c>
      <c r="B27" s="125" t="e">
        <f>_xlfn.XLOOKUP($A27,发票!$B:$B,发票!$C:$C,"")</f>
        <v>#N/A</v>
      </c>
      <c r="C27" s="126"/>
      <c r="D27" s="127" t="e">
        <f>_xlfn.XLOOKUP($A27,发票!$B:$B,发票!$D:$D,"")</f>
        <v>#N/A</v>
      </c>
      <c r="E27" s="128" t="e">
        <f>_xlfn.XLOOKUP($A27,发票!$B:$B,发票!$E:$E,"")</f>
        <v>#N/A</v>
      </c>
      <c r="F27" s="126"/>
      <c r="G27" s="129" t="e">
        <f>_xlfn.XLOOKUP($A27,发票!$B:$B,发票!$F:$F,"")</f>
        <v>#N/A</v>
      </c>
      <c r="H27" s="130">
        <f>_xlfn.XLOOKUP($A27,发票!$B:$B,发票!$G:$G,"")</f>
        <v>0</v>
      </c>
      <c r="I27" s="131" t="s">
        <v>3072</v>
      </c>
      <c r="J27" s="132" t="s">
        <v>3048</v>
      </c>
      <c r="K27" s="133"/>
      <c r="L27" s="134">
        <f>_xlfn.XLOOKUP($A27,发票!$B:$B,发票!$H:$H,"")</f>
        <v>0</v>
      </c>
      <c r="M27" s="133"/>
      <c r="N27" s="135">
        <f>_xlfn.XLOOKUP($A27,发票!$B:$B,发票!I:I,"")</f>
        <v>0</v>
      </c>
      <c r="O27" s="136" t="s">
        <v>3073</v>
      </c>
      <c r="P27" s="137" t="s">
        <v>3074</v>
      </c>
      <c r="Q27" s="135">
        <f>_xlfn.XLOOKUP($A27,发票!$B:$B,发票!K:K,"")</f>
        <v>0</v>
      </c>
    </row>
    <row r="28" s="9" customFormat="1" ht="30" customHeight="1" spans="1:19">
      <c r="A28" s="124">
        <v>8</v>
      </c>
      <c r="B28" s="125" t="e">
        <f>_xlfn.XLOOKUP($A28,发票!$B:$B,发票!$C:$C,"")</f>
        <v>#N/A</v>
      </c>
      <c r="C28" s="126"/>
      <c r="D28" s="127" t="e">
        <f>_xlfn.XLOOKUP($A28,发票!$B:$B,发票!$D:$D,"")</f>
        <v>#N/A</v>
      </c>
      <c r="E28" s="128" t="e">
        <f>_xlfn.XLOOKUP($A28,发票!$B:$B,发票!$E:$E,"")</f>
        <v>#N/A</v>
      </c>
      <c r="F28" s="126"/>
      <c r="G28" s="129" t="e">
        <f>_xlfn.XLOOKUP($A28,发票!$B:$B,发票!$F:$F,"")</f>
        <v>#N/A</v>
      </c>
      <c r="H28" s="130">
        <f>_xlfn.XLOOKUP($A28,发票!$B:$B,发票!$G:$G,"")</f>
        <v>0</v>
      </c>
      <c r="I28" s="131" t="s">
        <v>3072</v>
      </c>
      <c r="J28" s="132" t="s">
        <v>3048</v>
      </c>
      <c r="K28" s="133"/>
      <c r="L28" s="134">
        <f>_xlfn.XLOOKUP($A28,发票!$B:$B,发票!$H:$H,"")</f>
        <v>0</v>
      </c>
      <c r="M28" s="133"/>
      <c r="N28" s="135">
        <f>_xlfn.XLOOKUP($A28,发票!$B:$B,发票!I:I,"")</f>
        <v>0</v>
      </c>
      <c r="O28" s="136" t="s">
        <v>3073</v>
      </c>
      <c r="P28" s="137" t="s">
        <v>3074</v>
      </c>
      <c r="Q28" s="135">
        <f>_xlfn.XLOOKUP($A28,发票!$B:$B,发票!K:K,"")</f>
        <v>0</v>
      </c>
    </row>
    <row r="29" s="9" customFormat="1" ht="30" customHeight="1" spans="1:19">
      <c r="A29" s="124">
        <v>9</v>
      </c>
      <c r="B29" s="125" t="e">
        <f>_xlfn.XLOOKUP($A29,发票!$B:$B,发票!$C:$C,"")</f>
        <v>#N/A</v>
      </c>
      <c r="C29" s="126"/>
      <c r="D29" s="127" t="e">
        <f>_xlfn.XLOOKUP($A29,发票!$B:$B,发票!$D:$D,"")</f>
        <v>#N/A</v>
      </c>
      <c r="E29" s="128" t="e">
        <f>_xlfn.XLOOKUP($A29,发票!$B:$B,发票!$E:$E,"")</f>
        <v>#N/A</v>
      </c>
      <c r="F29" s="126"/>
      <c r="G29" s="129" t="e">
        <f>_xlfn.XLOOKUP($A29,发票!$B:$B,发票!$F:$F,"")</f>
        <v>#N/A</v>
      </c>
      <c r="H29" s="130">
        <f>_xlfn.XLOOKUP($A29,发票!$B:$B,发票!$G:$G,"")</f>
        <v>0</v>
      </c>
      <c r="I29" s="131" t="s">
        <v>3072</v>
      </c>
      <c r="J29" s="132" t="s">
        <v>3048</v>
      </c>
      <c r="K29" s="133"/>
      <c r="L29" s="134">
        <f>_xlfn.XLOOKUP($A29,发票!$B:$B,发票!$H:$H,"")</f>
        <v>0</v>
      </c>
      <c r="M29" s="133"/>
      <c r="N29" s="135">
        <f>_xlfn.XLOOKUP($A29,发票!$B:$B,发票!I:I,"")</f>
        <v>0</v>
      </c>
      <c r="O29" s="136" t="s">
        <v>3073</v>
      </c>
      <c r="P29" s="137" t="s">
        <v>3074</v>
      </c>
      <c r="Q29" s="135">
        <f>_xlfn.XLOOKUP($A29,发票!$B:$B,发票!K:K,"")</f>
        <v>0</v>
      </c>
    </row>
    <row r="30" s="9" customFormat="1" ht="30" customHeight="1" spans="1:19">
      <c r="A30" s="124">
        <v>10</v>
      </c>
      <c r="B30" s="125" t="e">
        <f>_xlfn.XLOOKUP($A30,发票!$B:$B,发票!$C:$C,"")</f>
        <v>#N/A</v>
      </c>
      <c r="C30" s="126"/>
      <c r="D30" s="127" t="e">
        <f>_xlfn.XLOOKUP($A30,发票!$B:$B,发票!$D:$D,"")</f>
        <v>#N/A</v>
      </c>
      <c r="E30" s="128" t="e">
        <f>_xlfn.XLOOKUP($A30,发票!$B:$B,发票!$E:$E,"")</f>
        <v>#N/A</v>
      </c>
      <c r="F30" s="126"/>
      <c r="G30" s="129" t="e">
        <f>_xlfn.XLOOKUP($A30,发票!$B:$B,发票!$F:$F,"")</f>
        <v>#N/A</v>
      </c>
      <c r="H30" s="130">
        <f>_xlfn.XLOOKUP($A30,发票!$B:$B,发票!$G:$G,"")</f>
        <v>0</v>
      </c>
      <c r="I30" s="131" t="s">
        <v>3072</v>
      </c>
      <c r="J30" s="132" t="s">
        <v>3048</v>
      </c>
      <c r="K30" s="133"/>
      <c r="L30" s="134">
        <f>_xlfn.XLOOKUP($A30,发票!$B:$B,发票!$H:$H,"")</f>
        <v>0</v>
      </c>
      <c r="M30" s="133"/>
      <c r="N30" s="135">
        <f>_xlfn.XLOOKUP($A30,发票!$B:$B,发票!I:I,"")</f>
        <v>0</v>
      </c>
      <c r="O30" s="136" t="s">
        <v>3073</v>
      </c>
      <c r="P30" s="137" t="s">
        <v>3074</v>
      </c>
      <c r="Q30" s="135">
        <f>_xlfn.XLOOKUP($A30,发票!$B:$B,发票!K:K,"")</f>
        <v>0</v>
      </c>
    </row>
    <row r="31" s="9" customFormat="1" ht="30" customHeight="1" spans="1:19">
      <c r="A31" s="124">
        <v>11</v>
      </c>
      <c r="B31" s="125" t="e">
        <f>_xlfn.XLOOKUP($A31,发票!$B:$B,发票!$C:$C,"")</f>
        <v>#N/A</v>
      </c>
      <c r="C31" s="126"/>
      <c r="D31" s="127" t="e">
        <f>_xlfn.XLOOKUP($A31,发票!$B:$B,发票!$D:$D,"")</f>
        <v>#N/A</v>
      </c>
      <c r="E31" s="128" t="e">
        <f>_xlfn.XLOOKUP($A31,发票!$B:$B,发票!$E:$E,"")</f>
        <v>#N/A</v>
      </c>
      <c r="F31" s="126"/>
      <c r="G31" s="129" t="e">
        <f>_xlfn.XLOOKUP($A31,发票!$B:$B,发票!$F:$F,"")</f>
        <v>#N/A</v>
      </c>
      <c r="H31" s="130">
        <f>_xlfn.XLOOKUP($A31,发票!$B:$B,发票!$G:$G,"")</f>
        <v>0</v>
      </c>
      <c r="I31" s="131" t="s">
        <v>3072</v>
      </c>
      <c r="J31" s="132" t="s">
        <v>3048</v>
      </c>
      <c r="K31" s="133"/>
      <c r="L31" s="134">
        <f>_xlfn.XLOOKUP($A31,发票!$B:$B,发票!$H:$H,"")</f>
        <v>0</v>
      </c>
      <c r="M31" s="133"/>
      <c r="N31" s="135">
        <f>_xlfn.XLOOKUP($A31,发票!$B:$B,发票!I:I,"")</f>
        <v>0</v>
      </c>
      <c r="O31" s="136" t="s">
        <v>3073</v>
      </c>
      <c r="P31" s="137" t="s">
        <v>3074</v>
      </c>
      <c r="Q31" s="135">
        <f>_xlfn.XLOOKUP($A31,发票!$B:$B,发票!K:K,"")</f>
        <v>0</v>
      </c>
    </row>
    <row r="32" s="9" customFormat="1" ht="30" customHeight="1" spans="1:19">
      <c r="A32" s="124">
        <v>12</v>
      </c>
      <c r="B32" s="125" t="e">
        <f>_xlfn.XLOOKUP($A32,发票!$B:$B,发票!$C:$C,"")</f>
        <v>#N/A</v>
      </c>
      <c r="C32" s="126"/>
      <c r="D32" s="127" t="e">
        <f>_xlfn.XLOOKUP($A32,发票!$B:$B,发票!$D:$D,"")</f>
        <v>#N/A</v>
      </c>
      <c r="E32" s="128" t="e">
        <f>_xlfn.XLOOKUP($A32,发票!$B:$B,发票!$E:$E,"")</f>
        <v>#N/A</v>
      </c>
      <c r="F32" s="126"/>
      <c r="G32" s="129" t="e">
        <f>_xlfn.XLOOKUP($A32,发票!$B:$B,发票!$F:$F,"")</f>
        <v>#N/A</v>
      </c>
      <c r="H32" s="130">
        <f>_xlfn.XLOOKUP($A32,发票!$B:$B,发票!$G:$G,"")</f>
        <v>0</v>
      </c>
      <c r="I32" s="131" t="s">
        <v>3072</v>
      </c>
      <c r="J32" s="132" t="s">
        <v>3048</v>
      </c>
      <c r="K32" s="133"/>
      <c r="L32" s="134">
        <f>_xlfn.XLOOKUP($A32,发票!$B:$B,发票!$H:$H,"")</f>
        <v>0</v>
      </c>
      <c r="M32" s="133"/>
      <c r="N32" s="135">
        <f>_xlfn.XLOOKUP($A32,发票!$B:$B,发票!I:I,"")</f>
        <v>0</v>
      </c>
      <c r="O32" s="136" t="s">
        <v>3073</v>
      </c>
      <c r="P32" s="137" t="s">
        <v>3074</v>
      </c>
      <c r="Q32" s="135">
        <f>_xlfn.XLOOKUP($A32,发票!$B:$B,发票!K:K,"")</f>
        <v>0</v>
      </c>
    </row>
    <row r="33" s="9" customFormat="1" ht="30" customHeight="1" spans="1:17">
      <c r="A33" s="124"/>
      <c r="B33" s="125"/>
      <c r="C33" s="126"/>
      <c r="D33" s="127"/>
      <c r="E33" s="128"/>
      <c r="F33" s="126"/>
      <c r="G33" s="129"/>
      <c r="H33" s="130"/>
      <c r="I33" s="131"/>
      <c r="J33" s="132"/>
      <c r="K33" s="133"/>
      <c r="L33" s="134"/>
      <c r="M33" s="133"/>
      <c r="N33" s="135"/>
      <c r="O33" s="136"/>
      <c r="P33" s="137"/>
      <c r="Q33" s="135"/>
    </row>
    <row r="34" s="9" customFormat="1" ht="30" customHeight="1" spans="1:17">
      <c r="A34" s="124"/>
      <c r="B34" s="125"/>
      <c r="C34" s="126"/>
      <c r="D34" s="127"/>
      <c r="E34" s="128"/>
      <c r="F34" s="126"/>
      <c r="G34" s="129"/>
      <c r="H34" s="130"/>
      <c r="I34" s="131"/>
      <c r="J34" s="132"/>
      <c r="K34" s="133"/>
      <c r="L34" s="134"/>
      <c r="M34" s="133"/>
      <c r="N34" s="135"/>
      <c r="O34" s="136"/>
      <c r="P34" s="137"/>
      <c r="Q34" s="135"/>
    </row>
    <row r="35" s="9" customFormat="1" ht="30" customHeight="1" spans="1:17">
      <c r="A35" s="124"/>
      <c r="B35" s="125"/>
      <c r="C35" s="126"/>
      <c r="D35" s="127"/>
      <c r="E35" s="128"/>
      <c r="F35" s="126"/>
      <c r="G35" s="129"/>
      <c r="H35" s="130"/>
      <c r="I35" s="131"/>
      <c r="J35" s="132"/>
      <c r="K35" s="133"/>
      <c r="L35" s="134"/>
      <c r="M35" s="133"/>
      <c r="N35" s="135"/>
      <c r="O35" s="136"/>
      <c r="P35" s="137"/>
      <c r="Q35" s="135"/>
    </row>
    <row r="36" s="9" customFormat="1" ht="30" customHeight="1" spans="1:17">
      <c r="A36" s="124"/>
      <c r="B36" s="125"/>
      <c r="C36" s="126"/>
      <c r="D36" s="127"/>
      <c r="E36" s="128"/>
      <c r="F36" s="126"/>
      <c r="G36" s="129"/>
      <c r="H36" s="130"/>
      <c r="I36" s="131"/>
      <c r="J36" s="132"/>
      <c r="K36" s="133"/>
      <c r="L36" s="134"/>
      <c r="M36" s="133"/>
      <c r="N36" s="135"/>
      <c r="O36" s="136"/>
      <c r="P36" s="137"/>
      <c r="Q36" s="135"/>
    </row>
    <row r="37" s="9" customFormat="1" ht="30" customHeight="1" spans="1:17">
      <c r="A37" s="124"/>
      <c r="B37" s="125"/>
      <c r="C37" s="126"/>
      <c r="D37" s="127"/>
      <c r="E37" s="128"/>
      <c r="F37" s="126"/>
      <c r="G37" s="129"/>
      <c r="H37" s="130"/>
      <c r="I37" s="131"/>
      <c r="J37" s="132"/>
      <c r="K37" s="133"/>
      <c r="L37" s="134"/>
      <c r="M37" s="133"/>
      <c r="N37" s="135"/>
      <c r="O37" s="136"/>
      <c r="P37" s="137"/>
      <c r="Q37" s="135"/>
    </row>
    <row r="38" s="9" customFormat="1" ht="30" customHeight="1" spans="1:17">
      <c r="A38" s="124"/>
      <c r="B38" s="125"/>
      <c r="C38" s="126"/>
      <c r="D38" s="127"/>
      <c r="E38" s="128"/>
      <c r="F38" s="126"/>
      <c r="G38" s="129"/>
      <c r="H38" s="130"/>
      <c r="I38" s="131"/>
      <c r="J38" s="132"/>
      <c r="K38" s="133"/>
      <c r="L38" s="134"/>
      <c r="M38" s="133"/>
      <c r="N38" s="135"/>
      <c r="O38" s="136"/>
      <c r="P38" s="137"/>
      <c r="Q38" s="135"/>
    </row>
    <row r="39" s="9" customFormat="1" ht="30" customHeight="1" spans="1:17">
      <c r="A39" s="124"/>
      <c r="B39" s="125"/>
      <c r="C39" s="126"/>
      <c r="D39" s="127"/>
      <c r="E39" s="128"/>
      <c r="F39" s="126"/>
      <c r="G39" s="129"/>
      <c r="H39" s="130"/>
      <c r="I39" s="131"/>
      <c r="J39" s="132"/>
      <c r="K39" s="133"/>
      <c r="L39" s="134"/>
      <c r="M39" s="133"/>
      <c r="N39" s="135"/>
      <c r="O39" s="136"/>
      <c r="P39" s="137"/>
      <c r="Q39" s="135"/>
    </row>
    <row r="40" s="9" customFormat="1" ht="30" customHeight="1" spans="1:17">
      <c r="A40" s="124"/>
      <c r="B40" s="125"/>
      <c r="C40" s="126"/>
      <c r="D40" s="127"/>
      <c r="E40" s="128"/>
      <c r="F40" s="126"/>
      <c r="G40" s="129"/>
      <c r="H40" s="130"/>
      <c r="I40" s="131"/>
      <c r="J40" s="132"/>
      <c r="K40" s="133"/>
      <c r="L40" s="134"/>
      <c r="M40" s="133"/>
      <c r="N40" s="135"/>
      <c r="O40" s="136"/>
      <c r="P40" s="137"/>
      <c r="Q40" s="135"/>
    </row>
    <row r="41" s="9" customFormat="1" ht="30" customHeight="1" spans="1:17">
      <c r="A41" s="124"/>
      <c r="B41" s="125"/>
      <c r="C41" s="126"/>
      <c r="D41" s="127"/>
      <c r="E41" s="128"/>
      <c r="F41" s="126"/>
      <c r="G41" s="129"/>
      <c r="H41" s="130"/>
      <c r="I41" s="131"/>
      <c r="J41" s="132"/>
      <c r="K41" s="133"/>
      <c r="L41" s="134"/>
      <c r="M41" s="133"/>
      <c r="N41" s="135"/>
      <c r="O41" s="136"/>
      <c r="P41" s="137"/>
      <c r="Q41" s="135"/>
    </row>
    <row r="42" s="9" customFormat="1" ht="30" customHeight="1" spans="1:17">
      <c r="A42" s="124"/>
      <c r="B42" s="125"/>
      <c r="C42" s="126"/>
      <c r="D42" s="138"/>
      <c r="E42" s="139"/>
      <c r="F42" s="126"/>
      <c r="G42" s="129"/>
      <c r="H42" s="132"/>
      <c r="I42" s="131"/>
      <c r="J42" s="132"/>
      <c r="K42" s="133"/>
      <c r="L42" s="134"/>
      <c r="M42" s="133"/>
      <c r="N42" s="135"/>
      <c r="O42" s="136"/>
      <c r="P42" s="137"/>
      <c r="Q42" s="140"/>
    </row>
    <row r="43" s="9" customFormat="1" ht="30" customHeight="1" spans="1:17">
      <c r="A43" s="124"/>
      <c r="B43" s="125"/>
      <c r="C43" s="126"/>
      <c r="D43" s="138"/>
      <c r="E43" s="139"/>
      <c r="F43" s="126"/>
      <c r="G43" s="129"/>
      <c r="H43" s="132"/>
      <c r="I43" s="131"/>
      <c r="J43" s="132"/>
      <c r="K43" s="133"/>
      <c r="L43" s="134"/>
      <c r="M43" s="133"/>
      <c r="N43" s="135"/>
      <c r="O43" s="136"/>
      <c r="P43" s="137"/>
      <c r="Q43" s="140"/>
    </row>
    <row r="44" s="9" customFormat="1" ht="30" customHeight="1" spans="1:17">
      <c r="A44" s="124"/>
      <c r="B44" s="125"/>
      <c r="C44" s="126"/>
      <c r="D44" s="138"/>
      <c r="E44" s="139"/>
      <c r="F44" s="126"/>
      <c r="G44" s="129"/>
      <c r="H44" s="132"/>
      <c r="I44" s="131"/>
      <c r="J44" s="132"/>
      <c r="K44" s="133"/>
      <c r="L44" s="134"/>
      <c r="M44" s="133"/>
      <c r="N44" s="135"/>
      <c r="O44" s="136"/>
      <c r="P44" s="137"/>
      <c r="Q44" s="140"/>
    </row>
    <row r="45" s="9" customFormat="1" ht="30" customHeight="1" spans="1:17">
      <c r="A45" s="124"/>
      <c r="B45" s="125"/>
      <c r="C45" s="126"/>
      <c r="D45" s="138"/>
      <c r="E45" s="139"/>
      <c r="F45" s="126"/>
      <c r="G45" s="129"/>
      <c r="H45" s="132"/>
      <c r="I45" s="131"/>
      <c r="J45" s="132"/>
      <c r="K45" s="133"/>
      <c r="L45" s="134"/>
      <c r="M45" s="133"/>
      <c r="N45" s="135"/>
      <c r="O45" s="136"/>
      <c r="P45" s="137"/>
      <c r="Q45" s="140"/>
    </row>
    <row r="46" s="9" customFormat="1" ht="30" customHeight="1" spans="1:17">
      <c r="A46" s="124"/>
      <c r="B46" s="125"/>
      <c r="C46" s="126"/>
      <c r="D46" s="138"/>
      <c r="E46" s="139"/>
      <c r="F46" s="126"/>
      <c r="G46" s="129"/>
      <c r="H46" s="132"/>
      <c r="I46" s="131"/>
      <c r="J46" s="132"/>
      <c r="K46" s="133"/>
      <c r="L46" s="134"/>
      <c r="M46" s="133"/>
      <c r="N46" s="135"/>
      <c r="O46" s="136"/>
      <c r="P46" s="137"/>
      <c r="Q46" s="140"/>
    </row>
    <row r="47" s="9" customFormat="1" ht="30" customHeight="1" spans="1:17">
      <c r="A47" s="124"/>
      <c r="B47" s="125"/>
      <c r="C47" s="126"/>
      <c r="D47" s="138"/>
      <c r="E47" s="139"/>
      <c r="F47" s="126"/>
      <c r="G47" s="129"/>
      <c r="H47" s="132"/>
      <c r="I47" s="131"/>
      <c r="J47" s="132"/>
      <c r="K47" s="133"/>
      <c r="L47" s="134"/>
      <c r="M47" s="133"/>
      <c r="N47" s="135"/>
      <c r="O47" s="136"/>
      <c r="P47" s="137"/>
      <c r="Q47" s="140"/>
    </row>
    <row r="48" s="9" customFormat="1" ht="30" customHeight="1" spans="1:17">
      <c r="A48" s="124"/>
      <c r="B48" s="125"/>
      <c r="C48" s="126"/>
      <c r="D48" s="138"/>
      <c r="E48" s="139"/>
      <c r="F48" s="126"/>
      <c r="G48" s="129"/>
      <c r="H48" s="132"/>
      <c r="I48" s="131"/>
      <c r="J48" s="132"/>
      <c r="K48" s="133"/>
      <c r="L48" s="134"/>
      <c r="M48" s="133"/>
      <c r="N48" s="135"/>
      <c r="O48" s="136"/>
      <c r="P48" s="137"/>
      <c r="Q48" s="140"/>
    </row>
    <row r="49" s="9" customFormat="1" ht="30" customHeight="1" spans="1:17">
      <c r="A49" s="124"/>
      <c r="B49" s="125"/>
      <c r="C49" s="126"/>
      <c r="D49" s="138"/>
      <c r="E49" s="139"/>
      <c r="F49" s="126"/>
      <c r="G49" s="129"/>
      <c r="H49" s="132"/>
      <c r="I49" s="131"/>
      <c r="J49" s="132"/>
      <c r="K49" s="133"/>
      <c r="L49" s="134"/>
      <c r="M49" s="133"/>
      <c r="N49" s="135"/>
      <c r="O49" s="136"/>
      <c r="P49" s="137"/>
      <c r="Q49" s="140"/>
    </row>
    <row r="50" s="9" customFormat="1" ht="30" customHeight="1" spans="1:17">
      <c r="A50" s="124"/>
      <c r="B50" s="125"/>
      <c r="C50" s="126"/>
      <c r="D50" s="138"/>
      <c r="E50" s="139"/>
      <c r="F50" s="126"/>
      <c r="G50" s="129"/>
      <c r="H50" s="132"/>
      <c r="I50" s="131"/>
      <c r="J50" s="132"/>
      <c r="K50" s="133"/>
      <c r="L50" s="134"/>
      <c r="M50" s="133"/>
      <c r="N50" s="135"/>
      <c r="O50" s="136"/>
      <c r="P50" s="137"/>
      <c r="Q50" s="140"/>
    </row>
    <row r="51" ht="37.5" customHeight="1" spans="1:17">
      <c r="A51" s="124"/>
      <c r="B51" s="125"/>
      <c r="C51" s="126"/>
      <c r="D51" s="138"/>
      <c r="E51" s="139"/>
      <c r="F51" s="126"/>
      <c r="G51" s="129"/>
      <c r="H51" s="132"/>
      <c r="I51" s="131"/>
      <c r="J51" s="132"/>
      <c r="K51" s="133"/>
      <c r="L51" s="134"/>
      <c r="M51" s="133"/>
      <c r="N51" s="135"/>
      <c r="O51" s="136"/>
      <c r="P51" s="137"/>
      <c r="Q51" s="140"/>
    </row>
    <row r="52" ht="30" customHeight="1" spans="1:17">
      <c r="A52" s="124"/>
      <c r="B52" s="125"/>
      <c r="C52" s="126"/>
      <c r="D52" s="141"/>
      <c r="E52" s="142"/>
      <c r="F52" s="143"/>
      <c r="G52" s="144"/>
      <c r="H52" s="132"/>
      <c r="I52" s="131"/>
      <c r="J52" s="132"/>
      <c r="K52" s="133"/>
      <c r="L52" s="145"/>
      <c r="M52" s="133"/>
      <c r="N52" s="146">
        <f>SUM(N21:N51)</f>
        <v>0</v>
      </c>
      <c r="O52" s="147"/>
      <c r="P52" s="148"/>
      <c r="Q52" s="140">
        <f>SUM(Q21:Q51)</f>
        <v>0</v>
      </c>
    </row>
    <row r="53" ht="27.75" customHeight="1" spans="1:17">
      <c r="A53" s="149" t="s">
        <v>3075</v>
      </c>
      <c r="B53" s="150"/>
      <c r="C53" s="150"/>
      <c r="D53" s="150"/>
      <c r="E53" s="150"/>
      <c r="F53" s="150"/>
      <c r="G53" s="151"/>
      <c r="H53" s="150"/>
      <c r="I53" s="150"/>
      <c r="J53" s="150"/>
      <c r="K53" s="150"/>
      <c r="L53" s="152"/>
      <c r="M53" s="153"/>
      <c r="N53" s="154"/>
      <c r="O53" s="153"/>
      <c r="P53" s="155"/>
    </row>
    <row r="54" ht="27.75" customHeight="1" spans="1:17">
      <c r="A54" s="156"/>
      <c r="B54" s="157"/>
      <c r="C54" s="157"/>
      <c r="D54" s="157"/>
      <c r="E54" s="157"/>
      <c r="F54" s="157"/>
      <c r="G54" s="158"/>
      <c r="H54" s="157"/>
      <c r="I54" s="157"/>
      <c r="J54" s="157"/>
      <c r="K54" s="157"/>
      <c r="L54" s="157"/>
      <c r="M54" s="157"/>
      <c r="N54" s="157"/>
      <c r="O54" s="157"/>
      <c r="P54" s="159"/>
    </row>
    <row r="55" ht="27.75" customHeight="1" spans="1:17">
      <c r="A55" s="160"/>
      <c r="B55" s="161"/>
      <c r="C55" s="161"/>
      <c r="D55" s="161"/>
      <c r="E55" s="161"/>
      <c r="F55" s="161"/>
      <c r="G55" s="162"/>
      <c r="H55" s="161"/>
      <c r="I55" s="161"/>
      <c r="J55" s="161"/>
      <c r="K55" s="161"/>
      <c r="L55" s="161"/>
      <c r="M55" s="161"/>
      <c r="N55" s="161"/>
      <c r="O55" s="161"/>
      <c r="P55" s="163"/>
    </row>
    <row r="56" spans="1:17">
      <c r="A56" s="164" t="s">
        <v>3076</v>
      </c>
      <c r="B56" s="165"/>
      <c r="C56" s="165"/>
      <c r="D56" s="165"/>
      <c r="E56" s="166"/>
      <c r="F56" s="167" t="s">
        <v>3077</v>
      </c>
      <c r="G56" s="57"/>
      <c r="H56" s="41"/>
      <c r="I56" s="41"/>
      <c r="J56" s="43"/>
      <c r="K56" s="167" t="s">
        <v>3078</v>
      </c>
      <c r="L56" s="41"/>
      <c r="M56" s="41"/>
      <c r="N56" s="41"/>
      <c r="O56" s="41"/>
      <c r="P56" s="43"/>
    </row>
    <row r="57" spans="1:17">
      <c r="A57" s="168"/>
      <c r="B57" s="169"/>
      <c r="C57" s="169"/>
      <c r="D57" s="170"/>
      <c r="E57" s="171"/>
      <c r="F57" s="172"/>
      <c r="G57" s="173"/>
      <c r="H57" s="174"/>
      <c r="I57" s="174"/>
      <c r="J57" s="175"/>
      <c r="K57" s="176"/>
      <c r="L57" s="176"/>
      <c r="M57" s="176"/>
      <c r="N57" s="176"/>
      <c r="O57" s="177"/>
      <c r="P57" s="178"/>
    </row>
    <row r="58" spans="1:17">
      <c r="A58" s="179" t="s">
        <v>3079</v>
      </c>
      <c r="B58" s="180"/>
      <c r="C58" s="180"/>
      <c r="D58" s="172"/>
      <c r="E58" s="172"/>
      <c r="F58" s="172"/>
      <c r="G58" s="173"/>
      <c r="H58" s="174"/>
      <c r="I58" s="174"/>
      <c r="J58" s="175"/>
      <c r="K58" s="181" t="s">
        <v>3080</v>
      </c>
      <c r="L58" s="100"/>
      <c r="M58" s="182"/>
      <c r="N58" s="182" t="s">
        <v>3081</v>
      </c>
      <c r="O58" s="177"/>
      <c r="P58" s="183"/>
    </row>
    <row r="59" spans="1:17">
      <c r="A59" s="184"/>
      <c r="B59" s="180"/>
      <c r="C59" s="180"/>
      <c r="D59" s="172"/>
      <c r="E59" s="172"/>
      <c r="F59" s="185" t="s">
        <v>3082</v>
      </c>
      <c r="G59" s="185"/>
      <c r="H59" s="185"/>
      <c r="I59" s="185"/>
      <c r="J59" s="175"/>
      <c r="K59" s="186"/>
      <c r="L59" s="187"/>
      <c r="M59" s="187"/>
      <c r="N59" s="187"/>
      <c r="O59" s="188"/>
      <c r="P59" s="189"/>
    </row>
    <row r="60" spans="1:17">
      <c r="A60" s="184"/>
      <c r="B60" s="180"/>
      <c r="C60" s="180"/>
      <c r="D60" s="172"/>
      <c r="E60" s="172"/>
      <c r="F60" s="172"/>
      <c r="G60" s="190"/>
      <c r="H60" s="174"/>
      <c r="I60" s="174"/>
      <c r="J60" s="175"/>
      <c r="K60" s="191" t="s">
        <v>3083</v>
      </c>
      <c r="L60" s="153"/>
      <c r="M60" s="176"/>
      <c r="N60" s="176" t="s">
        <v>3084</v>
      </c>
      <c r="O60" s="177"/>
      <c r="P60" s="183"/>
    </row>
    <row r="61" spans="1:17">
      <c r="A61" s="179" t="s">
        <v>3085</v>
      </c>
      <c r="B61" s="180"/>
      <c r="C61" s="180"/>
      <c r="D61" s="172"/>
      <c r="E61" s="172"/>
      <c r="F61" s="172"/>
      <c r="G61" s="190"/>
      <c r="H61" s="174"/>
      <c r="I61" s="174"/>
      <c r="J61" s="175"/>
      <c r="K61" s="186"/>
      <c r="L61" s="187"/>
      <c r="M61" s="187"/>
      <c r="N61" s="187"/>
      <c r="O61" s="188"/>
      <c r="P61" s="189"/>
    </row>
    <row r="62" spans="1:17">
      <c r="A62" s="184"/>
      <c r="B62" s="180"/>
      <c r="C62" s="180"/>
      <c r="D62" s="172"/>
      <c r="E62" s="172"/>
      <c r="F62" s="172"/>
      <c r="G62" s="190"/>
      <c r="H62" s="174"/>
      <c r="I62" s="174"/>
      <c r="J62" s="175"/>
      <c r="K62" s="191" t="s">
        <v>3086</v>
      </c>
      <c r="L62" s="153"/>
      <c r="M62" s="176"/>
      <c r="N62" s="176" t="s">
        <v>3087</v>
      </c>
      <c r="O62" s="176"/>
      <c r="P62" s="192"/>
    </row>
    <row r="63" spans="1:17">
      <c r="A63" s="193" t="s">
        <v>3088</v>
      </c>
      <c r="B63" s="169"/>
      <c r="C63" s="169"/>
      <c r="D63" s="194" t="s">
        <v>3089</v>
      </c>
      <c r="E63" s="170"/>
      <c r="F63" s="170"/>
      <c r="G63" s="195" t="s">
        <v>3090</v>
      </c>
      <c r="H63" s="196"/>
      <c r="I63" s="196"/>
      <c r="J63" s="197"/>
      <c r="K63" s="196"/>
      <c r="L63" s="196"/>
      <c r="M63" s="187"/>
      <c r="N63" s="187"/>
      <c r="O63" s="198"/>
      <c r="P63" s="199"/>
    </row>
  </sheetData>
  <mergeCells count="209">
    <mergeCell ref="A1:P1"/>
    <mergeCell ref="A2:D2"/>
    <mergeCell ref="E2:F2"/>
    <mergeCell ref="G2:J2"/>
    <mergeCell ref="K2:L2"/>
    <mergeCell ref="M2:P2"/>
    <mergeCell ref="A3:E3"/>
    <mergeCell ref="F3:H3"/>
    <mergeCell ref="J3:L3"/>
    <mergeCell ref="M3:P3"/>
    <mergeCell ref="A4:E4"/>
    <mergeCell ref="F4:H4"/>
    <mergeCell ref="J4:L4"/>
    <mergeCell ref="M4:P4"/>
    <mergeCell ref="A5:C5"/>
    <mergeCell ref="D5:E5"/>
    <mergeCell ref="F5:G5"/>
    <mergeCell ref="H5:K5"/>
    <mergeCell ref="L5:P5"/>
    <mergeCell ref="A6:E6"/>
    <mergeCell ref="F6:G6"/>
    <mergeCell ref="H6:K6"/>
    <mergeCell ref="M6:P6"/>
    <mergeCell ref="A7:C7"/>
    <mergeCell ref="D7:E7"/>
    <mergeCell ref="F7:H7"/>
    <mergeCell ref="J7:L7"/>
    <mergeCell ref="M7:P7"/>
    <mergeCell ref="A8:E8"/>
    <mergeCell ref="F8:H8"/>
    <mergeCell ref="J8:L8"/>
    <mergeCell ref="M8:P8"/>
    <mergeCell ref="A9:D9"/>
    <mergeCell ref="E9:G9"/>
    <mergeCell ref="H9:L9"/>
    <mergeCell ref="M9:P9"/>
    <mergeCell ref="A10:D10"/>
    <mergeCell ref="E10:G10"/>
    <mergeCell ref="H10:L10"/>
    <mergeCell ref="M10:P10"/>
    <mergeCell ref="A11:D11"/>
    <mergeCell ref="F11:H11"/>
    <mergeCell ref="J11:L11"/>
    <mergeCell ref="M11:P11"/>
    <mergeCell ref="A12:D12"/>
    <mergeCell ref="F12:H12"/>
    <mergeCell ref="J12:L12"/>
    <mergeCell ref="M12:P12"/>
    <mergeCell ref="A13:D13"/>
    <mergeCell ref="E13:F13"/>
    <mergeCell ref="G13:H13"/>
    <mergeCell ref="I13:L13"/>
    <mergeCell ref="M13:P13"/>
    <mergeCell ref="A14:D14"/>
    <mergeCell ref="E14:F14"/>
    <mergeCell ref="G14:H14"/>
    <mergeCell ref="I14:L14"/>
    <mergeCell ref="M14:P14"/>
    <mergeCell ref="A15:D15"/>
    <mergeCell ref="E15:J15"/>
    <mergeCell ref="K15:P15"/>
    <mergeCell ref="A16:D16"/>
    <mergeCell ref="E16:J16"/>
    <mergeCell ref="K16:P16"/>
    <mergeCell ref="A17:C17"/>
    <mergeCell ref="A18:B18"/>
    <mergeCell ref="E18:L18"/>
    <mergeCell ref="B20:C20"/>
    <mergeCell ref="D20:F20"/>
    <mergeCell ref="G20:H20"/>
    <mergeCell ref="J20:K20"/>
    <mergeCell ref="L20:M20"/>
    <mergeCell ref="B21:C21"/>
    <mergeCell ref="E21:F21"/>
    <mergeCell ref="J21:K21"/>
    <mergeCell ref="L21:M21"/>
    <mergeCell ref="B22:C22"/>
    <mergeCell ref="E22:F22"/>
    <mergeCell ref="J22:K22"/>
    <mergeCell ref="L22:M22"/>
    <mergeCell ref="B23:C23"/>
    <mergeCell ref="E23:F23"/>
    <mergeCell ref="J23:K23"/>
    <mergeCell ref="L23:M23"/>
    <mergeCell ref="B24:C24"/>
    <mergeCell ref="E24:F24"/>
    <mergeCell ref="J24:K24"/>
    <mergeCell ref="L24:M24"/>
    <mergeCell ref="B25:C25"/>
    <mergeCell ref="E25:F25"/>
    <mergeCell ref="J25:K25"/>
    <mergeCell ref="L25:M25"/>
    <mergeCell ref="B26:C26"/>
    <mergeCell ref="E26:F26"/>
    <mergeCell ref="J26:K26"/>
    <mergeCell ref="L26:M26"/>
    <mergeCell ref="B27:C27"/>
    <mergeCell ref="E27:F27"/>
    <mergeCell ref="J27:K27"/>
    <mergeCell ref="L27:M27"/>
    <mergeCell ref="B28:C28"/>
    <mergeCell ref="E28:F28"/>
    <mergeCell ref="J28:K28"/>
    <mergeCell ref="L28:M28"/>
    <mergeCell ref="B29:C29"/>
    <mergeCell ref="E29:F29"/>
    <mergeCell ref="J29:K29"/>
    <mergeCell ref="L29:M29"/>
    <mergeCell ref="B30:C30"/>
    <mergeCell ref="E30:F30"/>
    <mergeCell ref="J30:K30"/>
    <mergeCell ref="L30:M30"/>
    <mergeCell ref="B31:C31"/>
    <mergeCell ref="E31:F31"/>
    <mergeCell ref="J31:K31"/>
    <mergeCell ref="L31:M31"/>
    <mergeCell ref="B32:C32"/>
    <mergeCell ref="E32:F32"/>
    <mergeCell ref="J32:K32"/>
    <mergeCell ref="L32:M32"/>
    <mergeCell ref="B33:C33"/>
    <mergeCell ref="E33:F33"/>
    <mergeCell ref="J33:K33"/>
    <mergeCell ref="L33:M33"/>
    <mergeCell ref="B34:C34"/>
    <mergeCell ref="E34:F34"/>
    <mergeCell ref="J34:K34"/>
    <mergeCell ref="L34:M34"/>
    <mergeCell ref="B35:C35"/>
    <mergeCell ref="E35:F35"/>
    <mergeCell ref="J35:K35"/>
    <mergeCell ref="L35:M35"/>
    <mergeCell ref="B36:C36"/>
    <mergeCell ref="E36:F36"/>
    <mergeCell ref="J36:K36"/>
    <mergeCell ref="L36:M36"/>
    <mergeCell ref="B37:C37"/>
    <mergeCell ref="E37:F37"/>
    <mergeCell ref="J37:K37"/>
    <mergeCell ref="L37:M37"/>
    <mergeCell ref="B38:C38"/>
    <mergeCell ref="E38:F38"/>
    <mergeCell ref="J38:K38"/>
    <mergeCell ref="L38:M38"/>
    <mergeCell ref="B39:C39"/>
    <mergeCell ref="E39:F39"/>
    <mergeCell ref="J39:K39"/>
    <mergeCell ref="L39:M39"/>
    <mergeCell ref="B40:C40"/>
    <mergeCell ref="E40:F40"/>
    <mergeCell ref="J40:K40"/>
    <mergeCell ref="L40:M40"/>
    <mergeCell ref="B41:C41"/>
    <mergeCell ref="E41:F41"/>
    <mergeCell ref="J41:K41"/>
    <mergeCell ref="L41:M41"/>
    <mergeCell ref="B42:C42"/>
    <mergeCell ref="E42:F42"/>
    <mergeCell ref="J42:K42"/>
    <mergeCell ref="L42:M42"/>
    <mergeCell ref="B43:C43"/>
    <mergeCell ref="E43:F43"/>
    <mergeCell ref="J43:K43"/>
    <mergeCell ref="L43:M43"/>
    <mergeCell ref="B44:C44"/>
    <mergeCell ref="E44:F44"/>
    <mergeCell ref="J44:K44"/>
    <mergeCell ref="L44:M44"/>
    <mergeCell ref="B45:C45"/>
    <mergeCell ref="E45:F45"/>
    <mergeCell ref="J45:K45"/>
    <mergeCell ref="L45:M45"/>
    <mergeCell ref="B46:C46"/>
    <mergeCell ref="E46:F46"/>
    <mergeCell ref="J46:K46"/>
    <mergeCell ref="L46:M46"/>
    <mergeCell ref="B47:C47"/>
    <mergeCell ref="E47:F47"/>
    <mergeCell ref="J47:K47"/>
    <mergeCell ref="L47:M47"/>
    <mergeCell ref="B48:C48"/>
    <mergeCell ref="E48:F48"/>
    <mergeCell ref="J48:K48"/>
    <mergeCell ref="L48:M48"/>
    <mergeCell ref="B49:C49"/>
    <mergeCell ref="E49:F49"/>
    <mergeCell ref="J49:K49"/>
    <mergeCell ref="L49:M49"/>
    <mergeCell ref="B50:C50"/>
    <mergeCell ref="E50:F50"/>
    <mergeCell ref="J50:K50"/>
    <mergeCell ref="L50:M50"/>
    <mergeCell ref="B51:C51"/>
    <mergeCell ref="E51:F51"/>
    <mergeCell ref="J51:K51"/>
    <mergeCell ref="L51:M51"/>
    <mergeCell ref="B52:C52"/>
    <mergeCell ref="D52:F52"/>
    <mergeCell ref="J52:K52"/>
    <mergeCell ref="L52:M52"/>
    <mergeCell ref="L53:M53"/>
    <mergeCell ref="N53:O53"/>
    <mergeCell ref="F56:J56"/>
    <mergeCell ref="K56:P56"/>
    <mergeCell ref="K58:L58"/>
    <mergeCell ref="F59:H59"/>
    <mergeCell ref="K60:L60"/>
    <mergeCell ref="K62:L62"/>
    <mergeCell ref="N18:P19"/>
  </mergeCells>
  <conditionalFormatting sqref="A2:D2">
    <cfRule type="cellIs" dxfId="2" priority="1" stopIfTrue="1" operator="equal">
      <formula>"★需用电子关锁★"</formula>
    </cfRule>
  </conditionalFormatting>
  <dataValidations count="1">
    <dataValidation showInputMessage="1" showErrorMessage="1" sqref="F8:L8"/>
  </dataValidations>
  <pageMargins left="0.46" right="0.28" top="0.34" bottom="0.39" header="0.3" footer="0.3"/>
  <pageSetup paperSize="9" scale="64" orientation="portrait"/>
  <headerFooter/>
  <ignoredErrors>
    <ignoredError sqref="A33:U63 G22:N32 P21:P32 H21:M21 A22:A32 A1:U20 R21:U32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7" sqref="B7"/>
    </sheetView>
  </sheetViews>
  <sheetFormatPr defaultColWidth="9.81666666666667" defaultRowHeight="26.25" customHeight="1" outlineLevelRow="7" outlineLevelCol="1"/>
  <cols>
    <col min="1" max="1" width="15.8166666666667" style="2" customWidth="1"/>
    <col min="2" max="2" width="22.9083333333333" style="2" customWidth="1"/>
    <col min="3" max="16384" width="9.81666666666667" style="2" customWidth="1"/>
  </cols>
  <sheetData>
    <row r="1" ht="33.75" customHeight="1" spans="1:2">
      <c r="A1" s="3" t="s">
        <v>3091</v>
      </c>
      <c r="B1" s="4">
        <v>237891915</v>
      </c>
    </row>
    <row r="2" ht="33.75" customHeight="1" spans="1:2">
      <c r="A2" s="3" t="s">
        <v>3092</v>
      </c>
      <c r="B2" s="4" t="s">
        <v>3093</v>
      </c>
    </row>
    <row r="3" ht="33.75" customHeight="1" spans="1:2">
      <c r="A3" s="3" t="s">
        <v>3094</v>
      </c>
      <c r="B3" s="4" t="s">
        <v>3095</v>
      </c>
    </row>
    <row r="4" ht="33.75" customHeight="1" spans="1:2">
      <c r="A4" s="3" t="s">
        <v>3096</v>
      </c>
      <c r="B4" s="4">
        <v>2130</v>
      </c>
    </row>
    <row r="5" ht="33.75" customHeight="1" spans="1:2">
      <c r="A5" s="3" t="s">
        <v>3097</v>
      </c>
      <c r="B5" s="4" t="s">
        <v>3098</v>
      </c>
    </row>
    <row r="6" ht="33.75" customHeight="1" spans="1:2">
      <c r="A6" s="3" t="s">
        <v>3099</v>
      </c>
      <c r="B6" s="4" t="s">
        <v>3100</v>
      </c>
    </row>
    <row r="7" ht="33.75" customHeight="1" spans="1:2">
      <c r="A7" s="3" t="s">
        <v>3101</v>
      </c>
      <c r="B7" s="4">
        <v>15917133346</v>
      </c>
    </row>
    <row r="8" ht="33.75" customHeight="1" spans="1:2">
      <c r="A8" s="3" t="s">
        <v>3102</v>
      </c>
      <c r="B8" s="4" t="s">
        <v>3103</v>
      </c>
    </row>
  </sheetData>
  <pageMargins left="0" right="0" top="0" bottom="0" header="0.31496062992126" footer="0.31496062992126"/>
  <pageSetup paperSize="9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2" sqref="A2:A18"/>
    </sheetView>
  </sheetViews>
  <sheetFormatPr defaultColWidth="8.89166666666667" defaultRowHeight="13.5" outlineLevelCol="1"/>
  <cols>
    <col min="1" max="2" width="13.4416666666667" customWidth="1"/>
  </cols>
  <sheetData>
    <row r="1" spans="1:2">
      <c r="A1" s="1" t="s">
        <v>3104</v>
      </c>
      <c r="B1" s="1" t="s">
        <v>3105</v>
      </c>
    </row>
    <row r="2" spans="1:2">
      <c r="A2" s="1" t="s">
        <v>123</v>
      </c>
      <c r="B2" s="1" t="s">
        <v>3106</v>
      </c>
    </row>
    <row r="3" spans="1:2">
      <c r="A3" s="1" t="s">
        <v>952</v>
      </c>
      <c r="B3" s="1" t="s">
        <v>3107</v>
      </c>
    </row>
    <row r="4" spans="1:2">
      <c r="A4" s="1" t="s">
        <v>3108</v>
      </c>
      <c r="B4" s="1" t="s">
        <v>3109</v>
      </c>
    </row>
    <row r="5" spans="1:2">
      <c r="A5" s="1" t="s">
        <v>51</v>
      </c>
      <c r="B5" s="1" t="s">
        <v>3110</v>
      </c>
    </row>
    <row r="6" spans="1:2">
      <c r="A6" s="1" t="s">
        <v>326</v>
      </c>
      <c r="B6" s="1" t="s">
        <v>3111</v>
      </c>
    </row>
    <row r="7" spans="1:2">
      <c r="A7" s="1" t="s">
        <v>3112</v>
      </c>
      <c r="B7" s="1" t="s">
        <v>3113</v>
      </c>
    </row>
    <row r="8" spans="1:2">
      <c r="A8" s="1" t="s">
        <v>3114</v>
      </c>
      <c r="B8" s="1" t="s">
        <v>3115</v>
      </c>
    </row>
    <row r="9" spans="1:2">
      <c r="A9" s="1" t="s">
        <v>3116</v>
      </c>
      <c r="B9" s="1" t="s">
        <v>2953</v>
      </c>
    </row>
    <row r="10" spans="1:2">
      <c r="A10" s="1" t="s">
        <v>3117</v>
      </c>
      <c r="B10" s="1" t="s">
        <v>914</v>
      </c>
    </row>
    <row r="11" spans="1:2">
      <c r="A11" s="1" t="s">
        <v>3118</v>
      </c>
      <c r="B11" s="1" t="s">
        <v>3119</v>
      </c>
    </row>
    <row r="12" spans="1:2">
      <c r="A12" s="1" t="s">
        <v>3120</v>
      </c>
      <c r="B12" s="1" t="s">
        <v>3121</v>
      </c>
    </row>
    <row r="13" spans="1:2">
      <c r="A13" s="1" t="s">
        <v>3122</v>
      </c>
      <c r="B13" s="1" t="s">
        <v>1500</v>
      </c>
    </row>
    <row r="14" spans="1:2">
      <c r="A14" s="1" t="s">
        <v>3123</v>
      </c>
      <c r="B14" s="1" t="s">
        <v>3124</v>
      </c>
    </row>
    <row r="15" spans="1:2">
      <c r="A15" s="1" t="s">
        <v>3125</v>
      </c>
      <c r="B15" s="1" t="s">
        <v>3126</v>
      </c>
    </row>
    <row r="16" spans="1:2">
      <c r="A16" s="1" t="s">
        <v>3127</v>
      </c>
      <c r="B16" s="1" t="s">
        <v>3128</v>
      </c>
    </row>
    <row r="17" spans="1:2">
      <c r="A17" s="1" t="s">
        <v>3129</v>
      </c>
      <c r="B17" s="1" t="s">
        <v>3130</v>
      </c>
    </row>
    <row r="18" spans="1:2">
      <c r="A18" s="1" t="s">
        <v>3131</v>
      </c>
      <c r="B18" s="1" t="s">
        <v>2945</v>
      </c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39" sqref="G139:H139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��USMO�S�N	��b�*N�lQ�e	��s|	��CSs|	�WY)
�YO(uvQ�NUSMO���cMR�T�pS<\lQ�SUSMO�S�N	��b�*N�lQ�e	��s|	��CSs|	�WY)
�YO(uvQ�NUSMO���cMR�T�pS<\lQ�S�Y�eUS*N�k͑���	c�s	gSň���{�YUS*N�Q͑�e�l���{���	c�s	gSň���{�Y(uaSgSň��kX�QaSg�S��Y�eRN���kX�QUSMO�S�N	��b�*N�lQ�e	��s|	��CSs|	�WY)
�YO(uvQ�NUSMO���cMR�T�pS<\lQ�SUSMO�S�N	��b�*N�lQ�e	��s|	��CSs|	�WY)
�YO(uvQ�NUSMO���cMR�T�pS<\lQ�SUSMO�S�N	��b�*N�lQ�e	��s|	��CSs|	�WY)
�YO(uvQ�NUSMO���cMR�T�pS<\lQ�S�Y�eUS*N�k͑���	c�s	gSň���{�YUS*N�Q͑�e�l���{���	c�s	gSň���{�Y(uaSgSň��kX�QaSg�S��Y�eRN���kX�QUSMO�S�N	��b�*N�lQ�e	��s|	��CSs|	�WY)
�YO(uvQ�NUSMO���cMR�T�pS<\lQ�S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WWO_wpscloud_20250206155222-5ccb823cdd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已到ARRIVED</vt:lpstr>
      <vt:lpstr>类别金额</vt:lpstr>
      <vt:lpstr>实业合同</vt:lpstr>
      <vt:lpstr>实业发票</vt:lpstr>
      <vt:lpstr>装箱单</vt:lpstr>
      <vt:lpstr>5.21出货明细</vt:lpstr>
      <vt:lpstr>商品汇总表</vt:lpstr>
      <vt:lpstr>发票</vt:lpstr>
      <vt:lpstr>销售合同</vt:lpstr>
      <vt:lpstr>装箱单 (2)</vt:lpstr>
      <vt:lpstr>草稿大单-1</vt:lpstr>
      <vt:lpstr>司机资料</vt:lpstr>
      <vt:lpstr>单位对照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李悦</cp:lastModifiedBy>
  <dcterms:created xsi:type="dcterms:W3CDTF">2018-06-16T00:28:00Z</dcterms:created>
  <dcterms:modified xsi:type="dcterms:W3CDTF">2026-10-23T05:50:26Z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5880F53638204FD5B3DC1E83DBF0359D_13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